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t-file01\DistShare$\2000 Western Region Office\WUTC\WUTC-LeMay\Dump Fee\2186 Grays Harbor\DF Incr 1-1-2022\"/>
    </mc:Choice>
  </mc:AlternateContent>
  <bookViews>
    <workbookView xWindow="0" yWindow="0" windowWidth="28800" windowHeight="11400" activeTab="4"/>
  </bookViews>
  <sheets>
    <sheet name="References" sheetId="4" r:id="rId1"/>
    <sheet name="DF Calculation" sheetId="7" r:id="rId2"/>
    <sheet name="Mapping" sheetId="17" r:id="rId3"/>
    <sheet name="Disposal" sheetId="24" r:id="rId4"/>
    <sheet name="Grays Harbor Reg Price Out" sheetId="23" r:id="rId5"/>
    <sheet name="Rate Sheet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4" hidden="1">#REF!</definedName>
    <definedName name="_132Graph_h" hidden="1">#REF!</definedName>
    <definedName name="_ACT1" localSheetId="4">[6]Hidden!#REF!</definedName>
    <definedName name="_ACT1">[7]Hidden!#REF!</definedName>
    <definedName name="_ACT2" localSheetId="4">[6]Hidden!#REF!</definedName>
    <definedName name="_ACT2">[7]Hidden!#REF!</definedName>
    <definedName name="_ACT3" localSheetId="4">[6]Hidden!#REF!</definedName>
    <definedName name="_ACT3">[7]Hidden!#REF!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'DF Calculation'!$A$6:$T$79</definedName>
    <definedName name="_xlnm._FilterDatabase" localSheetId="4" hidden="1">'Grays Harbor Reg Price Out'!$A$11:$AF$326</definedName>
    <definedName name="_xlnm._FilterDatabase" localSheetId="2" hidden="1">Mapping!$A$1:$M$91</definedName>
    <definedName name="_xlnm._FilterDatabase" localSheetId="5" hidden="1">'Rate Sheet'!$A$1:$J$71</definedName>
    <definedName name="_Key1" localSheetId="4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'[4]#REF'!$A$10:$Z$281</definedName>
    <definedName name="_sort3" hidden="1">[5]XXXXXX!$G$10:$J$11</definedName>
    <definedName name="a" localSheetId="4">#REF!</definedName>
    <definedName name="a">#REF!</definedName>
    <definedName name="Accounts" localSheetId="4">#REF!</definedName>
    <definedName name="Accounts">#REF!</definedName>
    <definedName name="ACCT" localSheetId="4">[6]Hidden!#REF!</definedName>
    <definedName name="ACCT">[7]Hidden!#REF!</definedName>
    <definedName name="ACCT.ConsolSum">[1]Hidden!$Q$11</definedName>
    <definedName name="ACT_CUR" localSheetId="4">[6]Hidden!#REF!</definedName>
    <definedName name="ACT_CUR">[7]Hidden!#REF!</definedName>
    <definedName name="ACT_YTD" localSheetId="4">[6]Hidden!#REF!</definedName>
    <definedName name="ACT_YTD">[7]Hidden!#REF!</definedName>
    <definedName name="afsdfsdfsd" localSheetId="4">#REF!</definedName>
    <definedName name="afsdfsdfsd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4">#REF!</definedName>
    <definedName name="AmountFrom">#REF!</definedName>
    <definedName name="AmountTo" localSheetId="4">#REF!</definedName>
    <definedName name="AmountTo">#REF!</definedName>
    <definedName name="AmountTotal" localSheetId="4">#REF!</definedName>
    <definedName name="AmountTotal">#REF!</definedName>
    <definedName name="AmountTotal1">#REF!</definedName>
    <definedName name="BookRev" localSheetId="4">'[8]Pacific Regulated - Price Out'!$F$50</definedName>
    <definedName name="BookRev">'[9]Pacific Regulated - Price Out'!$F$50</definedName>
    <definedName name="BookRev_com" localSheetId="4">'[8]Pacific Regulated - Price Out'!$F$214</definedName>
    <definedName name="BookRev_com">'[9]Pacific Regulated - Price Out'!$F$214</definedName>
    <definedName name="BookRev_mfr" localSheetId="4">'[8]Pacific Regulated - Price Out'!$F$222</definedName>
    <definedName name="BookRev_mfr">'[9]Pacific Regulated - Price Out'!$F$222</definedName>
    <definedName name="BookRev_ro" localSheetId="4">'[8]Pacific Regulated - Price Out'!$F$282</definedName>
    <definedName name="BookRev_ro">'[9]Pacific Regulated - Price Out'!$F$282</definedName>
    <definedName name="BookRev_rr" localSheetId="4">'[8]Pacific Regulated - Price Out'!$F$59</definedName>
    <definedName name="BookRev_rr">'[9]Pacific Regulated - Price Out'!$F$59</definedName>
    <definedName name="BookRev_yw" localSheetId="4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>#REF!</definedName>
    <definedName name="BUD_CUR" localSheetId="4">[6]Hidden!#REF!</definedName>
    <definedName name="BUD_CUR">[7]Hidden!#REF!</definedName>
    <definedName name="BUD_YTD" localSheetId="4">[6]Hidden!#REF!</definedName>
    <definedName name="BUD_YTD">[7]Hidden!#REF!</definedName>
    <definedName name="CalRecyTons" localSheetId="4">'[10]Recycl Tons, Commodity Value'!$L$23</definedName>
    <definedName name="CalRecyTons">'[11]Recycl Tons, Commodity Value'!$L$23</definedName>
    <definedName name="CanCartTons">[12]CanCartTonsAllocate!$E$3</definedName>
    <definedName name="CheckTotals" localSheetId="4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4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4">#REF!</definedName>
    <definedName name="CurrentMonth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 localSheetId="3">'[16]40139 JE Query'!$I$12</definedName>
    <definedName name="DateFrom" localSheetId="4">#REF!</definedName>
    <definedName name="DateFrom">#REF!</definedName>
    <definedName name="DateTo" localSheetId="3">'[16]40139 JE Query'!$I$13</definedName>
    <definedName name="DateTo" localSheetId="4">#REF!</definedName>
    <definedName name="DateTo">#REF!</definedName>
    <definedName name="DBxStaffPriceOut">'[14]Price Out-Reg EASTSIDE-Resi'!#REF!</definedName>
    <definedName name="debtP">#REF!</definedName>
    <definedName name="DEPT" localSheetId="4">[6]Hidden!#REF!</definedName>
    <definedName name="DEPT">[7]Hidden!#REF!</definedName>
    <definedName name="DetailBudYear">#REF!</definedName>
    <definedName name="DetailDistrict">#REF!</definedName>
    <definedName name="Dist" localSheetId="4">[17]Data!$E$3</definedName>
    <definedName name="Dist">[18]Data!$E$3</definedName>
    <definedName name="District" localSheetId="4">#REF!</definedName>
    <definedName name="District">'[19]Vashon BS'!#REF!</definedName>
    <definedName name="DistrictNum" localSheetId="4">#REF!</definedName>
    <definedName name="DistrictNum">#REF!</definedName>
    <definedName name="Districts" localSheetId="4">#REF!</definedName>
    <definedName name="Districts">#REF!</definedName>
    <definedName name="dOG" localSheetId="4">#REF!</definedName>
    <definedName name="dOG">#REF!</definedName>
    <definedName name="drlFilter">[1]Settings!$D$27</definedName>
    <definedName name="End" localSheetId="4">#REF!</definedName>
    <definedName name="End">#REF!</definedName>
    <definedName name="EntrieShownLimit" localSheetId="3">'[16]40139 JE Query'!$D$6</definedName>
    <definedName name="EntrieShownLimit" localSheetId="4">#REF!</definedName>
    <definedName name="EntrieShownLimit">#REF!</definedName>
    <definedName name="ExcludeIC" localSheetId="4">#REF!</definedName>
    <definedName name="ExcludeIC">'[19]Vashon BS'!#REF!</definedName>
    <definedName name="ExpensesPF1" localSheetId="4">'[20]LG County Area'!$K$8</definedName>
    <definedName name="ExpensesPF1">#REF!</definedName>
    <definedName name="EXT" localSheetId="4">#REF!</definedName>
    <definedName name="EXT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[17]Data!#REF!</definedName>
    <definedName name="FundsApprPend">[18]Data!#REF!</definedName>
    <definedName name="FundsBudUnbud" localSheetId="4">[17]Data!#REF!</definedName>
    <definedName name="FundsBudUnbud">[18]Data!#REF!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GRETABLE">[21]Gresham!$E$12:$AI$261</definedName>
    <definedName name="Import_Range" localSheetId="4">[17]Data!#REF!</definedName>
    <definedName name="Import_Range">[18]Data!#REF!</definedName>
    <definedName name="IncomeStmnt" localSheetId="4">#REF!</definedName>
    <definedName name="IncomeStmnt">#REF!</definedName>
    <definedName name="INPUT" localSheetId="4">#REF!</definedName>
    <definedName name="INPUT">#REF!</definedName>
    <definedName name="INPUTc" localSheetId="4">#REF!</definedName>
    <definedName name="INPUTc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LOB" localSheetId="4">[22]DropDownRanges!$B$4:$B$37</definedName>
    <definedName name="LOB">[23]DropDownRanges!$B$4:$B$37</definedName>
    <definedName name="LU_Line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4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 localSheetId="4">'[14]Price Out-Reg EASTSIDE-Resi'!#REF!</definedName>
    <definedName name="MFStaffPriceOut">'[14]Price Out-Reg EASTSIDE-Resi'!#REF!</definedName>
    <definedName name="MILTON" localSheetId="4">#REF!</definedName>
    <definedName name="MILTON">#REF!</definedName>
    <definedName name="Month">#REF!</definedName>
    <definedName name="MonthList" localSheetId="4">'[17]Lookup Tables'!$A$1:$A$13</definedName>
    <definedName name="MonthList">'[18]Lookup Tables'!$A$1:$A$13</definedName>
    <definedName name="NewLob" localSheetId="4">[22]DropDownRanges!$B$4:$B$37</definedName>
    <definedName name="NewLob">[23]DropDownRanges!$B$4:$B$37</definedName>
    <definedName name="NewOnlyOrg">#N/A</definedName>
    <definedName name="NewSource" localSheetId="4">[22]DropDownRanges!$D$4:$D$7</definedName>
    <definedName name="NewSource">[23]DropDownRanges!$D$4:$D$7</definedName>
    <definedName name="nn" localSheetId="4">#REF!</definedName>
    <definedName name="nn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4">#REF!</definedName>
    <definedName name="p">#REF!</definedName>
    <definedName name="PAGE_1" localSheetId="4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4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osting" localSheetId="4">#REF!</definedName>
    <definedName name="Posting">#REF!</definedName>
    <definedName name="primtbl">[1]Orientation!$C$23</definedName>
    <definedName name="_xlnm.Print_Area" localSheetId="1">'DF Calculation'!$A$1:$T$115</definedName>
    <definedName name="_xlnm.Print_Area" localSheetId="2">Mapping!$A$1:$R$92</definedName>
    <definedName name="_xlnm.Print_Area" localSheetId="5">'Rate Sheet'!$A$1:$N$89,'Rate Sheet'!$P$20:$AC$57</definedName>
    <definedName name="_xlnm.Print_Area">#REF!</definedName>
    <definedName name="Print_Area_MI" localSheetId="4">#REF!</definedName>
    <definedName name="Print_Area_MI">#REF!</definedName>
    <definedName name="Print_Area_MIc" localSheetId="4">#REF!</definedName>
    <definedName name="Print_Area_MIc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1">'DF Calculation'!$1:$6</definedName>
    <definedName name="_xlnm.Print_Titles" localSheetId="4">'Grays Harbor Reg Price Out'!$B:$B,'Grays Harbor Reg Price Out'!$1:$5</definedName>
    <definedName name="_xlnm.Print_Titles" localSheetId="2">Mapping!$1:$1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4">'[8]Pacific Regulated - Price Out'!$M$49</definedName>
    <definedName name="ProRev">'[9]Pacific Regulated - Price Out'!$M$49</definedName>
    <definedName name="ProRev_com" localSheetId="4">'[8]Pacific Regulated - Price Out'!$M$213</definedName>
    <definedName name="ProRev_com">'[9]Pacific Regulated - Price Out'!$M$213</definedName>
    <definedName name="ProRev_mfr" localSheetId="4">'[8]Pacific Regulated - Price Out'!$M$221</definedName>
    <definedName name="ProRev_mfr">'[9]Pacific Regulated - Price Out'!$M$221</definedName>
    <definedName name="ProRev_ro" localSheetId="4">'[8]Pacific Regulated - Price Out'!$M$281</definedName>
    <definedName name="ProRev_ro">'[9]Pacific Regulated - Price Out'!$M$281</definedName>
    <definedName name="ProRev_rr" localSheetId="4">'[8]Pacific Regulated - Price Out'!$M$58</definedName>
    <definedName name="ProRev_rr">'[9]Pacific Regulated - Price Out'!$M$58</definedName>
    <definedName name="ProRev_yw" localSheetId="4">'[8]Pacific Regulated - Price Out'!$M$69</definedName>
    <definedName name="ProRev_yw">'[9]Pacific Regulated - Price Out'!$M$69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4">'[25]Consolidated IS 2009 2010'!$AK$20</definedName>
    <definedName name="Reg_Cust_Billed_Percent">'[26]Consolidated IS 2009 2010'!$AK$20</definedName>
    <definedName name="Reg_Cust_Percent" localSheetId="4">'[25]Consolidated IS 2009 2010'!$AC$20</definedName>
    <definedName name="Reg_Cust_Percent">'[26]Consolidated IS 2009 2010'!$AC$20</definedName>
    <definedName name="Reg_Drive_Percent" localSheetId="4">'[25]Consolidated IS 2009 2010'!$AC$40</definedName>
    <definedName name="Reg_Drive_Percent">'[26]Consolidated IS 2009 2010'!$AC$40</definedName>
    <definedName name="Reg_Haul_Rev_Percent" localSheetId="4">'[25]Consolidated IS 2009 2010'!$Z$18</definedName>
    <definedName name="Reg_Haul_Rev_Percent">'[26]Consolidated IS 2009 2010'!$Z$18</definedName>
    <definedName name="Reg_Lab_Percent" localSheetId="4">'[25]Consolidated IS 2009 2010'!$AC$39</definedName>
    <definedName name="Reg_Lab_Percent">'[26]Consolidated IS 2009 2010'!$AC$39</definedName>
    <definedName name="Reg_Steel_Cont_Percent" localSheetId="4">'[25]Consolidated IS 2009 2010'!$AE$120</definedName>
    <definedName name="Reg_Steel_Cont_Percent">'[26]Consolidated IS 2009 2010'!$AE$120</definedName>
    <definedName name="RegulatedIS" localSheetId="4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 localSheetId="4">[15]ControlPanel!$X$2:$X$8</definedName>
    <definedName name="ReportNames">[27]ControlPanel!$S$2:$S$16</definedName>
    <definedName name="ReportVersion">[1]Settings!$D$5</definedName>
    <definedName name="ReslStaffPriceOut" localSheetId="4">'[14]Price Out-Reg EASTSIDE-Resi'!#REF!</definedName>
    <definedName name="ReslStaffPriceOut">'[14]Price Out-Reg EASTSIDE-Resi'!#REF!</definedName>
    <definedName name="RetainedEarnings" localSheetId="4">#REF!</definedName>
    <definedName name="RetainedEarnings">#REF!</definedName>
    <definedName name="RevCust" localSheetId="4">[28]RevenuesCust!#REF!</definedName>
    <definedName name="RevCust">[29]RevenuesCust!#REF!</definedName>
    <definedName name="RevCustomer" localSheetId="4">#REF!</definedName>
    <definedName name="RevCustomer">#REF!</definedName>
    <definedName name="RevenuePF1" localSheetId="4">'[20]LG County Area'!$K$7</definedName>
    <definedName name="RevenuePF1">#REF!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 localSheetId="4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'[30]LG Nonpublic 2018 V5.0'!$X$58</definedName>
    <definedName name="sortcol" localSheetId="4">#REF!</definedName>
    <definedName name="sortcol">#REF!</definedName>
    <definedName name="Source" localSheetId="4">[22]DropDownRanges!$D$4:$D$7</definedName>
    <definedName name="Source">[23]DropDownRanges!$D$4:$D$7</definedName>
    <definedName name="SPWS_WBID">"115966228744984"</definedName>
    <definedName name="sSRCDate" localSheetId="4">'[31]Feb''12 FAR Data'!#REF!</definedName>
    <definedName name="sSRCDate">'[32]Feb''12 FAR Data'!#REF!</definedName>
    <definedName name="SubSystem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stem" localSheetId="4">[33]BS_Close!$V$8</definedName>
    <definedName name="System">[33]BS_Close!$V$8</definedName>
    <definedName name="Systems" localSheetId="4">#REF!</definedName>
    <definedName name="Systems">#REF!</definedName>
    <definedName name="Table_SIC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'[10]Tariff Rate Sheet'!$L$214</definedName>
    <definedName name="Total_Comm">'[11]Tariff Rate Sheet'!$L$214</definedName>
    <definedName name="Total_DB" localSheetId="4">'[10]Tariff Rate Sheet'!$L$278</definedName>
    <definedName name="Total_DB">'[11]Tariff Rate Sheet'!$L$278</definedName>
    <definedName name="Total_Resi" localSheetId="4">'[10]Tariff Rate Sheet'!$L$107</definedName>
    <definedName name="Total_Resi">'[11]Tariff Rate Sheet'!$L$107</definedName>
    <definedName name="TotalYards">'[13]Gross Yardage Worksheet'!$N$101</definedName>
    <definedName name="TOTCONT">'[21]Sorted Master'!$K$9</definedName>
    <definedName name="TOTCRECCONT">'[21]Sorted Master'!$Z$9</definedName>
    <definedName name="TOTCRECCUST">'[34]Master IS (C)'!#REF!</definedName>
    <definedName name="TOTCRECDH">'[34]Master IS (C)'!#REF!</definedName>
    <definedName name="TOTCRECREV">'[34]Master IS (C)'!#REF!</definedName>
    <definedName name="TOTCRECTDEP">'[34]Master IS (C)'!#REF!</definedName>
    <definedName name="TOTCRECTH">'[21]Sorted Master'!$Z$8</definedName>
    <definedName name="TOTCRECTV">'[34]Master IS (C)'!#REF!</definedName>
    <definedName name="TOTCUST">'[34]Master IS (C)'!#REF!</definedName>
    <definedName name="TOTDBCONT">'[34]Master IS (C)'!#REF!</definedName>
    <definedName name="TOTDBCUST">'[34]Master IS (C)'!#REF!</definedName>
    <definedName name="TOTDBDH">'[34]Master IS (C)'!#REF!</definedName>
    <definedName name="TOTDBREV">'[34]Master IS (C)'!#REF!</definedName>
    <definedName name="TOTDBTDEP">'[34]Master IS (C)'!#REF!</definedName>
    <definedName name="TOTDBTH">'[34]Master IS (C)'!#REF!</definedName>
    <definedName name="TOTDBTV">'[34]Master IS (C)'!#REF!</definedName>
    <definedName name="TOTDEBCONT">'[34]Master IS (C)'!#REF!</definedName>
    <definedName name="TOTDEBCUST">'[34]Master IS (C)'!#REF!</definedName>
    <definedName name="TOTDEBDH">'[34]Master IS (C)'!#REF!</definedName>
    <definedName name="TOTDEBREV">'[34]Master IS (C)'!#REF!</definedName>
    <definedName name="TOTDEBTH">'[21]Sorted Master'!$AD$8</definedName>
    <definedName name="TOTDH">'[34]Master IS (C)'!#REF!</definedName>
    <definedName name="TOTFELCONT">'[34]Master IS (C)'!#REF!</definedName>
    <definedName name="TOTFELCUST">'[34]Master IS (C)'!#REF!</definedName>
    <definedName name="TOTFELDH">'[34]Master IS (C)'!#REF!</definedName>
    <definedName name="TOTFELREV">'[34]Master IS (C)'!#REF!</definedName>
    <definedName name="TOTFELTDEP">'[34]Master IS (C)'!#REF!</definedName>
    <definedName name="TOTFELTH">'[34]Master IS (C)'!#REF!</definedName>
    <definedName name="TOTFELTV">'[34]Master IS (C)'!#REF!</definedName>
    <definedName name="TOTRESCONT">'[34]Master IS (C)'!#REF!</definedName>
    <definedName name="TOTRESCUST">'[34]Master IS (C)'!#REF!</definedName>
    <definedName name="TOTRESDH">'[34]Master IS (C)'!#REF!</definedName>
    <definedName name="TOTRESRCONT">'[34]Master IS (C)'!#REF!</definedName>
    <definedName name="TOTRESRCUST">'[34]Master IS (C)'!#REF!</definedName>
    <definedName name="TOTRESRDH">'[34]Master IS (C)'!#REF!</definedName>
    <definedName name="TOTRESREV">'[34]Master IS (C)'!#REF!</definedName>
    <definedName name="TOTRESRREV">'[34]Master IS (C)'!#REF!</definedName>
    <definedName name="TOTRESRTDEP">'[34]Master IS (C)'!#REF!</definedName>
    <definedName name="TOTRESRTH">'[34]Master IS (C)'!#REF!</definedName>
    <definedName name="TOTRESRTV">'[34]Master IS (C)'!#REF!</definedName>
    <definedName name="TOTRESTDEP">'[34]Master IS (C)'!#REF!</definedName>
    <definedName name="TOTRESTH">'[34]Master IS (C)'!#REF!</definedName>
    <definedName name="TOTRESTV">'[34]Master IS (C)'!#REF!</definedName>
    <definedName name="TOTREV">'[34]Master IS (C)'!#REF!</definedName>
    <definedName name="TOTTDEP">'[34]Master IS (C)'!#REF!</definedName>
    <definedName name="TOTTH">'[34]Master IS (C)'!#REF!</definedName>
    <definedName name="TOTTV">'[34]Master IS (C)'!#REF!</definedName>
    <definedName name="Transactions" localSheetId="4">#REF!</definedName>
    <definedName name="Transactions">#REF!</definedName>
    <definedName name="UnformattedIS">#REF!</definedName>
    <definedName name="UnregulatedIS" localSheetId="4">'[25]2010 IS'!$A$12:$Q$654</definedName>
    <definedName name="UnregulatedIS">'[26]2010 IS'!$A$12:$Q$654</definedName>
    <definedName name="ValidFormats">[3]Delivery!$AA$4:$AA$10</definedName>
    <definedName name="VendorCode" localSheetId="4">#REF!</definedName>
    <definedName name="VendorCode">#REF!</definedName>
    <definedName name="Version" localSheetId="4">[17]Data!#REF!</definedName>
    <definedName name="Version">[18]Data!#REF!</definedName>
    <definedName name="WksInYr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4">[6]Hidden!#REF!</definedName>
    <definedName name="xtabin">[7]Hidden!#REF!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>'[30]LG Nonpublic 2018 V5.0'!$W$55</definedName>
    <definedName name="y_inter2">'[30]LG Nonpublic 2018 V5.0'!$W$56</definedName>
    <definedName name="y_inter3">'[30]LG Nonpublic 2018 V5.0'!$Y$55</definedName>
    <definedName name="y_inter4">'[30]LG Nonpublic 2018 V5.0'!$Y$56</definedName>
    <definedName name="Year">'[35]Aug Av. Fuel Price'!$E$15</definedName>
    <definedName name="Year_of_Review">'[12]Title Inputs'!$C$3</definedName>
    <definedName name="YearMonth" localSheetId="4">#REF!</definedName>
    <definedName name="YearMonth">'[19]Vashon BS'!#REF!</definedName>
    <definedName name="YWMedWasteDisp">#N/A</definedName>
    <definedName name="yy" localSheetId="4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G111" i="7" l="1"/>
  <c r="K49" i="22"/>
  <c r="G49" i="22"/>
  <c r="K51" i="22"/>
  <c r="K54" i="22"/>
  <c r="K55" i="22"/>
  <c r="K58" i="22"/>
  <c r="K59" i="22"/>
  <c r="K62" i="22"/>
  <c r="K63" i="22"/>
  <c r="K66" i="22"/>
  <c r="K67" i="22"/>
  <c r="K70" i="22"/>
  <c r="K71" i="22"/>
  <c r="K74" i="22"/>
  <c r="K75" i="22"/>
  <c r="K50" i="22"/>
  <c r="G50" i="22"/>
  <c r="G51" i="22"/>
  <c r="G54" i="22"/>
  <c r="G55" i="22"/>
  <c r="G58" i="22"/>
  <c r="G59" i="22"/>
  <c r="G62" i="22"/>
  <c r="G63" i="22"/>
  <c r="G66" i="22"/>
  <c r="G67" i="22"/>
  <c r="G70" i="22"/>
  <c r="G71" i="22"/>
  <c r="G74" i="22"/>
  <c r="G75" i="22"/>
  <c r="I49" i="22"/>
  <c r="I50" i="22"/>
  <c r="I51" i="22"/>
  <c r="I54" i="22"/>
  <c r="I55" i="22"/>
  <c r="I58" i="22"/>
  <c r="I59" i="22"/>
  <c r="I62" i="22"/>
  <c r="I63" i="22"/>
  <c r="I66" i="22"/>
  <c r="I67" i="22"/>
  <c r="I70" i="22"/>
  <c r="I71" i="22"/>
  <c r="I74" i="22"/>
  <c r="I75" i="22"/>
  <c r="C84" i="22"/>
  <c r="C85" i="22"/>
  <c r="C86" i="22"/>
  <c r="M52" i="17" l="1"/>
  <c r="M92" i="17" l="1"/>
  <c r="S9" i="17" l="1"/>
  <c r="Q9" i="17"/>
  <c r="S8" i="17"/>
  <c r="Q8" i="17"/>
  <c r="R9" i="17"/>
  <c r="R8" i="17"/>
  <c r="T53" i="22" l="1"/>
  <c r="T54" i="22"/>
  <c r="T55" i="22"/>
  <c r="T56" i="22"/>
  <c r="T52" i="22"/>
  <c r="H49" i="22" l="1"/>
  <c r="D49" i="22"/>
  <c r="D48" i="22" l="1"/>
  <c r="H48" i="22"/>
  <c r="F103" i="7"/>
  <c r="H103" i="7" s="1"/>
  <c r="H75" i="22"/>
  <c r="D75" i="22"/>
  <c r="H74" i="22"/>
  <c r="D74" i="22"/>
  <c r="D71" i="22"/>
  <c r="H71" i="22"/>
  <c r="H70" i="22"/>
  <c r="D70" i="22"/>
  <c r="D67" i="22"/>
  <c r="H67" i="22"/>
  <c r="H66" i="22"/>
  <c r="D66" i="22"/>
  <c r="D63" i="22"/>
  <c r="H63" i="22"/>
  <c r="H62" i="22"/>
  <c r="D62" i="22"/>
  <c r="D59" i="22"/>
  <c r="H59" i="22"/>
  <c r="H58" i="22"/>
  <c r="D58" i="22"/>
  <c r="H55" i="22"/>
  <c r="H54" i="22"/>
  <c r="D55" i="22"/>
  <c r="D54" i="22"/>
  <c r="G96" i="7"/>
  <c r="G95" i="7"/>
  <c r="G94" i="7"/>
  <c r="H51" i="22" l="1"/>
  <c r="H50" i="22"/>
  <c r="D51" i="22"/>
  <c r="D50" i="22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F110" i="7"/>
  <c r="G110" i="7"/>
  <c r="H110" i="7"/>
  <c r="G33" i="7" l="1"/>
  <c r="D84" i="22" l="1"/>
  <c r="H84" i="22"/>
  <c r="D85" i="22"/>
  <c r="H85" i="22"/>
  <c r="D86" i="22"/>
  <c r="H86" i="22"/>
  <c r="G109" i="7"/>
  <c r="G108" i="7"/>
  <c r="F108" i="7"/>
  <c r="F109" i="7"/>
  <c r="F111" i="7"/>
  <c r="D80" i="22"/>
  <c r="H80" i="22"/>
  <c r="D88" i="22"/>
  <c r="H88" i="22"/>
  <c r="D89" i="22"/>
  <c r="H89" i="22"/>
  <c r="C88" i="22"/>
  <c r="C89" i="22"/>
  <c r="G113" i="7"/>
  <c r="G112" i="7"/>
  <c r="F112" i="7"/>
  <c r="F113" i="7"/>
  <c r="G99" i="7"/>
  <c r="G100" i="7"/>
  <c r="G101" i="7"/>
  <c r="G98" i="7"/>
  <c r="K72" i="17"/>
  <c r="K60" i="17"/>
  <c r="K56" i="17"/>
  <c r="J31" i="17"/>
  <c r="H113" i="7" l="1"/>
  <c r="H112" i="7"/>
  <c r="H109" i="7"/>
  <c r="H111" i="7"/>
  <c r="H108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43" i="22"/>
  <c r="D37" i="22"/>
  <c r="D2" i="22"/>
  <c r="D38" i="22"/>
  <c r="D40" i="22"/>
  <c r="D15" i="22"/>
  <c r="D11" i="22"/>
  <c r="D16" i="22"/>
  <c r="D41" i="22"/>
  <c r="D44" i="22"/>
  <c r="D45" i="22"/>
  <c r="D46" i="22"/>
  <c r="D47" i="22"/>
  <c r="D39" i="22"/>
  <c r="D52" i="22"/>
  <c r="D56" i="22"/>
  <c r="D60" i="22"/>
  <c r="D79" i="22"/>
  <c r="D82" i="22"/>
  <c r="D83" i="22"/>
  <c r="D81" i="22"/>
  <c r="D87" i="22"/>
  <c r="D42" i="22"/>
  <c r="D53" i="22"/>
  <c r="D57" i="22"/>
  <c r="D61" i="22"/>
  <c r="D65" i="22"/>
  <c r="D69" i="22"/>
  <c r="D73" i="22"/>
  <c r="D77" i="22"/>
  <c r="D64" i="22"/>
  <c r="D68" i="22"/>
  <c r="D72" i="22"/>
  <c r="D76" i="22"/>
  <c r="D78" i="22"/>
  <c r="H4" i="22"/>
  <c r="H5" i="22"/>
  <c r="H6" i="22"/>
  <c r="H7" i="22"/>
  <c r="H8" i="22"/>
  <c r="H9" i="22"/>
  <c r="H10" i="22"/>
  <c r="H12" i="22"/>
  <c r="H13" i="22"/>
  <c r="H14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43" i="22"/>
  <c r="H37" i="22"/>
  <c r="H2" i="22"/>
  <c r="H38" i="22"/>
  <c r="H40" i="22"/>
  <c r="H15" i="22"/>
  <c r="H11" i="22"/>
  <c r="H16" i="22"/>
  <c r="H41" i="22"/>
  <c r="H44" i="22"/>
  <c r="H45" i="22"/>
  <c r="H46" i="22"/>
  <c r="H47" i="22"/>
  <c r="H39" i="22"/>
  <c r="H52" i="22"/>
  <c r="H56" i="22"/>
  <c r="H60" i="22"/>
  <c r="H79" i="22"/>
  <c r="H82" i="22"/>
  <c r="H83" i="22"/>
  <c r="H81" i="22"/>
  <c r="H87" i="22"/>
  <c r="H42" i="22"/>
  <c r="H53" i="22"/>
  <c r="H57" i="22"/>
  <c r="H61" i="22"/>
  <c r="H65" i="22"/>
  <c r="H69" i="22"/>
  <c r="H73" i="22"/>
  <c r="H77" i="22"/>
  <c r="H64" i="22"/>
  <c r="H68" i="22"/>
  <c r="H72" i="22"/>
  <c r="H76" i="22"/>
  <c r="H78" i="22"/>
  <c r="K69" i="17"/>
  <c r="L69" i="17"/>
  <c r="J69" i="17"/>
  <c r="H69" i="17"/>
  <c r="M69" i="17" l="1"/>
  <c r="G114" i="7" l="1"/>
  <c r="G107" i="7"/>
  <c r="G106" i="7"/>
  <c r="G105" i="7"/>
  <c r="G104" i="7"/>
  <c r="G97" i="7"/>
  <c r="F105" i="7"/>
  <c r="F106" i="7"/>
  <c r="H106" i="7" s="1"/>
  <c r="F107" i="7"/>
  <c r="F114" i="7"/>
  <c r="F104" i="7"/>
  <c r="F98" i="7"/>
  <c r="F99" i="7"/>
  <c r="H99" i="7" s="1"/>
  <c r="F100" i="7"/>
  <c r="H100" i="7" s="1"/>
  <c r="F101" i="7"/>
  <c r="H101" i="7" s="1"/>
  <c r="F97" i="7"/>
  <c r="F95" i="7"/>
  <c r="F96" i="7"/>
  <c r="F94" i="7"/>
  <c r="H107" i="7" l="1"/>
  <c r="H97" i="7"/>
  <c r="H95" i="7"/>
  <c r="H105" i="7"/>
  <c r="H96" i="7"/>
  <c r="H114" i="7"/>
  <c r="H98" i="7"/>
  <c r="H81" i="17"/>
  <c r="H3" i="22" l="1"/>
  <c r="D3" i="22"/>
  <c r="J82" i="17" l="1"/>
  <c r="K81" i="17" l="1"/>
  <c r="J48" i="17"/>
  <c r="J49" i="17"/>
  <c r="J50" i="17"/>
  <c r="J47" i="17"/>
  <c r="J46" i="17"/>
  <c r="L44" i="17" l="1"/>
  <c r="M44" i="17" s="1"/>
  <c r="K44" i="17"/>
  <c r="J44" i="17"/>
  <c r="J43" i="17"/>
  <c r="H44" i="17"/>
  <c r="L43" i="17"/>
  <c r="K43" i="17"/>
  <c r="K42" i="17"/>
  <c r="L82" i="17"/>
  <c r="L83" i="17"/>
  <c r="L84" i="17"/>
  <c r="L85" i="17"/>
  <c r="L86" i="17"/>
  <c r="L81" i="17"/>
  <c r="M81" i="17" s="1"/>
  <c r="F47" i="7" s="1"/>
  <c r="K41" i="17"/>
  <c r="K40" i="17"/>
  <c r="J41" i="17"/>
  <c r="J40" i="17"/>
  <c r="L36" i="17"/>
  <c r="L37" i="17"/>
  <c r="L38" i="17"/>
  <c r="L39" i="17"/>
  <c r="L40" i="17"/>
  <c r="L41" i="17"/>
  <c r="L42" i="17"/>
  <c r="L45" i="17"/>
  <c r="L46" i="17"/>
  <c r="L47" i="17"/>
  <c r="L48" i="17"/>
  <c r="L49" i="17"/>
  <c r="L50" i="17"/>
  <c r="M42" i="17" l="1"/>
  <c r="M43" i="17"/>
  <c r="M41" i="17"/>
  <c r="Q47" i="7"/>
  <c r="G47" i="7"/>
  <c r="H47" i="7" s="1"/>
  <c r="G44" i="7"/>
  <c r="D7" i="7"/>
  <c r="M40" i="17"/>
  <c r="F44" i="7" s="1"/>
  <c r="Q44" i="7" l="1"/>
  <c r="H44" i="7"/>
  <c r="J89" i="7"/>
  <c r="O5" i="24" l="1"/>
  <c r="Q5" i="24"/>
  <c r="S5" i="24" s="1"/>
  <c r="R5" i="24"/>
  <c r="T5" i="24"/>
  <c r="U5" i="24"/>
  <c r="X5" i="24"/>
  <c r="Z5" i="24" s="1"/>
  <c r="Y5" i="24"/>
  <c r="AA5" i="24"/>
  <c r="AB5" i="24" s="1"/>
  <c r="O6" i="24"/>
  <c r="Q6" i="24"/>
  <c r="R6" i="24"/>
  <c r="S6" i="24"/>
  <c r="X6" i="24"/>
  <c r="Z6" i="24" s="1"/>
  <c r="AB6" i="24" s="1"/>
  <c r="Y6" i="24"/>
  <c r="O8" i="24"/>
  <c r="Q8" i="24"/>
  <c r="R8" i="24"/>
  <c r="S8" i="24"/>
  <c r="T8" i="24"/>
  <c r="U8" i="24"/>
  <c r="X8" i="24"/>
  <c r="Y8" i="24"/>
  <c r="Z8" i="24" s="1"/>
  <c r="AA8" i="24"/>
  <c r="O9" i="24"/>
  <c r="Q9" i="24"/>
  <c r="S9" i="24" s="1"/>
  <c r="R9" i="24"/>
  <c r="X9" i="24"/>
  <c r="Y9" i="24"/>
  <c r="Z9" i="24"/>
  <c r="AB9" i="24"/>
  <c r="O11" i="24"/>
  <c r="Q11" i="24"/>
  <c r="S11" i="24" s="1"/>
  <c r="R11" i="24"/>
  <c r="T11" i="24"/>
  <c r="U11" i="24"/>
  <c r="X11" i="24"/>
  <c r="Z11" i="24" s="1"/>
  <c r="Y11" i="24"/>
  <c r="AA11" i="24"/>
  <c r="AB11" i="24" s="1"/>
  <c r="O12" i="24"/>
  <c r="Q12" i="24"/>
  <c r="R12" i="24"/>
  <c r="S12" i="24"/>
  <c r="X12" i="24"/>
  <c r="Z12" i="24" s="1"/>
  <c r="AB12" i="24" s="1"/>
  <c r="Y12" i="24"/>
  <c r="O14" i="24"/>
  <c r="Q14" i="24"/>
  <c r="R14" i="24"/>
  <c r="S14" i="24"/>
  <c r="T14" i="24"/>
  <c r="U14" i="24"/>
  <c r="X14" i="24"/>
  <c r="Y14" i="24"/>
  <c r="Z14" i="24"/>
  <c r="AA14" i="24"/>
  <c r="AB14" i="24" s="1"/>
  <c r="O15" i="24"/>
  <c r="Q15" i="24"/>
  <c r="S15" i="24" s="1"/>
  <c r="R15" i="24"/>
  <c r="X15" i="24"/>
  <c r="Y15" i="24"/>
  <c r="Z15" i="24"/>
  <c r="AB15" i="24"/>
  <c r="O17" i="24"/>
  <c r="Q17" i="24"/>
  <c r="S17" i="24" s="1"/>
  <c r="R17" i="24"/>
  <c r="T17" i="24"/>
  <c r="U17" i="24"/>
  <c r="X17" i="24"/>
  <c r="Z17" i="24" s="1"/>
  <c r="Y17" i="24"/>
  <c r="AA17" i="24"/>
  <c r="AB17" i="24" s="1"/>
  <c r="O18" i="24"/>
  <c r="Q18" i="24"/>
  <c r="R18" i="24"/>
  <c r="S18" i="24"/>
  <c r="X18" i="24"/>
  <c r="Z18" i="24" s="1"/>
  <c r="AB18" i="24" s="1"/>
  <c r="Y18" i="24"/>
  <c r="E20" i="24"/>
  <c r="O20" i="24"/>
  <c r="Q20" i="24"/>
  <c r="S20" i="24" s="1"/>
  <c r="R20" i="24"/>
  <c r="T20" i="24"/>
  <c r="U20" i="24"/>
  <c r="X20" i="24"/>
  <c r="Y20" i="24"/>
  <c r="Z20" i="24"/>
  <c r="AA20" i="24"/>
  <c r="AB20" i="24" s="1"/>
  <c r="O21" i="24"/>
  <c r="Q21" i="24"/>
  <c r="S21" i="24" s="1"/>
  <c r="R21" i="24"/>
  <c r="X21" i="24"/>
  <c r="Y21" i="24"/>
  <c r="Z21" i="24"/>
  <c r="AB21" i="24" s="1"/>
  <c r="O23" i="24"/>
  <c r="Q23" i="24"/>
  <c r="S23" i="24" s="1"/>
  <c r="V23" i="24" s="1"/>
  <c r="R23" i="24"/>
  <c r="T23" i="24"/>
  <c r="U23" i="24"/>
  <c r="X23" i="24"/>
  <c r="Z23" i="24" s="1"/>
  <c r="Y23" i="24"/>
  <c r="AA23" i="24"/>
  <c r="O24" i="24"/>
  <c r="Q24" i="24"/>
  <c r="S24" i="24" s="1"/>
  <c r="R24" i="24"/>
  <c r="X24" i="24"/>
  <c r="Z24" i="24" s="1"/>
  <c r="AB24" i="24" s="1"/>
  <c r="Y24" i="24"/>
  <c r="O26" i="24"/>
  <c r="Q26" i="24"/>
  <c r="S26" i="24" s="1"/>
  <c r="R26" i="24"/>
  <c r="T26" i="24"/>
  <c r="U26" i="24"/>
  <c r="V26" i="24" s="1"/>
  <c r="X26" i="24"/>
  <c r="Y26" i="24"/>
  <c r="Z26" i="24"/>
  <c r="AA26" i="24"/>
  <c r="AB26" i="24" s="1"/>
  <c r="O27" i="24"/>
  <c r="Q27" i="24"/>
  <c r="S27" i="24" s="1"/>
  <c r="R27" i="24"/>
  <c r="X27" i="24"/>
  <c r="Y27" i="24"/>
  <c r="Z27" i="24"/>
  <c r="AB27" i="24" s="1"/>
  <c r="E29" i="24"/>
  <c r="F29" i="24"/>
  <c r="G29" i="24"/>
  <c r="H29" i="24"/>
  <c r="I29" i="24"/>
  <c r="J29" i="24"/>
  <c r="J42" i="24" s="1"/>
  <c r="K29" i="24"/>
  <c r="K42" i="24" s="1"/>
  <c r="L29" i="24"/>
  <c r="N29" i="24"/>
  <c r="R29" i="24"/>
  <c r="T29" i="24"/>
  <c r="U29" i="24"/>
  <c r="X29" i="24"/>
  <c r="Z29" i="24" s="1"/>
  <c r="Y29" i="24"/>
  <c r="AA29" i="24"/>
  <c r="E30" i="24"/>
  <c r="F30" i="24"/>
  <c r="F43" i="24" s="1"/>
  <c r="G30" i="24"/>
  <c r="H30" i="24"/>
  <c r="I30" i="24"/>
  <c r="J30" i="24"/>
  <c r="J43" i="24" s="1"/>
  <c r="K30" i="24"/>
  <c r="K43" i="24" s="1"/>
  <c r="L30" i="24"/>
  <c r="L43" i="24" s="1"/>
  <c r="N30" i="24"/>
  <c r="N43" i="24" s="1"/>
  <c r="R30" i="24"/>
  <c r="X30" i="24"/>
  <c r="Y30" i="24"/>
  <c r="Z30" i="24"/>
  <c r="AB30" i="24"/>
  <c r="O32" i="24"/>
  <c r="Q32" i="24"/>
  <c r="S32" i="24" s="1"/>
  <c r="R32" i="24"/>
  <c r="T32" i="24"/>
  <c r="U32" i="24"/>
  <c r="X32" i="24"/>
  <c r="Z32" i="24" s="1"/>
  <c r="Y32" i="24"/>
  <c r="AA32" i="24"/>
  <c r="AB32" i="24" s="1"/>
  <c r="O33" i="24"/>
  <c r="Q33" i="24"/>
  <c r="R33" i="24"/>
  <c r="S33" i="24"/>
  <c r="X33" i="24"/>
  <c r="Z33" i="24" s="1"/>
  <c r="AB33" i="24" s="1"/>
  <c r="Y33" i="24"/>
  <c r="O35" i="24"/>
  <c r="Q35" i="24"/>
  <c r="R35" i="24"/>
  <c r="S35" i="24"/>
  <c r="T35" i="24"/>
  <c r="U35" i="24"/>
  <c r="X35" i="24"/>
  <c r="Y35" i="24"/>
  <c r="Z35" i="24"/>
  <c r="AA35" i="24"/>
  <c r="O36" i="24"/>
  <c r="Q36" i="24"/>
  <c r="S36" i="24" s="1"/>
  <c r="R36" i="24"/>
  <c r="X36" i="24"/>
  <c r="Y36" i="24"/>
  <c r="Z36" i="24" s="1"/>
  <c r="O38" i="24"/>
  <c r="Q38" i="24"/>
  <c r="S38" i="24" s="1"/>
  <c r="R38" i="24"/>
  <c r="T38" i="24"/>
  <c r="U38" i="24"/>
  <c r="X38" i="24"/>
  <c r="Z38" i="24" s="1"/>
  <c r="Y38" i="24"/>
  <c r="AA38" i="24"/>
  <c r="O39" i="24"/>
  <c r="Q39" i="24"/>
  <c r="R39" i="24"/>
  <c r="S39" i="24"/>
  <c r="X39" i="24"/>
  <c r="Z39" i="24" s="1"/>
  <c r="AB39" i="24" s="1"/>
  <c r="Y39" i="24"/>
  <c r="E42" i="24"/>
  <c r="F42" i="24"/>
  <c r="G42" i="24"/>
  <c r="G44" i="24" s="1"/>
  <c r="H42" i="24"/>
  <c r="I42" i="24"/>
  <c r="L42" i="24"/>
  <c r="M42" i="24"/>
  <c r="N42" i="24"/>
  <c r="N44" i="24" s="1"/>
  <c r="R42" i="24"/>
  <c r="U42" i="24"/>
  <c r="AA42" i="24"/>
  <c r="G43" i="24"/>
  <c r="H43" i="24"/>
  <c r="I43" i="24"/>
  <c r="M43" i="24"/>
  <c r="R43" i="24"/>
  <c r="X43" i="24"/>
  <c r="Z43" i="24" s="1"/>
  <c r="AB43" i="24" s="1"/>
  <c r="M44" i="24"/>
  <c r="V38" i="24" l="1"/>
  <c r="L44" i="24"/>
  <c r="AB8" i="24"/>
  <c r="T42" i="24"/>
  <c r="V8" i="24"/>
  <c r="V5" i="24"/>
  <c r="AB29" i="24"/>
  <c r="V17" i="24"/>
  <c r="V14" i="24"/>
  <c r="V11" i="24"/>
  <c r="J44" i="24"/>
  <c r="K44" i="24"/>
  <c r="I44" i="24"/>
  <c r="F44" i="24"/>
  <c r="Q29" i="24"/>
  <c r="S29" i="24" s="1"/>
  <c r="Q30" i="24"/>
  <c r="S30" i="24" s="1"/>
  <c r="Z42" i="24"/>
  <c r="AB42" i="24" s="1"/>
  <c r="Q42" i="24"/>
  <c r="S42" i="24" s="1"/>
  <c r="V20" i="24"/>
  <c r="AB38" i="24"/>
  <c r="AB36" i="24"/>
  <c r="AB35" i="24"/>
  <c r="V32" i="24"/>
  <c r="AB23" i="24"/>
  <c r="V35" i="24"/>
  <c r="H44" i="24"/>
  <c r="O30" i="24"/>
  <c r="O43" i="24" s="1"/>
  <c r="X42" i="24"/>
  <c r="O29" i="24"/>
  <c r="O42" i="24" s="1"/>
  <c r="O44" i="24" s="1"/>
  <c r="M45" i="24" s="1"/>
  <c r="E43" i="24"/>
  <c r="V29" i="24" l="1"/>
  <c r="E44" i="24"/>
  <c r="Q43" i="24"/>
  <c r="S43" i="24" s="1"/>
  <c r="V42" i="24" s="1"/>
  <c r="V43" i="24" s="1"/>
  <c r="F45" i="24"/>
  <c r="G45" i="24"/>
  <c r="O45" i="24"/>
  <c r="J45" i="24"/>
  <c r="H45" i="24"/>
  <c r="F49" i="24"/>
  <c r="K45" i="24"/>
  <c r="L45" i="24"/>
  <c r="I45" i="24"/>
  <c r="N45" i="24"/>
  <c r="D84" i="7" l="1"/>
  <c r="F50" i="24"/>
  <c r="E45" i="24"/>
  <c r="F51" i="24" l="1"/>
  <c r="H49" i="24" s="1"/>
  <c r="H50" i="24" l="1"/>
  <c r="V85" i="7" l="1"/>
  <c r="V84" i="7"/>
  <c r="V83" i="7"/>
  <c r="C62" i="4" l="1"/>
  <c r="J42" i="17" l="1"/>
  <c r="G39" i="7" l="1"/>
  <c r="G7" i="7"/>
  <c r="J84" i="17"/>
  <c r="G46" i="7" s="1"/>
  <c r="J83" i="17"/>
  <c r="J66" i="17" l="1"/>
  <c r="J67" i="17"/>
  <c r="J65" i="17"/>
  <c r="J45" i="17"/>
  <c r="J91" i="17" l="1"/>
  <c r="G71" i="7" s="1"/>
  <c r="J90" i="17"/>
  <c r="G68" i="7" s="1"/>
  <c r="J89" i="17"/>
  <c r="G65" i="7" s="1"/>
  <c r="J88" i="17"/>
  <c r="G62" i="7" s="1"/>
  <c r="J87" i="17"/>
  <c r="G59" i="7" s="1"/>
  <c r="J86" i="17"/>
  <c r="G55" i="7" s="1"/>
  <c r="J85" i="17"/>
  <c r="G51" i="7" s="1"/>
  <c r="G72" i="7"/>
  <c r="G75" i="7"/>
  <c r="G76" i="7"/>
  <c r="G43" i="7"/>
  <c r="G40" i="7"/>
  <c r="G41" i="7"/>
  <c r="G42" i="7"/>
  <c r="K82" i="17"/>
  <c r="M82" i="17" s="1"/>
  <c r="K84" i="17"/>
  <c r="M84" i="17" s="1"/>
  <c r="F46" i="7" s="1"/>
  <c r="K83" i="17"/>
  <c r="M83" i="17" s="1"/>
  <c r="K85" i="17"/>
  <c r="M85" i="17" s="1"/>
  <c r="F51" i="7" s="1"/>
  <c r="K86" i="17"/>
  <c r="M86" i="17" s="1"/>
  <c r="F55" i="7" s="1"/>
  <c r="K87" i="17"/>
  <c r="K88" i="17"/>
  <c r="K89" i="17"/>
  <c r="K90" i="17"/>
  <c r="K91" i="17"/>
  <c r="H46" i="7" l="1"/>
  <c r="H55" i="7"/>
  <c r="H51" i="7"/>
  <c r="Q46" i="7"/>
  <c r="Q51" i="7"/>
  <c r="Q55" i="7"/>
  <c r="K46" i="17"/>
  <c r="K47" i="17"/>
  <c r="K48" i="17"/>
  <c r="K49" i="17"/>
  <c r="K50" i="17"/>
  <c r="K45" i="17"/>
  <c r="M50" i="17" l="1"/>
  <c r="M48" i="17"/>
  <c r="F42" i="7" s="1"/>
  <c r="F41" i="7"/>
  <c r="M46" i="17"/>
  <c r="M49" i="17"/>
  <c r="M47" i="17"/>
  <c r="F40" i="7"/>
  <c r="M45" i="17"/>
  <c r="Q40" i="7" l="1"/>
  <c r="H41" i="7"/>
  <c r="Q41" i="7"/>
  <c r="H42" i="7"/>
  <c r="Q42" i="7"/>
  <c r="H40" i="7"/>
  <c r="J13" i="17"/>
  <c r="G18" i="7" s="1"/>
  <c r="J12" i="17"/>
  <c r="G17" i="7" s="1"/>
  <c r="J10" i="17"/>
  <c r="G15" i="7" s="1"/>
  <c r="J9" i="17"/>
  <c r="G14" i="7" s="1"/>
  <c r="J8" i="17"/>
  <c r="G13" i="7" s="1"/>
  <c r="K30" i="17"/>
  <c r="K13" i="17"/>
  <c r="K12" i="17"/>
  <c r="K10" i="17"/>
  <c r="K9" i="17"/>
  <c r="K8" i="17"/>
  <c r="L87" i="17" l="1"/>
  <c r="L88" i="17"/>
  <c r="L89" i="17"/>
  <c r="L90" i="17"/>
  <c r="L9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70" i="17"/>
  <c r="L71" i="17"/>
  <c r="L72" i="17"/>
  <c r="L73" i="17"/>
  <c r="L74" i="17"/>
  <c r="L75" i="17"/>
  <c r="L76" i="17"/>
  <c r="L77" i="17"/>
  <c r="L78" i="17"/>
  <c r="L79" i="17"/>
  <c r="L80" i="17"/>
  <c r="L51" i="17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2" i="17"/>
  <c r="F60" i="7" l="1"/>
  <c r="F69" i="7"/>
  <c r="F63" i="7"/>
  <c r="F56" i="7"/>
  <c r="F66" i="7"/>
  <c r="F52" i="7"/>
  <c r="F48" i="7"/>
  <c r="Q3" i="17"/>
  <c r="R3" i="17" s="1"/>
  <c r="F75" i="7"/>
  <c r="H75" i="7" s="1"/>
  <c r="F76" i="7"/>
  <c r="H76" i="7" s="1"/>
  <c r="M87" i="17"/>
  <c r="F59" i="7" s="1"/>
  <c r="H59" i="7" s="1"/>
  <c r="M88" i="17"/>
  <c r="F62" i="7" s="1"/>
  <c r="H62" i="7" s="1"/>
  <c r="M89" i="17"/>
  <c r="F65" i="7" s="1"/>
  <c r="H65" i="7" s="1"/>
  <c r="M90" i="17"/>
  <c r="F68" i="7" s="1"/>
  <c r="H68" i="7" s="1"/>
  <c r="M91" i="17"/>
  <c r="F71" i="7" s="1"/>
  <c r="H71" i="7" s="1"/>
  <c r="K62" i="17"/>
  <c r="K58" i="17"/>
  <c r="K53" i="17"/>
  <c r="K79" i="17"/>
  <c r="K80" i="17"/>
  <c r="K78" i="17"/>
  <c r="K77" i="17"/>
  <c r="K76" i="17"/>
  <c r="K75" i="17"/>
  <c r="K74" i="17"/>
  <c r="K73" i="17"/>
  <c r="K71" i="17"/>
  <c r="K70" i="17"/>
  <c r="K68" i="17"/>
  <c r="H75" i="17"/>
  <c r="H76" i="17"/>
  <c r="H77" i="17"/>
  <c r="H78" i="17"/>
  <c r="H79" i="17"/>
  <c r="H80" i="17"/>
  <c r="H82" i="17"/>
  <c r="H83" i="17"/>
  <c r="H84" i="17"/>
  <c r="D46" i="7" s="1"/>
  <c r="C42" i="22" s="1"/>
  <c r="H85" i="17"/>
  <c r="C53" i="22" s="1"/>
  <c r="H86" i="17"/>
  <c r="C57" i="22" s="1"/>
  <c r="H87" i="17"/>
  <c r="C61" i="22" s="1"/>
  <c r="H88" i="17"/>
  <c r="C65" i="22" s="1"/>
  <c r="H89" i="17"/>
  <c r="C69" i="22" s="1"/>
  <c r="H90" i="17"/>
  <c r="C73" i="22" s="1"/>
  <c r="H91" i="17"/>
  <c r="C77" i="22" s="1"/>
  <c r="K66" i="17"/>
  <c r="K67" i="17"/>
  <c r="K65" i="17"/>
  <c r="K64" i="17"/>
  <c r="K63" i="17"/>
  <c r="K61" i="17"/>
  <c r="K59" i="17"/>
  <c r="K57" i="17"/>
  <c r="K55" i="17"/>
  <c r="K54" i="17"/>
  <c r="K52" i="17"/>
  <c r="K51" i="17"/>
  <c r="J79" i="17"/>
  <c r="J80" i="17"/>
  <c r="J78" i="17"/>
  <c r="G74" i="7" s="1"/>
  <c r="J77" i="17"/>
  <c r="J76" i="17"/>
  <c r="J75" i="17"/>
  <c r="J74" i="17"/>
  <c r="G73" i="7" s="1"/>
  <c r="J72" i="17"/>
  <c r="J73" i="17"/>
  <c r="J71" i="17"/>
  <c r="J70" i="17"/>
  <c r="J68" i="17"/>
  <c r="J64" i="17"/>
  <c r="J63" i="17"/>
  <c r="J60" i="17"/>
  <c r="J61" i="17"/>
  <c r="J62" i="17"/>
  <c r="G58" i="7" s="1"/>
  <c r="J59" i="17"/>
  <c r="J55" i="17"/>
  <c r="J56" i="17"/>
  <c r="J57" i="17"/>
  <c r="J58" i="17"/>
  <c r="G54" i="7" s="1"/>
  <c r="J54" i="17"/>
  <c r="J52" i="17"/>
  <c r="J53" i="17"/>
  <c r="G50" i="7" s="1"/>
  <c r="J51" i="17"/>
  <c r="G49" i="7" s="1"/>
  <c r="C87" i="22" l="1"/>
  <c r="Q59" i="7"/>
  <c r="Q62" i="7"/>
  <c r="C81" i="22"/>
  <c r="C83" i="22"/>
  <c r="Q71" i="7"/>
  <c r="Q68" i="7"/>
  <c r="Q65" i="7"/>
  <c r="G56" i="7"/>
  <c r="H56" i="7" s="1"/>
  <c r="G57" i="7"/>
  <c r="Q76" i="7"/>
  <c r="G70" i="7"/>
  <c r="G69" i="7"/>
  <c r="H69" i="7" s="1"/>
  <c r="G52" i="7"/>
  <c r="H52" i="7" s="1"/>
  <c r="G53" i="7"/>
  <c r="G63" i="7"/>
  <c r="H63" i="7" s="1"/>
  <c r="G64" i="7"/>
  <c r="G67" i="7"/>
  <c r="G66" i="7"/>
  <c r="H66" i="7" s="1"/>
  <c r="Q75" i="7"/>
  <c r="G60" i="7"/>
  <c r="H60" i="7" s="1"/>
  <c r="G61" i="7"/>
  <c r="M60" i="17"/>
  <c r="M68" i="17"/>
  <c r="M77" i="17"/>
  <c r="M62" i="17"/>
  <c r="F58" i="7" s="1"/>
  <c r="H58" i="7" s="1"/>
  <c r="M79" i="17"/>
  <c r="M64" i="17"/>
  <c r="M51" i="17"/>
  <c r="M80" i="17"/>
  <c r="M78" i="17"/>
  <c r="M74" i="17"/>
  <c r="M71" i="17"/>
  <c r="M58" i="17"/>
  <c r="F54" i="7" s="1"/>
  <c r="H54" i="7" s="1"/>
  <c r="M56" i="17"/>
  <c r="M53" i="17"/>
  <c r="F50" i="7" s="1"/>
  <c r="H50" i="7" s="1"/>
  <c r="M73" i="17"/>
  <c r="M67" i="17"/>
  <c r="M57" i="17"/>
  <c r="M55" i="17"/>
  <c r="M76" i="17"/>
  <c r="M75" i="17"/>
  <c r="M72" i="17"/>
  <c r="M70" i="17"/>
  <c r="M66" i="17"/>
  <c r="M65" i="17"/>
  <c r="M63" i="17"/>
  <c r="M61" i="17"/>
  <c r="M59" i="17"/>
  <c r="M54" i="17"/>
  <c r="F53" i="7" l="1"/>
  <c r="H53" i="7" s="1"/>
  <c r="F70" i="7"/>
  <c r="H70" i="7" s="1"/>
  <c r="F61" i="7"/>
  <c r="H61" i="7" s="1"/>
  <c r="F57" i="7"/>
  <c r="H57" i="7" s="1"/>
  <c r="F64" i="7"/>
  <c r="H64" i="7" s="1"/>
  <c r="F67" i="7"/>
  <c r="H67" i="7" s="1"/>
  <c r="F49" i="7"/>
  <c r="F73" i="7"/>
  <c r="F72" i="7"/>
  <c r="Q50" i="7"/>
  <c r="Q58" i="7"/>
  <c r="Q54" i="7"/>
  <c r="F74" i="7"/>
  <c r="H74" i="7" s="1"/>
  <c r="H40" i="17"/>
  <c r="D44" i="7" s="1"/>
  <c r="H41" i="17"/>
  <c r="D43" i="7" s="1"/>
  <c r="C43" i="22" s="1"/>
  <c r="H42" i="17"/>
  <c r="H43" i="17"/>
  <c r="D39" i="7" s="1"/>
  <c r="C37" i="22" s="1"/>
  <c r="H45" i="17"/>
  <c r="H46" i="17"/>
  <c r="H47" i="17"/>
  <c r="H48" i="17"/>
  <c r="H49" i="17"/>
  <c r="H50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K37" i="17"/>
  <c r="K38" i="17"/>
  <c r="M38" i="17" s="1"/>
  <c r="K39" i="17"/>
  <c r="M39" i="17" s="1"/>
  <c r="K35" i="17"/>
  <c r="K36" i="17"/>
  <c r="M36" i="17" s="1"/>
  <c r="K34" i="17"/>
  <c r="K32" i="17"/>
  <c r="K33" i="17"/>
  <c r="K31" i="17"/>
  <c r="K29" i="17"/>
  <c r="K28" i="17"/>
  <c r="K26" i="17"/>
  <c r="K27" i="17"/>
  <c r="K25" i="17"/>
  <c r="K23" i="17"/>
  <c r="K24" i="17"/>
  <c r="K22" i="17"/>
  <c r="K21" i="17"/>
  <c r="K20" i="17"/>
  <c r="K19" i="17"/>
  <c r="K18" i="17"/>
  <c r="K17" i="17"/>
  <c r="K16" i="17"/>
  <c r="K15" i="17"/>
  <c r="K14" i="17"/>
  <c r="K11" i="17"/>
  <c r="K7" i="17"/>
  <c r="K5" i="17"/>
  <c r="K6" i="17"/>
  <c r="K4" i="17"/>
  <c r="K3" i="17"/>
  <c r="K2" i="17"/>
  <c r="J33" i="17"/>
  <c r="J34" i="17"/>
  <c r="G35" i="7" s="1"/>
  <c r="J35" i="17"/>
  <c r="G36" i="7" s="1"/>
  <c r="J36" i="17"/>
  <c r="J37" i="17"/>
  <c r="G37" i="7" s="1"/>
  <c r="J38" i="17"/>
  <c r="G38" i="7" s="1"/>
  <c r="J39" i="17"/>
  <c r="F43" i="7"/>
  <c r="F39" i="7"/>
  <c r="F7" i="7"/>
  <c r="J23" i="17"/>
  <c r="G28" i="7" s="1"/>
  <c r="J24" i="17"/>
  <c r="J25" i="17"/>
  <c r="G29" i="7" s="1"/>
  <c r="J26" i="17"/>
  <c r="G30" i="7" s="1"/>
  <c r="J27" i="17"/>
  <c r="J28" i="17"/>
  <c r="G31" i="7" s="1"/>
  <c r="J29" i="17"/>
  <c r="G32" i="7" s="1"/>
  <c r="J30" i="17"/>
  <c r="J21" i="17"/>
  <c r="G26" i="7" s="1"/>
  <c r="J20" i="17"/>
  <c r="G25" i="7" s="1"/>
  <c r="J19" i="17"/>
  <c r="G24" i="7" s="1"/>
  <c r="J18" i="17"/>
  <c r="G23" i="7" s="1"/>
  <c r="J17" i="17"/>
  <c r="G22" i="7" s="1"/>
  <c r="J16" i="17"/>
  <c r="G21" i="7" s="1"/>
  <c r="J15" i="17"/>
  <c r="G20" i="7" s="1"/>
  <c r="J14" i="17"/>
  <c r="G19" i="7" s="1"/>
  <c r="J11" i="17"/>
  <c r="G16" i="7" s="1"/>
  <c r="J7" i="17"/>
  <c r="G12" i="7" s="1"/>
  <c r="J6" i="17"/>
  <c r="J5" i="17"/>
  <c r="G11" i="7" s="1"/>
  <c r="J4" i="17"/>
  <c r="Q7" i="7" l="1"/>
  <c r="H39" i="7"/>
  <c r="Q39" i="7"/>
  <c r="H43" i="7"/>
  <c r="Q43" i="7"/>
  <c r="H7" i="7"/>
  <c r="H49" i="7"/>
  <c r="F77" i="7"/>
  <c r="Q72" i="7"/>
  <c r="H72" i="7"/>
  <c r="Q73" i="7"/>
  <c r="H73" i="7"/>
  <c r="C49" i="22"/>
  <c r="D35" i="7"/>
  <c r="C33" i="22" s="1"/>
  <c r="D29" i="7"/>
  <c r="C27" i="22" s="1"/>
  <c r="D24" i="7"/>
  <c r="C22" i="22" s="1"/>
  <c r="D17" i="7"/>
  <c r="C13" i="22" s="1"/>
  <c r="D10" i="7"/>
  <c r="C5" i="22" s="1"/>
  <c r="D41" i="7"/>
  <c r="C40" i="22" s="1"/>
  <c r="D23" i="7"/>
  <c r="C21" i="22" s="1"/>
  <c r="D16" i="7"/>
  <c r="C12" i="22" s="1"/>
  <c r="D40" i="7"/>
  <c r="C38" i="22" s="1"/>
  <c r="D36" i="7"/>
  <c r="C34" i="22" s="1"/>
  <c r="D25" i="7"/>
  <c r="C23" i="22" s="1"/>
  <c r="D11" i="7"/>
  <c r="C6" i="22" s="1"/>
  <c r="D38" i="7"/>
  <c r="C36" i="22" s="1"/>
  <c r="D32" i="7"/>
  <c r="C30" i="22" s="1"/>
  <c r="D22" i="7"/>
  <c r="C20" i="22" s="1"/>
  <c r="D15" i="7"/>
  <c r="C10" i="22" s="1"/>
  <c r="D37" i="7"/>
  <c r="C35" i="22" s="1"/>
  <c r="D31" i="7"/>
  <c r="C29" i="22" s="1"/>
  <c r="D21" i="7"/>
  <c r="C19" i="22" s="1"/>
  <c r="D14" i="7"/>
  <c r="C9" i="22" s="1"/>
  <c r="D9" i="7"/>
  <c r="C4" i="22" s="1"/>
  <c r="D18" i="7"/>
  <c r="C14" i="22" s="1"/>
  <c r="D34" i="7"/>
  <c r="C32" i="22" s="1"/>
  <c r="D28" i="7"/>
  <c r="C26" i="22" s="1"/>
  <c r="D20" i="7"/>
  <c r="C18" i="22" s="1"/>
  <c r="D13" i="7"/>
  <c r="C8" i="22" s="1"/>
  <c r="D33" i="7"/>
  <c r="C31" i="22" s="1"/>
  <c r="D27" i="7"/>
  <c r="C25" i="22" s="1"/>
  <c r="D19" i="7"/>
  <c r="C17" i="22" s="1"/>
  <c r="D12" i="7"/>
  <c r="C7" i="22" s="1"/>
  <c r="D30" i="7"/>
  <c r="C28" i="22" s="1"/>
  <c r="D26" i="7"/>
  <c r="C24" i="22" s="1"/>
  <c r="D42" i="7"/>
  <c r="C39" i="22" s="1"/>
  <c r="M37" i="17"/>
  <c r="F37" i="7" s="1"/>
  <c r="Q74" i="7"/>
  <c r="Q66" i="7"/>
  <c r="Q69" i="7"/>
  <c r="Q67" i="7"/>
  <c r="Q49" i="7"/>
  <c r="Q70" i="7"/>
  <c r="Q57" i="7"/>
  <c r="Q61" i="7"/>
  <c r="Q64" i="7"/>
  <c r="Q56" i="7"/>
  <c r="Q60" i="7"/>
  <c r="Q63" i="7"/>
  <c r="Q53" i="7"/>
  <c r="Q52" i="7"/>
  <c r="F38" i="7"/>
  <c r="M33" i="17"/>
  <c r="M35" i="17"/>
  <c r="F36" i="7" s="1"/>
  <c r="H36" i="7" s="1"/>
  <c r="M34" i="17"/>
  <c r="F35" i="7" s="1"/>
  <c r="H35" i="7" s="1"/>
  <c r="J32" i="17"/>
  <c r="G34" i="7" s="1"/>
  <c r="M4" i="17"/>
  <c r="M5" i="17"/>
  <c r="F11" i="7" s="1"/>
  <c r="M6" i="17"/>
  <c r="M7" i="17"/>
  <c r="F12" i="7" s="1"/>
  <c r="H12" i="7" s="1"/>
  <c r="M8" i="17"/>
  <c r="F13" i="7" s="1"/>
  <c r="H13" i="7" s="1"/>
  <c r="M9" i="17"/>
  <c r="F14" i="7" s="1"/>
  <c r="H14" i="7" s="1"/>
  <c r="M10" i="17"/>
  <c r="F15" i="7" s="1"/>
  <c r="H15" i="7" s="1"/>
  <c r="M11" i="17"/>
  <c r="F16" i="7" s="1"/>
  <c r="H16" i="7" s="1"/>
  <c r="M12" i="17"/>
  <c r="F17" i="7" s="1"/>
  <c r="H17" i="7" s="1"/>
  <c r="M13" i="17"/>
  <c r="F18" i="7" s="1"/>
  <c r="H18" i="7" s="1"/>
  <c r="M14" i="17"/>
  <c r="F19" i="7" s="1"/>
  <c r="M15" i="17"/>
  <c r="F20" i="7" s="1"/>
  <c r="M16" i="17"/>
  <c r="F21" i="7" s="1"/>
  <c r="M17" i="17"/>
  <c r="F22" i="7" s="1"/>
  <c r="M18" i="17"/>
  <c r="F23" i="7" s="1"/>
  <c r="H23" i="7" s="1"/>
  <c r="M19" i="17"/>
  <c r="F24" i="7" s="1"/>
  <c r="H24" i="7" s="1"/>
  <c r="M20" i="17"/>
  <c r="F25" i="7" s="1"/>
  <c r="M21" i="17"/>
  <c r="F26" i="7" s="1"/>
  <c r="M22" i="17"/>
  <c r="M23" i="17"/>
  <c r="M24" i="17"/>
  <c r="M25" i="17"/>
  <c r="M26" i="17"/>
  <c r="F30" i="7" s="1"/>
  <c r="H30" i="7" s="1"/>
  <c r="M27" i="17"/>
  <c r="M28" i="17"/>
  <c r="M29" i="17"/>
  <c r="M30" i="17"/>
  <c r="M31" i="17"/>
  <c r="M32" i="17"/>
  <c r="F34" i="7" s="1"/>
  <c r="J22" i="17"/>
  <c r="G27" i="7" s="1"/>
  <c r="G10" i="7"/>
  <c r="H19" i="7" l="1"/>
  <c r="Q19" i="7"/>
  <c r="H26" i="7"/>
  <c r="Q26" i="7"/>
  <c r="H11" i="7"/>
  <c r="Q11" i="7"/>
  <c r="H25" i="7"/>
  <c r="Q25" i="7"/>
  <c r="H22" i="7"/>
  <c r="Q22" i="7"/>
  <c r="H21" i="7"/>
  <c r="Q21" i="7"/>
  <c r="H37" i="7"/>
  <c r="Q37" i="7"/>
  <c r="Q34" i="7"/>
  <c r="H20" i="7"/>
  <c r="Q20" i="7"/>
  <c r="H38" i="7"/>
  <c r="Q38" i="7"/>
  <c r="H34" i="7"/>
  <c r="F27" i="7"/>
  <c r="F31" i="7"/>
  <c r="F33" i="7"/>
  <c r="F10" i="7"/>
  <c r="F32" i="7"/>
  <c r="Q15" i="7"/>
  <c r="Q14" i="7"/>
  <c r="F28" i="7"/>
  <c r="Q13" i="7"/>
  <c r="Q35" i="7"/>
  <c r="Q12" i="7"/>
  <c r="Q18" i="7"/>
  <c r="Q24" i="7"/>
  <c r="Q17" i="7"/>
  <c r="Q36" i="7"/>
  <c r="Q30" i="7"/>
  <c r="F29" i="7"/>
  <c r="H29" i="7" s="1"/>
  <c r="Q23" i="7"/>
  <c r="Q16" i="7"/>
  <c r="M3" i="17"/>
  <c r="F9" i="7" s="1"/>
  <c r="H27" i="7" l="1"/>
  <c r="Q27" i="7"/>
  <c r="H28" i="7"/>
  <c r="Q28" i="7"/>
  <c r="Q31" i="7"/>
  <c r="Q32" i="7"/>
  <c r="Q10" i="7"/>
  <c r="Q33" i="7"/>
  <c r="H32" i="7"/>
  <c r="H10" i="7"/>
  <c r="H33" i="7"/>
  <c r="H31" i="7"/>
  <c r="Q9" i="7"/>
  <c r="Q29" i="7"/>
  <c r="Q327" i="23" l="1"/>
  <c r="P327" i="23"/>
  <c r="O327" i="23"/>
  <c r="N327" i="23"/>
  <c r="M327" i="23"/>
  <c r="L327" i="23"/>
  <c r="K327" i="23"/>
  <c r="J327" i="23"/>
  <c r="I327" i="23"/>
  <c r="H327" i="23"/>
  <c r="G327" i="23"/>
  <c r="F327" i="23"/>
  <c r="R326" i="23"/>
  <c r="R325" i="23"/>
  <c r="R324" i="23"/>
  <c r="R323" i="23"/>
  <c r="R322" i="23"/>
  <c r="R321" i="23"/>
  <c r="R327" i="23" s="1"/>
  <c r="Q318" i="23"/>
  <c r="P318" i="23"/>
  <c r="O318" i="23"/>
  <c r="N318" i="23"/>
  <c r="M318" i="23"/>
  <c r="L318" i="23"/>
  <c r="K318" i="23"/>
  <c r="J318" i="23"/>
  <c r="I318" i="23"/>
  <c r="H318" i="23"/>
  <c r="G318" i="23"/>
  <c r="F318" i="23"/>
  <c r="AQ316" i="23"/>
  <c r="AW316" i="23" s="1"/>
  <c r="R316" i="23"/>
  <c r="AR316" i="23" s="1"/>
  <c r="AW315" i="23"/>
  <c r="AR315" i="23"/>
  <c r="AX315" i="23" s="1"/>
  <c r="AY315" i="23" s="1"/>
  <c r="AQ315" i="23"/>
  <c r="R315" i="23"/>
  <c r="AQ314" i="23"/>
  <c r="AW314" i="23" s="1"/>
  <c r="R314" i="23"/>
  <c r="AR314" i="23" s="1"/>
  <c r="AW313" i="23"/>
  <c r="AQ313" i="23"/>
  <c r="R313" i="23"/>
  <c r="AR313" i="23" s="1"/>
  <c r="AS312" i="23"/>
  <c r="AR312" i="23"/>
  <c r="AX312" i="23" s="1"/>
  <c r="AY312" i="23" s="1"/>
  <c r="AQ312" i="23"/>
  <c r="AW312" i="23" s="1"/>
  <c r="R312" i="23"/>
  <c r="AR311" i="23"/>
  <c r="AX311" i="23" s="1"/>
  <c r="AQ311" i="23"/>
  <c r="AW311" i="23" s="1"/>
  <c r="R311" i="23"/>
  <c r="Q308" i="23"/>
  <c r="P308" i="23"/>
  <c r="O308" i="23"/>
  <c r="N308" i="23"/>
  <c r="M308" i="23"/>
  <c r="L308" i="23"/>
  <c r="K308" i="23"/>
  <c r="J308" i="23"/>
  <c r="I308" i="23"/>
  <c r="H308" i="23"/>
  <c r="G308" i="23"/>
  <c r="F308" i="23"/>
  <c r="AE306" i="23"/>
  <c r="AD306" i="23"/>
  <c r="AC306" i="23"/>
  <c r="AB306" i="23"/>
  <c r="AA306" i="23"/>
  <c r="Z306" i="23"/>
  <c r="Y306" i="23"/>
  <c r="X306" i="23"/>
  <c r="W306" i="23"/>
  <c r="V306" i="23"/>
  <c r="U306" i="23"/>
  <c r="T306" i="23"/>
  <c r="AG306" i="23" s="1"/>
  <c r="R306" i="23"/>
  <c r="AE305" i="23"/>
  <c r="AD305" i="23"/>
  <c r="AC305" i="23"/>
  <c r="AB305" i="23"/>
  <c r="AA305" i="23"/>
  <c r="Z305" i="23"/>
  <c r="Y305" i="23"/>
  <c r="X305" i="23"/>
  <c r="W305" i="23"/>
  <c r="V305" i="23"/>
  <c r="U305" i="23"/>
  <c r="AG305" i="23" s="1"/>
  <c r="T305" i="23"/>
  <c r="AF305" i="23" s="1"/>
  <c r="R305" i="23"/>
  <c r="AE304" i="23"/>
  <c r="AD304" i="23"/>
  <c r="AC304" i="23"/>
  <c r="AB304" i="23"/>
  <c r="AA304" i="23"/>
  <c r="Z304" i="23"/>
  <c r="Y304" i="23"/>
  <c r="X304" i="23"/>
  <c r="W304" i="23"/>
  <c r="V304" i="23"/>
  <c r="U304" i="23"/>
  <c r="T304" i="23"/>
  <c r="AG304" i="23" s="1"/>
  <c r="R304" i="23"/>
  <c r="AE303" i="23"/>
  <c r="AD303" i="23"/>
  <c r="AC303" i="23"/>
  <c r="AB303" i="23"/>
  <c r="AA303" i="23"/>
  <c r="Z303" i="23"/>
  <c r="Y303" i="23"/>
  <c r="X303" i="23"/>
  <c r="W303" i="23"/>
  <c r="V303" i="23"/>
  <c r="U303" i="23"/>
  <c r="T303" i="23"/>
  <c r="AG303" i="23" s="1"/>
  <c r="R303" i="23"/>
  <c r="AE302" i="23"/>
  <c r="AD302" i="23"/>
  <c r="AC302" i="23"/>
  <c r="AB302" i="23"/>
  <c r="AA302" i="23"/>
  <c r="Z302" i="23"/>
  <c r="Y302" i="23"/>
  <c r="X302" i="23"/>
  <c r="W302" i="23"/>
  <c r="V302" i="23"/>
  <c r="U302" i="23"/>
  <c r="AG302" i="23" s="1"/>
  <c r="T302" i="23"/>
  <c r="AF302" i="23" s="1"/>
  <c r="R302" i="23"/>
  <c r="AE301" i="23"/>
  <c r="AD301" i="23"/>
  <c r="AC301" i="23"/>
  <c r="AB301" i="23"/>
  <c r="AA301" i="23"/>
  <c r="Z301" i="23"/>
  <c r="Y301" i="23"/>
  <c r="X301" i="23"/>
  <c r="W301" i="23"/>
  <c r="V301" i="23"/>
  <c r="U301" i="23"/>
  <c r="AG301" i="23" s="1"/>
  <c r="T301" i="23"/>
  <c r="AF301" i="23" s="1"/>
  <c r="R301" i="23"/>
  <c r="AE300" i="23"/>
  <c r="AD300" i="23"/>
  <c r="AC300" i="23"/>
  <c r="AB300" i="23"/>
  <c r="AA300" i="23"/>
  <c r="Z300" i="23"/>
  <c r="Y300" i="23"/>
  <c r="X300" i="23"/>
  <c r="W300" i="23"/>
  <c r="V300" i="23"/>
  <c r="U300" i="23"/>
  <c r="AG300" i="23" s="1"/>
  <c r="T300" i="23"/>
  <c r="AF300" i="23" s="1"/>
  <c r="R300" i="23"/>
  <c r="AE299" i="23"/>
  <c r="AD299" i="23"/>
  <c r="AC299" i="23"/>
  <c r="AB299" i="23"/>
  <c r="AA299" i="23"/>
  <c r="Z299" i="23"/>
  <c r="Y299" i="23"/>
  <c r="X299" i="23"/>
  <c r="W299" i="23"/>
  <c r="V299" i="23"/>
  <c r="U299" i="23"/>
  <c r="AG299" i="23" s="1"/>
  <c r="T299" i="23"/>
  <c r="AF299" i="23" s="1"/>
  <c r="R299" i="23"/>
  <c r="AE298" i="23"/>
  <c r="AD298" i="23"/>
  <c r="AC298" i="23"/>
  <c r="AB298" i="23"/>
  <c r="AA298" i="23"/>
  <c r="Z298" i="23"/>
  <c r="Y298" i="23"/>
  <c r="X298" i="23"/>
  <c r="W298" i="23"/>
  <c r="V298" i="23"/>
  <c r="U298" i="23"/>
  <c r="AG298" i="23" s="1"/>
  <c r="T298" i="23"/>
  <c r="AF298" i="23" s="1"/>
  <c r="R298" i="23"/>
  <c r="AE297" i="23"/>
  <c r="AD297" i="23"/>
  <c r="AC297" i="23"/>
  <c r="AB297" i="23"/>
  <c r="AA297" i="23"/>
  <c r="Z297" i="23"/>
  <c r="Y297" i="23"/>
  <c r="X297" i="23"/>
  <c r="W297" i="23"/>
  <c r="V297" i="23"/>
  <c r="U297" i="23"/>
  <c r="AG297" i="23" s="1"/>
  <c r="T297" i="23"/>
  <c r="AF297" i="23" s="1"/>
  <c r="R297" i="23"/>
  <c r="AE296" i="23"/>
  <c r="AE308" i="23" s="1"/>
  <c r="AD296" i="23"/>
  <c r="AD308" i="23" s="1"/>
  <c r="AC296" i="23"/>
  <c r="AC308" i="23" s="1"/>
  <c r="AB296" i="23"/>
  <c r="AB308" i="23" s="1"/>
  <c r="AA296" i="23"/>
  <c r="AA308" i="23" s="1"/>
  <c r="Z296" i="23"/>
  <c r="Z308" i="23" s="1"/>
  <c r="Y296" i="23"/>
  <c r="Y308" i="23" s="1"/>
  <c r="X296" i="23"/>
  <c r="X308" i="23" s="1"/>
  <c r="W296" i="23"/>
  <c r="W308" i="23" s="1"/>
  <c r="V296" i="23"/>
  <c r="V308" i="23" s="1"/>
  <c r="U296" i="23"/>
  <c r="U308" i="23" s="1"/>
  <c r="T296" i="23"/>
  <c r="AF296" i="23" s="1"/>
  <c r="R296" i="23"/>
  <c r="AE295" i="23"/>
  <c r="AD295" i="23"/>
  <c r="AC295" i="23"/>
  <c r="AB295" i="23"/>
  <c r="AA295" i="23"/>
  <c r="Z295" i="23"/>
  <c r="Y295" i="23"/>
  <c r="X295" i="23"/>
  <c r="W295" i="23"/>
  <c r="V295" i="23"/>
  <c r="U295" i="23"/>
  <c r="T295" i="23"/>
  <c r="AG295" i="23" s="1"/>
  <c r="R295" i="23"/>
  <c r="AE294" i="23"/>
  <c r="AD294" i="23"/>
  <c r="AC294" i="23"/>
  <c r="AB294" i="23"/>
  <c r="AA294" i="23"/>
  <c r="Z294" i="23"/>
  <c r="Y294" i="23"/>
  <c r="X294" i="23"/>
  <c r="W294" i="23"/>
  <c r="V294" i="23"/>
  <c r="U294" i="23"/>
  <c r="AG294" i="23" s="1"/>
  <c r="T294" i="23"/>
  <c r="AF294" i="23" s="1"/>
  <c r="R294" i="23"/>
  <c r="AE293" i="23"/>
  <c r="AD293" i="23"/>
  <c r="AC293" i="23"/>
  <c r="AB293" i="23"/>
  <c r="AA293" i="23"/>
  <c r="Z293" i="23"/>
  <c r="Y293" i="23"/>
  <c r="X293" i="23"/>
  <c r="W293" i="23"/>
  <c r="V293" i="23"/>
  <c r="U293" i="23"/>
  <c r="T293" i="23"/>
  <c r="AG293" i="23" s="1"/>
  <c r="R293" i="23"/>
  <c r="AE292" i="23"/>
  <c r="AD292" i="23"/>
  <c r="AC292" i="23"/>
  <c r="AB292" i="23"/>
  <c r="AA292" i="23"/>
  <c r="Z292" i="23"/>
  <c r="Y292" i="23"/>
  <c r="X292" i="23"/>
  <c r="W292" i="23"/>
  <c r="V292" i="23"/>
  <c r="U292" i="23"/>
  <c r="AG292" i="23" s="1"/>
  <c r="T292" i="23"/>
  <c r="R292" i="23"/>
  <c r="AE291" i="23"/>
  <c r="AD291" i="23"/>
  <c r="AC291" i="23"/>
  <c r="AB291" i="23"/>
  <c r="AA291" i="23"/>
  <c r="Z291" i="23"/>
  <c r="Y291" i="23"/>
  <c r="X291" i="23"/>
  <c r="W291" i="23"/>
  <c r="V291" i="23"/>
  <c r="U291" i="23"/>
  <c r="T291" i="23"/>
  <c r="AG291" i="23" s="1"/>
  <c r="R291" i="23"/>
  <c r="AE290" i="23"/>
  <c r="AD290" i="23"/>
  <c r="AC290" i="23"/>
  <c r="AB290" i="23"/>
  <c r="AA290" i="23"/>
  <c r="Z290" i="23"/>
  <c r="Y290" i="23"/>
  <c r="X290" i="23"/>
  <c r="W290" i="23"/>
  <c r="V290" i="23"/>
  <c r="U290" i="23"/>
  <c r="T290" i="23"/>
  <c r="R290" i="23"/>
  <c r="AE289" i="23"/>
  <c r="AD289" i="23"/>
  <c r="AC289" i="23"/>
  <c r="AB289" i="23"/>
  <c r="AA289" i="23"/>
  <c r="Z289" i="23"/>
  <c r="Y289" i="23"/>
  <c r="X289" i="23"/>
  <c r="W289" i="23"/>
  <c r="V289" i="23"/>
  <c r="U289" i="23"/>
  <c r="T289" i="23"/>
  <c r="AG289" i="23" s="1"/>
  <c r="R289" i="23"/>
  <c r="AE288" i="23"/>
  <c r="AD288" i="23"/>
  <c r="AC288" i="23"/>
  <c r="AB288" i="23"/>
  <c r="AA288" i="23"/>
  <c r="Z288" i="23"/>
  <c r="Y288" i="23"/>
  <c r="X288" i="23"/>
  <c r="W288" i="23"/>
  <c r="V288" i="23"/>
  <c r="U288" i="23"/>
  <c r="AG288" i="23" s="1"/>
  <c r="T288" i="23"/>
  <c r="R288" i="23"/>
  <c r="AE287" i="23"/>
  <c r="AD287" i="23"/>
  <c r="AC287" i="23"/>
  <c r="AB287" i="23"/>
  <c r="AA287" i="23"/>
  <c r="Z287" i="23"/>
  <c r="Y287" i="23"/>
  <c r="X287" i="23"/>
  <c r="W287" i="23"/>
  <c r="V287" i="23"/>
  <c r="U287" i="23"/>
  <c r="T287" i="23"/>
  <c r="AG287" i="23" s="1"/>
  <c r="R287" i="23"/>
  <c r="AE286" i="23"/>
  <c r="AD286" i="23"/>
  <c r="AC286" i="23"/>
  <c r="AB286" i="23"/>
  <c r="AA286" i="23"/>
  <c r="Z286" i="23"/>
  <c r="Y286" i="23"/>
  <c r="X286" i="23"/>
  <c r="W286" i="23"/>
  <c r="V286" i="23"/>
  <c r="U286" i="23"/>
  <c r="T286" i="23"/>
  <c r="R286" i="23"/>
  <c r="AE285" i="23"/>
  <c r="AD285" i="23"/>
  <c r="AC285" i="23"/>
  <c r="AB285" i="23"/>
  <c r="AA285" i="23"/>
  <c r="Z285" i="23"/>
  <c r="Y285" i="23"/>
  <c r="X285" i="23"/>
  <c r="W285" i="23"/>
  <c r="V285" i="23"/>
  <c r="U285" i="23"/>
  <c r="T285" i="23"/>
  <c r="AG285" i="23" s="1"/>
  <c r="R285" i="23"/>
  <c r="AE284" i="23"/>
  <c r="AD284" i="23"/>
  <c r="AC284" i="23"/>
  <c r="AB284" i="23"/>
  <c r="AA284" i="23"/>
  <c r="Z284" i="23"/>
  <c r="Y284" i="23"/>
  <c r="X284" i="23"/>
  <c r="W284" i="23"/>
  <c r="V284" i="23"/>
  <c r="U284" i="23"/>
  <c r="AG284" i="23" s="1"/>
  <c r="T284" i="23"/>
  <c r="R284" i="23"/>
  <c r="AE283" i="23"/>
  <c r="AD283" i="23"/>
  <c r="AC283" i="23"/>
  <c r="AB283" i="23"/>
  <c r="AA283" i="23"/>
  <c r="Z283" i="23"/>
  <c r="Y283" i="23"/>
  <c r="X283" i="23"/>
  <c r="W283" i="23"/>
  <c r="V283" i="23"/>
  <c r="U283" i="23"/>
  <c r="T283" i="23"/>
  <c r="AG283" i="23" s="1"/>
  <c r="R283" i="23"/>
  <c r="AE282" i="23"/>
  <c r="AD282" i="23"/>
  <c r="AC282" i="23"/>
  <c r="AB282" i="23"/>
  <c r="AA282" i="23"/>
  <c r="Z282" i="23"/>
  <c r="Y282" i="23"/>
  <c r="X282" i="23"/>
  <c r="W282" i="23"/>
  <c r="V282" i="23"/>
  <c r="U282" i="23"/>
  <c r="T282" i="23"/>
  <c r="R282" i="23"/>
  <c r="AE281" i="23"/>
  <c r="AD281" i="23"/>
  <c r="AC281" i="23"/>
  <c r="AB281" i="23"/>
  <c r="AA281" i="23"/>
  <c r="Z281" i="23"/>
  <c r="Y281" i="23"/>
  <c r="X281" i="23"/>
  <c r="W281" i="23"/>
  <c r="V281" i="23"/>
  <c r="U281" i="23"/>
  <c r="T281" i="23"/>
  <c r="R281" i="23"/>
  <c r="AE280" i="23"/>
  <c r="AD280" i="23"/>
  <c r="AC280" i="23"/>
  <c r="AB280" i="23"/>
  <c r="AA280" i="23"/>
  <c r="Z280" i="23"/>
  <c r="Y280" i="23"/>
  <c r="X280" i="23"/>
  <c r="W280" i="23"/>
  <c r="V280" i="23"/>
  <c r="U280" i="23"/>
  <c r="AG280" i="23" s="1"/>
  <c r="T280" i="23"/>
  <c r="R280" i="23"/>
  <c r="AE279" i="23"/>
  <c r="AD279" i="23"/>
  <c r="AC279" i="23"/>
  <c r="AB279" i="23"/>
  <c r="AA279" i="23"/>
  <c r="Z279" i="23"/>
  <c r="Y279" i="23"/>
  <c r="X279" i="23"/>
  <c r="W279" i="23"/>
  <c r="V279" i="23"/>
  <c r="U279" i="23"/>
  <c r="T279" i="23"/>
  <c r="AG279" i="23" s="1"/>
  <c r="R279" i="23"/>
  <c r="AE278" i="23"/>
  <c r="AD278" i="23"/>
  <c r="AC278" i="23"/>
  <c r="AB278" i="23"/>
  <c r="AA278" i="23"/>
  <c r="Z278" i="23"/>
  <c r="Y278" i="23"/>
  <c r="X278" i="23"/>
  <c r="W278" i="23"/>
  <c r="V278" i="23"/>
  <c r="U278" i="23"/>
  <c r="T278" i="23"/>
  <c r="AG278" i="23" s="1"/>
  <c r="R278" i="23"/>
  <c r="AE277" i="23"/>
  <c r="AD277" i="23"/>
  <c r="AC277" i="23"/>
  <c r="AB277" i="23"/>
  <c r="AA277" i="23"/>
  <c r="Z277" i="23"/>
  <c r="Y277" i="23"/>
  <c r="X277" i="23"/>
  <c r="W277" i="23"/>
  <c r="V277" i="23"/>
  <c r="U277" i="23"/>
  <c r="AG277" i="23" s="1"/>
  <c r="T277" i="23"/>
  <c r="AF277" i="23" s="1"/>
  <c r="R277" i="23"/>
  <c r="AE276" i="23"/>
  <c r="AD276" i="23"/>
  <c r="AC276" i="23"/>
  <c r="AB276" i="23"/>
  <c r="AA276" i="23"/>
  <c r="Z276" i="23"/>
  <c r="Y276" i="23"/>
  <c r="X276" i="23"/>
  <c r="W276" i="23"/>
  <c r="V276" i="23"/>
  <c r="U276" i="23"/>
  <c r="AG276" i="23" s="1"/>
  <c r="T276" i="23"/>
  <c r="AF276" i="23" s="1"/>
  <c r="R276" i="23"/>
  <c r="AE275" i="23"/>
  <c r="AD275" i="23"/>
  <c r="AC275" i="23"/>
  <c r="AB275" i="23"/>
  <c r="AA275" i="23"/>
  <c r="Z275" i="23"/>
  <c r="Y275" i="23"/>
  <c r="X275" i="23"/>
  <c r="W275" i="23"/>
  <c r="V275" i="23"/>
  <c r="U275" i="23"/>
  <c r="T275" i="23"/>
  <c r="AG275" i="23" s="1"/>
  <c r="R275" i="23"/>
  <c r="AE274" i="23"/>
  <c r="AD274" i="23"/>
  <c r="AC274" i="23"/>
  <c r="AB274" i="23"/>
  <c r="AA274" i="23"/>
  <c r="Z274" i="23"/>
  <c r="Y274" i="23"/>
  <c r="X274" i="23"/>
  <c r="W274" i="23"/>
  <c r="V274" i="23"/>
  <c r="U274" i="23"/>
  <c r="T274" i="23"/>
  <c r="AG274" i="23" s="1"/>
  <c r="R274" i="23"/>
  <c r="AE273" i="23"/>
  <c r="AD273" i="23"/>
  <c r="AC273" i="23"/>
  <c r="AB273" i="23"/>
  <c r="AA273" i="23"/>
  <c r="Z273" i="23"/>
  <c r="Y273" i="23"/>
  <c r="X273" i="23"/>
  <c r="W273" i="23"/>
  <c r="V273" i="23"/>
  <c r="U273" i="23"/>
  <c r="AG273" i="23" s="1"/>
  <c r="T273" i="23"/>
  <c r="AF273" i="23" s="1"/>
  <c r="R273" i="23"/>
  <c r="AE272" i="23"/>
  <c r="AD272" i="23"/>
  <c r="AC272" i="23"/>
  <c r="AB272" i="23"/>
  <c r="AA272" i="23"/>
  <c r="Z272" i="23"/>
  <c r="Y272" i="23"/>
  <c r="X272" i="23"/>
  <c r="W272" i="23"/>
  <c r="V272" i="23"/>
  <c r="U272" i="23"/>
  <c r="AG272" i="23" s="1"/>
  <c r="T272" i="23"/>
  <c r="AF272" i="23" s="1"/>
  <c r="R272" i="23"/>
  <c r="AE271" i="23"/>
  <c r="AD271" i="23"/>
  <c r="AC271" i="23"/>
  <c r="AB271" i="23"/>
  <c r="AA271" i="23"/>
  <c r="Z271" i="23"/>
  <c r="Y271" i="23"/>
  <c r="X271" i="23"/>
  <c r="W271" i="23"/>
  <c r="V271" i="23"/>
  <c r="U271" i="23"/>
  <c r="T271" i="23"/>
  <c r="AG271" i="23" s="1"/>
  <c r="R271" i="23"/>
  <c r="AE270" i="23"/>
  <c r="AD270" i="23"/>
  <c r="AC270" i="23"/>
  <c r="AB270" i="23"/>
  <c r="AA270" i="23"/>
  <c r="Z270" i="23"/>
  <c r="Y270" i="23"/>
  <c r="X270" i="23"/>
  <c r="W270" i="23"/>
  <c r="V270" i="23"/>
  <c r="U270" i="23"/>
  <c r="T270" i="23"/>
  <c r="AG270" i="23" s="1"/>
  <c r="R270" i="23"/>
  <c r="AE269" i="23"/>
  <c r="AD269" i="23"/>
  <c r="AC269" i="23"/>
  <c r="AB269" i="23"/>
  <c r="AA269" i="23"/>
  <c r="Z269" i="23"/>
  <c r="Y269" i="23"/>
  <c r="X269" i="23"/>
  <c r="W269" i="23"/>
  <c r="V269" i="23"/>
  <c r="U269" i="23"/>
  <c r="AG269" i="23" s="1"/>
  <c r="T269" i="23"/>
  <c r="AF269" i="23" s="1"/>
  <c r="R269" i="23"/>
  <c r="AE268" i="23"/>
  <c r="AD268" i="23"/>
  <c r="AC268" i="23"/>
  <c r="AB268" i="23"/>
  <c r="AA268" i="23"/>
  <c r="Z268" i="23"/>
  <c r="Y268" i="23"/>
  <c r="X268" i="23"/>
  <c r="W268" i="23"/>
  <c r="V268" i="23"/>
  <c r="U268" i="23"/>
  <c r="AG268" i="23" s="1"/>
  <c r="T268" i="23"/>
  <c r="AF268" i="23" s="1"/>
  <c r="R268" i="23"/>
  <c r="AE267" i="23"/>
  <c r="AD267" i="23"/>
  <c r="AC267" i="23"/>
  <c r="AB267" i="23"/>
  <c r="AA267" i="23"/>
  <c r="Z267" i="23"/>
  <c r="Y267" i="23"/>
  <c r="X267" i="23"/>
  <c r="W267" i="23"/>
  <c r="V267" i="23"/>
  <c r="U267" i="23"/>
  <c r="T267" i="23"/>
  <c r="AG267" i="23" s="1"/>
  <c r="R267" i="23"/>
  <c r="AE266" i="23"/>
  <c r="AD266" i="23"/>
  <c r="AC266" i="23"/>
  <c r="AB266" i="23"/>
  <c r="AA266" i="23"/>
  <c r="Z266" i="23"/>
  <c r="Y266" i="23"/>
  <c r="X266" i="23"/>
  <c r="W266" i="23"/>
  <c r="V266" i="23"/>
  <c r="U266" i="23"/>
  <c r="T266" i="23"/>
  <c r="AG266" i="23" s="1"/>
  <c r="R266" i="23"/>
  <c r="AE265" i="23"/>
  <c r="AD265" i="23"/>
  <c r="AC265" i="23"/>
  <c r="AB265" i="23"/>
  <c r="AA265" i="23"/>
  <c r="Z265" i="23"/>
  <c r="Y265" i="23"/>
  <c r="X265" i="23"/>
  <c r="W265" i="23"/>
  <c r="V265" i="23"/>
  <c r="U265" i="23"/>
  <c r="AG265" i="23" s="1"/>
  <c r="T265" i="23"/>
  <c r="AF265" i="23" s="1"/>
  <c r="R265" i="23"/>
  <c r="AE264" i="23"/>
  <c r="AD264" i="23"/>
  <c r="AC264" i="23"/>
  <c r="AB264" i="23"/>
  <c r="AA264" i="23"/>
  <c r="Z264" i="23"/>
  <c r="Y264" i="23"/>
  <c r="X264" i="23"/>
  <c r="W264" i="23"/>
  <c r="V264" i="23"/>
  <c r="U264" i="23"/>
  <c r="AG264" i="23" s="1"/>
  <c r="T264" i="23"/>
  <c r="AF264" i="23" s="1"/>
  <c r="R264" i="23"/>
  <c r="AE263" i="23"/>
  <c r="AD263" i="23"/>
  <c r="AC263" i="23"/>
  <c r="AB263" i="23"/>
  <c r="AA263" i="23"/>
  <c r="Z263" i="23"/>
  <c r="Y263" i="23"/>
  <c r="X263" i="23"/>
  <c r="W263" i="23"/>
  <c r="V263" i="23"/>
  <c r="U263" i="23"/>
  <c r="T263" i="23"/>
  <c r="AG263" i="23" s="1"/>
  <c r="R263" i="23"/>
  <c r="AE262" i="23"/>
  <c r="AD262" i="23"/>
  <c r="AC262" i="23"/>
  <c r="AB262" i="23"/>
  <c r="AA262" i="23"/>
  <c r="Z262" i="23"/>
  <c r="Y262" i="23"/>
  <c r="X262" i="23"/>
  <c r="W262" i="23"/>
  <c r="V262" i="23"/>
  <c r="U262" i="23"/>
  <c r="T262" i="23"/>
  <c r="AG262" i="23" s="1"/>
  <c r="R262" i="23"/>
  <c r="AE261" i="23"/>
  <c r="AD261" i="23"/>
  <c r="AC261" i="23"/>
  <c r="AB261" i="23"/>
  <c r="AA261" i="23"/>
  <c r="Z261" i="23"/>
  <c r="Y261" i="23"/>
  <c r="X261" i="23"/>
  <c r="W261" i="23"/>
  <c r="V261" i="23"/>
  <c r="U261" i="23"/>
  <c r="AG261" i="23" s="1"/>
  <c r="T261" i="23"/>
  <c r="AF261" i="23" s="1"/>
  <c r="R261" i="23"/>
  <c r="AE260" i="23"/>
  <c r="AD260" i="23"/>
  <c r="AC260" i="23"/>
  <c r="AB260" i="23"/>
  <c r="AA260" i="23"/>
  <c r="Z260" i="23"/>
  <c r="Y260" i="23"/>
  <c r="X260" i="23"/>
  <c r="W260" i="23"/>
  <c r="V260" i="23"/>
  <c r="U260" i="23"/>
  <c r="AG260" i="23" s="1"/>
  <c r="T260" i="23"/>
  <c r="AF260" i="23" s="1"/>
  <c r="R260" i="23"/>
  <c r="AE259" i="23"/>
  <c r="AD259" i="23"/>
  <c r="AC259" i="23"/>
  <c r="AB259" i="23"/>
  <c r="AA259" i="23"/>
  <c r="Z259" i="23"/>
  <c r="Y259" i="23"/>
  <c r="X259" i="23"/>
  <c r="W259" i="23"/>
  <c r="V259" i="23"/>
  <c r="U259" i="23"/>
  <c r="T259" i="23"/>
  <c r="AG259" i="23" s="1"/>
  <c r="R259" i="23"/>
  <c r="AE258" i="23"/>
  <c r="AD258" i="23"/>
  <c r="AC258" i="23"/>
  <c r="AB258" i="23"/>
  <c r="AA258" i="23"/>
  <c r="Z258" i="23"/>
  <c r="Y258" i="23"/>
  <c r="X258" i="23"/>
  <c r="W258" i="23"/>
  <c r="V258" i="23"/>
  <c r="U258" i="23"/>
  <c r="T258" i="23"/>
  <c r="AG258" i="23" s="1"/>
  <c r="R258" i="23"/>
  <c r="AE257" i="23"/>
  <c r="AD257" i="23"/>
  <c r="AC257" i="23"/>
  <c r="AB257" i="23"/>
  <c r="AA257" i="23"/>
  <c r="Z257" i="23"/>
  <c r="Y257" i="23"/>
  <c r="X257" i="23"/>
  <c r="W257" i="23"/>
  <c r="V257" i="23"/>
  <c r="U257" i="23"/>
  <c r="AG257" i="23" s="1"/>
  <c r="T257" i="23"/>
  <c r="AF257" i="23" s="1"/>
  <c r="R257" i="23"/>
  <c r="Q252" i="23"/>
  <c r="P252" i="23"/>
  <c r="O252" i="23"/>
  <c r="N252" i="23"/>
  <c r="M252" i="23"/>
  <c r="L252" i="23"/>
  <c r="K252" i="23"/>
  <c r="J252" i="23"/>
  <c r="I252" i="23"/>
  <c r="H252" i="23"/>
  <c r="G252" i="23"/>
  <c r="F252" i="23"/>
  <c r="AE250" i="23"/>
  <c r="AD250" i="23"/>
  <c r="AC250" i="23"/>
  <c r="AB250" i="23"/>
  <c r="AA250" i="23"/>
  <c r="Z250" i="23"/>
  <c r="Y250" i="23"/>
  <c r="X250" i="23"/>
  <c r="W250" i="23"/>
  <c r="V250" i="23"/>
  <c r="U250" i="23"/>
  <c r="T250" i="23"/>
  <c r="AF250" i="23" s="1"/>
  <c r="R250" i="23"/>
  <c r="AE249" i="23"/>
  <c r="AD249" i="23"/>
  <c r="AC249" i="23"/>
  <c r="AB249" i="23"/>
  <c r="AA249" i="23"/>
  <c r="Z249" i="23"/>
  <c r="Y249" i="23"/>
  <c r="X249" i="23"/>
  <c r="W249" i="23"/>
  <c r="V249" i="23"/>
  <c r="U249" i="23"/>
  <c r="T249" i="23"/>
  <c r="R249" i="23"/>
  <c r="AE248" i="23"/>
  <c r="AD248" i="23"/>
  <c r="AC248" i="23"/>
  <c r="AB248" i="23"/>
  <c r="AA248" i="23"/>
  <c r="Z248" i="23"/>
  <c r="Y248" i="23"/>
  <c r="X248" i="23"/>
  <c r="W248" i="23"/>
  <c r="V248" i="23"/>
  <c r="U248" i="23"/>
  <c r="T248" i="23"/>
  <c r="AG248" i="23" s="1"/>
  <c r="R248" i="23"/>
  <c r="AE247" i="23"/>
  <c r="AD247" i="23"/>
  <c r="AC247" i="23"/>
  <c r="AB247" i="23"/>
  <c r="AA247" i="23"/>
  <c r="Z247" i="23"/>
  <c r="Y247" i="23"/>
  <c r="X247" i="23"/>
  <c r="W247" i="23"/>
  <c r="V247" i="23"/>
  <c r="U247" i="23"/>
  <c r="AG247" i="23" s="1"/>
  <c r="T247" i="23"/>
  <c r="R247" i="23"/>
  <c r="AE246" i="23"/>
  <c r="AD246" i="23"/>
  <c r="AC246" i="23"/>
  <c r="AB246" i="23"/>
  <c r="AA246" i="23"/>
  <c r="Z246" i="23"/>
  <c r="Y246" i="23"/>
  <c r="X246" i="23"/>
  <c r="W246" i="23"/>
  <c r="V246" i="23"/>
  <c r="U246" i="23"/>
  <c r="T246" i="23"/>
  <c r="AF246" i="23" s="1"/>
  <c r="R246" i="23"/>
  <c r="AE245" i="23"/>
  <c r="AD245" i="23"/>
  <c r="AC245" i="23"/>
  <c r="AB245" i="23"/>
  <c r="AA245" i="23"/>
  <c r="Z245" i="23"/>
  <c r="Y245" i="23"/>
  <c r="X245" i="23"/>
  <c r="W245" i="23"/>
  <c r="V245" i="23"/>
  <c r="U245" i="23"/>
  <c r="T245" i="23"/>
  <c r="R245" i="23"/>
  <c r="AE244" i="23"/>
  <c r="AD244" i="23"/>
  <c r="AC244" i="23"/>
  <c r="AB244" i="23"/>
  <c r="AA244" i="23"/>
  <c r="Z244" i="23"/>
  <c r="Y244" i="23"/>
  <c r="X244" i="23"/>
  <c r="W244" i="23"/>
  <c r="V244" i="23"/>
  <c r="U244" i="23"/>
  <c r="T244" i="23"/>
  <c r="R244" i="23"/>
  <c r="AE243" i="23"/>
  <c r="AD243" i="23"/>
  <c r="AC243" i="23"/>
  <c r="AB243" i="23"/>
  <c r="AA243" i="23"/>
  <c r="Z243" i="23"/>
  <c r="Y243" i="23"/>
  <c r="X243" i="23"/>
  <c r="W243" i="23"/>
  <c r="V243" i="23"/>
  <c r="U243" i="23"/>
  <c r="T243" i="23"/>
  <c r="AG243" i="23" s="1"/>
  <c r="R243" i="23"/>
  <c r="AG242" i="23"/>
  <c r="AE242" i="23"/>
  <c r="AD242" i="23"/>
  <c r="AC242" i="23"/>
  <c r="AB242" i="23"/>
  <c r="AA242" i="23"/>
  <c r="Z242" i="23"/>
  <c r="Y242" i="23"/>
  <c r="X242" i="23"/>
  <c r="W242" i="23"/>
  <c r="V242" i="23"/>
  <c r="U242" i="23"/>
  <c r="T242" i="23"/>
  <c r="AF242" i="23" s="1"/>
  <c r="R242" i="23"/>
  <c r="AE241" i="23"/>
  <c r="AD241" i="23"/>
  <c r="AC241" i="23"/>
  <c r="AB241" i="23"/>
  <c r="AA241" i="23"/>
  <c r="Z241" i="23"/>
  <c r="Y241" i="23"/>
  <c r="X241" i="23"/>
  <c r="W241" i="23"/>
  <c r="V241" i="23"/>
  <c r="U241" i="23"/>
  <c r="T241" i="23"/>
  <c r="R241" i="23"/>
  <c r="AE240" i="23"/>
  <c r="AD240" i="23"/>
  <c r="AC240" i="23"/>
  <c r="AB240" i="23"/>
  <c r="AA240" i="23"/>
  <c r="Z240" i="23"/>
  <c r="Y240" i="23"/>
  <c r="X240" i="23"/>
  <c r="W240" i="23"/>
  <c r="V240" i="23"/>
  <c r="U240" i="23"/>
  <c r="T240" i="23"/>
  <c r="R240" i="23"/>
  <c r="AE239" i="23"/>
  <c r="AD239" i="23"/>
  <c r="AC239" i="23"/>
  <c r="AB239" i="23"/>
  <c r="AA239" i="23"/>
  <c r="Z239" i="23"/>
  <c r="Y239" i="23"/>
  <c r="X239" i="23"/>
  <c r="W239" i="23"/>
  <c r="V239" i="23"/>
  <c r="U239" i="23"/>
  <c r="T239" i="23"/>
  <c r="AG239" i="23" s="1"/>
  <c r="R239" i="23"/>
  <c r="AE238" i="23"/>
  <c r="AD238" i="23"/>
  <c r="AC238" i="23"/>
  <c r="AB238" i="23"/>
  <c r="AA238" i="23"/>
  <c r="Z238" i="23"/>
  <c r="Y238" i="23"/>
  <c r="X238" i="23"/>
  <c r="W238" i="23"/>
  <c r="V238" i="23"/>
  <c r="U238" i="23"/>
  <c r="AG238" i="23" s="1"/>
  <c r="T238" i="23"/>
  <c r="AF238" i="23" s="1"/>
  <c r="R238" i="23"/>
  <c r="AE237" i="23"/>
  <c r="AD237" i="23"/>
  <c r="AC237" i="23"/>
  <c r="AB237" i="23"/>
  <c r="AA237" i="23"/>
  <c r="Z237" i="23"/>
  <c r="Y237" i="23"/>
  <c r="X237" i="23"/>
  <c r="W237" i="23"/>
  <c r="V237" i="23"/>
  <c r="U237" i="23"/>
  <c r="T237" i="23"/>
  <c r="AG237" i="23" s="1"/>
  <c r="R237" i="23"/>
  <c r="AE236" i="23"/>
  <c r="AD236" i="23"/>
  <c r="AC236" i="23"/>
  <c r="AB236" i="23"/>
  <c r="AA236" i="23"/>
  <c r="Z236" i="23"/>
  <c r="Y236" i="23"/>
  <c r="X236" i="23"/>
  <c r="W236" i="23"/>
  <c r="V236" i="23"/>
  <c r="U236" i="23"/>
  <c r="T236" i="23"/>
  <c r="AG236" i="23" s="1"/>
  <c r="R236" i="23"/>
  <c r="AE235" i="23"/>
  <c r="AD235" i="23"/>
  <c r="AC235" i="23"/>
  <c r="AB235" i="23"/>
  <c r="AA235" i="23"/>
  <c r="Z235" i="23"/>
  <c r="Y235" i="23"/>
  <c r="X235" i="23"/>
  <c r="W235" i="23"/>
  <c r="V235" i="23"/>
  <c r="U235" i="23"/>
  <c r="T235" i="23"/>
  <c r="AG235" i="23" s="1"/>
  <c r="R235" i="23"/>
  <c r="AE234" i="23"/>
  <c r="AD234" i="23"/>
  <c r="AC234" i="23"/>
  <c r="AB234" i="23"/>
  <c r="AA234" i="23"/>
  <c r="Z234" i="23"/>
  <c r="Y234" i="23"/>
  <c r="X234" i="23"/>
  <c r="W234" i="23"/>
  <c r="V234" i="23"/>
  <c r="U234" i="23"/>
  <c r="AG234" i="23" s="1"/>
  <c r="T234" i="23"/>
  <c r="AF234" i="23" s="1"/>
  <c r="R234" i="23"/>
  <c r="AE233" i="23"/>
  <c r="AD233" i="23"/>
  <c r="AC233" i="23"/>
  <c r="AB233" i="23"/>
  <c r="AA233" i="23"/>
  <c r="Z233" i="23"/>
  <c r="Y233" i="23"/>
  <c r="X233" i="23"/>
  <c r="W233" i="23"/>
  <c r="V233" i="23"/>
  <c r="U233" i="23"/>
  <c r="T233" i="23"/>
  <c r="AG233" i="23" s="1"/>
  <c r="R233" i="23"/>
  <c r="AE232" i="23"/>
  <c r="AD232" i="23"/>
  <c r="AC232" i="23"/>
  <c r="AB232" i="23"/>
  <c r="AA232" i="23"/>
  <c r="Z232" i="23"/>
  <c r="Y232" i="23"/>
  <c r="X232" i="23"/>
  <c r="W232" i="23"/>
  <c r="V232" i="23"/>
  <c r="U232" i="23"/>
  <c r="T232" i="23"/>
  <c r="AG232" i="23" s="1"/>
  <c r="R232" i="23"/>
  <c r="AE231" i="23"/>
  <c r="AD231" i="23"/>
  <c r="AC231" i="23"/>
  <c r="AB231" i="23"/>
  <c r="AA231" i="23"/>
  <c r="Z231" i="23"/>
  <c r="Y231" i="23"/>
  <c r="X231" i="23"/>
  <c r="W231" i="23"/>
  <c r="V231" i="23"/>
  <c r="U231" i="23"/>
  <c r="T231" i="23"/>
  <c r="AG231" i="23" s="1"/>
  <c r="R231" i="23"/>
  <c r="AE230" i="23"/>
  <c r="AD230" i="23"/>
  <c r="AC230" i="23"/>
  <c r="AB230" i="23"/>
  <c r="AA230" i="23"/>
  <c r="Z230" i="23"/>
  <c r="Y230" i="23"/>
  <c r="X230" i="23"/>
  <c r="W230" i="23"/>
  <c r="V230" i="23"/>
  <c r="U230" i="23"/>
  <c r="AG230" i="23" s="1"/>
  <c r="T230" i="23"/>
  <c r="AF230" i="23" s="1"/>
  <c r="R230" i="23"/>
  <c r="AE229" i="23"/>
  <c r="AD229" i="23"/>
  <c r="AC229" i="23"/>
  <c r="AB229" i="23"/>
  <c r="AA229" i="23"/>
  <c r="Z229" i="23"/>
  <c r="Y229" i="23"/>
  <c r="X229" i="23"/>
  <c r="W229" i="23"/>
  <c r="V229" i="23"/>
  <c r="U229" i="23"/>
  <c r="T229" i="23"/>
  <c r="AG229" i="23" s="1"/>
  <c r="R229" i="23"/>
  <c r="AE228" i="23"/>
  <c r="AD228" i="23"/>
  <c r="AC228" i="23"/>
  <c r="AB228" i="23"/>
  <c r="AA228" i="23"/>
  <c r="Z228" i="23"/>
  <c r="Y228" i="23"/>
  <c r="X228" i="23"/>
  <c r="W228" i="23"/>
  <c r="V228" i="23"/>
  <c r="U228" i="23"/>
  <c r="T228" i="23"/>
  <c r="AG228" i="23" s="1"/>
  <c r="R228" i="23"/>
  <c r="AE227" i="23"/>
  <c r="AD227" i="23"/>
  <c r="AC227" i="23"/>
  <c r="AB227" i="23"/>
  <c r="AA227" i="23"/>
  <c r="Z227" i="23"/>
  <c r="Y227" i="23"/>
  <c r="X227" i="23"/>
  <c r="W227" i="23"/>
  <c r="V227" i="23"/>
  <c r="U227" i="23"/>
  <c r="T227" i="23"/>
  <c r="AG227" i="23" s="1"/>
  <c r="R227" i="23"/>
  <c r="AE226" i="23"/>
  <c r="AD226" i="23"/>
  <c r="AC226" i="23"/>
  <c r="AB226" i="23"/>
  <c r="AA226" i="23"/>
  <c r="Z226" i="23"/>
  <c r="Y226" i="23"/>
  <c r="X226" i="23"/>
  <c r="W226" i="23"/>
  <c r="V226" i="23"/>
  <c r="U226" i="23"/>
  <c r="AG226" i="23" s="1"/>
  <c r="T226" i="23"/>
  <c r="AF226" i="23" s="1"/>
  <c r="R226" i="23"/>
  <c r="AE225" i="23"/>
  <c r="AD225" i="23"/>
  <c r="AC225" i="23"/>
  <c r="AB225" i="23"/>
  <c r="AA225" i="23"/>
  <c r="Z225" i="23"/>
  <c r="Y225" i="23"/>
  <c r="X225" i="23"/>
  <c r="W225" i="23"/>
  <c r="V225" i="23"/>
  <c r="U225" i="23"/>
  <c r="T225" i="23"/>
  <c r="AG225" i="23" s="1"/>
  <c r="R225" i="23"/>
  <c r="AE224" i="23"/>
  <c r="AD224" i="23"/>
  <c r="AC224" i="23"/>
  <c r="AB224" i="23"/>
  <c r="AA224" i="23"/>
  <c r="Z224" i="23"/>
  <c r="Y224" i="23"/>
  <c r="X224" i="23"/>
  <c r="W224" i="23"/>
  <c r="V224" i="23"/>
  <c r="U224" i="23"/>
  <c r="T224" i="23"/>
  <c r="AG224" i="23" s="1"/>
  <c r="R224" i="23"/>
  <c r="AE223" i="23"/>
  <c r="AD223" i="23"/>
  <c r="AC223" i="23"/>
  <c r="AB223" i="23"/>
  <c r="AA223" i="23"/>
  <c r="Z223" i="23"/>
  <c r="Y223" i="23"/>
  <c r="X223" i="23"/>
  <c r="W223" i="23"/>
  <c r="V223" i="23"/>
  <c r="U223" i="23"/>
  <c r="T223" i="23"/>
  <c r="AG223" i="23" s="1"/>
  <c r="R223" i="23"/>
  <c r="AE222" i="23"/>
  <c r="AD222" i="23"/>
  <c r="AC222" i="23"/>
  <c r="AB222" i="23"/>
  <c r="AA222" i="23"/>
  <c r="Z222" i="23"/>
  <c r="Y222" i="23"/>
  <c r="X222" i="23"/>
  <c r="W222" i="23"/>
  <c r="V222" i="23"/>
  <c r="U222" i="23"/>
  <c r="AG222" i="23" s="1"/>
  <c r="T222" i="23"/>
  <c r="AF222" i="23" s="1"/>
  <c r="R222" i="23"/>
  <c r="AE221" i="23"/>
  <c r="AD221" i="23"/>
  <c r="AC221" i="23"/>
  <c r="AB221" i="23"/>
  <c r="AA221" i="23"/>
  <c r="Z221" i="23"/>
  <c r="Y221" i="23"/>
  <c r="X221" i="23"/>
  <c r="W221" i="23"/>
  <c r="V221" i="23"/>
  <c r="U221" i="23"/>
  <c r="T221" i="23"/>
  <c r="AG221" i="23" s="1"/>
  <c r="R221" i="23"/>
  <c r="AE220" i="23"/>
  <c r="AD220" i="23"/>
  <c r="AC220" i="23"/>
  <c r="AB220" i="23"/>
  <c r="AA220" i="23"/>
  <c r="Z220" i="23"/>
  <c r="Y220" i="23"/>
  <c r="X220" i="23"/>
  <c r="W220" i="23"/>
  <c r="V220" i="23"/>
  <c r="U220" i="23"/>
  <c r="T220" i="23"/>
  <c r="AG220" i="23" s="1"/>
  <c r="R220" i="23"/>
  <c r="AE219" i="23"/>
  <c r="AD219" i="23"/>
  <c r="AC219" i="23"/>
  <c r="AB219" i="23"/>
  <c r="AA219" i="23"/>
  <c r="Z219" i="23"/>
  <c r="Y219" i="23"/>
  <c r="X219" i="23"/>
  <c r="W219" i="23"/>
  <c r="V219" i="23"/>
  <c r="U219" i="23"/>
  <c r="T219" i="23"/>
  <c r="AG219" i="23" s="1"/>
  <c r="R219" i="23"/>
  <c r="AE218" i="23"/>
  <c r="AD218" i="23"/>
  <c r="AC218" i="23"/>
  <c r="AB218" i="23"/>
  <c r="AA218" i="23"/>
  <c r="Z218" i="23"/>
  <c r="Y218" i="23"/>
  <c r="X218" i="23"/>
  <c r="W218" i="23"/>
  <c r="V218" i="23"/>
  <c r="U218" i="23"/>
  <c r="AG218" i="23" s="1"/>
  <c r="T218" i="23"/>
  <c r="AF218" i="23" s="1"/>
  <c r="R218" i="23"/>
  <c r="AE217" i="23"/>
  <c r="AD217" i="23"/>
  <c r="AC217" i="23"/>
  <c r="AB217" i="23"/>
  <c r="AA217" i="23"/>
  <c r="Z217" i="23"/>
  <c r="Y217" i="23"/>
  <c r="X217" i="23"/>
  <c r="W217" i="23"/>
  <c r="V217" i="23"/>
  <c r="U217" i="23"/>
  <c r="T217" i="23"/>
  <c r="AG217" i="23" s="1"/>
  <c r="R217" i="23"/>
  <c r="AE216" i="23"/>
  <c r="AD216" i="23"/>
  <c r="AC216" i="23"/>
  <c r="AB216" i="23"/>
  <c r="AA216" i="23"/>
  <c r="Z216" i="23"/>
  <c r="Y216" i="23"/>
  <c r="X216" i="23"/>
  <c r="W216" i="23"/>
  <c r="V216" i="23"/>
  <c r="U216" i="23"/>
  <c r="T216" i="23"/>
  <c r="AG216" i="23" s="1"/>
  <c r="R216" i="23"/>
  <c r="AE215" i="23"/>
  <c r="AD215" i="23"/>
  <c r="AC215" i="23"/>
  <c r="AB215" i="23"/>
  <c r="AA215" i="23"/>
  <c r="Z215" i="23"/>
  <c r="Y215" i="23"/>
  <c r="X215" i="23"/>
  <c r="W215" i="23"/>
  <c r="V215" i="23"/>
  <c r="U215" i="23"/>
  <c r="T215" i="23"/>
  <c r="AG215" i="23" s="1"/>
  <c r="R215" i="23"/>
  <c r="AE214" i="23"/>
  <c r="AD214" i="23"/>
  <c r="AC214" i="23"/>
  <c r="AB214" i="23"/>
  <c r="AA214" i="23"/>
  <c r="Z214" i="23"/>
  <c r="Y214" i="23"/>
  <c r="X214" i="23"/>
  <c r="W214" i="23"/>
  <c r="V214" i="23"/>
  <c r="U214" i="23"/>
  <c r="AG214" i="23" s="1"/>
  <c r="T214" i="23"/>
  <c r="AF214" i="23" s="1"/>
  <c r="R214" i="23"/>
  <c r="AE213" i="23"/>
  <c r="AD213" i="23"/>
  <c r="AC213" i="23"/>
  <c r="AB213" i="23"/>
  <c r="AA213" i="23"/>
  <c r="Z213" i="23"/>
  <c r="Y213" i="23"/>
  <c r="X213" i="23"/>
  <c r="W213" i="23"/>
  <c r="V213" i="23"/>
  <c r="U213" i="23"/>
  <c r="T213" i="23"/>
  <c r="AG213" i="23" s="1"/>
  <c r="R213" i="23"/>
  <c r="AE212" i="23"/>
  <c r="AD212" i="23"/>
  <c r="AC212" i="23"/>
  <c r="AB212" i="23"/>
  <c r="AA212" i="23"/>
  <c r="Z212" i="23"/>
  <c r="Y212" i="23"/>
  <c r="X212" i="23"/>
  <c r="W212" i="23"/>
  <c r="V212" i="23"/>
  <c r="U212" i="23"/>
  <c r="T212" i="23"/>
  <c r="AG212" i="23" s="1"/>
  <c r="R212" i="23"/>
  <c r="AE211" i="23"/>
  <c r="AD211" i="23"/>
  <c r="AC211" i="23"/>
  <c r="AB211" i="23"/>
  <c r="AA211" i="23"/>
  <c r="Z211" i="23"/>
  <c r="Y211" i="23"/>
  <c r="X211" i="23"/>
  <c r="W211" i="23"/>
  <c r="V211" i="23"/>
  <c r="U211" i="23"/>
  <c r="T211" i="23"/>
  <c r="AG211" i="23" s="1"/>
  <c r="R211" i="23"/>
  <c r="AE210" i="23"/>
  <c r="AD210" i="23"/>
  <c r="AC210" i="23"/>
  <c r="AB210" i="23"/>
  <c r="AA210" i="23"/>
  <c r="Z210" i="23"/>
  <c r="Y210" i="23"/>
  <c r="X210" i="23"/>
  <c r="W210" i="23"/>
  <c r="V210" i="23"/>
  <c r="U210" i="23"/>
  <c r="AG210" i="23" s="1"/>
  <c r="T210" i="23"/>
  <c r="AF210" i="23" s="1"/>
  <c r="R210" i="23"/>
  <c r="AE209" i="23"/>
  <c r="AD209" i="23"/>
  <c r="AC209" i="23"/>
  <c r="AB209" i="23"/>
  <c r="AA209" i="23"/>
  <c r="Z209" i="23"/>
  <c r="Y209" i="23"/>
  <c r="X209" i="23"/>
  <c r="W209" i="23"/>
  <c r="V209" i="23"/>
  <c r="U209" i="23"/>
  <c r="T209" i="23"/>
  <c r="AG209" i="23" s="1"/>
  <c r="R209" i="23"/>
  <c r="AE208" i="23"/>
  <c r="AD208" i="23"/>
  <c r="AC208" i="23"/>
  <c r="AB208" i="23"/>
  <c r="AA208" i="23"/>
  <c r="Z208" i="23"/>
  <c r="Y208" i="23"/>
  <c r="X208" i="23"/>
  <c r="W208" i="23"/>
  <c r="V208" i="23"/>
  <c r="U208" i="23"/>
  <c r="T208" i="23"/>
  <c r="AG208" i="23" s="1"/>
  <c r="R208" i="23"/>
  <c r="AE207" i="23"/>
  <c r="AD207" i="23"/>
  <c r="AC207" i="23"/>
  <c r="AB207" i="23"/>
  <c r="AA207" i="23"/>
  <c r="Z207" i="23"/>
  <c r="Y207" i="23"/>
  <c r="X207" i="23"/>
  <c r="W207" i="23"/>
  <c r="V207" i="23"/>
  <c r="U207" i="23"/>
  <c r="T207" i="23"/>
  <c r="AG207" i="23" s="1"/>
  <c r="R207" i="23"/>
  <c r="AE206" i="23"/>
  <c r="AD206" i="23"/>
  <c r="AC206" i="23"/>
  <c r="AB206" i="23"/>
  <c r="AA206" i="23"/>
  <c r="Z206" i="23"/>
  <c r="Y206" i="23"/>
  <c r="X206" i="23"/>
  <c r="W206" i="23"/>
  <c r="V206" i="23"/>
  <c r="U206" i="23"/>
  <c r="AG206" i="23" s="1"/>
  <c r="T206" i="23"/>
  <c r="AF206" i="23" s="1"/>
  <c r="R206" i="23"/>
  <c r="AE205" i="23"/>
  <c r="AD205" i="23"/>
  <c r="AC205" i="23"/>
  <c r="AB205" i="23"/>
  <c r="AA205" i="23"/>
  <c r="Z205" i="23"/>
  <c r="Y205" i="23"/>
  <c r="X205" i="23"/>
  <c r="W205" i="23"/>
  <c r="V205" i="23"/>
  <c r="U205" i="23"/>
  <c r="T205" i="23"/>
  <c r="AG205" i="23" s="1"/>
  <c r="R205" i="23"/>
  <c r="AE204" i="23"/>
  <c r="AD204" i="23"/>
  <c r="AC204" i="23"/>
  <c r="AB204" i="23"/>
  <c r="AA204" i="23"/>
  <c r="Z204" i="23"/>
  <c r="Y204" i="23"/>
  <c r="X204" i="23"/>
  <c r="W204" i="23"/>
  <c r="V204" i="23"/>
  <c r="U204" i="23"/>
  <c r="T204" i="23"/>
  <c r="R204" i="23"/>
  <c r="AE203" i="23"/>
  <c r="AD203" i="23"/>
  <c r="AC203" i="23"/>
  <c r="AB203" i="23"/>
  <c r="AA203" i="23"/>
  <c r="Z203" i="23"/>
  <c r="Y203" i="23"/>
  <c r="X203" i="23"/>
  <c r="W203" i="23"/>
  <c r="V203" i="23"/>
  <c r="U203" i="23"/>
  <c r="T203" i="23"/>
  <c r="AG203" i="23" s="1"/>
  <c r="R203" i="23"/>
  <c r="AE202" i="23"/>
  <c r="AD202" i="23"/>
  <c r="AC202" i="23"/>
  <c r="AB202" i="23"/>
  <c r="AA202" i="23"/>
  <c r="Z202" i="23"/>
  <c r="Y202" i="23"/>
  <c r="X202" i="23"/>
  <c r="W202" i="23"/>
  <c r="V202" i="23"/>
  <c r="U202" i="23"/>
  <c r="AG202" i="23" s="1"/>
  <c r="T202" i="23"/>
  <c r="R202" i="23"/>
  <c r="AE201" i="23"/>
  <c r="AD201" i="23"/>
  <c r="AC201" i="23"/>
  <c r="AB201" i="23"/>
  <c r="AA201" i="23"/>
  <c r="Z201" i="23"/>
  <c r="Y201" i="23"/>
  <c r="X201" i="23"/>
  <c r="W201" i="23"/>
  <c r="V201" i="23"/>
  <c r="U201" i="23"/>
  <c r="T201" i="23"/>
  <c r="R201" i="23"/>
  <c r="AE200" i="23"/>
  <c r="AD200" i="23"/>
  <c r="AC200" i="23"/>
  <c r="AB200" i="23"/>
  <c r="AA200" i="23"/>
  <c r="Z200" i="23"/>
  <c r="Y200" i="23"/>
  <c r="X200" i="23"/>
  <c r="W200" i="23"/>
  <c r="V200" i="23"/>
  <c r="U200" i="23"/>
  <c r="T200" i="23"/>
  <c r="R200" i="23"/>
  <c r="AE199" i="23"/>
  <c r="AD199" i="23"/>
  <c r="AC199" i="23"/>
  <c r="AB199" i="23"/>
  <c r="AA199" i="23"/>
  <c r="Z199" i="23"/>
  <c r="Y199" i="23"/>
  <c r="X199" i="23"/>
  <c r="W199" i="23"/>
  <c r="V199" i="23"/>
  <c r="U199" i="23"/>
  <c r="T199" i="23"/>
  <c r="AG199" i="23" s="1"/>
  <c r="R199" i="23"/>
  <c r="AE198" i="23"/>
  <c r="AD198" i="23"/>
  <c r="AC198" i="23"/>
  <c r="AB198" i="23"/>
  <c r="AA198" i="23"/>
  <c r="Z198" i="23"/>
  <c r="Y198" i="23"/>
  <c r="X198" i="23"/>
  <c r="W198" i="23"/>
  <c r="V198" i="23"/>
  <c r="U198" i="23"/>
  <c r="T198" i="23"/>
  <c r="R198" i="23"/>
  <c r="AE197" i="23"/>
  <c r="AD197" i="23"/>
  <c r="AC197" i="23"/>
  <c r="AB197" i="23"/>
  <c r="AA197" i="23"/>
  <c r="Z197" i="23"/>
  <c r="Y197" i="23"/>
  <c r="X197" i="23"/>
  <c r="W197" i="23"/>
  <c r="V197" i="23"/>
  <c r="U197" i="23"/>
  <c r="T197" i="23"/>
  <c r="AG197" i="23" s="1"/>
  <c r="R197" i="23"/>
  <c r="AG196" i="23"/>
  <c r="AE196" i="23"/>
  <c r="AD196" i="23"/>
  <c r="AC196" i="23"/>
  <c r="AB196" i="23"/>
  <c r="AA196" i="23"/>
  <c r="Z196" i="23"/>
  <c r="Y196" i="23"/>
  <c r="X196" i="23"/>
  <c r="W196" i="23"/>
  <c r="V196" i="23"/>
  <c r="U196" i="23"/>
  <c r="T196" i="23"/>
  <c r="AF196" i="23" s="1"/>
  <c r="R196" i="23"/>
  <c r="AE195" i="23"/>
  <c r="AD195" i="23"/>
  <c r="AC195" i="23"/>
  <c r="AB195" i="23"/>
  <c r="AA195" i="23"/>
  <c r="Z195" i="23"/>
  <c r="Y195" i="23"/>
  <c r="X195" i="23"/>
  <c r="W195" i="23"/>
  <c r="V195" i="23"/>
  <c r="U195" i="23"/>
  <c r="T195" i="23"/>
  <c r="AG195" i="23" s="1"/>
  <c r="R195" i="23"/>
  <c r="AE194" i="23"/>
  <c r="AD194" i="23"/>
  <c r="AC194" i="23"/>
  <c r="AB194" i="23"/>
  <c r="AA194" i="23"/>
  <c r="Z194" i="23"/>
  <c r="Y194" i="23"/>
  <c r="X194" i="23"/>
  <c r="W194" i="23"/>
  <c r="V194" i="23"/>
  <c r="U194" i="23"/>
  <c r="T194" i="23"/>
  <c r="R194" i="23"/>
  <c r="AL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R193" i="23"/>
  <c r="AL192" i="23"/>
  <c r="AE192" i="23"/>
  <c r="AD192" i="23"/>
  <c r="AC192" i="23"/>
  <c r="AB192" i="23"/>
  <c r="AA192" i="23"/>
  <c r="Z192" i="23"/>
  <c r="Y192" i="23"/>
  <c r="X192" i="23"/>
  <c r="W192" i="23"/>
  <c r="V192" i="23"/>
  <c r="U192" i="23"/>
  <c r="AG192" i="23" s="1"/>
  <c r="T192" i="23"/>
  <c r="R192" i="23"/>
  <c r="AL191" i="23"/>
  <c r="AE191" i="23"/>
  <c r="AD191" i="23"/>
  <c r="AC191" i="23"/>
  <c r="AB191" i="23"/>
  <c r="AA191" i="23"/>
  <c r="Z191" i="23"/>
  <c r="Y191" i="23"/>
  <c r="X191" i="23"/>
  <c r="W191" i="23"/>
  <c r="V191" i="23"/>
  <c r="U191" i="23"/>
  <c r="AG191" i="23" s="1"/>
  <c r="T191" i="23"/>
  <c r="AF191" i="23" s="1"/>
  <c r="R191" i="23"/>
  <c r="AL190" i="23"/>
  <c r="AE190" i="23"/>
  <c r="AD190" i="23"/>
  <c r="AC190" i="23"/>
  <c r="AB190" i="23"/>
  <c r="AA190" i="23"/>
  <c r="Z190" i="23"/>
  <c r="Y190" i="23"/>
  <c r="X190" i="23"/>
  <c r="W190" i="23"/>
  <c r="V190" i="23"/>
  <c r="U190" i="23"/>
  <c r="T190" i="23"/>
  <c r="AG190" i="23" s="1"/>
  <c r="R190" i="23"/>
  <c r="AL189" i="23"/>
  <c r="AE189" i="23"/>
  <c r="AD189" i="23"/>
  <c r="AC189" i="23"/>
  <c r="AB189" i="23"/>
  <c r="AA189" i="23"/>
  <c r="Z189" i="23"/>
  <c r="Y189" i="23"/>
  <c r="X189" i="23"/>
  <c r="W189" i="23"/>
  <c r="V189" i="23"/>
  <c r="U189" i="23"/>
  <c r="AG189" i="23" s="1"/>
  <c r="T189" i="23"/>
  <c r="AF189" i="23" s="1"/>
  <c r="R189" i="23"/>
  <c r="AL188" i="23"/>
  <c r="AE188" i="23"/>
  <c r="AD188" i="23"/>
  <c r="AC188" i="23"/>
  <c r="AB188" i="23"/>
  <c r="AA188" i="23"/>
  <c r="Z188" i="23"/>
  <c r="Y188" i="23"/>
  <c r="X188" i="23"/>
  <c r="W188" i="23"/>
  <c r="V188" i="23"/>
  <c r="U188" i="23"/>
  <c r="AG188" i="23" s="1"/>
  <c r="T188" i="23"/>
  <c r="AF188" i="23" s="1"/>
  <c r="R188" i="23"/>
  <c r="AE187" i="23"/>
  <c r="AD187" i="23"/>
  <c r="AC187" i="23"/>
  <c r="AB187" i="23"/>
  <c r="AA187" i="23"/>
  <c r="Z187" i="23"/>
  <c r="Y187" i="23"/>
  <c r="X187" i="23"/>
  <c r="W187" i="23"/>
  <c r="V187" i="23"/>
  <c r="U187" i="23"/>
  <c r="T187" i="23"/>
  <c r="AG187" i="23" s="1"/>
  <c r="R187" i="23"/>
  <c r="AL186" i="23"/>
  <c r="AE186" i="23"/>
  <c r="AD186" i="23"/>
  <c r="AC186" i="23"/>
  <c r="AB186" i="23"/>
  <c r="AA186" i="23"/>
  <c r="Z186" i="23"/>
  <c r="Y186" i="23"/>
  <c r="X186" i="23"/>
  <c r="W186" i="23"/>
  <c r="V186" i="23"/>
  <c r="U186" i="23"/>
  <c r="AG186" i="23" s="1"/>
  <c r="T186" i="23"/>
  <c r="AF186" i="23" s="1"/>
  <c r="R186" i="23"/>
  <c r="AL185" i="23"/>
  <c r="AE185" i="23"/>
  <c r="AD185" i="23"/>
  <c r="AC185" i="23"/>
  <c r="AB185" i="23"/>
  <c r="AA185" i="23"/>
  <c r="Z185" i="23"/>
  <c r="Y185" i="23"/>
  <c r="X185" i="23"/>
  <c r="W185" i="23"/>
  <c r="V185" i="23"/>
  <c r="U185" i="23"/>
  <c r="AG185" i="23" s="1"/>
  <c r="T185" i="23"/>
  <c r="AF185" i="23" s="1"/>
  <c r="R185" i="23"/>
  <c r="AL184" i="23"/>
  <c r="AE184" i="23"/>
  <c r="AD184" i="23"/>
  <c r="AC184" i="23"/>
  <c r="AB184" i="23"/>
  <c r="AA184" i="23"/>
  <c r="Z184" i="23"/>
  <c r="Y184" i="23"/>
  <c r="X184" i="23"/>
  <c r="W184" i="23"/>
  <c r="V184" i="23"/>
  <c r="U184" i="23"/>
  <c r="T184" i="23"/>
  <c r="AG184" i="23" s="1"/>
  <c r="R184" i="23"/>
  <c r="AL183" i="23"/>
  <c r="AE183" i="23"/>
  <c r="AD183" i="23"/>
  <c r="AC183" i="23"/>
  <c r="AB183" i="23"/>
  <c r="AA183" i="23"/>
  <c r="Z183" i="23"/>
  <c r="Y183" i="23"/>
  <c r="X183" i="23"/>
  <c r="W183" i="23"/>
  <c r="V183" i="23"/>
  <c r="U183" i="23"/>
  <c r="T183" i="23"/>
  <c r="AG183" i="23" s="1"/>
  <c r="R183" i="23"/>
  <c r="AL182" i="23"/>
  <c r="AE182" i="23"/>
  <c r="AD182" i="23"/>
  <c r="AC182" i="23"/>
  <c r="AB182" i="23"/>
  <c r="AA182" i="23"/>
  <c r="Z182" i="23"/>
  <c r="Y182" i="23"/>
  <c r="X182" i="23"/>
  <c r="W182" i="23"/>
  <c r="V182" i="23"/>
  <c r="U182" i="23"/>
  <c r="AG182" i="23" s="1"/>
  <c r="T182" i="23"/>
  <c r="AF182" i="23" s="1"/>
  <c r="R182" i="23"/>
  <c r="AL181" i="23"/>
  <c r="AE181" i="23"/>
  <c r="AD181" i="23"/>
  <c r="AC181" i="23"/>
  <c r="AB181" i="23"/>
  <c r="AA181" i="23"/>
  <c r="Z181" i="23"/>
  <c r="Y181" i="23"/>
  <c r="X181" i="23"/>
  <c r="W181" i="23"/>
  <c r="V181" i="23"/>
  <c r="U181" i="23"/>
  <c r="AG181" i="23" s="1"/>
  <c r="T181" i="23"/>
  <c r="AF181" i="23" s="1"/>
  <c r="R181" i="23"/>
  <c r="AL180" i="23"/>
  <c r="AE180" i="23"/>
  <c r="AD180" i="23"/>
  <c r="AC180" i="23"/>
  <c r="AB180" i="23"/>
  <c r="AA180" i="23"/>
  <c r="Z180" i="23"/>
  <c r="Y180" i="23"/>
  <c r="X180" i="23"/>
  <c r="W180" i="23"/>
  <c r="V180" i="23"/>
  <c r="U180" i="23"/>
  <c r="T180" i="23"/>
  <c r="AG180" i="23" s="1"/>
  <c r="R180" i="23"/>
  <c r="AL179" i="23"/>
  <c r="AE179" i="23"/>
  <c r="AD179" i="23"/>
  <c r="AC179" i="23"/>
  <c r="AB179" i="23"/>
  <c r="AA179" i="23"/>
  <c r="Z179" i="23"/>
  <c r="Y179" i="23"/>
  <c r="X179" i="23"/>
  <c r="W179" i="23"/>
  <c r="V179" i="23"/>
  <c r="U179" i="23"/>
  <c r="T179" i="23"/>
  <c r="AG179" i="23" s="1"/>
  <c r="R179" i="23"/>
  <c r="AL178" i="23"/>
  <c r="AE178" i="23"/>
  <c r="AD178" i="23"/>
  <c r="AC178" i="23"/>
  <c r="AB178" i="23"/>
  <c r="AA178" i="23"/>
  <c r="Z178" i="23"/>
  <c r="Y178" i="23"/>
  <c r="X178" i="23"/>
  <c r="W178" i="23"/>
  <c r="V178" i="23"/>
  <c r="U178" i="23"/>
  <c r="AG178" i="23" s="1"/>
  <c r="T178" i="23"/>
  <c r="AF178" i="23" s="1"/>
  <c r="R178" i="23"/>
  <c r="AL177" i="23"/>
  <c r="AE177" i="23"/>
  <c r="AD177" i="23"/>
  <c r="AC177" i="23"/>
  <c r="AB177" i="23"/>
  <c r="AA177" i="23"/>
  <c r="Z177" i="23"/>
  <c r="Y177" i="23"/>
  <c r="X177" i="23"/>
  <c r="W177" i="23"/>
  <c r="V177" i="23"/>
  <c r="U177" i="23"/>
  <c r="T177" i="23"/>
  <c r="AG177" i="23" s="1"/>
  <c r="R177" i="23"/>
  <c r="AL176" i="23"/>
  <c r="AE176" i="23"/>
  <c r="AD176" i="23"/>
  <c r="AC176" i="23"/>
  <c r="AB176" i="23"/>
  <c r="AA176" i="23"/>
  <c r="Z176" i="23"/>
  <c r="Y176" i="23"/>
  <c r="X176" i="23"/>
  <c r="W176" i="23"/>
  <c r="V176" i="23"/>
  <c r="U176" i="23"/>
  <c r="T176" i="23"/>
  <c r="AG176" i="23" s="1"/>
  <c r="R176" i="23"/>
  <c r="AL175" i="23"/>
  <c r="AE175" i="23"/>
  <c r="AD175" i="23"/>
  <c r="AC175" i="23"/>
  <c r="AB175" i="23"/>
  <c r="AA175" i="23"/>
  <c r="Z175" i="23"/>
  <c r="Y175" i="23"/>
  <c r="X175" i="23"/>
  <c r="W175" i="23"/>
  <c r="V175" i="23"/>
  <c r="U175" i="23"/>
  <c r="T175" i="23"/>
  <c r="AG175" i="23" s="1"/>
  <c r="R175" i="23"/>
  <c r="AE174" i="23"/>
  <c r="AD174" i="23"/>
  <c r="AC174" i="23"/>
  <c r="AB174" i="23"/>
  <c r="AA174" i="23"/>
  <c r="Z174" i="23"/>
  <c r="Y174" i="23"/>
  <c r="X174" i="23"/>
  <c r="W174" i="23"/>
  <c r="V174" i="23"/>
  <c r="U174" i="23"/>
  <c r="AG174" i="23" s="1"/>
  <c r="T174" i="23"/>
  <c r="AF174" i="23" s="1"/>
  <c r="R174" i="23"/>
  <c r="AL173" i="23"/>
  <c r="AE173" i="23"/>
  <c r="AD173" i="23"/>
  <c r="AC173" i="23"/>
  <c r="AB173" i="23"/>
  <c r="AA173" i="23"/>
  <c r="Z173" i="23"/>
  <c r="Y173" i="23"/>
  <c r="X173" i="23"/>
  <c r="W173" i="23"/>
  <c r="V173" i="23"/>
  <c r="U173" i="23"/>
  <c r="T173" i="23"/>
  <c r="AG173" i="23" s="1"/>
  <c r="R173" i="23"/>
  <c r="AL172" i="23"/>
  <c r="AE172" i="23"/>
  <c r="AD172" i="23"/>
  <c r="AC172" i="23"/>
  <c r="AB172" i="23"/>
  <c r="AA172" i="23"/>
  <c r="Z172" i="23"/>
  <c r="Y172" i="23"/>
  <c r="X172" i="23"/>
  <c r="W172" i="23"/>
  <c r="V172" i="23"/>
  <c r="U172" i="23"/>
  <c r="T172" i="23"/>
  <c r="AG172" i="23" s="1"/>
  <c r="R172" i="23"/>
  <c r="AL171" i="23"/>
  <c r="AE171" i="23"/>
  <c r="AD171" i="23"/>
  <c r="AC171" i="23"/>
  <c r="AB171" i="23"/>
  <c r="AA171" i="23"/>
  <c r="Z171" i="23"/>
  <c r="Y171" i="23"/>
  <c r="X171" i="23"/>
  <c r="W171" i="23"/>
  <c r="V171" i="23"/>
  <c r="U171" i="23"/>
  <c r="AG171" i="23" s="1"/>
  <c r="T171" i="23"/>
  <c r="AF171" i="23" s="1"/>
  <c r="R171" i="23"/>
  <c r="AL170" i="23"/>
  <c r="AE170" i="23"/>
  <c r="AD170" i="23"/>
  <c r="AC170" i="23"/>
  <c r="AB170" i="23"/>
  <c r="AA170" i="23"/>
  <c r="Z170" i="23"/>
  <c r="Y170" i="23"/>
  <c r="X170" i="23"/>
  <c r="W170" i="23"/>
  <c r="V170" i="23"/>
  <c r="U170" i="23"/>
  <c r="AG170" i="23" s="1"/>
  <c r="T170" i="23"/>
  <c r="AF170" i="23" s="1"/>
  <c r="R170" i="23"/>
  <c r="AL169" i="23"/>
  <c r="AE169" i="23"/>
  <c r="AD169" i="23"/>
  <c r="AC169" i="23"/>
  <c r="AB169" i="23"/>
  <c r="AA169" i="23"/>
  <c r="Z169" i="23"/>
  <c r="Y169" i="23"/>
  <c r="X169" i="23"/>
  <c r="W169" i="23"/>
  <c r="V169" i="23"/>
  <c r="U169" i="23"/>
  <c r="T169" i="23"/>
  <c r="AG169" i="23" s="1"/>
  <c r="R169" i="23"/>
  <c r="AL168" i="23"/>
  <c r="AE168" i="23"/>
  <c r="AD168" i="23"/>
  <c r="AC168" i="23"/>
  <c r="AB168" i="23"/>
  <c r="AA168" i="23"/>
  <c r="Z168" i="23"/>
  <c r="Y168" i="23"/>
  <c r="X168" i="23"/>
  <c r="W168" i="23"/>
  <c r="V168" i="23"/>
  <c r="U168" i="23"/>
  <c r="T168" i="23"/>
  <c r="AG168" i="23" s="1"/>
  <c r="R168" i="23"/>
  <c r="AE167" i="23"/>
  <c r="AD167" i="23"/>
  <c r="AC167" i="23"/>
  <c r="AB167" i="23"/>
  <c r="AA167" i="23"/>
  <c r="Z167" i="23"/>
  <c r="Y167" i="23"/>
  <c r="X167" i="23"/>
  <c r="W167" i="23"/>
  <c r="V167" i="23"/>
  <c r="U167" i="23"/>
  <c r="AG167" i="23" s="1"/>
  <c r="T167" i="23"/>
  <c r="AF167" i="23" s="1"/>
  <c r="R167" i="23"/>
  <c r="AL166" i="23"/>
  <c r="AE166" i="23"/>
  <c r="AD166" i="23"/>
  <c r="AC166" i="23"/>
  <c r="AB166" i="23"/>
  <c r="AA166" i="23"/>
  <c r="Z166" i="23"/>
  <c r="Y166" i="23"/>
  <c r="X166" i="23"/>
  <c r="W166" i="23"/>
  <c r="V166" i="23"/>
  <c r="U166" i="23"/>
  <c r="T166" i="23"/>
  <c r="AG166" i="23" s="1"/>
  <c r="R166" i="23"/>
  <c r="AL165" i="23"/>
  <c r="AE165" i="23"/>
  <c r="AD165" i="23"/>
  <c r="AC165" i="23"/>
  <c r="AB165" i="23"/>
  <c r="AA165" i="23"/>
  <c r="Z165" i="23"/>
  <c r="Y165" i="23"/>
  <c r="X165" i="23"/>
  <c r="W165" i="23"/>
  <c r="V165" i="23"/>
  <c r="U165" i="23"/>
  <c r="T165" i="23"/>
  <c r="AG165" i="23" s="1"/>
  <c r="R165" i="23"/>
  <c r="AL164" i="23"/>
  <c r="AE164" i="23"/>
  <c r="AD164" i="23"/>
  <c r="AC164" i="23"/>
  <c r="AB164" i="23"/>
  <c r="AA164" i="23"/>
  <c r="Z164" i="23"/>
  <c r="Y164" i="23"/>
  <c r="X164" i="23"/>
  <c r="W164" i="23"/>
  <c r="V164" i="23"/>
  <c r="U164" i="23"/>
  <c r="AG164" i="23" s="1"/>
  <c r="T164" i="23"/>
  <c r="AF164" i="23" s="1"/>
  <c r="R164" i="23"/>
  <c r="AL163" i="23"/>
  <c r="AE163" i="23"/>
  <c r="AD163" i="23"/>
  <c r="AC163" i="23"/>
  <c r="AB163" i="23"/>
  <c r="AA163" i="23"/>
  <c r="Z163" i="23"/>
  <c r="Y163" i="23"/>
  <c r="X163" i="23"/>
  <c r="W163" i="23"/>
  <c r="V163" i="23"/>
  <c r="U163" i="23"/>
  <c r="AG163" i="23" s="1"/>
  <c r="T163" i="23"/>
  <c r="AF163" i="23" s="1"/>
  <c r="R163" i="23"/>
  <c r="AL162" i="23"/>
  <c r="AE162" i="23"/>
  <c r="AD162" i="23"/>
  <c r="AC162" i="23"/>
  <c r="AB162" i="23"/>
  <c r="AA162" i="23"/>
  <c r="Z162" i="23"/>
  <c r="Y162" i="23"/>
  <c r="X162" i="23"/>
  <c r="W162" i="23"/>
  <c r="V162" i="23"/>
  <c r="U162" i="23"/>
  <c r="T162" i="23"/>
  <c r="AG162" i="23" s="1"/>
  <c r="R162" i="23"/>
  <c r="AL161" i="23"/>
  <c r="AE161" i="23"/>
  <c r="AD161" i="23"/>
  <c r="AC161" i="23"/>
  <c r="AB161" i="23"/>
  <c r="AA161" i="23"/>
  <c r="Z161" i="23"/>
  <c r="Y161" i="23"/>
  <c r="X161" i="23"/>
  <c r="W161" i="23"/>
  <c r="V161" i="23"/>
  <c r="U161" i="23"/>
  <c r="T161" i="23"/>
  <c r="AG161" i="23" s="1"/>
  <c r="R161" i="23"/>
  <c r="AL160" i="23"/>
  <c r="AE160" i="23"/>
  <c r="AD160" i="23"/>
  <c r="AC160" i="23"/>
  <c r="AB160" i="23"/>
  <c r="AA160" i="23"/>
  <c r="Z160" i="23"/>
  <c r="Y160" i="23"/>
  <c r="X160" i="23"/>
  <c r="W160" i="23"/>
  <c r="V160" i="23"/>
  <c r="U160" i="23"/>
  <c r="AG160" i="23" s="1"/>
  <c r="T160" i="23"/>
  <c r="AF160" i="23" s="1"/>
  <c r="R160" i="23"/>
  <c r="AL159" i="23"/>
  <c r="AE159" i="23"/>
  <c r="AD159" i="23"/>
  <c r="AC159" i="23"/>
  <c r="AB159" i="23"/>
  <c r="AA159" i="23"/>
  <c r="Z159" i="23"/>
  <c r="Y159" i="23"/>
  <c r="X159" i="23"/>
  <c r="W159" i="23"/>
  <c r="V159" i="23"/>
  <c r="U159" i="23"/>
  <c r="AG159" i="23" s="1"/>
  <c r="T159" i="23"/>
  <c r="R159" i="23"/>
  <c r="AE158" i="23"/>
  <c r="AD158" i="23"/>
  <c r="AC158" i="23"/>
  <c r="AB158" i="23"/>
  <c r="AA158" i="23"/>
  <c r="Z158" i="23"/>
  <c r="Y158" i="23"/>
  <c r="X158" i="23"/>
  <c r="W158" i="23"/>
  <c r="V158" i="23"/>
  <c r="U158" i="23"/>
  <c r="T158" i="23"/>
  <c r="AG158" i="23" s="1"/>
  <c r="R158" i="23"/>
  <c r="AL157" i="23"/>
  <c r="AE157" i="23"/>
  <c r="AD157" i="23"/>
  <c r="AC157" i="23"/>
  <c r="AB157" i="23"/>
  <c r="AA157" i="23"/>
  <c r="Z157" i="23"/>
  <c r="Y157" i="23"/>
  <c r="X157" i="23"/>
  <c r="W157" i="23"/>
  <c r="V157" i="23"/>
  <c r="U157" i="23"/>
  <c r="T157" i="23"/>
  <c r="AF157" i="23" s="1"/>
  <c r="R157" i="23"/>
  <c r="AL156" i="23"/>
  <c r="AG156" i="23"/>
  <c r="AE156" i="23"/>
  <c r="AD156" i="23"/>
  <c r="AC156" i="23"/>
  <c r="AB156" i="23"/>
  <c r="AA156" i="23"/>
  <c r="Z156" i="23"/>
  <c r="Y156" i="23"/>
  <c r="X156" i="23"/>
  <c r="W156" i="23"/>
  <c r="V156" i="23"/>
  <c r="U156" i="23"/>
  <c r="T156" i="23"/>
  <c r="AF156" i="23" s="1"/>
  <c r="R156" i="23"/>
  <c r="AL155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AG155" i="23" s="1"/>
  <c r="R155" i="23"/>
  <c r="AM154" i="23"/>
  <c r="AL154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AG154" i="23" s="1"/>
  <c r="R154" i="23"/>
  <c r="AG153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AF153" i="23" s="1"/>
  <c r="R153" i="23"/>
  <c r="AL152" i="23"/>
  <c r="AE152" i="23"/>
  <c r="AD152" i="23"/>
  <c r="AC152" i="23"/>
  <c r="AB152" i="23"/>
  <c r="AA152" i="23"/>
  <c r="Z152" i="23"/>
  <c r="Y152" i="23"/>
  <c r="X152" i="23"/>
  <c r="W152" i="23"/>
  <c r="V152" i="23"/>
  <c r="U152" i="23"/>
  <c r="T152" i="23"/>
  <c r="AG152" i="23" s="1"/>
  <c r="R152" i="23"/>
  <c r="AM151" i="23"/>
  <c r="AL151" i="23"/>
  <c r="AE151" i="23"/>
  <c r="AD151" i="23"/>
  <c r="AC151" i="23"/>
  <c r="AB151" i="23"/>
  <c r="AA151" i="23"/>
  <c r="Z151" i="23"/>
  <c r="Y151" i="23"/>
  <c r="X151" i="23"/>
  <c r="W151" i="23"/>
  <c r="V151" i="23"/>
  <c r="U151" i="23"/>
  <c r="T151" i="23"/>
  <c r="AG151" i="23" s="1"/>
  <c r="R151" i="23"/>
  <c r="AL150" i="23"/>
  <c r="AE150" i="23"/>
  <c r="AD150" i="23"/>
  <c r="AC150" i="23"/>
  <c r="AB150" i="23"/>
  <c r="AA150" i="23"/>
  <c r="Z150" i="23"/>
  <c r="Y150" i="23"/>
  <c r="X150" i="23"/>
  <c r="W150" i="23"/>
  <c r="V150" i="23"/>
  <c r="U150" i="23"/>
  <c r="AG150" i="23" s="1"/>
  <c r="T150" i="23"/>
  <c r="AF150" i="23" s="1"/>
  <c r="R150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AG149" i="23" s="1"/>
  <c r="R149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AF148" i="23" s="1"/>
  <c r="R148" i="23"/>
  <c r="AL147" i="23"/>
  <c r="AG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AF147" i="23" s="1"/>
  <c r="R147" i="23"/>
  <c r="AL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AG146" i="23" s="1"/>
  <c r="R146" i="23"/>
  <c r="AM145" i="23"/>
  <c r="AL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AG145" i="23" s="1"/>
  <c r="R145" i="23"/>
  <c r="AL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AG144" i="23" s="1"/>
  <c r="T144" i="23"/>
  <c r="AF144" i="23" s="1"/>
  <c r="R144" i="23"/>
  <c r="AL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AG143" i="23" s="1"/>
  <c r="T143" i="23"/>
  <c r="R143" i="23"/>
  <c r="AL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AG142" i="23" s="1"/>
  <c r="R142" i="23"/>
  <c r="AE141" i="23"/>
  <c r="AD141" i="23"/>
  <c r="AC141" i="23"/>
  <c r="AB141" i="23"/>
  <c r="AA141" i="23"/>
  <c r="Z141" i="23"/>
  <c r="Y141" i="23"/>
  <c r="X141" i="23"/>
  <c r="W141" i="23"/>
  <c r="V141" i="23"/>
  <c r="U141" i="23"/>
  <c r="AG141" i="23" s="1"/>
  <c r="T141" i="23"/>
  <c r="R141" i="23"/>
  <c r="AL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AG140" i="23" s="1"/>
  <c r="T140" i="23"/>
  <c r="AF140" i="23" s="1"/>
  <c r="R140" i="23"/>
  <c r="AL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AG139" i="23" s="1"/>
  <c r="R139" i="23"/>
  <c r="AL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R138" i="23"/>
  <c r="AL137" i="23"/>
  <c r="AE137" i="23"/>
  <c r="AD137" i="23"/>
  <c r="AC137" i="23"/>
  <c r="AB137" i="23"/>
  <c r="AA137" i="23"/>
  <c r="Z137" i="23"/>
  <c r="Y137" i="23"/>
  <c r="X137" i="23"/>
  <c r="W137" i="23"/>
  <c r="V137" i="23"/>
  <c r="AG137" i="23" s="1"/>
  <c r="U137" i="23"/>
  <c r="T137" i="23"/>
  <c r="AF137" i="23" s="1"/>
  <c r="R137" i="23"/>
  <c r="AL136" i="23"/>
  <c r="AE136" i="23"/>
  <c r="AD136" i="23"/>
  <c r="AC136" i="23"/>
  <c r="AB136" i="23"/>
  <c r="AA136" i="23"/>
  <c r="Z136" i="23"/>
  <c r="Y136" i="23"/>
  <c r="X136" i="23"/>
  <c r="W136" i="23"/>
  <c r="V136" i="23"/>
  <c r="U136" i="23"/>
  <c r="T136" i="23"/>
  <c r="AG136" i="23" s="1"/>
  <c r="R136" i="23"/>
  <c r="AL135" i="23"/>
  <c r="AE135" i="23"/>
  <c r="AD135" i="23"/>
  <c r="AC135" i="23"/>
  <c r="AB135" i="23"/>
  <c r="AA135" i="23"/>
  <c r="Z135" i="23"/>
  <c r="Y135" i="23"/>
  <c r="X135" i="23"/>
  <c r="W135" i="23"/>
  <c r="V135" i="23"/>
  <c r="U135" i="23"/>
  <c r="T135" i="23"/>
  <c r="R135" i="23"/>
  <c r="AL134" i="23"/>
  <c r="AE134" i="23"/>
  <c r="AD134" i="23"/>
  <c r="AC134" i="23"/>
  <c r="AB134" i="23"/>
  <c r="AA134" i="23"/>
  <c r="Z134" i="23"/>
  <c r="Y134" i="23"/>
  <c r="X134" i="23"/>
  <c r="W134" i="23"/>
  <c r="V134" i="23"/>
  <c r="U134" i="23"/>
  <c r="T134" i="23"/>
  <c r="R134" i="23"/>
  <c r="AE133" i="23"/>
  <c r="AD133" i="23"/>
  <c r="AC133" i="23"/>
  <c r="AB133" i="23"/>
  <c r="AA133" i="23"/>
  <c r="Z133" i="23"/>
  <c r="Y133" i="23"/>
  <c r="X133" i="23"/>
  <c r="W133" i="23"/>
  <c r="V133" i="23"/>
  <c r="U133" i="23"/>
  <c r="AG133" i="23" s="1"/>
  <c r="T133" i="23"/>
  <c r="AF133" i="23" s="1"/>
  <c r="R133" i="23"/>
  <c r="AL132" i="23"/>
  <c r="AE132" i="23"/>
  <c r="AD132" i="23"/>
  <c r="AC132" i="23"/>
  <c r="AB132" i="23"/>
  <c r="AA132" i="23"/>
  <c r="Z132" i="23"/>
  <c r="Y132" i="23"/>
  <c r="X132" i="23"/>
  <c r="W132" i="23"/>
  <c r="V132" i="23"/>
  <c r="U132" i="23"/>
  <c r="T132" i="23"/>
  <c r="AG132" i="23" s="1"/>
  <c r="R132" i="23"/>
  <c r="AL131" i="23"/>
  <c r="AE131" i="23"/>
  <c r="AD131" i="23"/>
  <c r="AC131" i="23"/>
  <c r="AB131" i="23"/>
  <c r="AA131" i="23"/>
  <c r="Z131" i="23"/>
  <c r="Y131" i="23"/>
  <c r="X131" i="23"/>
  <c r="W131" i="23"/>
  <c r="V131" i="23"/>
  <c r="U131" i="23"/>
  <c r="T131" i="23"/>
  <c r="R131" i="23"/>
  <c r="AL130" i="23"/>
  <c r="AG130" i="23"/>
  <c r="AE130" i="23"/>
  <c r="AD130" i="23"/>
  <c r="AC130" i="23"/>
  <c r="AB130" i="23"/>
  <c r="AA130" i="23"/>
  <c r="Z130" i="23"/>
  <c r="Y130" i="23"/>
  <c r="X130" i="23"/>
  <c r="W130" i="23"/>
  <c r="V130" i="23"/>
  <c r="U130" i="23"/>
  <c r="T130" i="23"/>
  <c r="AF130" i="23" s="1"/>
  <c r="R130" i="23"/>
  <c r="AL129" i="23"/>
  <c r="AE129" i="23"/>
  <c r="AD129" i="23"/>
  <c r="AC129" i="23"/>
  <c r="AB129" i="23"/>
  <c r="AA129" i="23"/>
  <c r="Z129" i="23"/>
  <c r="Y129" i="23"/>
  <c r="X129" i="23"/>
  <c r="W129" i="23"/>
  <c r="V129" i="23"/>
  <c r="U129" i="23"/>
  <c r="T129" i="23"/>
  <c r="AG129" i="23" s="1"/>
  <c r="R129" i="23"/>
  <c r="AL128" i="23"/>
  <c r="AE128" i="23"/>
  <c r="AD128" i="23"/>
  <c r="AC128" i="23"/>
  <c r="AB128" i="23"/>
  <c r="AA128" i="23"/>
  <c r="Z128" i="23"/>
  <c r="Y128" i="23"/>
  <c r="X128" i="23"/>
  <c r="W128" i="23"/>
  <c r="V128" i="23"/>
  <c r="U128" i="23"/>
  <c r="T128" i="23"/>
  <c r="R128" i="23"/>
  <c r="AL127" i="23"/>
  <c r="AE127" i="23"/>
  <c r="AD127" i="23"/>
  <c r="AC127" i="23"/>
  <c r="AC252" i="23" s="1"/>
  <c r="AB127" i="23"/>
  <c r="AA127" i="23"/>
  <c r="Z127" i="23"/>
  <c r="Y127" i="23"/>
  <c r="Y252" i="23" s="1"/>
  <c r="X127" i="23"/>
  <c r="W127" i="23"/>
  <c r="V127" i="23"/>
  <c r="U127" i="23"/>
  <c r="U252" i="23" s="1"/>
  <c r="T127" i="23"/>
  <c r="R127" i="23"/>
  <c r="AE122" i="23"/>
  <c r="AA122" i="23"/>
  <c r="W122" i="23"/>
  <c r="R122" i="23"/>
  <c r="Q122" i="23"/>
  <c r="P122" i="23"/>
  <c r="O122" i="23"/>
  <c r="N122" i="23"/>
  <c r="M122" i="23"/>
  <c r="L122" i="23"/>
  <c r="K122" i="23"/>
  <c r="J122" i="23"/>
  <c r="I122" i="23"/>
  <c r="H122" i="23"/>
  <c r="G122" i="23"/>
  <c r="F122" i="23"/>
  <c r="AE120" i="23"/>
  <c r="AD120" i="23"/>
  <c r="AC120" i="23"/>
  <c r="AB120" i="23"/>
  <c r="AB122" i="23" s="1"/>
  <c r="AA120" i="23"/>
  <c r="Z120" i="23"/>
  <c r="Y120" i="23"/>
  <c r="X120" i="23"/>
  <c r="X122" i="23" s="1"/>
  <c r="W120" i="23"/>
  <c r="V120" i="23"/>
  <c r="U120" i="23"/>
  <c r="T120" i="23"/>
  <c r="T122" i="23" s="1"/>
  <c r="R120" i="23"/>
  <c r="AE119" i="23"/>
  <c r="AD119" i="23"/>
  <c r="AD122" i="23" s="1"/>
  <c r="AC119" i="23"/>
  <c r="AC122" i="23" s="1"/>
  <c r="AB119" i="23"/>
  <c r="AA119" i="23"/>
  <c r="Z119" i="23"/>
  <c r="Z122" i="23" s="1"/>
  <c r="Y119" i="23"/>
  <c r="Y122" i="23" s="1"/>
  <c r="X119" i="23"/>
  <c r="W119" i="23"/>
  <c r="V119" i="23"/>
  <c r="V122" i="23" s="1"/>
  <c r="U119" i="23"/>
  <c r="U122" i="23" s="1"/>
  <c r="T119" i="23"/>
  <c r="AF119" i="23" s="1"/>
  <c r="R119" i="23"/>
  <c r="Q115" i="23"/>
  <c r="Q329" i="23" s="1"/>
  <c r="P115" i="23"/>
  <c r="P329" i="23" s="1"/>
  <c r="O115" i="23"/>
  <c r="O329" i="23" s="1"/>
  <c r="N115" i="23"/>
  <c r="M115" i="23"/>
  <c r="M329" i="23" s="1"/>
  <c r="L115" i="23"/>
  <c r="L329" i="23" s="1"/>
  <c r="K115" i="23"/>
  <c r="K329" i="23" s="1"/>
  <c r="J115" i="23"/>
  <c r="I115" i="23"/>
  <c r="I329" i="23" s="1"/>
  <c r="H115" i="23"/>
  <c r="H329" i="23" s="1"/>
  <c r="G115" i="23"/>
  <c r="G329" i="23" s="1"/>
  <c r="F115" i="23"/>
  <c r="F329" i="23" s="1"/>
  <c r="E115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AG113" i="23" s="1"/>
  <c r="R113" i="23"/>
  <c r="AE112" i="23"/>
  <c r="AD112" i="23"/>
  <c r="AC112" i="23"/>
  <c r="AB112" i="23"/>
  <c r="AA112" i="23"/>
  <c r="Z112" i="23"/>
  <c r="Y112" i="23"/>
  <c r="X112" i="23"/>
  <c r="W112" i="23"/>
  <c r="V112" i="23"/>
  <c r="U112" i="23"/>
  <c r="AG112" i="23" s="1"/>
  <c r="T112" i="23"/>
  <c r="AF112" i="23" s="1"/>
  <c r="R112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AG111" i="23" s="1"/>
  <c r="R111" i="23"/>
  <c r="AE110" i="23"/>
  <c r="AD110" i="23"/>
  <c r="AC110" i="23"/>
  <c r="AB110" i="23"/>
  <c r="AA110" i="23"/>
  <c r="Z110" i="23"/>
  <c r="Y110" i="23"/>
  <c r="X110" i="23"/>
  <c r="W110" i="23"/>
  <c r="V110" i="23"/>
  <c r="U110" i="23"/>
  <c r="AG110" i="23" s="1"/>
  <c r="T110" i="23"/>
  <c r="AF110" i="23" s="1"/>
  <c r="R110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AG109" i="23" s="1"/>
  <c r="R109" i="23"/>
  <c r="AE108" i="23"/>
  <c r="AD108" i="23"/>
  <c r="AC108" i="23"/>
  <c r="AB108" i="23"/>
  <c r="AA108" i="23"/>
  <c r="Z108" i="23"/>
  <c r="Y108" i="23"/>
  <c r="X108" i="23"/>
  <c r="W108" i="23"/>
  <c r="V108" i="23"/>
  <c r="U108" i="23"/>
  <c r="AG108" i="23" s="1"/>
  <c r="T108" i="23"/>
  <c r="AF108" i="23" s="1"/>
  <c r="R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AG107" i="23" s="1"/>
  <c r="R107" i="23"/>
  <c r="AE106" i="23"/>
  <c r="AD106" i="23"/>
  <c r="AC106" i="23"/>
  <c r="AB106" i="23"/>
  <c r="AA106" i="23"/>
  <c r="Z106" i="23"/>
  <c r="Y106" i="23"/>
  <c r="X106" i="23"/>
  <c r="W106" i="23"/>
  <c r="V106" i="23"/>
  <c r="U106" i="23"/>
  <c r="AG106" i="23" s="1"/>
  <c r="T106" i="23"/>
  <c r="AF106" i="23" s="1"/>
  <c r="R106" i="23"/>
  <c r="AE105" i="23"/>
  <c r="AD105" i="23"/>
  <c r="AC105" i="23"/>
  <c r="AB105" i="23"/>
  <c r="AA105" i="23"/>
  <c r="Z105" i="23"/>
  <c r="Y105" i="23"/>
  <c r="X105" i="23"/>
  <c r="W105" i="23"/>
  <c r="V105" i="23"/>
  <c r="U105" i="23"/>
  <c r="T105" i="23"/>
  <c r="AG105" i="23" s="1"/>
  <c r="R105" i="23"/>
  <c r="AE104" i="23"/>
  <c r="AD104" i="23"/>
  <c r="AC104" i="23"/>
  <c r="AB104" i="23"/>
  <c r="AA104" i="23"/>
  <c r="Z104" i="23"/>
  <c r="Y104" i="23"/>
  <c r="X104" i="23"/>
  <c r="W104" i="23"/>
  <c r="V104" i="23"/>
  <c r="U104" i="23"/>
  <c r="AG104" i="23" s="1"/>
  <c r="T104" i="23"/>
  <c r="AF104" i="23" s="1"/>
  <c r="R104" i="23"/>
  <c r="AE103" i="23"/>
  <c r="AD103" i="23"/>
  <c r="AC103" i="23"/>
  <c r="AB103" i="23"/>
  <c r="AA103" i="23"/>
  <c r="Z103" i="23"/>
  <c r="Y103" i="23"/>
  <c r="X103" i="23"/>
  <c r="W103" i="23"/>
  <c r="V103" i="23"/>
  <c r="U103" i="23"/>
  <c r="T103" i="23"/>
  <c r="AG103" i="23" s="1"/>
  <c r="R103" i="23"/>
  <c r="AE102" i="23"/>
  <c r="AD102" i="23"/>
  <c r="AC102" i="23"/>
  <c r="AB102" i="23"/>
  <c r="AA102" i="23"/>
  <c r="Z102" i="23"/>
  <c r="Y102" i="23"/>
  <c r="X102" i="23"/>
  <c r="W102" i="23"/>
  <c r="V102" i="23"/>
  <c r="U102" i="23"/>
  <c r="AG102" i="23" s="1"/>
  <c r="T102" i="23"/>
  <c r="AF102" i="23" s="1"/>
  <c r="R102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AG101" i="23" s="1"/>
  <c r="R101" i="23"/>
  <c r="AE100" i="23"/>
  <c r="AD100" i="23"/>
  <c r="AC100" i="23"/>
  <c r="AB100" i="23"/>
  <c r="AA100" i="23"/>
  <c r="Z100" i="23"/>
  <c r="Y100" i="23"/>
  <c r="X100" i="23"/>
  <c r="W100" i="23"/>
  <c r="V100" i="23"/>
  <c r="U100" i="23"/>
  <c r="AG100" i="23" s="1"/>
  <c r="T100" i="23"/>
  <c r="AF100" i="23" s="1"/>
  <c r="R100" i="23"/>
  <c r="AE99" i="23"/>
  <c r="AD99" i="23"/>
  <c r="AC99" i="23"/>
  <c r="AB99" i="23"/>
  <c r="AA99" i="23"/>
  <c r="Z99" i="23"/>
  <c r="Y99" i="23"/>
  <c r="X99" i="23"/>
  <c r="W99" i="23"/>
  <c r="V99" i="23"/>
  <c r="U99" i="23"/>
  <c r="T99" i="23"/>
  <c r="AG99" i="23" s="1"/>
  <c r="R99" i="23"/>
  <c r="AE98" i="23"/>
  <c r="AD98" i="23"/>
  <c r="AC98" i="23"/>
  <c r="AB98" i="23"/>
  <c r="AA98" i="23"/>
  <c r="Z98" i="23"/>
  <c r="Y98" i="23"/>
  <c r="X98" i="23"/>
  <c r="W98" i="23"/>
  <c r="V98" i="23"/>
  <c r="U98" i="23"/>
  <c r="AG98" i="23" s="1"/>
  <c r="T98" i="23"/>
  <c r="AF98" i="23" s="1"/>
  <c r="R98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AG97" i="23" s="1"/>
  <c r="R97" i="23"/>
  <c r="AE96" i="23"/>
  <c r="AD96" i="23"/>
  <c r="AC96" i="23"/>
  <c r="AB96" i="23"/>
  <c r="AA96" i="23"/>
  <c r="Z96" i="23"/>
  <c r="Y96" i="23"/>
  <c r="X96" i="23"/>
  <c r="W96" i="23"/>
  <c r="V96" i="23"/>
  <c r="U96" i="23"/>
  <c r="AG96" i="23" s="1"/>
  <c r="T96" i="23"/>
  <c r="AF96" i="23" s="1"/>
  <c r="R96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AG95" i="23" s="1"/>
  <c r="R95" i="23"/>
  <c r="AE94" i="23"/>
  <c r="AD94" i="23"/>
  <c r="AC94" i="23"/>
  <c r="AB94" i="23"/>
  <c r="AA94" i="23"/>
  <c r="Z94" i="23"/>
  <c r="Y94" i="23"/>
  <c r="X94" i="23"/>
  <c r="W94" i="23"/>
  <c r="V94" i="23"/>
  <c r="U94" i="23"/>
  <c r="AG94" i="23" s="1"/>
  <c r="T94" i="23"/>
  <c r="AF94" i="23" s="1"/>
  <c r="R94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AG93" i="23" s="1"/>
  <c r="R93" i="23"/>
  <c r="AE92" i="23"/>
  <c r="AD92" i="23"/>
  <c r="AC92" i="23"/>
  <c r="AB92" i="23"/>
  <c r="AA92" i="23"/>
  <c r="Z92" i="23"/>
  <c r="Y92" i="23"/>
  <c r="X92" i="23"/>
  <c r="W92" i="23"/>
  <c r="V92" i="23"/>
  <c r="U92" i="23"/>
  <c r="AG92" i="23" s="1"/>
  <c r="T92" i="23"/>
  <c r="AF92" i="23" s="1"/>
  <c r="R92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AG91" i="23" s="1"/>
  <c r="R91" i="23"/>
  <c r="AG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AF90" i="23" s="1"/>
  <c r="R90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R89" i="23"/>
  <c r="AE88" i="23"/>
  <c r="AD88" i="23"/>
  <c r="AC88" i="23"/>
  <c r="AB88" i="23"/>
  <c r="AA88" i="23"/>
  <c r="Z88" i="23"/>
  <c r="Y88" i="23"/>
  <c r="X88" i="23"/>
  <c r="W88" i="23"/>
  <c r="V88" i="23"/>
  <c r="U88" i="23"/>
  <c r="AG88" i="23" s="1"/>
  <c r="T88" i="23"/>
  <c r="R88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AG87" i="23" s="1"/>
  <c r="R87" i="23"/>
  <c r="AG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AF86" i="23" s="1"/>
  <c r="R86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R85" i="23"/>
  <c r="AE84" i="23"/>
  <c r="AD84" i="23"/>
  <c r="AC84" i="23"/>
  <c r="AB84" i="23"/>
  <c r="AA84" i="23"/>
  <c r="Z84" i="23"/>
  <c r="Y84" i="23"/>
  <c r="X84" i="23"/>
  <c r="W84" i="23"/>
  <c r="V84" i="23"/>
  <c r="U84" i="23"/>
  <c r="AG84" i="23" s="1"/>
  <c r="T84" i="23"/>
  <c r="R84" i="23"/>
  <c r="AE83" i="23"/>
  <c r="AD83" i="23"/>
  <c r="AC83" i="23"/>
  <c r="AB83" i="23"/>
  <c r="AA83" i="23"/>
  <c r="Z83" i="23"/>
  <c r="Y83" i="23"/>
  <c r="X83" i="23"/>
  <c r="W83" i="23"/>
  <c r="V83" i="23"/>
  <c r="U83" i="23"/>
  <c r="T83" i="23"/>
  <c r="AG83" i="23" s="1"/>
  <c r="R83" i="23"/>
  <c r="AG82" i="23"/>
  <c r="AE82" i="23"/>
  <c r="AD82" i="23"/>
  <c r="AC82" i="23"/>
  <c r="AB82" i="23"/>
  <c r="AA82" i="23"/>
  <c r="Z82" i="23"/>
  <c r="Y82" i="23"/>
  <c r="X82" i="23"/>
  <c r="W82" i="23"/>
  <c r="V82" i="23"/>
  <c r="U82" i="23"/>
  <c r="T82" i="23"/>
  <c r="AF82" i="23" s="1"/>
  <c r="R82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R81" i="23"/>
  <c r="AE80" i="23"/>
  <c r="AD80" i="23"/>
  <c r="AC80" i="23"/>
  <c r="AB80" i="23"/>
  <c r="AA80" i="23"/>
  <c r="Z80" i="23"/>
  <c r="Y80" i="23"/>
  <c r="X80" i="23"/>
  <c r="W80" i="23"/>
  <c r="V80" i="23"/>
  <c r="U80" i="23"/>
  <c r="AG80" i="23" s="1"/>
  <c r="T80" i="23"/>
  <c r="R80" i="23"/>
  <c r="AE79" i="23"/>
  <c r="AD79" i="23"/>
  <c r="AC79" i="23"/>
  <c r="AB79" i="23"/>
  <c r="AA79" i="23"/>
  <c r="Z79" i="23"/>
  <c r="Y79" i="23"/>
  <c r="X79" i="23"/>
  <c r="W79" i="23"/>
  <c r="V79" i="23"/>
  <c r="U79" i="23"/>
  <c r="T79" i="23"/>
  <c r="AG79" i="23" s="1"/>
  <c r="R79" i="23"/>
  <c r="AE78" i="23"/>
  <c r="AD78" i="23"/>
  <c r="AC78" i="23"/>
  <c r="AB78" i="23"/>
  <c r="AA78" i="23"/>
  <c r="Z78" i="23"/>
  <c r="Y78" i="23"/>
  <c r="X78" i="23"/>
  <c r="W78" i="23"/>
  <c r="V78" i="23"/>
  <c r="U78" i="23"/>
  <c r="AG78" i="23" s="1"/>
  <c r="T78" i="23"/>
  <c r="R78" i="23"/>
  <c r="AE77" i="23"/>
  <c r="AD77" i="23"/>
  <c r="AC77" i="23"/>
  <c r="AB77" i="23"/>
  <c r="AA77" i="23"/>
  <c r="Z77" i="23"/>
  <c r="Y77" i="23"/>
  <c r="X77" i="23"/>
  <c r="W77" i="23"/>
  <c r="V77" i="23"/>
  <c r="U77" i="23"/>
  <c r="T77" i="23"/>
  <c r="R77" i="23"/>
  <c r="AG76" i="23"/>
  <c r="AE76" i="23"/>
  <c r="AD76" i="23"/>
  <c r="AC76" i="23"/>
  <c r="AB76" i="23"/>
  <c r="AA76" i="23"/>
  <c r="Z76" i="23"/>
  <c r="Y76" i="23"/>
  <c r="X76" i="23"/>
  <c r="W76" i="23"/>
  <c r="V76" i="23"/>
  <c r="U76" i="23"/>
  <c r="T76" i="23"/>
  <c r="AF76" i="23" s="1"/>
  <c r="R76" i="23"/>
  <c r="AE75" i="23"/>
  <c r="AD75" i="23"/>
  <c r="AC75" i="23"/>
  <c r="AB75" i="23"/>
  <c r="AA75" i="23"/>
  <c r="Z75" i="23"/>
  <c r="Y75" i="23"/>
  <c r="X75" i="23"/>
  <c r="W75" i="23"/>
  <c r="V75" i="23"/>
  <c r="U75" i="23"/>
  <c r="T75" i="23"/>
  <c r="R75" i="23"/>
  <c r="AE74" i="23"/>
  <c r="AD74" i="23"/>
  <c r="AC74" i="23"/>
  <c r="AB74" i="23"/>
  <c r="AA74" i="23"/>
  <c r="Z74" i="23"/>
  <c r="Y74" i="23"/>
  <c r="X74" i="23"/>
  <c r="W74" i="23"/>
  <c r="V74" i="23"/>
  <c r="AG74" i="23" s="1"/>
  <c r="U74" i="23"/>
  <c r="T74" i="23"/>
  <c r="R74" i="23"/>
  <c r="AE73" i="23"/>
  <c r="AD73" i="23"/>
  <c r="AC73" i="23"/>
  <c r="AB73" i="23"/>
  <c r="AA73" i="23"/>
  <c r="Z73" i="23"/>
  <c r="Y73" i="23"/>
  <c r="X73" i="23"/>
  <c r="W73" i="23"/>
  <c r="V73" i="23"/>
  <c r="U73" i="23"/>
  <c r="T73" i="23"/>
  <c r="AG73" i="23" s="1"/>
  <c r="R73" i="23"/>
  <c r="AE72" i="23"/>
  <c r="AD72" i="23"/>
  <c r="AC72" i="23"/>
  <c r="AB72" i="23"/>
  <c r="AA72" i="23"/>
  <c r="Z72" i="23"/>
  <c r="Y72" i="23"/>
  <c r="X72" i="23"/>
  <c r="W72" i="23"/>
  <c r="V72" i="23"/>
  <c r="U72" i="23"/>
  <c r="AG72" i="23" s="1"/>
  <c r="T72" i="23"/>
  <c r="R72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AG71" i="23" s="1"/>
  <c r="R71" i="23"/>
  <c r="AE70" i="23"/>
  <c r="AD70" i="23"/>
  <c r="AC70" i="23"/>
  <c r="AB70" i="23"/>
  <c r="AA70" i="23"/>
  <c r="Z70" i="23"/>
  <c r="Y70" i="23"/>
  <c r="X70" i="23"/>
  <c r="W70" i="23"/>
  <c r="V70" i="23"/>
  <c r="AG70" i="23" s="1"/>
  <c r="U70" i="23"/>
  <c r="T70" i="23"/>
  <c r="R70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AG69" i="23" s="1"/>
  <c r="R69" i="23"/>
  <c r="AE68" i="23"/>
  <c r="AD68" i="23"/>
  <c r="AC68" i="23"/>
  <c r="AB68" i="23"/>
  <c r="AA68" i="23"/>
  <c r="Z68" i="23"/>
  <c r="Y68" i="23"/>
  <c r="X68" i="23"/>
  <c r="W68" i="23"/>
  <c r="V68" i="23"/>
  <c r="U68" i="23"/>
  <c r="AG68" i="23" s="1"/>
  <c r="T68" i="23"/>
  <c r="R68" i="23"/>
  <c r="AE67" i="23"/>
  <c r="AD67" i="23"/>
  <c r="AC67" i="23"/>
  <c r="AB67" i="23"/>
  <c r="AA67" i="23"/>
  <c r="Z67" i="23"/>
  <c r="Y67" i="23"/>
  <c r="X67" i="23"/>
  <c r="W67" i="23"/>
  <c r="V67" i="23"/>
  <c r="U67" i="23"/>
  <c r="AG67" i="23" s="1"/>
  <c r="T67" i="23"/>
  <c r="AF67" i="23" s="1"/>
  <c r="R67" i="23"/>
  <c r="AL66" i="23"/>
  <c r="AE66" i="23"/>
  <c r="AD66" i="23"/>
  <c r="AC66" i="23"/>
  <c r="AB66" i="23"/>
  <c r="AA66" i="23"/>
  <c r="Z66" i="23"/>
  <c r="Y66" i="23"/>
  <c r="X66" i="23"/>
  <c r="W66" i="23"/>
  <c r="V66" i="23"/>
  <c r="U66" i="23"/>
  <c r="AG66" i="23" s="1"/>
  <c r="T66" i="23"/>
  <c r="AF66" i="23" s="1"/>
  <c r="R66" i="23"/>
  <c r="AL65" i="23"/>
  <c r="AE65" i="23"/>
  <c r="AD65" i="23"/>
  <c r="AC65" i="23"/>
  <c r="AB65" i="23"/>
  <c r="AA65" i="23"/>
  <c r="Z65" i="23"/>
  <c r="Y65" i="23"/>
  <c r="X65" i="23"/>
  <c r="W65" i="23"/>
  <c r="V65" i="23"/>
  <c r="U65" i="23"/>
  <c r="AG65" i="23" s="1"/>
  <c r="T65" i="23"/>
  <c r="AF65" i="23" s="1"/>
  <c r="R65" i="23"/>
  <c r="AL64" i="23"/>
  <c r="AE64" i="23"/>
  <c r="AD64" i="23"/>
  <c r="AC64" i="23"/>
  <c r="AB64" i="23"/>
  <c r="AA64" i="23"/>
  <c r="Z64" i="23"/>
  <c r="Y64" i="23"/>
  <c r="X64" i="23"/>
  <c r="W64" i="23"/>
  <c r="V64" i="23"/>
  <c r="U64" i="23"/>
  <c r="AG64" i="23" s="1"/>
  <c r="T64" i="23"/>
  <c r="AF64" i="23" s="1"/>
  <c r="R64" i="23"/>
  <c r="AL63" i="23"/>
  <c r="AE63" i="23"/>
  <c r="AD63" i="23"/>
  <c r="AC63" i="23"/>
  <c r="AB63" i="23"/>
  <c r="AA63" i="23"/>
  <c r="Z63" i="23"/>
  <c r="Y63" i="23"/>
  <c r="X63" i="23"/>
  <c r="W63" i="23"/>
  <c r="V63" i="23"/>
  <c r="U63" i="23"/>
  <c r="AG63" i="23" s="1"/>
  <c r="T63" i="23"/>
  <c r="AF63" i="23" s="1"/>
  <c r="R63" i="23"/>
  <c r="AL62" i="23"/>
  <c r="AE62" i="23"/>
  <c r="AD62" i="23"/>
  <c r="AC62" i="23"/>
  <c r="AB62" i="23"/>
  <c r="AA62" i="23"/>
  <c r="Z62" i="23"/>
  <c r="Y62" i="23"/>
  <c r="X62" i="23"/>
  <c r="W62" i="23"/>
  <c r="V62" i="23"/>
  <c r="U62" i="23"/>
  <c r="AG62" i="23" s="1"/>
  <c r="T62" i="23"/>
  <c r="AF62" i="23" s="1"/>
  <c r="R62" i="23"/>
  <c r="AL61" i="23"/>
  <c r="AE61" i="23"/>
  <c r="AD61" i="23"/>
  <c r="AC61" i="23"/>
  <c r="AB61" i="23"/>
  <c r="AA61" i="23"/>
  <c r="Z61" i="23"/>
  <c r="Y61" i="23"/>
  <c r="X61" i="23"/>
  <c r="W61" i="23"/>
  <c r="V61" i="23"/>
  <c r="U61" i="23"/>
  <c r="AG61" i="23" s="1"/>
  <c r="T61" i="23"/>
  <c r="AF61" i="23" s="1"/>
  <c r="R61" i="23"/>
  <c r="AL60" i="23"/>
  <c r="AE60" i="23"/>
  <c r="AD60" i="23"/>
  <c r="AC60" i="23"/>
  <c r="AB60" i="23"/>
  <c r="AA60" i="23"/>
  <c r="Z60" i="23"/>
  <c r="Y60" i="23"/>
  <c r="X60" i="23"/>
  <c r="W60" i="23"/>
  <c r="V60" i="23"/>
  <c r="U60" i="23"/>
  <c r="AG60" i="23" s="1"/>
  <c r="T60" i="23"/>
  <c r="AF60" i="23" s="1"/>
  <c r="R60" i="23"/>
  <c r="AL59" i="23"/>
  <c r="AE59" i="23"/>
  <c r="AD59" i="23"/>
  <c r="AC59" i="23"/>
  <c r="AB59" i="23"/>
  <c r="AA59" i="23"/>
  <c r="Z59" i="23"/>
  <c r="Y59" i="23"/>
  <c r="X59" i="23"/>
  <c r="W59" i="23"/>
  <c r="V59" i="23"/>
  <c r="U59" i="23"/>
  <c r="AG59" i="23" s="1"/>
  <c r="T59" i="23"/>
  <c r="AF59" i="23" s="1"/>
  <c r="R59" i="23"/>
  <c r="AL58" i="23"/>
  <c r="AE58" i="23"/>
  <c r="AD58" i="23"/>
  <c r="AC58" i="23"/>
  <c r="AB58" i="23"/>
  <c r="AA58" i="23"/>
  <c r="Z58" i="23"/>
  <c r="Y58" i="23"/>
  <c r="X58" i="23"/>
  <c r="W58" i="23"/>
  <c r="V58" i="23"/>
  <c r="U58" i="23"/>
  <c r="AG58" i="23" s="1"/>
  <c r="T58" i="23"/>
  <c r="AF58" i="23" s="1"/>
  <c r="R58" i="23"/>
  <c r="AL57" i="23"/>
  <c r="AE57" i="23"/>
  <c r="AD57" i="23"/>
  <c r="AC57" i="23"/>
  <c r="AB57" i="23"/>
  <c r="AA57" i="23"/>
  <c r="Z57" i="23"/>
  <c r="Y57" i="23"/>
  <c r="X57" i="23"/>
  <c r="W57" i="23"/>
  <c r="V57" i="23"/>
  <c r="U57" i="23"/>
  <c r="AG57" i="23" s="1"/>
  <c r="T57" i="23"/>
  <c r="AF57" i="23" s="1"/>
  <c r="R57" i="23"/>
  <c r="AL56" i="23"/>
  <c r="AE56" i="23"/>
  <c r="AD56" i="23"/>
  <c r="AC56" i="23"/>
  <c r="AB56" i="23"/>
  <c r="AA56" i="23"/>
  <c r="Z56" i="23"/>
  <c r="Y56" i="23"/>
  <c r="X56" i="23"/>
  <c r="W56" i="23"/>
  <c r="V56" i="23"/>
  <c r="U56" i="23"/>
  <c r="AG56" i="23" s="1"/>
  <c r="T56" i="23"/>
  <c r="AF56" i="23" s="1"/>
  <c r="R56" i="23"/>
  <c r="AL55" i="23"/>
  <c r="AE55" i="23"/>
  <c r="AD55" i="23"/>
  <c r="AC55" i="23"/>
  <c r="AB55" i="23"/>
  <c r="AA55" i="23"/>
  <c r="Z55" i="23"/>
  <c r="Y55" i="23"/>
  <c r="X55" i="23"/>
  <c r="W55" i="23"/>
  <c r="V55" i="23"/>
  <c r="U55" i="23"/>
  <c r="AG55" i="23" s="1"/>
  <c r="T55" i="23"/>
  <c r="AF55" i="23" s="1"/>
  <c r="R55" i="23"/>
  <c r="AL54" i="23"/>
  <c r="AE54" i="23"/>
  <c r="AD54" i="23"/>
  <c r="AC54" i="23"/>
  <c r="AB54" i="23"/>
  <c r="AA54" i="23"/>
  <c r="Z54" i="23"/>
  <c r="Y54" i="23"/>
  <c r="X54" i="23"/>
  <c r="W54" i="23"/>
  <c r="V54" i="23"/>
  <c r="U54" i="23"/>
  <c r="AG54" i="23" s="1"/>
  <c r="T54" i="23"/>
  <c r="AF54" i="23" s="1"/>
  <c r="R54" i="23"/>
  <c r="AL53" i="23"/>
  <c r="AE53" i="23"/>
  <c r="AD53" i="23"/>
  <c r="AC53" i="23"/>
  <c r="AB53" i="23"/>
  <c r="AA53" i="23"/>
  <c r="Z53" i="23"/>
  <c r="Y53" i="23"/>
  <c r="X53" i="23"/>
  <c r="W53" i="23"/>
  <c r="V53" i="23"/>
  <c r="U53" i="23"/>
  <c r="AG53" i="23" s="1"/>
  <c r="T53" i="23"/>
  <c r="AF53" i="23" s="1"/>
  <c r="R53" i="23"/>
  <c r="AL52" i="23"/>
  <c r="AE52" i="23"/>
  <c r="AD52" i="23"/>
  <c r="AC52" i="23"/>
  <c r="AB52" i="23"/>
  <c r="AA52" i="23"/>
  <c r="Z52" i="23"/>
  <c r="Y52" i="23"/>
  <c r="X52" i="23"/>
  <c r="W52" i="23"/>
  <c r="V52" i="23"/>
  <c r="U52" i="23"/>
  <c r="AG52" i="23" s="1"/>
  <c r="T52" i="23"/>
  <c r="AF52" i="23" s="1"/>
  <c r="R52" i="23"/>
  <c r="AL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R51" i="23"/>
  <c r="AL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R50" i="23"/>
  <c r="AL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R49" i="23"/>
  <c r="AL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R48" i="23"/>
  <c r="AL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R47" i="23"/>
  <c r="AL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R46" i="23"/>
  <c r="AL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R45" i="23"/>
  <c r="AL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R44" i="23"/>
  <c r="AL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R43" i="23"/>
  <c r="AL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AF42" i="23" s="1"/>
  <c r="R42" i="23"/>
  <c r="AL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R41" i="23"/>
  <c r="AL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AF40" i="23" s="1"/>
  <c r="R40" i="23"/>
  <c r="AL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R39" i="23"/>
  <c r="AL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AF38" i="23" s="1"/>
  <c r="R38" i="23"/>
  <c r="AL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R37" i="23"/>
  <c r="AL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AF36" i="23" s="1"/>
  <c r="R36" i="23"/>
  <c r="AL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R35" i="23"/>
  <c r="AL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AF34" i="23" s="1"/>
  <c r="R34" i="23"/>
  <c r="AL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R33" i="23"/>
  <c r="AL32" i="23"/>
  <c r="AE32" i="23"/>
  <c r="AD32" i="23"/>
  <c r="AC32" i="23"/>
  <c r="AB32" i="23"/>
  <c r="AA32" i="23"/>
  <c r="Z32" i="23"/>
  <c r="Y32" i="23"/>
  <c r="X32" i="23"/>
  <c r="W32" i="23"/>
  <c r="V32" i="23"/>
  <c r="AG32" i="23" s="1"/>
  <c r="U32" i="23"/>
  <c r="T32" i="23"/>
  <c r="R32" i="23"/>
  <c r="AL31" i="23"/>
  <c r="AE31" i="23"/>
  <c r="AD31" i="23"/>
  <c r="AC31" i="23"/>
  <c r="AB31" i="23"/>
  <c r="AA31" i="23"/>
  <c r="Z31" i="23"/>
  <c r="Y31" i="23"/>
  <c r="X31" i="23"/>
  <c r="W31" i="23"/>
  <c r="V31" i="23"/>
  <c r="U31" i="23"/>
  <c r="AG31" i="23" s="1"/>
  <c r="T31" i="23"/>
  <c r="R31" i="23"/>
  <c r="AL30" i="23"/>
  <c r="AG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AF30" i="23" s="1"/>
  <c r="R30" i="23"/>
  <c r="AL29" i="23"/>
  <c r="AE29" i="23"/>
  <c r="AD29" i="23"/>
  <c r="AC29" i="23"/>
  <c r="AB29" i="23"/>
  <c r="AA29" i="23"/>
  <c r="Z29" i="23"/>
  <c r="Y29" i="23"/>
  <c r="X29" i="23"/>
  <c r="W29" i="23"/>
  <c r="V29" i="23"/>
  <c r="U29" i="23"/>
  <c r="AG29" i="23" s="1"/>
  <c r="T29" i="23"/>
  <c r="R29" i="23"/>
  <c r="AL28" i="23"/>
  <c r="AE28" i="23"/>
  <c r="AD28" i="23"/>
  <c r="AC28" i="23"/>
  <c r="AB28" i="23"/>
  <c r="AA28" i="23"/>
  <c r="Z28" i="23"/>
  <c r="Y28" i="23"/>
  <c r="X28" i="23"/>
  <c r="W28" i="23"/>
  <c r="V28" i="23"/>
  <c r="AG28" i="23" s="1"/>
  <c r="U28" i="23"/>
  <c r="T28" i="23"/>
  <c r="R28" i="23"/>
  <c r="AL27" i="23"/>
  <c r="AE27" i="23"/>
  <c r="AD27" i="23"/>
  <c r="AC27" i="23"/>
  <c r="AB27" i="23"/>
  <c r="AA27" i="23"/>
  <c r="Z27" i="23"/>
  <c r="Y27" i="23"/>
  <c r="X27" i="23"/>
  <c r="W27" i="23"/>
  <c r="V27" i="23"/>
  <c r="U27" i="23"/>
  <c r="AG27" i="23" s="1"/>
  <c r="T27" i="23"/>
  <c r="R27" i="23"/>
  <c r="AL26" i="23"/>
  <c r="AG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AF26" i="23" s="1"/>
  <c r="R26" i="23"/>
  <c r="AL25" i="23"/>
  <c r="AE25" i="23"/>
  <c r="AD25" i="23"/>
  <c r="AC25" i="23"/>
  <c r="AB25" i="23"/>
  <c r="AA25" i="23"/>
  <c r="Z25" i="23"/>
  <c r="Y25" i="23"/>
  <c r="X25" i="23"/>
  <c r="W25" i="23"/>
  <c r="V25" i="23"/>
  <c r="U25" i="23"/>
  <c r="AG25" i="23" s="1"/>
  <c r="T25" i="23"/>
  <c r="R25" i="23"/>
  <c r="AL24" i="23"/>
  <c r="AE24" i="23"/>
  <c r="AD24" i="23"/>
  <c r="AC24" i="23"/>
  <c r="AB24" i="23"/>
  <c r="AA24" i="23"/>
  <c r="Z24" i="23"/>
  <c r="Y24" i="23"/>
  <c r="X24" i="23"/>
  <c r="W24" i="23"/>
  <c r="V24" i="23"/>
  <c r="AG24" i="23" s="1"/>
  <c r="U24" i="23"/>
  <c r="T24" i="23"/>
  <c r="R24" i="23"/>
  <c r="AL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R23" i="23"/>
  <c r="AL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AG22" i="23" s="1"/>
  <c r="R22" i="23"/>
  <c r="AL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AG21" i="23" s="1"/>
  <c r="R21" i="23"/>
  <c r="AL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AG20" i="23" s="1"/>
  <c r="R20" i="23"/>
  <c r="AL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AG19" i="23" s="1"/>
  <c r="R19" i="23"/>
  <c r="AL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AG18" i="23" s="1"/>
  <c r="R18" i="23"/>
  <c r="AL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AG17" i="23" s="1"/>
  <c r="R17" i="23"/>
  <c r="AL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AG16" i="23" s="1"/>
  <c r="R16" i="23"/>
  <c r="AL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AG15" i="23" s="1"/>
  <c r="R15" i="23"/>
  <c r="AL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AG14" i="23" s="1"/>
  <c r="R14" i="23"/>
  <c r="AL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AG13" i="23" s="1"/>
  <c r="R13" i="23"/>
  <c r="AL12" i="23"/>
  <c r="AE12" i="23"/>
  <c r="AE115" i="23" s="1"/>
  <c r="AD12" i="23"/>
  <c r="AC12" i="23"/>
  <c r="AC115" i="23" s="1"/>
  <c r="AB12" i="23"/>
  <c r="AB115" i="23" s="1"/>
  <c r="AA12" i="23"/>
  <c r="AA115" i="23" s="1"/>
  <c r="Z12" i="23"/>
  <c r="Y12" i="23"/>
  <c r="Y115" i="23" s="1"/>
  <c r="X12" i="23"/>
  <c r="X115" i="23" s="1"/>
  <c r="W12" i="23"/>
  <c r="W115" i="23" s="1"/>
  <c r="V12" i="23"/>
  <c r="U12" i="23"/>
  <c r="U115" i="23" s="1"/>
  <c r="T12" i="23"/>
  <c r="T115" i="23" s="1"/>
  <c r="R12" i="23"/>
  <c r="R115" i="23" s="1"/>
  <c r="T4" i="23"/>
  <c r="G4" i="23"/>
  <c r="H4" i="23" s="1"/>
  <c r="AX2" i="23"/>
  <c r="AX3" i="23" s="1"/>
  <c r="AM13" i="23" l="1"/>
  <c r="AM24" i="23"/>
  <c r="AM15" i="23"/>
  <c r="AM17" i="23"/>
  <c r="AM19" i="23"/>
  <c r="AM21" i="23"/>
  <c r="AM25" i="23"/>
  <c r="AM14" i="23"/>
  <c r="AM16" i="23"/>
  <c r="AM18" i="23"/>
  <c r="AM20" i="23"/>
  <c r="AM22" i="23"/>
  <c r="AM27" i="23"/>
  <c r="AM29" i="23"/>
  <c r="AM32" i="23"/>
  <c r="AM28" i="23"/>
  <c r="I4" i="23"/>
  <c r="V4" i="23"/>
  <c r="AM3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G23" i="23"/>
  <c r="AF27" i="23"/>
  <c r="AF31" i="23"/>
  <c r="AG34" i="23"/>
  <c r="AG36" i="23"/>
  <c r="AG38" i="23"/>
  <c r="AG40" i="23"/>
  <c r="AG42" i="23"/>
  <c r="AM52" i="23"/>
  <c r="AM54" i="23"/>
  <c r="AM56" i="23"/>
  <c r="AM58" i="23"/>
  <c r="AM60" i="23"/>
  <c r="AM62" i="23"/>
  <c r="AM64" i="23"/>
  <c r="AM66" i="23"/>
  <c r="U4" i="23"/>
  <c r="AG12" i="23"/>
  <c r="AF24" i="23"/>
  <c r="AM26" i="23"/>
  <c r="AF28" i="23"/>
  <c r="AM30" i="23"/>
  <c r="AF32" i="23"/>
  <c r="AF33" i="23"/>
  <c r="AF35" i="23"/>
  <c r="AF37" i="23"/>
  <c r="AF39" i="23"/>
  <c r="AF41" i="23"/>
  <c r="AF43" i="23"/>
  <c r="AF44" i="23"/>
  <c r="AF45" i="23"/>
  <c r="AF46" i="23"/>
  <c r="AF47" i="23"/>
  <c r="AF48" i="23"/>
  <c r="AF49" i="23"/>
  <c r="AF50" i="23"/>
  <c r="AF51" i="23"/>
  <c r="V115" i="23"/>
  <c r="Z115" i="23"/>
  <c r="AD115" i="23"/>
  <c r="AF25" i="23"/>
  <c r="AF29" i="23"/>
  <c r="AG33" i="23"/>
  <c r="AG35" i="23"/>
  <c r="AG37" i="23"/>
  <c r="AG39" i="23"/>
  <c r="AG41" i="23"/>
  <c r="AG43" i="23"/>
  <c r="AG44" i="23"/>
  <c r="AG45" i="23"/>
  <c r="AG46" i="23"/>
  <c r="AG47" i="23"/>
  <c r="AG48" i="23"/>
  <c r="AG49" i="23"/>
  <c r="AG50" i="23"/>
  <c r="AG51" i="23"/>
  <c r="AM53" i="23"/>
  <c r="AM55" i="23"/>
  <c r="AM57" i="23"/>
  <c r="AM59" i="23"/>
  <c r="AM61" i="23"/>
  <c r="AM63" i="23"/>
  <c r="AM65" i="23"/>
  <c r="AF71" i="23"/>
  <c r="AF79" i="23"/>
  <c r="AM129" i="23"/>
  <c r="AM143" i="23"/>
  <c r="AF69" i="23"/>
  <c r="AF70" i="23"/>
  <c r="AF74" i="23"/>
  <c r="AG77" i="23"/>
  <c r="AF77" i="23"/>
  <c r="AG81" i="23"/>
  <c r="AG85" i="23"/>
  <c r="AG89" i="23"/>
  <c r="AM141" i="23"/>
  <c r="AF68" i="23"/>
  <c r="AF72" i="23"/>
  <c r="AG75" i="23"/>
  <c r="AF75" i="23"/>
  <c r="AF80" i="23"/>
  <c r="AF84" i="23"/>
  <c r="AF88" i="23"/>
  <c r="AM133" i="23"/>
  <c r="AM136" i="23"/>
  <c r="AM137" i="23"/>
  <c r="AM159" i="23"/>
  <c r="AF73" i="23"/>
  <c r="AF78" i="23"/>
  <c r="AM140" i="23"/>
  <c r="AG119" i="23"/>
  <c r="AF120" i="23"/>
  <c r="AF122" i="23" s="1"/>
  <c r="AG127" i="23"/>
  <c r="AF132" i="23"/>
  <c r="AF139" i="23"/>
  <c r="AF142" i="23"/>
  <c r="AM147" i="23"/>
  <c r="AM149" i="23"/>
  <c r="AF149" i="23"/>
  <c r="AM153" i="23"/>
  <c r="AM156" i="23"/>
  <c r="AM158" i="23"/>
  <c r="AM160" i="23"/>
  <c r="AM164" i="23"/>
  <c r="AM169" i="23"/>
  <c r="AM173" i="23"/>
  <c r="AM181" i="23"/>
  <c r="AM185" i="23"/>
  <c r="AM190" i="23"/>
  <c r="AF81" i="23"/>
  <c r="AF83" i="23"/>
  <c r="AF85" i="23"/>
  <c r="AF87" i="23"/>
  <c r="AF89" i="23"/>
  <c r="AF91" i="23"/>
  <c r="AF93" i="23"/>
  <c r="AF95" i="23"/>
  <c r="AF97" i="23"/>
  <c r="AF99" i="23"/>
  <c r="AF101" i="23"/>
  <c r="AF103" i="23"/>
  <c r="AF105" i="23"/>
  <c r="AF107" i="23"/>
  <c r="AF109" i="23"/>
  <c r="AF111" i="23"/>
  <c r="AF113" i="23"/>
  <c r="J329" i="23"/>
  <c r="N329" i="23"/>
  <c r="AG120" i="23"/>
  <c r="V252" i="23"/>
  <c r="Z252" i="23"/>
  <c r="AD252" i="23"/>
  <c r="AF129" i="23"/>
  <c r="AM130" i="23"/>
  <c r="AG134" i="23"/>
  <c r="AF136" i="23"/>
  <c r="AM144" i="23"/>
  <c r="AM150" i="23"/>
  <c r="AM161" i="23"/>
  <c r="AM165" i="23"/>
  <c r="AM171" i="23"/>
  <c r="AM176" i="23"/>
  <c r="AM180" i="23"/>
  <c r="AM184" i="23"/>
  <c r="AM188" i="23"/>
  <c r="AM192" i="23"/>
  <c r="R252" i="23"/>
  <c r="R329" i="23" s="1"/>
  <c r="W252" i="23"/>
  <c r="AA252" i="23"/>
  <c r="AE252" i="23"/>
  <c r="AG128" i="23"/>
  <c r="AF128" i="23"/>
  <c r="AM132" i="23"/>
  <c r="AG135" i="23"/>
  <c r="AF135" i="23"/>
  <c r="AM139" i="23"/>
  <c r="AM142" i="23"/>
  <c r="AG148" i="23"/>
  <c r="AG157" i="23"/>
  <c r="AM163" i="23"/>
  <c r="AM167" i="23"/>
  <c r="AM168" i="23"/>
  <c r="AM172" i="23"/>
  <c r="AM178" i="23"/>
  <c r="AM182" i="23"/>
  <c r="AM186" i="23"/>
  <c r="T252" i="23"/>
  <c r="X252" i="23"/>
  <c r="AB252" i="23"/>
  <c r="AF127" i="23"/>
  <c r="AG131" i="23"/>
  <c r="AG138" i="23"/>
  <c r="AF141" i="23"/>
  <c r="AF143" i="23"/>
  <c r="AM146" i="23"/>
  <c r="AF146" i="23"/>
  <c r="AM152" i="23"/>
  <c r="AF152" i="23"/>
  <c r="AM155" i="23"/>
  <c r="AF155" i="23"/>
  <c r="AF159" i="23"/>
  <c r="AM162" i="23"/>
  <c r="AM166" i="23"/>
  <c r="AM170" i="23"/>
  <c r="AM174" i="23"/>
  <c r="AM175" i="23"/>
  <c r="AM177" i="23"/>
  <c r="AM179" i="23"/>
  <c r="AM183" i="23"/>
  <c r="AM187" i="23"/>
  <c r="AM189" i="23"/>
  <c r="AM191" i="23"/>
  <c r="AF177" i="23"/>
  <c r="AF192" i="23"/>
  <c r="AH199" i="23"/>
  <c r="AM199" i="23" s="1"/>
  <c r="AF203" i="23"/>
  <c r="AF162" i="23"/>
  <c r="AF166" i="23"/>
  <c r="AF169" i="23"/>
  <c r="AF173" i="23"/>
  <c r="AF176" i="23"/>
  <c r="AF180" i="23"/>
  <c r="AF184" i="23"/>
  <c r="AG200" i="23"/>
  <c r="AF200" i="23"/>
  <c r="AG204" i="23"/>
  <c r="AF204" i="23"/>
  <c r="AF131" i="23"/>
  <c r="AF134" i="23"/>
  <c r="AF138" i="23"/>
  <c r="AF145" i="23"/>
  <c r="AF151" i="23"/>
  <c r="AF154" i="23"/>
  <c r="AF158" i="23"/>
  <c r="AF161" i="23"/>
  <c r="AF165" i="23"/>
  <c r="AF168" i="23"/>
  <c r="AF172" i="23"/>
  <c r="AF175" i="23"/>
  <c r="AF179" i="23"/>
  <c r="AF183" i="23"/>
  <c r="AF187" i="23"/>
  <c r="AF190" i="23"/>
  <c r="AG193" i="23"/>
  <c r="AF197" i="23"/>
  <c r="AG201" i="23"/>
  <c r="AG194" i="23"/>
  <c r="AF194" i="23"/>
  <c r="AG198" i="23"/>
  <c r="AF198" i="23"/>
  <c r="AF202" i="23"/>
  <c r="AF207" i="23"/>
  <c r="AF211" i="23"/>
  <c r="AF215" i="23"/>
  <c r="AF219" i="23"/>
  <c r="AF223" i="23"/>
  <c r="AF227" i="23"/>
  <c r="AF231" i="23"/>
  <c r="AF235" i="23"/>
  <c r="AF239" i="23"/>
  <c r="AF208" i="23"/>
  <c r="AF212" i="23"/>
  <c r="AF216" i="23"/>
  <c r="AF220" i="23"/>
  <c r="AF224" i="23"/>
  <c r="AF228" i="23"/>
  <c r="AF232" i="23"/>
  <c r="AF236" i="23"/>
  <c r="AF243" i="23"/>
  <c r="AG246" i="23"/>
  <c r="AG249" i="23"/>
  <c r="AG250" i="23"/>
  <c r="AF193" i="23"/>
  <c r="AF195" i="23"/>
  <c r="AF199" i="23"/>
  <c r="AF201" i="23"/>
  <c r="AF205" i="23"/>
  <c r="AF209" i="23"/>
  <c r="AF213" i="23"/>
  <c r="AF217" i="23"/>
  <c r="AF221" i="23"/>
  <c r="AF225" i="23"/>
  <c r="AF229" i="23"/>
  <c r="AF233" i="23"/>
  <c r="AF237" i="23"/>
  <c r="AG240" i="23"/>
  <c r="AF240" i="23"/>
  <c r="AG244" i="23"/>
  <c r="AF244" i="23"/>
  <c r="AF248" i="23"/>
  <c r="AG241" i="23"/>
  <c r="AG245" i="23"/>
  <c r="AF247" i="23"/>
  <c r="AF280" i="23"/>
  <c r="AF284" i="23"/>
  <c r="AF288" i="23"/>
  <c r="AF292" i="23"/>
  <c r="AM297" i="23"/>
  <c r="AM301" i="23"/>
  <c r="AX316" i="23"/>
  <c r="AY316" i="23" s="1"/>
  <c r="AS316" i="23"/>
  <c r="AF258" i="23"/>
  <c r="AF262" i="23"/>
  <c r="AF266" i="23"/>
  <c r="AF270" i="23"/>
  <c r="AF274" i="23"/>
  <c r="AF279" i="23"/>
  <c r="AM298" i="23"/>
  <c r="AM302" i="23"/>
  <c r="AF241" i="23"/>
  <c r="AF245" i="23"/>
  <c r="AF249" i="23"/>
  <c r="AF259" i="23"/>
  <c r="AF263" i="23"/>
  <c r="AF267" i="23"/>
  <c r="AF271" i="23"/>
  <c r="AF275" i="23"/>
  <c r="AF278" i="23"/>
  <c r="AG282" i="23"/>
  <c r="AG286" i="23"/>
  <c r="AF290" i="23"/>
  <c r="AF308" i="23"/>
  <c r="AM299" i="23"/>
  <c r="AY311" i="23"/>
  <c r="AS314" i="23"/>
  <c r="AX314" i="23"/>
  <c r="AY314" i="23" s="1"/>
  <c r="R308" i="23"/>
  <c r="AG281" i="23"/>
  <c r="AF281" i="23"/>
  <c r="AF285" i="23"/>
  <c r="AF289" i="23"/>
  <c r="AG290" i="23"/>
  <c r="AM300" i="23"/>
  <c r="AS313" i="23"/>
  <c r="AX313" i="23"/>
  <c r="AY313" i="23" s="1"/>
  <c r="AF293" i="23"/>
  <c r="AG296" i="23"/>
  <c r="AF306" i="23"/>
  <c r="R318" i="23"/>
  <c r="AF282" i="23"/>
  <c r="AF286" i="23"/>
  <c r="AF303" i="23"/>
  <c r="T308" i="23"/>
  <c r="AS311" i="23"/>
  <c r="AS315" i="23"/>
  <c r="AR318" i="23"/>
  <c r="AF283" i="23"/>
  <c r="AF287" i="23"/>
  <c r="AF291" i="23"/>
  <c r="AF295" i="23"/>
  <c r="AF304" i="23"/>
  <c r="AX318" i="23" l="1"/>
  <c r="AM193" i="23"/>
  <c r="AO251" i="23" s="1"/>
  <c r="AM131" i="23"/>
  <c r="AG252" i="23"/>
  <c r="AM127" i="23"/>
  <c r="AM49" i="23"/>
  <c r="AM45" i="23"/>
  <c r="AM39" i="23"/>
  <c r="AM40" i="23"/>
  <c r="AO114" i="23"/>
  <c r="AM48" i="23"/>
  <c r="AM44" i="23"/>
  <c r="AM37" i="23"/>
  <c r="AG115" i="23"/>
  <c r="AM12" i="23"/>
  <c r="AM38" i="23"/>
  <c r="J4" i="23"/>
  <c r="W4" i="23"/>
  <c r="AG308" i="23"/>
  <c r="AM296" i="23"/>
  <c r="AO308" i="23" s="1"/>
  <c r="AO309" i="23" s="1"/>
  <c r="AF252" i="23"/>
  <c r="AM135" i="23"/>
  <c r="AM134" i="23"/>
  <c r="AG122" i="23"/>
  <c r="AM122" i="23" s="1"/>
  <c r="AO122" i="23" s="1"/>
  <c r="AM51" i="23"/>
  <c r="AM47" i="23"/>
  <c r="AM43" i="23"/>
  <c r="AM35" i="23"/>
  <c r="AX1" i="23"/>
  <c r="AX4" i="23" s="1"/>
  <c r="AM36" i="23"/>
  <c r="AM23" i="23"/>
  <c r="AF115" i="23"/>
  <c r="AM148" i="23"/>
  <c r="AM128" i="23"/>
  <c r="AS318" i="23"/>
  <c r="AY318" i="23"/>
  <c r="AM138" i="23"/>
  <c r="AM157" i="23"/>
  <c r="AO252" i="23" s="1"/>
  <c r="AM50" i="23"/>
  <c r="AM46" i="23"/>
  <c r="AM41" i="23"/>
  <c r="AM33" i="23"/>
  <c r="AM42" i="23"/>
  <c r="AM34" i="23"/>
  <c r="AO250" i="23" l="1"/>
  <c r="AO253" i="23" s="1"/>
  <c r="AO113" i="23"/>
  <c r="X4" i="23"/>
  <c r="K4" i="23"/>
  <c r="L4" i="23" l="1"/>
  <c r="Y4" i="23"/>
  <c r="AO115" i="23"/>
  <c r="AO331" i="23" s="1"/>
  <c r="M4" i="23" l="1"/>
  <c r="Z4" i="23"/>
  <c r="N4" i="23" l="1"/>
  <c r="AA4" i="23"/>
  <c r="AB4" i="23" l="1"/>
  <c r="O4" i="23"/>
  <c r="AC4" i="23" l="1"/>
  <c r="P4" i="23"/>
  <c r="Q4" i="23" l="1"/>
  <c r="AE4" i="23" s="1"/>
  <c r="AD4" i="23"/>
  <c r="H72" i="17" l="1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70" i="17"/>
  <c r="H71" i="17"/>
  <c r="H73" i="17"/>
  <c r="H74" i="17"/>
  <c r="H51" i="17"/>
  <c r="H2" i="17"/>
  <c r="D8" i="7" l="1"/>
  <c r="C3" i="22" s="1"/>
  <c r="C52" i="22"/>
  <c r="C56" i="22"/>
  <c r="C60" i="22"/>
  <c r="C82" i="22"/>
  <c r="C79" i="22"/>
  <c r="D85" i="7" l="1"/>
  <c r="H104" i="7" l="1"/>
  <c r="C66" i="4" l="1"/>
  <c r="Q4" i="17" l="1"/>
  <c r="R4" i="17" s="1"/>
  <c r="G48" i="7" l="1"/>
  <c r="J2" i="17"/>
  <c r="J3" i="17"/>
  <c r="G8" i="7" l="1"/>
  <c r="G9" i="7"/>
  <c r="H9" i="7" s="1"/>
  <c r="F102" i="7"/>
  <c r="H94" i="7" l="1"/>
  <c r="H48" i="7"/>
  <c r="H77" i="7" s="1"/>
  <c r="Q48" i="7"/>
  <c r="Q77" i="7" s="1"/>
  <c r="H60" i="4"/>
  <c r="Q102" i="7" l="1"/>
  <c r="H102" i="7"/>
  <c r="C40" i="4"/>
  <c r="C61" i="4" l="1"/>
  <c r="E61" i="4" l="1"/>
  <c r="J91" i="7"/>
  <c r="C54" i="4"/>
  <c r="C53" i="4"/>
  <c r="C51" i="4"/>
  <c r="C50" i="4"/>
  <c r="C49" i="4"/>
  <c r="C47" i="4"/>
  <c r="C46" i="4"/>
  <c r="C45" i="4"/>
  <c r="C44" i="4"/>
  <c r="C42" i="4"/>
  <c r="C41" i="4"/>
  <c r="C7" i="4" l="1"/>
  <c r="C8" i="4"/>
  <c r="C9" i="4"/>
  <c r="C10" i="4"/>
  <c r="E9" i="4" l="1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D60" i="4" l="1"/>
  <c r="D59" i="4"/>
  <c r="C13" i="4"/>
  <c r="C12" i="4"/>
  <c r="C11" i="4"/>
  <c r="M2" i="17" l="1"/>
  <c r="F8" i="7"/>
  <c r="F45" i="7" s="1"/>
  <c r="D61" i="4"/>
  <c r="C64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Q8" i="7" l="1"/>
  <c r="Q45" i="7" s="1"/>
  <c r="H8" i="7"/>
  <c r="H45" i="7" s="1"/>
  <c r="C65" i="4"/>
  <c r="C67" i="4" s="1"/>
  <c r="F115" i="7"/>
  <c r="H115" i="7" l="1"/>
  <c r="J84" i="7"/>
  <c r="Q115" i="7"/>
  <c r="F78" i="7" l="1"/>
  <c r="D86" i="7" l="1"/>
  <c r="F79" i="7"/>
  <c r="J86" i="7"/>
  <c r="Q78" i="7"/>
  <c r="H78" i="7"/>
  <c r="D87" i="7" s="1"/>
  <c r="T114" i="7" l="1"/>
  <c r="I110" i="7"/>
  <c r="J110" i="7" s="1"/>
  <c r="K110" i="7" s="1"/>
  <c r="N110" i="7" s="1"/>
  <c r="P110" i="7" s="1"/>
  <c r="I103" i="7"/>
  <c r="J103" i="7" s="1"/>
  <c r="K103" i="7" s="1"/>
  <c r="N103" i="7" s="1"/>
  <c r="I111" i="7"/>
  <c r="J111" i="7" s="1"/>
  <c r="K111" i="7" s="1"/>
  <c r="N111" i="7" s="1"/>
  <c r="I109" i="7"/>
  <c r="J109" i="7" s="1"/>
  <c r="K109" i="7" s="1"/>
  <c r="N109" i="7" s="1"/>
  <c r="T108" i="7" s="1"/>
  <c r="I108" i="7"/>
  <c r="J108" i="7" s="1"/>
  <c r="K108" i="7" s="1"/>
  <c r="N108" i="7" s="1"/>
  <c r="T107" i="7" s="1"/>
  <c r="I113" i="7"/>
  <c r="J113" i="7" s="1"/>
  <c r="K113" i="7" s="1"/>
  <c r="N113" i="7" s="1"/>
  <c r="T112" i="7" s="1"/>
  <c r="I112" i="7"/>
  <c r="J112" i="7" s="1"/>
  <c r="K112" i="7" s="1"/>
  <c r="N112" i="7" s="1"/>
  <c r="T111" i="7" s="1"/>
  <c r="I105" i="7"/>
  <c r="J105" i="7" s="1"/>
  <c r="K105" i="7" s="1"/>
  <c r="N105" i="7" s="1"/>
  <c r="I107" i="7"/>
  <c r="J107" i="7" s="1"/>
  <c r="K107" i="7" s="1"/>
  <c r="N107" i="7" s="1"/>
  <c r="I98" i="7"/>
  <c r="J98" i="7" s="1"/>
  <c r="K98" i="7" s="1"/>
  <c r="N98" i="7" s="1"/>
  <c r="T98" i="7" s="1"/>
  <c r="I101" i="7"/>
  <c r="J101" i="7" s="1"/>
  <c r="K101" i="7" s="1"/>
  <c r="N101" i="7" s="1"/>
  <c r="T101" i="7" s="1"/>
  <c r="I96" i="7"/>
  <c r="J96" i="7" s="1"/>
  <c r="K96" i="7" s="1"/>
  <c r="N96" i="7" s="1"/>
  <c r="T96" i="7" s="1"/>
  <c r="I114" i="7"/>
  <c r="J114" i="7" s="1"/>
  <c r="K114" i="7" s="1"/>
  <c r="N114" i="7" s="1"/>
  <c r="T113" i="7" s="1"/>
  <c r="I106" i="7"/>
  <c r="J106" i="7" s="1"/>
  <c r="K106" i="7" s="1"/>
  <c r="N106" i="7" s="1"/>
  <c r="I99" i="7"/>
  <c r="J99" i="7" s="1"/>
  <c r="K99" i="7" s="1"/>
  <c r="N99" i="7" s="1"/>
  <c r="T99" i="7" s="1"/>
  <c r="I100" i="7"/>
  <c r="J100" i="7" s="1"/>
  <c r="K100" i="7" s="1"/>
  <c r="N100" i="7" s="1"/>
  <c r="T100" i="7" s="1"/>
  <c r="I95" i="7"/>
  <c r="J95" i="7" s="1"/>
  <c r="K95" i="7" s="1"/>
  <c r="N95" i="7" s="1"/>
  <c r="T95" i="7" s="1"/>
  <c r="I97" i="7"/>
  <c r="J97" i="7" s="1"/>
  <c r="K97" i="7" s="1"/>
  <c r="N97" i="7" s="1"/>
  <c r="T97" i="7" s="1"/>
  <c r="I46" i="7"/>
  <c r="I67" i="7"/>
  <c r="J67" i="7" s="1"/>
  <c r="K67" i="7" s="1"/>
  <c r="N67" i="7" s="1"/>
  <c r="I57" i="7"/>
  <c r="J57" i="7" s="1"/>
  <c r="K57" i="7" s="1"/>
  <c r="N57" i="7" s="1"/>
  <c r="I9" i="7"/>
  <c r="J9" i="7" s="1"/>
  <c r="K9" i="7" s="1"/>
  <c r="N9" i="7" s="1"/>
  <c r="I17" i="7"/>
  <c r="J17" i="7" s="1"/>
  <c r="K17" i="7" s="1"/>
  <c r="N17" i="7" s="1"/>
  <c r="I25" i="7"/>
  <c r="J25" i="7" s="1"/>
  <c r="K25" i="7" s="1"/>
  <c r="N25" i="7" s="1"/>
  <c r="T25" i="7" s="1"/>
  <c r="I33" i="7"/>
  <c r="J33" i="7" s="1"/>
  <c r="K33" i="7" s="1"/>
  <c r="N33" i="7" s="1"/>
  <c r="T33" i="7" s="1"/>
  <c r="I11" i="7"/>
  <c r="J11" i="7" s="1"/>
  <c r="K11" i="7" s="1"/>
  <c r="N11" i="7" s="1"/>
  <c r="T11" i="7" s="1"/>
  <c r="I35" i="7"/>
  <c r="J35" i="7" s="1"/>
  <c r="K35" i="7" s="1"/>
  <c r="N35" i="7" s="1"/>
  <c r="I22" i="7"/>
  <c r="J22" i="7" s="1"/>
  <c r="K22" i="7" s="1"/>
  <c r="N22" i="7" s="1"/>
  <c r="T22" i="7" s="1"/>
  <c r="I69" i="7"/>
  <c r="J69" i="7" s="1"/>
  <c r="K69" i="7" s="1"/>
  <c r="N69" i="7" s="1"/>
  <c r="I31" i="7"/>
  <c r="J31" i="7" s="1"/>
  <c r="K31" i="7" s="1"/>
  <c r="N31" i="7" s="1"/>
  <c r="T31" i="7" s="1"/>
  <c r="I51" i="7"/>
  <c r="J51" i="7" s="1"/>
  <c r="K51" i="7" s="1"/>
  <c r="N51" i="7" s="1"/>
  <c r="I32" i="7"/>
  <c r="J32" i="7" s="1"/>
  <c r="K32" i="7" s="1"/>
  <c r="N32" i="7" s="1"/>
  <c r="T32" i="7" s="1"/>
  <c r="I71" i="7"/>
  <c r="J71" i="7" s="1"/>
  <c r="K71" i="7" s="1"/>
  <c r="N71" i="7" s="1"/>
  <c r="T71" i="7" s="1"/>
  <c r="I76" i="7"/>
  <c r="J76" i="7" s="1"/>
  <c r="K76" i="7" s="1"/>
  <c r="N76" i="7" s="1"/>
  <c r="I66" i="7"/>
  <c r="J66" i="7" s="1"/>
  <c r="K66" i="7" s="1"/>
  <c r="N66" i="7" s="1"/>
  <c r="I56" i="7"/>
  <c r="J56" i="7" s="1"/>
  <c r="K56" i="7" s="1"/>
  <c r="N56" i="7" s="1"/>
  <c r="I10" i="7"/>
  <c r="J10" i="7" s="1"/>
  <c r="K10" i="7" s="1"/>
  <c r="N10" i="7" s="1"/>
  <c r="T10" i="7" s="1"/>
  <c r="I18" i="7"/>
  <c r="J18" i="7" s="1"/>
  <c r="K18" i="7" s="1"/>
  <c r="N18" i="7" s="1"/>
  <c r="I26" i="7"/>
  <c r="J26" i="7" s="1"/>
  <c r="K26" i="7" s="1"/>
  <c r="N26" i="7" s="1"/>
  <c r="T26" i="7" s="1"/>
  <c r="I34" i="7"/>
  <c r="J34" i="7" s="1"/>
  <c r="K34" i="7" s="1"/>
  <c r="N34" i="7" s="1"/>
  <c r="T34" i="7" s="1"/>
  <c r="I39" i="7"/>
  <c r="J39" i="7" s="1"/>
  <c r="K39" i="7" s="1"/>
  <c r="N39" i="7" s="1"/>
  <c r="T39" i="7" s="1"/>
  <c r="I19" i="7"/>
  <c r="J19" i="7" s="1"/>
  <c r="K19" i="7" s="1"/>
  <c r="N19" i="7" s="1"/>
  <c r="T19" i="7" s="1"/>
  <c r="I27" i="7"/>
  <c r="J27" i="7" s="1"/>
  <c r="K27" i="7" s="1"/>
  <c r="N27" i="7" s="1"/>
  <c r="T27" i="7" s="1"/>
  <c r="I7" i="7"/>
  <c r="I14" i="7"/>
  <c r="J14" i="7" s="1"/>
  <c r="K14" i="7" s="1"/>
  <c r="N14" i="7" s="1"/>
  <c r="I42" i="7"/>
  <c r="J42" i="7" s="1"/>
  <c r="K42" i="7" s="1"/>
  <c r="N42" i="7" s="1"/>
  <c r="T42" i="7" s="1"/>
  <c r="I15" i="7"/>
  <c r="J15" i="7" s="1"/>
  <c r="K15" i="7" s="1"/>
  <c r="N15" i="7" s="1"/>
  <c r="I48" i="7"/>
  <c r="J48" i="7" s="1"/>
  <c r="K48" i="7" s="1"/>
  <c r="I68" i="7"/>
  <c r="J68" i="7" s="1"/>
  <c r="K68" i="7" s="1"/>
  <c r="N68" i="7" s="1"/>
  <c r="I75" i="7"/>
  <c r="J75" i="7" s="1"/>
  <c r="K75" i="7" s="1"/>
  <c r="N75" i="7" s="1"/>
  <c r="I64" i="7"/>
  <c r="J64" i="7" s="1"/>
  <c r="K64" i="7" s="1"/>
  <c r="N64" i="7" s="1"/>
  <c r="I54" i="7"/>
  <c r="J54" i="7" s="1"/>
  <c r="K54" i="7" s="1"/>
  <c r="N54" i="7" s="1"/>
  <c r="I73" i="7"/>
  <c r="J73" i="7" s="1"/>
  <c r="K73" i="7" s="1"/>
  <c r="N73" i="7" s="1"/>
  <c r="I43" i="7"/>
  <c r="J43" i="7" s="1"/>
  <c r="K43" i="7" s="1"/>
  <c r="N43" i="7" s="1"/>
  <c r="T43" i="7" s="1"/>
  <c r="I65" i="7"/>
  <c r="J65" i="7" s="1"/>
  <c r="K65" i="7" s="1"/>
  <c r="N65" i="7" s="1"/>
  <c r="I47" i="7"/>
  <c r="J47" i="7" s="1"/>
  <c r="K47" i="7" s="1"/>
  <c r="N47" i="7" s="1"/>
  <c r="T47" i="7" s="1"/>
  <c r="I63" i="7"/>
  <c r="J63" i="7" s="1"/>
  <c r="K63" i="7" s="1"/>
  <c r="N63" i="7" s="1"/>
  <c r="I53" i="7"/>
  <c r="J53" i="7" s="1"/>
  <c r="K53" i="7" s="1"/>
  <c r="N53" i="7" s="1"/>
  <c r="I12" i="7"/>
  <c r="J12" i="7" s="1"/>
  <c r="K12" i="7" s="1"/>
  <c r="N12" i="7" s="1"/>
  <c r="I20" i="7"/>
  <c r="J20" i="7" s="1"/>
  <c r="K20" i="7" s="1"/>
  <c r="N20" i="7" s="1"/>
  <c r="T20" i="7" s="1"/>
  <c r="I28" i="7"/>
  <c r="J28" i="7" s="1"/>
  <c r="K28" i="7" s="1"/>
  <c r="N28" i="7" s="1"/>
  <c r="T28" i="7" s="1"/>
  <c r="I36" i="7"/>
  <c r="J36" i="7" s="1"/>
  <c r="K36" i="7" s="1"/>
  <c r="N36" i="7" s="1"/>
  <c r="I40" i="7"/>
  <c r="J40" i="7" s="1"/>
  <c r="K40" i="7" s="1"/>
  <c r="N40" i="7" s="1"/>
  <c r="T40" i="7" s="1"/>
  <c r="I38" i="7"/>
  <c r="J38" i="7" s="1"/>
  <c r="K38" i="7" s="1"/>
  <c r="N38" i="7" s="1"/>
  <c r="T38" i="7" s="1"/>
  <c r="I23" i="7"/>
  <c r="J23" i="7" s="1"/>
  <c r="K23" i="7" s="1"/>
  <c r="N23" i="7" s="1"/>
  <c r="I16" i="7"/>
  <c r="J16" i="7" s="1"/>
  <c r="K16" i="7" s="1"/>
  <c r="N16" i="7" s="1"/>
  <c r="I62" i="7"/>
  <c r="J62" i="7" s="1"/>
  <c r="K62" i="7" s="1"/>
  <c r="N62" i="7" s="1"/>
  <c r="T62" i="7" s="1"/>
  <c r="I74" i="7"/>
  <c r="J74" i="7" s="1"/>
  <c r="K74" i="7" s="1"/>
  <c r="N74" i="7" s="1"/>
  <c r="I72" i="7"/>
  <c r="J72" i="7" s="1"/>
  <c r="K72" i="7" s="1"/>
  <c r="N72" i="7" s="1"/>
  <c r="I52" i="7"/>
  <c r="J52" i="7" s="1"/>
  <c r="K52" i="7" s="1"/>
  <c r="N52" i="7" s="1"/>
  <c r="I13" i="7"/>
  <c r="J13" i="7" s="1"/>
  <c r="K13" i="7" s="1"/>
  <c r="N13" i="7" s="1"/>
  <c r="I21" i="7"/>
  <c r="J21" i="7" s="1"/>
  <c r="K21" i="7" s="1"/>
  <c r="N21" i="7" s="1"/>
  <c r="T21" i="7" s="1"/>
  <c r="I29" i="7"/>
  <c r="J29" i="7" s="1"/>
  <c r="K29" i="7" s="1"/>
  <c r="N29" i="7" s="1"/>
  <c r="I37" i="7"/>
  <c r="J37" i="7" s="1"/>
  <c r="K37" i="7" s="1"/>
  <c r="N37" i="7" s="1"/>
  <c r="T37" i="7" s="1"/>
  <c r="I41" i="7"/>
  <c r="J41" i="7" s="1"/>
  <c r="K41" i="7" s="1"/>
  <c r="N41" i="7" s="1"/>
  <c r="T41" i="7" s="1"/>
  <c r="I60" i="7"/>
  <c r="J60" i="7" s="1"/>
  <c r="K60" i="7" s="1"/>
  <c r="N60" i="7" s="1"/>
  <c r="I44" i="7"/>
  <c r="J44" i="7" s="1"/>
  <c r="K44" i="7" s="1"/>
  <c r="N44" i="7" s="1"/>
  <c r="T44" i="7" s="1"/>
  <c r="I58" i="7"/>
  <c r="J58" i="7" s="1"/>
  <c r="K58" i="7" s="1"/>
  <c r="N58" i="7" s="1"/>
  <c r="I59" i="7"/>
  <c r="J59" i="7" s="1"/>
  <c r="K59" i="7" s="1"/>
  <c r="N59" i="7" s="1"/>
  <c r="I70" i="7"/>
  <c r="J70" i="7" s="1"/>
  <c r="K70" i="7" s="1"/>
  <c r="N70" i="7" s="1"/>
  <c r="I61" i="7"/>
  <c r="J61" i="7" s="1"/>
  <c r="K61" i="7" s="1"/>
  <c r="N61" i="7" s="1"/>
  <c r="P61" i="7" s="1"/>
  <c r="I50" i="7"/>
  <c r="J50" i="7" s="1"/>
  <c r="K50" i="7" s="1"/>
  <c r="N50" i="7" s="1"/>
  <c r="I30" i="7"/>
  <c r="J30" i="7" s="1"/>
  <c r="K30" i="7" s="1"/>
  <c r="N30" i="7" s="1"/>
  <c r="I49" i="7"/>
  <c r="J49" i="7" s="1"/>
  <c r="K49" i="7" s="1"/>
  <c r="N49" i="7" s="1"/>
  <c r="I55" i="7"/>
  <c r="J55" i="7" s="1"/>
  <c r="K55" i="7" s="1"/>
  <c r="N55" i="7" s="1"/>
  <c r="T55" i="7" s="1"/>
  <c r="I24" i="7"/>
  <c r="J24" i="7" s="1"/>
  <c r="K24" i="7" s="1"/>
  <c r="N24" i="7" s="1"/>
  <c r="I104" i="7"/>
  <c r="J104" i="7" s="1"/>
  <c r="K104" i="7" s="1"/>
  <c r="N104" i="7" s="1"/>
  <c r="I8" i="7"/>
  <c r="J8" i="7" s="1"/>
  <c r="K8" i="7" s="1"/>
  <c r="N8" i="7" s="1"/>
  <c r="P8" i="7" s="1"/>
  <c r="I94" i="7"/>
  <c r="J94" i="7" s="1"/>
  <c r="O111" i="7" l="1"/>
  <c r="F80" i="22" s="1"/>
  <c r="E80" i="22" s="1"/>
  <c r="K80" i="22"/>
  <c r="G80" i="22"/>
  <c r="T109" i="7"/>
  <c r="O114" i="7"/>
  <c r="P114" i="7"/>
  <c r="J78" i="22" s="1"/>
  <c r="I78" i="22" s="1"/>
  <c r="K78" i="22" s="1"/>
  <c r="T110" i="7"/>
  <c r="O110" i="7"/>
  <c r="F86" i="22" s="1"/>
  <c r="E86" i="22" s="1"/>
  <c r="G86" i="22" s="1"/>
  <c r="P103" i="7"/>
  <c r="J48" i="22" s="1"/>
  <c r="I48" i="22" s="1"/>
  <c r="K48" i="22" s="1"/>
  <c r="O103" i="7"/>
  <c r="F48" i="22" s="1"/>
  <c r="E48" i="22" s="1"/>
  <c r="G48" i="22" s="1"/>
  <c r="J46" i="7"/>
  <c r="I77" i="7"/>
  <c r="J7" i="7"/>
  <c r="I45" i="7"/>
  <c r="P111" i="7"/>
  <c r="J80" i="22" s="1"/>
  <c r="I80" i="22" s="1"/>
  <c r="J86" i="22"/>
  <c r="I86" i="22" s="1"/>
  <c r="K86" i="22" s="1"/>
  <c r="O108" i="7"/>
  <c r="F84" i="22" s="1"/>
  <c r="E84" i="22" s="1"/>
  <c r="G84" i="22" s="1"/>
  <c r="P108" i="7"/>
  <c r="J84" i="22" s="1"/>
  <c r="I84" i="22" s="1"/>
  <c r="K84" i="22" s="1"/>
  <c r="O109" i="7"/>
  <c r="F85" i="22" s="1"/>
  <c r="E85" i="22" s="1"/>
  <c r="G85" i="22" s="1"/>
  <c r="P109" i="7"/>
  <c r="J85" i="22" s="1"/>
  <c r="I85" i="22" s="1"/>
  <c r="K85" i="22" s="1"/>
  <c r="F78" i="22"/>
  <c r="E78" i="22" s="1"/>
  <c r="G78" i="22" s="1"/>
  <c r="P105" i="7"/>
  <c r="J68" i="22" s="1"/>
  <c r="I68" i="22" s="1"/>
  <c r="K68" i="22" s="1"/>
  <c r="O105" i="7"/>
  <c r="F68" i="22" s="1"/>
  <c r="E68" i="22" s="1"/>
  <c r="G68" i="22" s="1"/>
  <c r="P96" i="7"/>
  <c r="J16" i="22" s="1"/>
  <c r="I16" i="22" s="1"/>
  <c r="K16" i="22" s="1"/>
  <c r="O96" i="7"/>
  <c r="F16" i="22" s="1"/>
  <c r="E16" i="22" s="1"/>
  <c r="G16" i="22" s="1"/>
  <c r="O101" i="7"/>
  <c r="F47" i="22" s="1"/>
  <c r="E47" i="22" s="1"/>
  <c r="G47" i="22" s="1"/>
  <c r="P101" i="7"/>
  <c r="J47" i="22" s="1"/>
  <c r="I47" i="22" s="1"/>
  <c r="K47" i="22" s="1"/>
  <c r="O104" i="7"/>
  <c r="F64" i="22" s="1"/>
  <c r="E64" i="22" s="1"/>
  <c r="G64" i="22" s="1"/>
  <c r="P104" i="7"/>
  <c r="J64" i="22" s="1"/>
  <c r="I64" i="22" s="1"/>
  <c r="K64" i="22" s="1"/>
  <c r="O95" i="7"/>
  <c r="F11" i="22" s="1"/>
  <c r="E11" i="22" s="1"/>
  <c r="G11" i="22" s="1"/>
  <c r="P95" i="7"/>
  <c r="J11" i="22" s="1"/>
  <c r="I11" i="22" s="1"/>
  <c r="K11" i="22" s="1"/>
  <c r="P107" i="7"/>
  <c r="J76" i="22" s="1"/>
  <c r="I76" i="22" s="1"/>
  <c r="K76" i="22" s="1"/>
  <c r="O107" i="7"/>
  <c r="F76" i="22" s="1"/>
  <c r="E76" i="22" s="1"/>
  <c r="G76" i="22" s="1"/>
  <c r="P98" i="7"/>
  <c r="J44" i="22" s="1"/>
  <c r="I44" i="22" s="1"/>
  <c r="K44" i="22" s="1"/>
  <c r="O98" i="7"/>
  <c r="F44" i="22" s="1"/>
  <c r="E44" i="22" s="1"/>
  <c r="G44" i="22" s="1"/>
  <c r="P97" i="7"/>
  <c r="J41" i="22" s="1"/>
  <c r="I41" i="22" s="1"/>
  <c r="K41" i="22" s="1"/>
  <c r="O97" i="7"/>
  <c r="F41" i="22" s="1"/>
  <c r="E41" i="22" s="1"/>
  <c r="G41" i="22" s="1"/>
  <c r="P100" i="7"/>
  <c r="J46" i="22" s="1"/>
  <c r="I46" i="22" s="1"/>
  <c r="K46" i="22" s="1"/>
  <c r="O100" i="7"/>
  <c r="F46" i="22" s="1"/>
  <c r="E46" i="22" s="1"/>
  <c r="G46" i="22" s="1"/>
  <c r="P99" i="7"/>
  <c r="J45" i="22" s="1"/>
  <c r="I45" i="22" s="1"/>
  <c r="K45" i="22" s="1"/>
  <c r="O99" i="7"/>
  <c r="F45" i="22" s="1"/>
  <c r="E45" i="22" s="1"/>
  <c r="G45" i="22" s="1"/>
  <c r="P112" i="7"/>
  <c r="J88" i="22" s="1"/>
  <c r="I88" i="22" s="1"/>
  <c r="K88" i="22" s="1"/>
  <c r="O112" i="7"/>
  <c r="F88" i="22" s="1"/>
  <c r="E88" i="22" s="1"/>
  <c r="G88" i="22" s="1"/>
  <c r="P106" i="7"/>
  <c r="J72" i="22" s="1"/>
  <c r="I72" i="22" s="1"/>
  <c r="K72" i="22" s="1"/>
  <c r="O106" i="7"/>
  <c r="F72" i="22" s="1"/>
  <c r="E72" i="22" s="1"/>
  <c r="G72" i="22" s="1"/>
  <c r="O113" i="7"/>
  <c r="F89" i="22" s="1"/>
  <c r="E89" i="22" s="1"/>
  <c r="G89" i="22" s="1"/>
  <c r="P113" i="7"/>
  <c r="J89" i="22" s="1"/>
  <c r="I89" i="22" s="1"/>
  <c r="K89" i="22" s="1"/>
  <c r="J49" i="22"/>
  <c r="R44" i="7"/>
  <c r="O68" i="7"/>
  <c r="F73" i="22" s="1"/>
  <c r="E73" i="22" s="1"/>
  <c r="G73" i="22" s="1"/>
  <c r="P68" i="7"/>
  <c r="J73" i="22" s="1"/>
  <c r="I73" i="22" s="1"/>
  <c r="K73" i="22" s="1"/>
  <c r="P51" i="7"/>
  <c r="J53" i="22" s="1"/>
  <c r="I53" i="22" s="1"/>
  <c r="K53" i="22" s="1"/>
  <c r="O51" i="7"/>
  <c r="F53" i="22" s="1"/>
  <c r="E53" i="22" s="1"/>
  <c r="G53" i="22" s="1"/>
  <c r="P62" i="7"/>
  <c r="J65" i="22" s="1"/>
  <c r="I65" i="22" s="1"/>
  <c r="K65" i="22" s="1"/>
  <c r="O62" i="7"/>
  <c r="F65" i="22" s="1"/>
  <c r="E65" i="22" s="1"/>
  <c r="G65" i="22" s="1"/>
  <c r="O65" i="7"/>
  <c r="F69" i="22" s="1"/>
  <c r="E69" i="22" s="1"/>
  <c r="G69" i="22" s="1"/>
  <c r="P65" i="7"/>
  <c r="J69" i="22" s="1"/>
  <c r="I69" i="22" s="1"/>
  <c r="K69" i="22" s="1"/>
  <c r="O59" i="7"/>
  <c r="F61" i="22" s="1"/>
  <c r="E61" i="22" s="1"/>
  <c r="G61" i="22" s="1"/>
  <c r="P59" i="7"/>
  <c r="J61" i="22" s="1"/>
  <c r="I61" i="22" s="1"/>
  <c r="K61" i="22" s="1"/>
  <c r="T68" i="7"/>
  <c r="O71" i="7"/>
  <c r="F77" i="22" s="1"/>
  <c r="E77" i="22" s="1"/>
  <c r="G77" i="22" s="1"/>
  <c r="P71" i="7"/>
  <c r="J77" i="22" s="1"/>
  <c r="I77" i="22" s="1"/>
  <c r="K77" i="22" s="1"/>
  <c r="T59" i="7"/>
  <c r="T65" i="7"/>
  <c r="T51" i="7"/>
  <c r="P55" i="7"/>
  <c r="J57" i="22" s="1"/>
  <c r="I57" i="22" s="1"/>
  <c r="K57" i="22" s="1"/>
  <c r="O55" i="7"/>
  <c r="F57" i="22" s="1"/>
  <c r="E57" i="22" s="1"/>
  <c r="G57" i="22" s="1"/>
  <c r="I115" i="7"/>
  <c r="O13" i="7"/>
  <c r="F8" i="22" s="1"/>
  <c r="E8" i="22" s="1"/>
  <c r="G8" i="22" s="1"/>
  <c r="P13" i="7"/>
  <c r="J8" i="22" s="1"/>
  <c r="I8" i="22" s="1"/>
  <c r="K8" i="22" s="1"/>
  <c r="O73" i="7"/>
  <c r="F82" i="22" s="1"/>
  <c r="E82" i="22" s="1"/>
  <c r="G82" i="22" s="1"/>
  <c r="P73" i="7"/>
  <c r="J82" i="22" s="1"/>
  <c r="I82" i="22" s="1"/>
  <c r="K82" i="22" s="1"/>
  <c r="T103" i="7"/>
  <c r="O29" i="7"/>
  <c r="F27" i="22" s="1"/>
  <c r="E27" i="22" s="1"/>
  <c r="G27" i="22" s="1"/>
  <c r="P29" i="7"/>
  <c r="J27" i="22" s="1"/>
  <c r="I27" i="22" s="1"/>
  <c r="K27" i="22" s="1"/>
  <c r="O69" i="7"/>
  <c r="F74" i="22" s="1"/>
  <c r="E74" i="22" s="1"/>
  <c r="P69" i="7"/>
  <c r="J74" i="22" s="1"/>
  <c r="O75" i="7"/>
  <c r="F81" i="22" s="1"/>
  <c r="E81" i="22" s="1"/>
  <c r="G81" i="22" s="1"/>
  <c r="P75" i="7"/>
  <c r="J81" i="22" s="1"/>
  <c r="I81" i="22" s="1"/>
  <c r="K81" i="22" s="1"/>
  <c r="O14" i="7"/>
  <c r="F9" i="22" s="1"/>
  <c r="E9" i="22" s="1"/>
  <c r="G9" i="22" s="1"/>
  <c r="P14" i="7"/>
  <c r="J9" i="22" s="1"/>
  <c r="I9" i="22" s="1"/>
  <c r="K9" i="22" s="1"/>
  <c r="O64" i="7"/>
  <c r="P64" i="7"/>
  <c r="J67" i="22" s="1"/>
  <c r="O72" i="7"/>
  <c r="F79" i="22" s="1"/>
  <c r="E79" i="22" s="1"/>
  <c r="G79" i="22" s="1"/>
  <c r="P72" i="7"/>
  <c r="J79" i="22" s="1"/>
  <c r="I79" i="22" s="1"/>
  <c r="K79" i="22" s="1"/>
  <c r="O10" i="7"/>
  <c r="P10" i="7"/>
  <c r="J5" i="22" s="1"/>
  <c r="I5" i="22" s="1"/>
  <c r="K5" i="22" s="1"/>
  <c r="O34" i="7"/>
  <c r="P34" i="7"/>
  <c r="J32" i="22" s="1"/>
  <c r="I32" i="22" s="1"/>
  <c r="K32" i="22" s="1"/>
  <c r="O18" i="7"/>
  <c r="F14" i="22" s="1"/>
  <c r="E14" i="22" s="1"/>
  <c r="G14" i="22" s="1"/>
  <c r="P18" i="7"/>
  <c r="J14" i="22" s="1"/>
  <c r="I14" i="22" s="1"/>
  <c r="K14" i="22" s="1"/>
  <c r="O33" i="7"/>
  <c r="P33" i="7"/>
  <c r="J31" i="22" s="1"/>
  <c r="I31" i="22" s="1"/>
  <c r="K31" i="22" s="1"/>
  <c r="O11" i="7"/>
  <c r="P11" i="7"/>
  <c r="J6" i="22" s="1"/>
  <c r="I6" i="22" s="1"/>
  <c r="K6" i="22" s="1"/>
  <c r="O9" i="7"/>
  <c r="F4" i="22" s="1"/>
  <c r="E4" i="22" s="1"/>
  <c r="G4" i="22" s="1"/>
  <c r="P9" i="7"/>
  <c r="J4" i="22" s="1"/>
  <c r="I4" i="22" s="1"/>
  <c r="K4" i="22" s="1"/>
  <c r="O30" i="7"/>
  <c r="F28" i="22" s="1"/>
  <c r="E28" i="22" s="1"/>
  <c r="G28" i="22" s="1"/>
  <c r="P30" i="7"/>
  <c r="J28" i="22" s="1"/>
  <c r="I28" i="22" s="1"/>
  <c r="K28" i="22" s="1"/>
  <c r="O21" i="7"/>
  <c r="P21" i="7"/>
  <c r="J19" i="22" s="1"/>
  <c r="I19" i="22" s="1"/>
  <c r="K19" i="22" s="1"/>
  <c r="O54" i="7"/>
  <c r="F56" i="22" s="1"/>
  <c r="E56" i="22" s="1"/>
  <c r="G56" i="22" s="1"/>
  <c r="P54" i="7"/>
  <c r="J56" i="22" s="1"/>
  <c r="I56" i="22" s="1"/>
  <c r="K56" i="22" s="1"/>
  <c r="O12" i="7"/>
  <c r="F7" i="22" s="1"/>
  <c r="E7" i="22" s="1"/>
  <c r="G7" i="22" s="1"/>
  <c r="P12" i="7"/>
  <c r="J7" i="22" s="1"/>
  <c r="I7" i="22" s="1"/>
  <c r="K7" i="22" s="1"/>
  <c r="O58" i="7"/>
  <c r="F60" i="22" s="1"/>
  <c r="E60" i="22" s="1"/>
  <c r="G60" i="22" s="1"/>
  <c r="P58" i="7"/>
  <c r="J60" i="22" s="1"/>
  <c r="I60" i="22" s="1"/>
  <c r="K60" i="22" s="1"/>
  <c r="O28" i="7"/>
  <c r="P28" i="7"/>
  <c r="J26" i="22" s="1"/>
  <c r="I26" i="22" s="1"/>
  <c r="K26" i="22" s="1"/>
  <c r="O63" i="7"/>
  <c r="F66" i="22" s="1"/>
  <c r="E66" i="22" s="1"/>
  <c r="P63" i="7"/>
  <c r="J66" i="22" s="1"/>
  <c r="O40" i="7"/>
  <c r="P40" i="7"/>
  <c r="J38" i="22" s="1"/>
  <c r="I38" i="22" s="1"/>
  <c r="K38" i="22" s="1"/>
  <c r="O38" i="7"/>
  <c r="P38" i="7"/>
  <c r="J36" i="22" s="1"/>
  <c r="I36" i="22" s="1"/>
  <c r="K36" i="22" s="1"/>
  <c r="O25" i="7"/>
  <c r="P25" i="7"/>
  <c r="J23" i="22" s="1"/>
  <c r="I23" i="22" s="1"/>
  <c r="K23" i="22" s="1"/>
  <c r="O49" i="7"/>
  <c r="P49" i="7"/>
  <c r="J51" i="22" s="1"/>
  <c r="O41" i="7"/>
  <c r="P41" i="7"/>
  <c r="J40" i="22" s="1"/>
  <c r="I40" i="22" s="1"/>
  <c r="K40" i="22" s="1"/>
  <c r="O53" i="7"/>
  <c r="P53" i="7"/>
  <c r="J55" i="22" s="1"/>
  <c r="O23" i="7"/>
  <c r="F21" i="22" s="1"/>
  <c r="E21" i="22" s="1"/>
  <c r="G21" i="22" s="1"/>
  <c r="P23" i="7"/>
  <c r="J21" i="22" s="1"/>
  <c r="I21" i="22" s="1"/>
  <c r="K21" i="22" s="1"/>
  <c r="O66" i="7"/>
  <c r="F70" i="22" s="1"/>
  <c r="E70" i="22" s="1"/>
  <c r="P66" i="7"/>
  <c r="J70" i="22" s="1"/>
  <c r="O70" i="7"/>
  <c r="P70" i="7"/>
  <c r="J75" i="22" s="1"/>
  <c r="O27" i="7"/>
  <c r="P27" i="7"/>
  <c r="J25" i="22" s="1"/>
  <c r="I25" i="22" s="1"/>
  <c r="K25" i="22" s="1"/>
  <c r="O39" i="7"/>
  <c r="P39" i="7"/>
  <c r="J37" i="22" s="1"/>
  <c r="I37" i="22" s="1"/>
  <c r="K37" i="22" s="1"/>
  <c r="O76" i="7"/>
  <c r="F87" i="22" s="1"/>
  <c r="E87" i="22" s="1"/>
  <c r="G87" i="22" s="1"/>
  <c r="P76" i="7"/>
  <c r="J87" i="22" s="1"/>
  <c r="I87" i="22" s="1"/>
  <c r="K87" i="22" s="1"/>
  <c r="O26" i="7"/>
  <c r="P26" i="7"/>
  <c r="J24" i="22" s="1"/>
  <c r="I24" i="22" s="1"/>
  <c r="K24" i="22" s="1"/>
  <c r="O42" i="7"/>
  <c r="P42" i="7"/>
  <c r="J39" i="22" s="1"/>
  <c r="I39" i="22" s="1"/>
  <c r="K39" i="22" s="1"/>
  <c r="O61" i="7"/>
  <c r="J63" i="22"/>
  <c r="O60" i="7"/>
  <c r="F62" i="22" s="1"/>
  <c r="E62" i="22" s="1"/>
  <c r="P60" i="7"/>
  <c r="J62" i="22" s="1"/>
  <c r="O56" i="7"/>
  <c r="F58" i="22" s="1"/>
  <c r="E58" i="22" s="1"/>
  <c r="P56" i="7"/>
  <c r="J58" i="22" s="1"/>
  <c r="O50" i="7"/>
  <c r="F52" i="22" s="1"/>
  <c r="E52" i="22" s="1"/>
  <c r="G52" i="22" s="1"/>
  <c r="P50" i="7"/>
  <c r="J52" i="22" s="1"/>
  <c r="I52" i="22" s="1"/>
  <c r="K52" i="22" s="1"/>
  <c r="O67" i="7"/>
  <c r="P67" i="7"/>
  <c r="J71" i="22" s="1"/>
  <c r="O35" i="7"/>
  <c r="F33" i="22" s="1"/>
  <c r="E33" i="22" s="1"/>
  <c r="G33" i="22" s="1"/>
  <c r="P35" i="7"/>
  <c r="J33" i="22" s="1"/>
  <c r="I33" i="22" s="1"/>
  <c r="K33" i="22" s="1"/>
  <c r="T106" i="7"/>
  <c r="O31" i="7"/>
  <c r="P31" i="7"/>
  <c r="J29" i="22" s="1"/>
  <c r="I29" i="22" s="1"/>
  <c r="K29" i="22" s="1"/>
  <c r="O15" i="7"/>
  <c r="F10" i="22" s="1"/>
  <c r="E10" i="22" s="1"/>
  <c r="G10" i="22" s="1"/>
  <c r="P15" i="7"/>
  <c r="J10" i="22" s="1"/>
  <c r="I10" i="22" s="1"/>
  <c r="K10" i="22" s="1"/>
  <c r="O57" i="7"/>
  <c r="P57" i="7"/>
  <c r="J59" i="22" s="1"/>
  <c r="O17" i="7"/>
  <c r="F13" i="22" s="1"/>
  <c r="E13" i="22" s="1"/>
  <c r="G13" i="22" s="1"/>
  <c r="P17" i="7"/>
  <c r="J13" i="22" s="1"/>
  <c r="I13" i="22" s="1"/>
  <c r="K13" i="22" s="1"/>
  <c r="O43" i="7"/>
  <c r="P43" i="7"/>
  <c r="J43" i="22" s="1"/>
  <c r="I43" i="22" s="1"/>
  <c r="K43" i="22" s="1"/>
  <c r="O32" i="7"/>
  <c r="P32" i="7"/>
  <c r="J30" i="22" s="1"/>
  <c r="I30" i="22" s="1"/>
  <c r="K30" i="22" s="1"/>
  <c r="O24" i="7"/>
  <c r="F22" i="22" s="1"/>
  <c r="E22" i="22" s="1"/>
  <c r="G22" i="22" s="1"/>
  <c r="P24" i="7"/>
  <c r="J22" i="22" s="1"/>
  <c r="I22" i="22" s="1"/>
  <c r="K22" i="22" s="1"/>
  <c r="O19" i="7"/>
  <c r="P19" i="7"/>
  <c r="J17" i="22" s="1"/>
  <c r="I17" i="22" s="1"/>
  <c r="K17" i="22" s="1"/>
  <c r="O36" i="7"/>
  <c r="F34" i="22" s="1"/>
  <c r="E34" i="22" s="1"/>
  <c r="G34" i="22" s="1"/>
  <c r="P36" i="7"/>
  <c r="J34" i="22" s="1"/>
  <c r="I34" i="22" s="1"/>
  <c r="K34" i="22" s="1"/>
  <c r="O20" i="7"/>
  <c r="P20" i="7"/>
  <c r="J18" i="22" s="1"/>
  <c r="I18" i="22" s="1"/>
  <c r="K18" i="22" s="1"/>
  <c r="O22" i="7"/>
  <c r="P22" i="7"/>
  <c r="J20" i="22" s="1"/>
  <c r="I20" i="22" s="1"/>
  <c r="K20" i="22" s="1"/>
  <c r="O74" i="7"/>
  <c r="F83" i="22" s="1"/>
  <c r="E83" i="22" s="1"/>
  <c r="G83" i="22" s="1"/>
  <c r="P74" i="7"/>
  <c r="J83" i="22" s="1"/>
  <c r="I83" i="22" s="1"/>
  <c r="K83" i="22" s="1"/>
  <c r="O16" i="7"/>
  <c r="F12" i="22" s="1"/>
  <c r="E12" i="22" s="1"/>
  <c r="G12" i="22" s="1"/>
  <c r="P16" i="7"/>
  <c r="J12" i="22" s="1"/>
  <c r="I12" i="22" s="1"/>
  <c r="K12" i="22" s="1"/>
  <c r="T105" i="7"/>
  <c r="O37" i="7"/>
  <c r="P37" i="7"/>
  <c r="J35" i="22" s="1"/>
  <c r="I35" i="22" s="1"/>
  <c r="K35" i="22" s="1"/>
  <c r="O52" i="7"/>
  <c r="F54" i="22" s="1"/>
  <c r="E54" i="22" s="1"/>
  <c r="P52" i="7"/>
  <c r="J54" i="22" s="1"/>
  <c r="T57" i="7"/>
  <c r="T104" i="7"/>
  <c r="T76" i="7"/>
  <c r="T70" i="7"/>
  <c r="T67" i="7"/>
  <c r="T66" i="7"/>
  <c r="T16" i="7"/>
  <c r="T63" i="7"/>
  <c r="I102" i="7"/>
  <c r="T14" i="7"/>
  <c r="T12" i="7"/>
  <c r="T69" i="7"/>
  <c r="T23" i="7"/>
  <c r="T18" i="7"/>
  <c r="T35" i="7"/>
  <c r="T75" i="7"/>
  <c r="T72" i="7"/>
  <c r="T64" i="7"/>
  <c r="T13" i="7"/>
  <c r="T15" i="7"/>
  <c r="T53" i="7"/>
  <c r="T52" i="7"/>
  <c r="T17" i="7"/>
  <c r="T9" i="7"/>
  <c r="T36" i="7"/>
  <c r="T29" i="7"/>
  <c r="T61" i="7"/>
  <c r="T74" i="7"/>
  <c r="T50" i="7"/>
  <c r="T54" i="7"/>
  <c r="T60" i="7"/>
  <c r="T30" i="7"/>
  <c r="T24" i="7"/>
  <c r="T49" i="7"/>
  <c r="T73" i="7"/>
  <c r="T56" i="7"/>
  <c r="T58" i="7"/>
  <c r="J102" i="7"/>
  <c r="K94" i="7"/>
  <c r="N94" i="7" s="1"/>
  <c r="T94" i="7" s="1"/>
  <c r="T8" i="7"/>
  <c r="O8" i="7"/>
  <c r="F3" i="22" s="1"/>
  <c r="E3" i="22" s="1"/>
  <c r="G3" i="22" s="1"/>
  <c r="R47" i="7" l="1"/>
  <c r="S47" i="7" s="1"/>
  <c r="F49" i="22"/>
  <c r="E49" i="22" s="1"/>
  <c r="F18" i="22"/>
  <c r="E18" i="22" s="1"/>
  <c r="G18" i="22" s="1"/>
  <c r="R20" i="7"/>
  <c r="S20" i="7" s="1"/>
  <c r="F30" i="22"/>
  <c r="E30" i="22" s="1"/>
  <c r="G30" i="22" s="1"/>
  <c r="R32" i="7"/>
  <c r="S32" i="7" s="1"/>
  <c r="F43" i="22"/>
  <c r="E43" i="22" s="1"/>
  <c r="G43" i="22" s="1"/>
  <c r="R43" i="7"/>
  <c r="S43" i="7" s="1"/>
  <c r="F29" i="22"/>
  <c r="E29" i="22" s="1"/>
  <c r="G29" i="22" s="1"/>
  <c r="R31" i="7"/>
  <c r="S31" i="7" s="1"/>
  <c r="F26" i="22"/>
  <c r="E26" i="22" s="1"/>
  <c r="G26" i="22" s="1"/>
  <c r="R28" i="7"/>
  <c r="S28" i="7" s="1"/>
  <c r="F19" i="22"/>
  <c r="E19" i="22" s="1"/>
  <c r="G19" i="22" s="1"/>
  <c r="R21" i="7"/>
  <c r="F31" i="22"/>
  <c r="E31" i="22" s="1"/>
  <c r="G31" i="22" s="1"/>
  <c r="R33" i="7"/>
  <c r="S33" i="7" s="1"/>
  <c r="F39" i="22"/>
  <c r="E39" i="22" s="1"/>
  <c r="G39" i="22" s="1"/>
  <c r="R42" i="7"/>
  <c r="F25" i="22"/>
  <c r="E25" i="22" s="1"/>
  <c r="G25" i="22" s="1"/>
  <c r="R27" i="7"/>
  <c r="S27" i="7" s="1"/>
  <c r="F36" i="22"/>
  <c r="E36" i="22" s="1"/>
  <c r="G36" i="22" s="1"/>
  <c r="R38" i="7"/>
  <c r="S38" i="7" s="1"/>
  <c r="F24" i="22"/>
  <c r="E24" i="22" s="1"/>
  <c r="G24" i="22" s="1"/>
  <c r="R26" i="7"/>
  <c r="S26" i="7" s="1"/>
  <c r="F40" i="22"/>
  <c r="E40" i="22" s="1"/>
  <c r="G40" i="22" s="1"/>
  <c r="R41" i="7"/>
  <c r="S41" i="7" s="1"/>
  <c r="F38" i="22"/>
  <c r="E38" i="22" s="1"/>
  <c r="G38" i="22" s="1"/>
  <c r="R40" i="7"/>
  <c r="S40" i="7" s="1"/>
  <c r="F32" i="22"/>
  <c r="E32" i="22" s="1"/>
  <c r="G32" i="22" s="1"/>
  <c r="R34" i="7"/>
  <c r="S34" i="7" s="1"/>
  <c r="F17" i="22"/>
  <c r="E17" i="22" s="1"/>
  <c r="G17" i="22" s="1"/>
  <c r="R19" i="7"/>
  <c r="S19" i="7" s="1"/>
  <c r="F20" i="22"/>
  <c r="E20" i="22" s="1"/>
  <c r="G20" i="22" s="1"/>
  <c r="R22" i="7"/>
  <c r="S22" i="7" s="1"/>
  <c r="F35" i="22"/>
  <c r="E35" i="22" s="1"/>
  <c r="G35" i="22" s="1"/>
  <c r="R37" i="7"/>
  <c r="S37" i="7" s="1"/>
  <c r="F6" i="22"/>
  <c r="E6" i="22" s="1"/>
  <c r="G6" i="22" s="1"/>
  <c r="R11" i="7"/>
  <c r="S11" i="7" s="1"/>
  <c r="F5" i="22"/>
  <c r="E5" i="22" s="1"/>
  <c r="G5" i="22" s="1"/>
  <c r="R10" i="7"/>
  <c r="S10" i="7" s="1"/>
  <c r="F37" i="22"/>
  <c r="E37" i="22" s="1"/>
  <c r="G37" i="22" s="1"/>
  <c r="R39" i="7"/>
  <c r="S39" i="7" s="1"/>
  <c r="F23" i="22"/>
  <c r="E23" i="22" s="1"/>
  <c r="G23" i="22" s="1"/>
  <c r="R25" i="7"/>
  <c r="S25" i="7" s="1"/>
  <c r="R67" i="7"/>
  <c r="S67" i="7" s="1"/>
  <c r="F71" i="22"/>
  <c r="E71" i="22" s="1"/>
  <c r="R49" i="7"/>
  <c r="S49" i="7" s="1"/>
  <c r="F51" i="22"/>
  <c r="E51" i="22" s="1"/>
  <c r="R53" i="7"/>
  <c r="S53" i="7" s="1"/>
  <c r="F55" i="22"/>
  <c r="E55" i="22" s="1"/>
  <c r="R61" i="7"/>
  <c r="S61" i="7" s="1"/>
  <c r="F63" i="22"/>
  <c r="E63" i="22" s="1"/>
  <c r="R64" i="7"/>
  <c r="S64" i="7" s="1"/>
  <c r="F67" i="22"/>
  <c r="E67" i="22" s="1"/>
  <c r="R70" i="7"/>
  <c r="S70" i="7" s="1"/>
  <c r="F75" i="22"/>
  <c r="E75" i="22" s="1"/>
  <c r="R57" i="7"/>
  <c r="S57" i="7" s="1"/>
  <c r="F59" i="22"/>
  <c r="E59" i="22" s="1"/>
  <c r="K46" i="7"/>
  <c r="J77" i="7"/>
  <c r="K7" i="7"/>
  <c r="J45" i="7"/>
  <c r="R55" i="7"/>
  <c r="S55" i="7" s="1"/>
  <c r="R59" i="7"/>
  <c r="S59" i="7" s="1"/>
  <c r="R68" i="7"/>
  <c r="S68" i="7" s="1"/>
  <c r="S44" i="7"/>
  <c r="R65" i="7"/>
  <c r="S65" i="7" s="1"/>
  <c r="R62" i="7"/>
  <c r="S62" i="7" s="1"/>
  <c r="R71" i="7"/>
  <c r="S71" i="7" s="1"/>
  <c r="R51" i="7"/>
  <c r="S51" i="7" s="1"/>
  <c r="J3" i="22"/>
  <c r="I3" i="22" s="1"/>
  <c r="K3" i="22" s="1"/>
  <c r="R52" i="7"/>
  <c r="S52" i="7" s="1"/>
  <c r="R74" i="7"/>
  <c r="S74" i="7" s="1"/>
  <c r="R24" i="7"/>
  <c r="S24" i="7" s="1"/>
  <c r="S42" i="7"/>
  <c r="R66" i="7"/>
  <c r="S66" i="7" s="1"/>
  <c r="R63" i="7"/>
  <c r="S63" i="7" s="1"/>
  <c r="R12" i="7"/>
  <c r="S12" i="7" s="1"/>
  <c r="S21" i="7"/>
  <c r="R14" i="7"/>
  <c r="S14" i="7" s="1"/>
  <c r="R69" i="7"/>
  <c r="S69" i="7" s="1"/>
  <c r="R73" i="7"/>
  <c r="S73" i="7" s="1"/>
  <c r="R16" i="7"/>
  <c r="S16" i="7" s="1"/>
  <c r="R36" i="7"/>
  <c r="S36" i="7" s="1"/>
  <c r="R15" i="7"/>
  <c r="S15" i="7" s="1"/>
  <c r="R35" i="7"/>
  <c r="S35" i="7" s="1"/>
  <c r="R50" i="7"/>
  <c r="S50" i="7" s="1"/>
  <c r="R76" i="7"/>
  <c r="S76" i="7" s="1"/>
  <c r="R23" i="7"/>
  <c r="S23" i="7" s="1"/>
  <c r="R30" i="7"/>
  <c r="S30" i="7" s="1"/>
  <c r="R72" i="7"/>
  <c r="S72" i="7" s="1"/>
  <c r="R75" i="7"/>
  <c r="S75" i="7" s="1"/>
  <c r="R29" i="7"/>
  <c r="S29" i="7" s="1"/>
  <c r="R13" i="7"/>
  <c r="S13" i="7" s="1"/>
  <c r="R17" i="7"/>
  <c r="S17" i="7" s="1"/>
  <c r="R56" i="7"/>
  <c r="S56" i="7" s="1"/>
  <c r="R54" i="7"/>
  <c r="S54" i="7" s="1"/>
  <c r="R9" i="7"/>
  <c r="S9" i="7" s="1"/>
  <c r="R18" i="7"/>
  <c r="S18" i="7" s="1"/>
  <c r="R60" i="7"/>
  <c r="S60" i="7" s="1"/>
  <c r="R58" i="7"/>
  <c r="S58" i="7" s="1"/>
  <c r="I78" i="7"/>
  <c r="J115" i="7"/>
  <c r="K102" i="7"/>
  <c r="N48" i="7"/>
  <c r="P48" i="7" s="1"/>
  <c r="J50" i="22" s="1"/>
  <c r="K115" i="7"/>
  <c r="R8" i="7"/>
  <c r="J87" i="7"/>
  <c r="J78" i="7" l="1"/>
  <c r="N46" i="7"/>
  <c r="K77" i="7"/>
  <c r="N7" i="7"/>
  <c r="T7" i="7" s="1"/>
  <c r="K45" i="7"/>
  <c r="K78" i="7" s="1"/>
  <c r="P94" i="7"/>
  <c r="J15" i="22" s="1"/>
  <c r="I15" i="22" s="1"/>
  <c r="K15" i="22" s="1"/>
  <c r="T48" i="7"/>
  <c r="O48" i="7"/>
  <c r="F50" i="22" s="1"/>
  <c r="E50" i="22" s="1"/>
  <c r="O94" i="7"/>
  <c r="F15" i="22" s="1"/>
  <c r="E15" i="22" s="1"/>
  <c r="G15" i="22" s="1"/>
  <c r="S8" i="7"/>
  <c r="T46" i="7" l="1"/>
  <c r="O46" i="7"/>
  <c r="P46" i="7"/>
  <c r="J42" i="22" s="1"/>
  <c r="I42" i="22" s="1"/>
  <c r="K42" i="22" s="1"/>
  <c r="O7" i="7"/>
  <c r="R7" i="7" s="1"/>
  <c r="P7" i="7"/>
  <c r="J2" i="22" s="1"/>
  <c r="I2" i="22" s="1"/>
  <c r="K2" i="22" s="1"/>
  <c r="R48" i="7"/>
  <c r="R46" i="7" l="1"/>
  <c r="F42" i="22"/>
  <c r="E42" i="22" s="1"/>
  <c r="G42" i="22" s="1"/>
  <c r="F2" i="22"/>
  <c r="E2" i="22" s="1"/>
  <c r="G2" i="22" s="1"/>
  <c r="S48" i="7"/>
  <c r="S102" i="7"/>
  <c r="R102" i="7"/>
  <c r="S115" i="7"/>
  <c r="R115" i="7"/>
  <c r="S46" i="7" l="1"/>
  <c r="S77" i="7" s="1"/>
  <c r="T77" i="7" s="1"/>
  <c r="R77" i="7"/>
  <c r="L86" i="7" s="1"/>
  <c r="S7" i="7"/>
  <c r="S45" i="7" s="1"/>
  <c r="T45" i="7" s="1"/>
  <c r="R45" i="7"/>
  <c r="L84" i="7" s="1"/>
  <c r="K84" i="7" s="1"/>
  <c r="R78" i="7" l="1"/>
  <c r="S78" i="7"/>
  <c r="T78" i="7" s="1"/>
  <c r="K86" i="7"/>
  <c r="L87" i="7"/>
  <c r="N87" i="7" l="1"/>
  <c r="K87" i="7"/>
  <c r="C72" i="4"/>
  <c r="C73" i="4" s="1"/>
  <c r="AR333" i="23"/>
  <c r="AR332" i="23"/>
  <c r="AS2" i="23"/>
  <c r="AU2" i="23" s="1"/>
  <c r="AS1" i="23"/>
  <c r="AU1" i="23" s="1"/>
  <c r="AQ93" i="23" s="1"/>
  <c r="AW93" i="23" l="1"/>
  <c r="AX93" i="23" s="1"/>
  <c r="AR93" i="23"/>
  <c r="AS93" i="23" s="1"/>
  <c r="AT93" i="23" s="1"/>
  <c r="AQ119" i="23"/>
  <c r="AQ120" i="23"/>
  <c r="AQ25" i="23"/>
  <c r="AQ70" i="23"/>
  <c r="AQ146" i="23"/>
  <c r="AQ219" i="23"/>
  <c r="AQ178" i="23"/>
  <c r="AQ282" i="23"/>
  <c r="AQ31" i="23"/>
  <c r="AQ182" i="23"/>
  <c r="AQ21" i="23"/>
  <c r="AQ30" i="23"/>
  <c r="AQ241" i="23"/>
  <c r="AQ20" i="23"/>
  <c r="AQ220" i="23"/>
  <c r="AQ33" i="23"/>
  <c r="AQ194" i="23"/>
  <c r="AQ79" i="23"/>
  <c r="AQ186" i="23"/>
  <c r="AQ14" i="23"/>
  <c r="AQ294" i="23"/>
  <c r="AQ291" i="23"/>
  <c r="AQ207" i="23"/>
  <c r="AQ250" i="23"/>
  <c r="AQ293" i="23"/>
  <c r="AQ173" i="23"/>
  <c r="AQ137" i="23"/>
  <c r="AQ286" i="23"/>
  <c r="AQ277" i="23"/>
  <c r="AQ40" i="23"/>
  <c r="AQ83" i="23"/>
  <c r="AQ190" i="23"/>
  <c r="AQ100" i="23"/>
  <c r="AQ66" i="23"/>
  <c r="AQ222" i="23"/>
  <c r="AQ264" i="23"/>
  <c r="AQ202" i="23"/>
  <c r="AQ69" i="23"/>
  <c r="AQ85" i="23"/>
  <c r="AQ62" i="23"/>
  <c r="AQ147" i="23"/>
  <c r="AQ177" i="23"/>
  <c r="AQ259" i="23"/>
  <c r="AQ127" i="23"/>
  <c r="AQ270" i="23"/>
  <c r="AQ249" i="23"/>
  <c r="AQ87" i="23"/>
  <c r="AQ38" i="23"/>
  <c r="AQ49" i="23"/>
  <c r="AQ107" i="23"/>
  <c r="AQ266" i="23"/>
  <c r="AQ206" i="23"/>
  <c r="AQ227" i="23"/>
  <c r="AQ29" i="23"/>
  <c r="AQ161" i="23"/>
  <c r="AQ112" i="23"/>
  <c r="AQ191" i="23"/>
  <c r="AQ183" i="23"/>
  <c r="AQ197" i="23"/>
  <c r="AQ236" i="23"/>
  <c r="AQ24" i="23"/>
  <c r="AQ48" i="23"/>
  <c r="AQ27" i="23"/>
  <c r="AQ86" i="23"/>
  <c r="AQ23" i="23"/>
  <c r="AQ162" i="23"/>
  <c r="AQ276" i="23"/>
  <c r="AQ221" i="23"/>
  <c r="AQ229" i="23"/>
  <c r="AQ274" i="23"/>
  <c r="AQ132" i="23"/>
  <c r="AQ285" i="23"/>
  <c r="AQ246" i="23"/>
  <c r="AQ44" i="23"/>
  <c r="AQ180" i="23"/>
  <c r="AQ302" i="23"/>
  <c r="AQ51" i="23"/>
  <c r="AQ262" i="23"/>
  <c r="AQ204" i="23"/>
  <c r="AQ231" i="23"/>
  <c r="AQ239" i="23"/>
  <c r="AQ45" i="23"/>
  <c r="AQ201" i="23"/>
  <c r="AQ299" i="23"/>
  <c r="AQ157" i="23"/>
  <c r="AQ41" i="23"/>
  <c r="AQ145" i="23"/>
  <c r="AQ167" i="23"/>
  <c r="AQ154" i="23"/>
  <c r="AQ196" i="23"/>
  <c r="AQ151" i="23"/>
  <c r="AQ19" i="23"/>
  <c r="AQ223" i="23"/>
  <c r="AQ257" i="23"/>
  <c r="AQ77" i="23"/>
  <c r="AQ170" i="23"/>
  <c r="AQ53" i="23"/>
  <c r="AQ163" i="23"/>
  <c r="AQ211" i="23"/>
  <c r="AQ142" i="23"/>
  <c r="AQ261" i="23"/>
  <c r="AQ99" i="23"/>
  <c r="AQ225" i="23"/>
  <c r="AQ158" i="23"/>
  <c r="AQ278" i="23"/>
  <c r="AQ98" i="23"/>
  <c r="AQ184" i="23"/>
  <c r="AQ15" i="23"/>
  <c r="AQ224" i="23"/>
  <c r="AQ88" i="23"/>
  <c r="AQ273" i="23"/>
  <c r="AQ263" i="23"/>
  <c r="AQ103" i="23"/>
  <c r="AQ216" i="23"/>
  <c r="AQ230" i="23"/>
  <c r="AQ139" i="23"/>
  <c r="AQ185" i="23"/>
  <c r="AQ84" i="23"/>
  <c r="AQ82" i="23"/>
  <c r="AQ133" i="23"/>
  <c r="AQ305" i="23"/>
  <c r="AQ295" i="23"/>
  <c r="AQ193" i="23"/>
  <c r="AQ280" i="23"/>
  <c r="AQ265" i="23"/>
  <c r="AQ134" i="23"/>
  <c r="AQ42" i="23"/>
  <c r="AQ39" i="23"/>
  <c r="AQ303" i="23"/>
  <c r="AQ28" i="23"/>
  <c r="AQ55" i="23"/>
  <c r="AQ94" i="23"/>
  <c r="AQ171" i="23"/>
  <c r="AQ34" i="23"/>
  <c r="AQ152" i="23"/>
  <c r="AQ269" i="23"/>
  <c r="AQ168" i="23"/>
  <c r="AQ105" i="23"/>
  <c r="AQ89" i="23"/>
  <c r="AQ203" i="23"/>
  <c r="AQ65" i="23"/>
  <c r="AQ16" i="23"/>
  <c r="AQ78" i="23"/>
  <c r="AQ271" i="23"/>
  <c r="AQ52" i="23"/>
  <c r="AQ144" i="23"/>
  <c r="AQ234" i="23"/>
  <c r="AQ275" i="23"/>
  <c r="AQ208" i="23"/>
  <c r="AQ73" i="23"/>
  <c r="AQ297" i="23"/>
  <c r="AQ213" i="23"/>
  <c r="AQ179" i="23"/>
  <c r="AQ97" i="23"/>
  <c r="AQ17" i="23"/>
  <c r="AQ210" i="23"/>
  <c r="AQ54" i="23"/>
  <c r="AQ36" i="23"/>
  <c r="AQ218" i="23"/>
  <c r="AQ304" i="23"/>
  <c r="AQ212" i="23"/>
  <c r="AQ235" i="23"/>
  <c r="AQ143" i="23"/>
  <c r="AQ233" i="23"/>
  <c r="AQ247" i="23"/>
  <c r="AQ135" i="23"/>
  <c r="AQ214" i="23"/>
  <c r="AQ102" i="23"/>
  <c r="AQ200" i="23"/>
  <c r="AQ63" i="23"/>
  <c r="AQ260" i="23"/>
  <c r="AQ284" i="23"/>
  <c r="AQ258" i="23"/>
  <c r="AQ172" i="23"/>
  <c r="AQ189" i="23"/>
  <c r="AQ228" i="23"/>
  <c r="AQ91" i="23"/>
  <c r="AQ296" i="23"/>
  <c r="AQ18" i="23"/>
  <c r="AQ71" i="23"/>
  <c r="AQ32" i="23"/>
  <c r="AQ238" i="23"/>
  <c r="AQ148" i="23"/>
  <c r="AQ199" i="23"/>
  <c r="AQ131" i="23"/>
  <c r="AQ50" i="23"/>
  <c r="AQ108" i="23"/>
  <c r="AQ205" i="23"/>
  <c r="AQ169" i="23"/>
  <c r="AQ159" i="23"/>
  <c r="AQ155" i="23"/>
  <c r="AQ176" i="23"/>
  <c r="AQ60" i="23"/>
  <c r="AQ175" i="23"/>
  <c r="AQ164" i="23"/>
  <c r="AQ281" i="23"/>
  <c r="AQ72" i="23"/>
  <c r="AQ59" i="23"/>
  <c r="AQ46" i="23"/>
  <c r="AQ149" i="23"/>
  <c r="AQ181" i="23"/>
  <c r="AQ298" i="23"/>
  <c r="AQ106" i="23"/>
  <c r="AQ195" i="23"/>
  <c r="AQ57" i="23"/>
  <c r="AQ240" i="23"/>
  <c r="AQ140" i="23"/>
  <c r="AQ56" i="23"/>
  <c r="AQ110" i="23"/>
  <c r="AQ136" i="23"/>
  <c r="AQ113" i="23"/>
  <c r="AQ75" i="23"/>
  <c r="AQ61" i="23"/>
  <c r="AQ90" i="23"/>
  <c r="AQ244" i="23"/>
  <c r="AQ156" i="23"/>
  <c r="AQ188" i="23"/>
  <c r="AQ35" i="23"/>
  <c r="AQ187" i="23"/>
  <c r="AQ81" i="23"/>
  <c r="AQ92" i="23"/>
  <c r="AQ290" i="23"/>
  <c r="AQ101" i="23"/>
  <c r="AQ37" i="23"/>
  <c r="AQ243" i="23"/>
  <c r="AQ68" i="23"/>
  <c r="AQ198" i="23"/>
  <c r="AQ217" i="23"/>
  <c r="AQ47" i="23"/>
  <c r="AQ80" i="23"/>
  <c r="AQ226" i="23"/>
  <c r="AQ289" i="23"/>
  <c r="AQ300" i="23"/>
  <c r="AQ13" i="23"/>
  <c r="AQ150" i="23"/>
  <c r="AQ287" i="23"/>
  <c r="AQ96" i="23"/>
  <c r="AQ160" i="23"/>
  <c r="AQ292" i="23"/>
  <c r="AQ301" i="23"/>
  <c r="AQ67" i="23"/>
  <c r="AQ166" i="23"/>
  <c r="AQ279" i="23"/>
  <c r="AQ130" i="23"/>
  <c r="AQ248" i="23"/>
  <c r="AQ109" i="23"/>
  <c r="AQ128" i="23"/>
  <c r="AQ232" i="23"/>
  <c r="AQ141" i="23"/>
  <c r="AQ192" i="23"/>
  <c r="AQ95" i="23"/>
  <c r="AQ26" i="23"/>
  <c r="AQ237" i="23"/>
  <c r="AQ12" i="23"/>
  <c r="AQ245" i="23"/>
  <c r="AQ268" i="23"/>
  <c r="AQ74" i="23"/>
  <c r="AQ22" i="23"/>
  <c r="AQ209" i="23"/>
  <c r="AQ76" i="23"/>
  <c r="AQ283" i="23"/>
  <c r="AQ111" i="23"/>
  <c r="AQ104" i="23"/>
  <c r="AQ288" i="23"/>
  <c r="AQ43" i="23"/>
  <c r="AQ242" i="23"/>
  <c r="AQ272" i="23"/>
  <c r="AQ306" i="23"/>
  <c r="AQ129" i="23"/>
  <c r="AQ138" i="23"/>
  <c r="AQ64" i="23"/>
  <c r="AQ58" i="23"/>
  <c r="AQ215" i="23"/>
  <c r="AQ174" i="23"/>
  <c r="AQ267" i="23"/>
  <c r="AQ165" i="23"/>
  <c r="AQ153" i="23"/>
  <c r="AR174" i="23" l="1"/>
  <c r="AS174" i="23" s="1"/>
  <c r="AW174" i="23"/>
  <c r="AX174" i="23" s="1"/>
  <c r="AY174" i="23" s="1"/>
  <c r="AR166" i="23"/>
  <c r="AS166" i="23" s="1"/>
  <c r="AW166" i="23"/>
  <c r="AX166" i="23" s="1"/>
  <c r="AY166" i="23" s="1"/>
  <c r="AR290" i="23"/>
  <c r="AS290" i="23" s="1"/>
  <c r="AW290" i="23"/>
  <c r="AX290" i="23" s="1"/>
  <c r="AY290" i="23" s="1"/>
  <c r="AR136" i="23"/>
  <c r="AS136" i="23" s="1"/>
  <c r="AW136" i="23"/>
  <c r="AX136" i="23" s="1"/>
  <c r="AR175" i="23"/>
  <c r="AS175" i="23" s="1"/>
  <c r="AW175" i="23"/>
  <c r="AX175" i="23" s="1"/>
  <c r="AY175" i="23" s="1"/>
  <c r="AR159" i="23"/>
  <c r="AS159" i="23" s="1"/>
  <c r="AW159" i="23"/>
  <c r="AX159" i="23" s="1"/>
  <c r="AY159" i="23" s="1"/>
  <c r="AR50" i="23"/>
  <c r="AS50" i="23" s="1"/>
  <c r="AT50" i="23" s="1"/>
  <c r="AW50" i="23"/>
  <c r="AX50" i="23" s="1"/>
  <c r="AY50" i="23" s="1"/>
  <c r="AW238" i="23"/>
  <c r="AX238" i="23" s="1"/>
  <c r="AR238" i="23"/>
  <c r="AS238" i="23" s="1"/>
  <c r="AR296" i="23"/>
  <c r="AS296" i="23" s="1"/>
  <c r="AW296" i="23"/>
  <c r="AX296" i="23" s="1"/>
  <c r="AY296" i="23" s="1"/>
  <c r="AR172" i="23"/>
  <c r="AS172" i="23" s="1"/>
  <c r="AW172" i="23"/>
  <c r="AX172" i="23" s="1"/>
  <c r="AY172" i="23" s="1"/>
  <c r="AW63" i="23"/>
  <c r="AX63" i="23" s="1"/>
  <c r="AR63" i="23"/>
  <c r="AS63" i="23" s="1"/>
  <c r="AT63" i="23" s="1"/>
  <c r="AR135" i="23"/>
  <c r="AS135" i="23" s="1"/>
  <c r="AW135" i="23"/>
  <c r="AX135" i="23" s="1"/>
  <c r="AW235" i="23"/>
  <c r="AX235" i="23" s="1"/>
  <c r="AR235" i="23"/>
  <c r="AS235" i="23" s="1"/>
  <c r="AW36" i="23"/>
  <c r="AX36" i="23" s="1"/>
  <c r="AR36" i="23"/>
  <c r="AS36" i="23" s="1"/>
  <c r="AT36" i="23" s="1"/>
  <c r="AR97" i="23"/>
  <c r="AS97" i="23" s="1"/>
  <c r="AT97" i="23" s="1"/>
  <c r="AW97" i="23"/>
  <c r="AX97" i="23" s="1"/>
  <c r="AW73" i="23"/>
  <c r="AX73" i="23" s="1"/>
  <c r="AR73" i="23"/>
  <c r="AS73" i="23" s="1"/>
  <c r="AT73" i="23" s="1"/>
  <c r="AW144" i="23"/>
  <c r="AX144" i="23" s="1"/>
  <c r="AR144" i="23"/>
  <c r="AS144" i="23" s="1"/>
  <c r="AR16" i="23"/>
  <c r="AS16" i="23" s="1"/>
  <c r="AT16" i="23" s="1"/>
  <c r="AW16" i="23"/>
  <c r="AX16" i="23" s="1"/>
  <c r="AY16" i="23" s="1"/>
  <c r="AR105" i="23"/>
  <c r="AS105" i="23" s="1"/>
  <c r="AT105" i="23" s="1"/>
  <c r="AW105" i="23"/>
  <c r="AX105" i="23" s="1"/>
  <c r="AW34" i="23"/>
  <c r="AX34" i="23" s="1"/>
  <c r="AR34" i="23"/>
  <c r="AS34" i="23" s="1"/>
  <c r="AT34" i="23" s="1"/>
  <c r="AW28" i="23"/>
  <c r="AX28" i="23" s="1"/>
  <c r="AR28" i="23"/>
  <c r="AS28" i="23" s="1"/>
  <c r="AT28" i="23" s="1"/>
  <c r="AR134" i="23"/>
  <c r="AS134" i="23" s="1"/>
  <c r="AW134" i="23"/>
  <c r="AX134" i="23" s="1"/>
  <c r="AY134" i="23" s="1"/>
  <c r="AR295" i="23"/>
  <c r="AS295" i="23" s="1"/>
  <c r="AW295" i="23"/>
  <c r="AX295" i="23" s="1"/>
  <c r="AR84" i="23"/>
  <c r="AS84" i="23" s="1"/>
  <c r="AT84" i="23" s="1"/>
  <c r="AW84" i="23"/>
  <c r="AX84" i="23" s="1"/>
  <c r="AW216" i="23"/>
  <c r="AX216" i="23" s="1"/>
  <c r="AR216" i="23"/>
  <c r="AS216" i="23" s="1"/>
  <c r="AR88" i="23"/>
  <c r="AS88" i="23" s="1"/>
  <c r="AT88" i="23" s="1"/>
  <c r="AW88" i="23"/>
  <c r="AX88" i="23" s="1"/>
  <c r="AY88" i="23" s="1"/>
  <c r="AR98" i="23"/>
  <c r="AS98" i="23" s="1"/>
  <c r="AT98" i="23" s="1"/>
  <c r="AW98" i="23"/>
  <c r="AX98" i="23" s="1"/>
  <c r="AR99" i="23"/>
  <c r="AS99" i="23" s="1"/>
  <c r="AT99" i="23" s="1"/>
  <c r="AW99" i="23"/>
  <c r="AX99" i="23" s="1"/>
  <c r="AR163" i="23"/>
  <c r="AS163" i="23" s="1"/>
  <c r="AW163" i="23"/>
  <c r="AX163" i="23" s="1"/>
  <c r="AY163" i="23" s="1"/>
  <c r="AR257" i="23"/>
  <c r="AW257" i="23"/>
  <c r="AX257" i="23" s="1"/>
  <c r="AR196" i="23"/>
  <c r="AS196" i="23" s="1"/>
  <c r="AW196" i="23"/>
  <c r="AX196" i="23" s="1"/>
  <c r="AR41" i="23"/>
  <c r="AS41" i="23" s="1"/>
  <c r="AT41" i="23" s="1"/>
  <c r="AW41" i="23"/>
  <c r="AX41" i="23" s="1"/>
  <c r="AW45" i="23"/>
  <c r="AX45" i="23" s="1"/>
  <c r="AR45" i="23"/>
  <c r="AS45" i="23" s="1"/>
  <c r="AT45" i="23" s="1"/>
  <c r="AW262" i="23"/>
  <c r="AX262" i="23" s="1"/>
  <c r="AR262" i="23"/>
  <c r="AS262" i="23" s="1"/>
  <c r="AW44" i="23"/>
  <c r="AX44" i="23" s="1"/>
  <c r="AR44" i="23"/>
  <c r="AS44" i="23" s="1"/>
  <c r="AT44" i="23" s="1"/>
  <c r="AR274" i="23"/>
  <c r="AS274" i="23" s="1"/>
  <c r="AW274" i="23"/>
  <c r="AX274" i="23" s="1"/>
  <c r="AR162" i="23"/>
  <c r="AS162" i="23" s="1"/>
  <c r="AW162" i="23"/>
  <c r="AX162" i="23" s="1"/>
  <c r="AY162" i="23" s="1"/>
  <c r="AR48" i="23"/>
  <c r="AS48" i="23" s="1"/>
  <c r="AT48" i="23" s="1"/>
  <c r="AW48" i="23"/>
  <c r="AX48" i="23" s="1"/>
  <c r="AY48" i="23" s="1"/>
  <c r="AW183" i="23"/>
  <c r="AX183" i="23" s="1"/>
  <c r="AR183" i="23"/>
  <c r="AS183" i="23" s="1"/>
  <c r="AR29" i="23"/>
  <c r="AS29" i="23" s="1"/>
  <c r="AT29" i="23" s="1"/>
  <c r="AW29" i="23"/>
  <c r="AX29" i="23" s="1"/>
  <c r="AW107" i="23"/>
  <c r="AX107" i="23" s="1"/>
  <c r="AR107" i="23"/>
  <c r="AS107" i="23" s="1"/>
  <c r="AT107" i="23" s="1"/>
  <c r="AR249" i="23"/>
  <c r="AS249" i="23" s="1"/>
  <c r="AW249" i="23"/>
  <c r="AX249" i="23" s="1"/>
  <c r="AY249" i="23" s="1"/>
  <c r="AR177" i="23"/>
  <c r="AS177" i="23" s="1"/>
  <c r="AW177" i="23"/>
  <c r="AX177" i="23" s="1"/>
  <c r="AW69" i="23"/>
  <c r="AX69" i="23" s="1"/>
  <c r="AR69" i="23"/>
  <c r="AS69" i="23" s="1"/>
  <c r="AT69" i="23" s="1"/>
  <c r="AR66" i="23"/>
  <c r="AS66" i="23" s="1"/>
  <c r="AT66" i="23" s="1"/>
  <c r="AW66" i="23"/>
  <c r="AX66" i="23" s="1"/>
  <c r="AW40" i="23"/>
  <c r="AX40" i="23" s="1"/>
  <c r="AR40" i="23"/>
  <c r="AS40" i="23" s="1"/>
  <c r="AT40" i="23" s="1"/>
  <c r="AW173" i="23"/>
  <c r="AX173" i="23" s="1"/>
  <c r="AR173" i="23"/>
  <c r="AS173" i="23" s="1"/>
  <c r="AR291" i="23"/>
  <c r="AS291" i="23" s="1"/>
  <c r="AW291" i="23"/>
  <c r="AX291" i="23" s="1"/>
  <c r="AR79" i="23"/>
  <c r="AS79" i="23" s="1"/>
  <c r="AT79" i="23" s="1"/>
  <c r="AW79" i="23"/>
  <c r="AX79" i="23" s="1"/>
  <c r="AW20" i="23"/>
  <c r="AX20" i="23" s="1"/>
  <c r="AR20" i="23"/>
  <c r="AS20" i="23" s="1"/>
  <c r="AT20" i="23" s="1"/>
  <c r="AR182" i="23"/>
  <c r="AS182" i="23" s="1"/>
  <c r="AW182" i="23"/>
  <c r="AX182" i="23" s="1"/>
  <c r="AW219" i="23"/>
  <c r="AX219" i="23" s="1"/>
  <c r="AR219" i="23"/>
  <c r="AS219" i="23" s="1"/>
  <c r="AR120" i="23"/>
  <c r="AS120" i="23" s="1"/>
  <c r="AW120" i="23"/>
  <c r="AX120" i="23" s="1"/>
  <c r="AW138" i="23"/>
  <c r="AX138" i="23" s="1"/>
  <c r="AR138" i="23"/>
  <c r="AS138" i="23" s="1"/>
  <c r="AR22" i="23"/>
  <c r="AS22" i="23" s="1"/>
  <c r="AT22" i="23" s="1"/>
  <c r="AW22" i="23"/>
  <c r="AX22" i="23" s="1"/>
  <c r="AR192" i="23"/>
  <c r="AS192" i="23" s="1"/>
  <c r="AW192" i="23"/>
  <c r="AX192" i="23" s="1"/>
  <c r="AW13" i="23"/>
  <c r="AX13" i="23" s="1"/>
  <c r="AR13" i="23"/>
  <c r="AS13" i="23" s="1"/>
  <c r="AT13" i="23" s="1"/>
  <c r="AR35" i="23"/>
  <c r="AS35" i="23" s="1"/>
  <c r="AT35" i="23" s="1"/>
  <c r="AW35" i="23"/>
  <c r="AX35" i="23" s="1"/>
  <c r="AR240" i="23"/>
  <c r="AS240" i="23" s="1"/>
  <c r="AW240" i="23"/>
  <c r="AX240" i="23" s="1"/>
  <c r="AR43" i="23"/>
  <c r="AS43" i="23" s="1"/>
  <c r="AT43" i="23" s="1"/>
  <c r="AW43" i="23"/>
  <c r="AX43" i="23" s="1"/>
  <c r="AR237" i="23"/>
  <c r="AS237" i="23" s="1"/>
  <c r="AW237" i="23"/>
  <c r="AX237" i="23" s="1"/>
  <c r="AW96" i="23"/>
  <c r="AX96" i="23" s="1"/>
  <c r="AR96" i="23"/>
  <c r="AS96" i="23" s="1"/>
  <c r="AT96" i="23" s="1"/>
  <c r="AR243" i="23"/>
  <c r="AS243" i="23" s="1"/>
  <c r="AW243" i="23"/>
  <c r="AX243" i="23" s="1"/>
  <c r="AW61" i="23"/>
  <c r="AX61" i="23" s="1"/>
  <c r="AR61" i="23"/>
  <c r="AS61" i="23" s="1"/>
  <c r="AT61" i="23" s="1"/>
  <c r="AR110" i="23"/>
  <c r="AS110" i="23" s="1"/>
  <c r="AT110" i="23" s="1"/>
  <c r="AW110" i="23"/>
  <c r="AX110" i="23" s="1"/>
  <c r="AR181" i="23"/>
  <c r="AS181" i="23" s="1"/>
  <c r="AW181" i="23"/>
  <c r="AX181" i="23" s="1"/>
  <c r="AW72" i="23"/>
  <c r="AX72" i="23" s="1"/>
  <c r="AR72" i="23"/>
  <c r="AS72" i="23" s="1"/>
  <c r="AT72" i="23" s="1"/>
  <c r="AW60" i="23"/>
  <c r="AX60" i="23" s="1"/>
  <c r="AR60" i="23"/>
  <c r="AS60" i="23" s="1"/>
  <c r="AT60" i="23" s="1"/>
  <c r="AR169" i="23"/>
  <c r="AS169" i="23" s="1"/>
  <c r="AW169" i="23"/>
  <c r="AX169" i="23" s="1"/>
  <c r="AR131" i="23"/>
  <c r="AS131" i="23" s="1"/>
  <c r="AW131" i="23"/>
  <c r="AX131" i="23" s="1"/>
  <c r="AR32" i="23"/>
  <c r="AS32" i="23" s="1"/>
  <c r="AT32" i="23" s="1"/>
  <c r="AW32" i="23"/>
  <c r="AX32" i="23" s="1"/>
  <c r="AR91" i="23"/>
  <c r="AS91" i="23" s="1"/>
  <c r="AT91" i="23" s="1"/>
  <c r="AW91" i="23"/>
  <c r="AX91" i="23" s="1"/>
  <c r="AR258" i="23"/>
  <c r="AS258" i="23" s="1"/>
  <c r="AW258" i="23"/>
  <c r="AX258" i="23" s="1"/>
  <c r="AR200" i="23"/>
  <c r="AS200" i="23" s="1"/>
  <c r="AW200" i="23"/>
  <c r="AX200" i="23" s="1"/>
  <c r="AR247" i="23"/>
  <c r="AS247" i="23" s="1"/>
  <c r="AW247" i="23"/>
  <c r="AX247" i="23" s="1"/>
  <c r="AW212" i="23"/>
  <c r="AX212" i="23" s="1"/>
  <c r="AR212" i="23"/>
  <c r="AS212" i="23" s="1"/>
  <c r="AW54" i="23"/>
  <c r="AX54" i="23" s="1"/>
  <c r="AR54" i="23"/>
  <c r="AS54" i="23" s="1"/>
  <c r="AT54" i="23" s="1"/>
  <c r="AR179" i="23"/>
  <c r="AS179" i="23" s="1"/>
  <c r="AW179" i="23"/>
  <c r="AX179" i="23" s="1"/>
  <c r="AR208" i="23"/>
  <c r="AS208" i="23" s="1"/>
  <c r="AW208" i="23"/>
  <c r="AX208" i="23" s="1"/>
  <c r="AR52" i="23"/>
  <c r="AS52" i="23" s="1"/>
  <c r="AT52" i="23" s="1"/>
  <c r="AW52" i="23"/>
  <c r="AX52" i="23" s="1"/>
  <c r="AR65" i="23"/>
  <c r="AS65" i="23" s="1"/>
  <c r="AT65" i="23" s="1"/>
  <c r="AW65" i="23"/>
  <c r="AX65" i="23" s="1"/>
  <c r="AR168" i="23"/>
  <c r="AS168" i="23" s="1"/>
  <c r="AW168" i="23"/>
  <c r="AX168" i="23" s="1"/>
  <c r="AW171" i="23"/>
  <c r="AX171" i="23" s="1"/>
  <c r="AR171" i="23"/>
  <c r="AS171" i="23" s="1"/>
  <c r="AW303" i="23"/>
  <c r="AX303" i="23" s="1"/>
  <c r="AR303" i="23"/>
  <c r="AS303" i="23" s="1"/>
  <c r="AW265" i="23"/>
  <c r="AX265" i="23" s="1"/>
  <c r="AR265" i="23"/>
  <c r="AS265" i="23" s="1"/>
  <c r="AR305" i="23"/>
  <c r="AS305" i="23" s="1"/>
  <c r="AW305" i="23"/>
  <c r="AX305" i="23" s="1"/>
  <c r="AR185" i="23"/>
  <c r="AS185" i="23" s="1"/>
  <c r="AW185" i="23"/>
  <c r="AX185" i="23" s="1"/>
  <c r="AW103" i="23"/>
  <c r="AX103" i="23" s="1"/>
  <c r="AR103" i="23"/>
  <c r="AS103" i="23" s="1"/>
  <c r="AT103" i="23" s="1"/>
  <c r="AR224" i="23"/>
  <c r="AS224" i="23" s="1"/>
  <c r="AW224" i="23"/>
  <c r="AX224" i="23" s="1"/>
  <c r="AR278" i="23"/>
  <c r="AS278" i="23" s="1"/>
  <c r="AW278" i="23"/>
  <c r="AX278" i="23" s="1"/>
  <c r="AW261" i="23"/>
  <c r="AX261" i="23" s="1"/>
  <c r="AR261" i="23"/>
  <c r="AS261" i="23" s="1"/>
  <c r="AW53" i="23"/>
  <c r="AX53" i="23" s="1"/>
  <c r="AR53" i="23"/>
  <c r="AS53" i="23" s="1"/>
  <c r="AT53" i="23" s="1"/>
  <c r="AW223" i="23"/>
  <c r="AX223" i="23" s="1"/>
  <c r="AR223" i="23"/>
  <c r="AS223" i="23" s="1"/>
  <c r="AR154" i="23"/>
  <c r="AS154" i="23" s="1"/>
  <c r="AW154" i="23"/>
  <c r="AX154" i="23" s="1"/>
  <c r="AR157" i="23"/>
  <c r="AS157" i="23" s="1"/>
  <c r="AW157" i="23"/>
  <c r="AX157" i="23" s="1"/>
  <c r="AR239" i="23"/>
  <c r="AS239" i="23" s="1"/>
  <c r="AW239" i="23"/>
  <c r="AX239" i="23" s="1"/>
  <c r="AR51" i="23"/>
  <c r="AS51" i="23" s="1"/>
  <c r="AT51" i="23" s="1"/>
  <c r="AW51" i="23"/>
  <c r="AX51" i="23" s="1"/>
  <c r="AR246" i="23"/>
  <c r="AS246" i="23" s="1"/>
  <c r="AW246" i="23"/>
  <c r="AX246" i="23" s="1"/>
  <c r="AR229" i="23"/>
  <c r="AS229" i="23" s="1"/>
  <c r="AW229" i="23"/>
  <c r="AX229" i="23" s="1"/>
  <c r="AW23" i="23"/>
  <c r="AX23" i="23" s="1"/>
  <c r="AR23" i="23"/>
  <c r="AS23" i="23" s="1"/>
  <c r="AT23" i="23" s="1"/>
  <c r="AR24" i="23"/>
  <c r="AS24" i="23" s="1"/>
  <c r="AT24" i="23" s="1"/>
  <c r="AW24" i="23"/>
  <c r="AX24" i="23" s="1"/>
  <c r="AR191" i="23"/>
  <c r="AS191" i="23" s="1"/>
  <c r="AW191" i="23"/>
  <c r="AX191" i="23" s="1"/>
  <c r="AR227" i="23"/>
  <c r="AS227" i="23" s="1"/>
  <c r="AW227" i="23"/>
  <c r="AX227" i="23" s="1"/>
  <c r="AW49" i="23"/>
  <c r="AX49" i="23" s="1"/>
  <c r="AR49" i="23"/>
  <c r="AS49" i="23" s="1"/>
  <c r="AT49" i="23" s="1"/>
  <c r="AR270" i="23"/>
  <c r="AS270" i="23" s="1"/>
  <c r="AW270" i="23"/>
  <c r="AX270" i="23" s="1"/>
  <c r="AR147" i="23"/>
  <c r="AS147" i="23" s="1"/>
  <c r="AW147" i="23"/>
  <c r="AX147" i="23" s="1"/>
  <c r="AR202" i="23"/>
  <c r="AS202" i="23" s="1"/>
  <c r="AW202" i="23"/>
  <c r="AX202" i="23" s="1"/>
  <c r="AW100" i="23"/>
  <c r="AX100" i="23" s="1"/>
  <c r="AR100" i="23"/>
  <c r="AS100" i="23" s="1"/>
  <c r="AT100" i="23" s="1"/>
  <c r="AW277" i="23"/>
  <c r="AX277" i="23" s="1"/>
  <c r="AR277" i="23"/>
  <c r="AS277" i="23" s="1"/>
  <c r="AW293" i="23"/>
  <c r="AX293" i="23" s="1"/>
  <c r="AR293" i="23"/>
  <c r="AS293" i="23" s="1"/>
  <c r="AR294" i="23"/>
  <c r="AS294" i="23" s="1"/>
  <c r="AW294" i="23"/>
  <c r="AX294" i="23" s="1"/>
  <c r="AW194" i="23"/>
  <c r="AX194" i="23" s="1"/>
  <c r="AR194" i="23"/>
  <c r="AS194" i="23" s="1"/>
  <c r="AR241" i="23"/>
  <c r="AS241" i="23" s="1"/>
  <c r="AW241" i="23"/>
  <c r="AX241" i="23" s="1"/>
  <c r="AW31" i="23"/>
  <c r="AX31" i="23" s="1"/>
  <c r="AR31" i="23"/>
  <c r="AS31" i="23" s="1"/>
  <c r="AT31" i="23" s="1"/>
  <c r="AR146" i="23"/>
  <c r="AS146" i="23" s="1"/>
  <c r="AW146" i="23"/>
  <c r="AX146" i="23" s="1"/>
  <c r="AW119" i="23"/>
  <c r="AX119" i="23" s="1"/>
  <c r="AR119" i="23"/>
  <c r="AW111" i="23"/>
  <c r="AX111" i="23" s="1"/>
  <c r="AR111" i="23"/>
  <c r="AS111" i="23" s="1"/>
  <c r="AT111" i="23" s="1"/>
  <c r="AR109" i="23"/>
  <c r="AS109" i="23" s="1"/>
  <c r="AT109" i="23" s="1"/>
  <c r="AW109" i="23"/>
  <c r="AX109" i="23" s="1"/>
  <c r="AW80" i="23"/>
  <c r="AX80" i="23" s="1"/>
  <c r="AR80" i="23"/>
  <c r="AS80" i="23" s="1"/>
  <c r="AT80" i="23" s="1"/>
  <c r="AW298" i="23"/>
  <c r="AX298" i="23" s="1"/>
  <c r="AR298" i="23"/>
  <c r="AS298" i="23" s="1"/>
  <c r="AR58" i="23"/>
  <c r="AS58" i="23" s="1"/>
  <c r="AT58" i="23" s="1"/>
  <c r="AW58" i="23"/>
  <c r="AX58" i="23" s="1"/>
  <c r="AR56" i="23"/>
  <c r="AS56" i="23" s="1"/>
  <c r="AT56" i="23" s="1"/>
  <c r="AW56" i="23"/>
  <c r="AX56" i="23" s="1"/>
  <c r="AR304" i="23"/>
  <c r="AS304" i="23" s="1"/>
  <c r="AW304" i="23"/>
  <c r="AX304" i="23" s="1"/>
  <c r="AR39" i="23"/>
  <c r="AS39" i="23" s="1"/>
  <c r="AT39" i="23" s="1"/>
  <c r="AW39" i="23"/>
  <c r="AX39" i="23" s="1"/>
  <c r="AR158" i="23"/>
  <c r="AS158" i="23" s="1"/>
  <c r="AW158" i="23"/>
  <c r="AX158" i="23" s="1"/>
  <c r="AR167" i="23"/>
  <c r="AS167" i="23" s="1"/>
  <c r="AW167" i="23"/>
  <c r="AX167" i="23" s="1"/>
  <c r="AW231" i="23"/>
  <c r="AX231" i="23" s="1"/>
  <c r="AR231" i="23"/>
  <c r="AS231" i="23" s="1"/>
  <c r="AR302" i="23"/>
  <c r="AS302" i="23" s="1"/>
  <c r="AW302" i="23"/>
  <c r="AX302" i="23" s="1"/>
  <c r="AW221" i="23"/>
  <c r="AX221" i="23" s="1"/>
  <c r="AR221" i="23"/>
  <c r="AS221" i="23" s="1"/>
  <c r="AR86" i="23"/>
  <c r="AS86" i="23" s="1"/>
  <c r="AT86" i="23" s="1"/>
  <c r="AW86" i="23"/>
  <c r="AX86" i="23" s="1"/>
  <c r="AR236" i="23"/>
  <c r="AS236" i="23" s="1"/>
  <c r="AW236" i="23"/>
  <c r="AX236" i="23" s="1"/>
  <c r="AW112" i="23"/>
  <c r="AX112" i="23" s="1"/>
  <c r="AR112" i="23"/>
  <c r="AS112" i="23" s="1"/>
  <c r="AT112" i="23" s="1"/>
  <c r="AR206" i="23"/>
  <c r="AS206" i="23" s="1"/>
  <c r="AW206" i="23"/>
  <c r="AX206" i="23" s="1"/>
  <c r="AR38" i="23"/>
  <c r="AS38" i="23" s="1"/>
  <c r="AT38" i="23" s="1"/>
  <c r="AW38" i="23"/>
  <c r="AX38" i="23" s="1"/>
  <c r="AR127" i="23"/>
  <c r="AW127" i="23"/>
  <c r="AX127" i="23" s="1"/>
  <c r="AW62" i="23"/>
  <c r="AX62" i="23" s="1"/>
  <c r="AR62" i="23"/>
  <c r="AS62" i="23" s="1"/>
  <c r="AT62" i="23" s="1"/>
  <c r="AW264" i="23"/>
  <c r="AX264" i="23" s="1"/>
  <c r="AR264" i="23"/>
  <c r="AS264" i="23" s="1"/>
  <c r="AR190" i="23"/>
  <c r="AS190" i="23" s="1"/>
  <c r="AW190" i="23"/>
  <c r="AX190" i="23" s="1"/>
  <c r="AR286" i="23"/>
  <c r="AS286" i="23" s="1"/>
  <c r="AW286" i="23"/>
  <c r="AX286" i="23" s="1"/>
  <c r="AW250" i="23"/>
  <c r="AX250" i="23" s="1"/>
  <c r="AR250" i="23"/>
  <c r="AS250" i="23" s="1"/>
  <c r="AW14" i="23"/>
  <c r="AX14" i="23" s="1"/>
  <c r="AR14" i="23"/>
  <c r="AS14" i="23" s="1"/>
  <c r="AT14" i="23" s="1"/>
  <c r="AW33" i="23"/>
  <c r="AX33" i="23" s="1"/>
  <c r="AR33" i="23"/>
  <c r="AS33" i="23" s="1"/>
  <c r="AT33" i="23" s="1"/>
  <c r="AR30" i="23"/>
  <c r="AS30" i="23" s="1"/>
  <c r="AT30" i="23" s="1"/>
  <c r="AW30" i="23"/>
  <c r="AX30" i="23" s="1"/>
  <c r="AR282" i="23"/>
  <c r="AS282" i="23" s="1"/>
  <c r="AW282" i="23"/>
  <c r="AX282" i="23" s="1"/>
  <c r="AW70" i="23"/>
  <c r="AX70" i="23" s="1"/>
  <c r="AR70" i="23"/>
  <c r="AS70" i="23" s="1"/>
  <c r="AT70" i="23" s="1"/>
  <c r="AR242" i="23"/>
  <c r="AS242" i="23" s="1"/>
  <c r="AW242" i="23"/>
  <c r="AX242" i="23" s="1"/>
  <c r="AW12" i="23"/>
  <c r="AX12" i="23" s="1"/>
  <c r="AR12" i="23"/>
  <c r="AR160" i="23"/>
  <c r="AS160" i="23" s="1"/>
  <c r="AW160" i="23"/>
  <c r="AX160" i="23" s="1"/>
  <c r="AW68" i="23"/>
  <c r="AX68" i="23" s="1"/>
  <c r="AR68" i="23"/>
  <c r="AS68" i="23" s="1"/>
  <c r="AT68" i="23" s="1"/>
  <c r="AR90" i="23"/>
  <c r="AS90" i="23" s="1"/>
  <c r="AT90" i="23" s="1"/>
  <c r="AW90" i="23"/>
  <c r="AX90" i="23" s="1"/>
  <c r="AW59" i="23"/>
  <c r="AX59" i="23" s="1"/>
  <c r="AR59" i="23"/>
  <c r="AS59" i="23" s="1"/>
  <c r="AT59" i="23" s="1"/>
  <c r="AR153" i="23"/>
  <c r="AS153" i="23" s="1"/>
  <c r="AW153" i="23"/>
  <c r="AX153" i="23" s="1"/>
  <c r="AR215" i="23"/>
  <c r="AS215" i="23" s="1"/>
  <c r="AW215" i="23"/>
  <c r="AX215" i="23" s="1"/>
  <c r="AW129" i="23"/>
  <c r="AX129" i="23" s="1"/>
  <c r="AR129" i="23"/>
  <c r="AS129" i="23" s="1"/>
  <c r="AR283" i="23"/>
  <c r="AS283" i="23" s="1"/>
  <c r="AW283" i="23"/>
  <c r="AX283" i="23" s="1"/>
  <c r="AW74" i="23"/>
  <c r="AX74" i="23" s="1"/>
  <c r="AR74" i="23"/>
  <c r="AS74" i="23" s="1"/>
  <c r="AT74" i="23" s="1"/>
  <c r="AR141" i="23"/>
  <c r="AS141" i="23" s="1"/>
  <c r="AW141" i="23"/>
  <c r="AX141" i="23" s="1"/>
  <c r="AR248" i="23"/>
  <c r="AS248" i="23" s="1"/>
  <c r="AW248" i="23"/>
  <c r="AX248" i="23" s="1"/>
  <c r="AR67" i="23"/>
  <c r="AS67" i="23" s="1"/>
  <c r="AT67" i="23" s="1"/>
  <c r="AW67" i="23"/>
  <c r="AX67" i="23" s="1"/>
  <c r="AW300" i="23"/>
  <c r="AX300" i="23" s="1"/>
  <c r="AR300" i="23"/>
  <c r="AS300" i="23" s="1"/>
  <c r="AR47" i="23"/>
  <c r="AS47" i="23" s="1"/>
  <c r="AT47" i="23" s="1"/>
  <c r="AW47" i="23"/>
  <c r="AX47" i="23" s="1"/>
  <c r="AR92" i="23"/>
  <c r="AS92" i="23" s="1"/>
  <c r="AT92" i="23" s="1"/>
  <c r="AW92" i="23"/>
  <c r="AX92" i="23" s="1"/>
  <c r="AR188" i="23"/>
  <c r="AS188" i="23" s="1"/>
  <c r="AW188" i="23"/>
  <c r="AX188" i="23" s="1"/>
  <c r="AW57" i="23"/>
  <c r="AX57" i="23" s="1"/>
  <c r="AR57" i="23"/>
  <c r="AS57" i="23" s="1"/>
  <c r="AT57" i="23" s="1"/>
  <c r="AW165" i="23"/>
  <c r="AX165" i="23" s="1"/>
  <c r="AR165" i="23"/>
  <c r="AS165" i="23" s="1"/>
  <c r="AR306" i="23"/>
  <c r="AS306" i="23" s="1"/>
  <c r="AW306" i="23"/>
  <c r="AX306" i="23" s="1"/>
  <c r="AW288" i="23"/>
  <c r="AX288" i="23" s="1"/>
  <c r="AR288" i="23"/>
  <c r="AS288" i="23" s="1"/>
  <c r="AR76" i="23"/>
  <c r="AS76" i="23" s="1"/>
  <c r="AT76" i="23" s="1"/>
  <c r="AW76" i="23"/>
  <c r="AX76" i="23" s="1"/>
  <c r="AW268" i="23"/>
  <c r="AX268" i="23" s="1"/>
  <c r="AR268" i="23"/>
  <c r="AS268" i="23" s="1"/>
  <c r="AW26" i="23"/>
  <c r="AX26" i="23" s="1"/>
  <c r="AR26" i="23"/>
  <c r="AS26" i="23" s="1"/>
  <c r="AT26" i="23" s="1"/>
  <c r="AR232" i="23"/>
  <c r="AS232" i="23" s="1"/>
  <c r="AW232" i="23"/>
  <c r="AX232" i="23" s="1"/>
  <c r="AW130" i="23"/>
  <c r="AX130" i="23" s="1"/>
  <c r="AR130" i="23"/>
  <c r="AS130" i="23" s="1"/>
  <c r="AR301" i="23"/>
  <c r="AS301" i="23" s="1"/>
  <c r="AW301" i="23"/>
  <c r="AX301" i="23" s="1"/>
  <c r="AR287" i="23"/>
  <c r="AS287" i="23" s="1"/>
  <c r="AW287" i="23"/>
  <c r="AX287" i="23" s="1"/>
  <c r="AR289" i="23"/>
  <c r="AS289" i="23" s="1"/>
  <c r="AW289" i="23"/>
  <c r="AX289" i="23" s="1"/>
  <c r="AR217" i="23"/>
  <c r="AS217" i="23" s="1"/>
  <c r="AW217" i="23"/>
  <c r="AX217" i="23" s="1"/>
  <c r="AR37" i="23"/>
  <c r="AS37" i="23" s="1"/>
  <c r="AT37" i="23" s="1"/>
  <c r="AW37" i="23"/>
  <c r="AX37" i="23" s="1"/>
  <c r="AW81" i="23"/>
  <c r="AX81" i="23" s="1"/>
  <c r="AR81" i="23"/>
  <c r="AS81" i="23" s="1"/>
  <c r="AT81" i="23" s="1"/>
  <c r="AR156" i="23"/>
  <c r="AS156" i="23" s="1"/>
  <c r="AW156" i="23"/>
  <c r="AX156" i="23" s="1"/>
  <c r="AW75" i="23"/>
  <c r="AX75" i="23" s="1"/>
  <c r="AR75" i="23"/>
  <c r="AS75" i="23" s="1"/>
  <c r="AT75" i="23" s="1"/>
  <c r="AR195" i="23"/>
  <c r="AS195" i="23" s="1"/>
  <c r="AW195" i="23"/>
  <c r="AX195" i="23" s="1"/>
  <c r="AR149" i="23"/>
  <c r="AS149" i="23" s="1"/>
  <c r="AW149" i="23"/>
  <c r="AX149" i="23" s="1"/>
  <c r="AR281" i="23"/>
  <c r="AS281" i="23" s="1"/>
  <c r="AW281" i="23"/>
  <c r="AX281" i="23" s="1"/>
  <c r="AR176" i="23"/>
  <c r="AS176" i="23" s="1"/>
  <c r="AW176" i="23"/>
  <c r="AX176" i="23" s="1"/>
  <c r="AR205" i="23"/>
  <c r="AS205" i="23" s="1"/>
  <c r="AW205" i="23"/>
  <c r="AX205" i="23" s="1"/>
  <c r="AR199" i="23"/>
  <c r="AS199" i="23" s="1"/>
  <c r="AW199" i="23"/>
  <c r="AX199" i="23" s="1"/>
  <c r="AW71" i="23"/>
  <c r="AX71" i="23" s="1"/>
  <c r="AR71" i="23"/>
  <c r="AS71" i="23" s="1"/>
  <c r="AT71" i="23" s="1"/>
  <c r="AR228" i="23"/>
  <c r="AS228" i="23" s="1"/>
  <c r="AW228" i="23"/>
  <c r="AX228" i="23" s="1"/>
  <c r="AR284" i="23"/>
  <c r="AS284" i="23" s="1"/>
  <c r="AW284" i="23"/>
  <c r="AX284" i="23" s="1"/>
  <c r="AW102" i="23"/>
  <c r="AX102" i="23" s="1"/>
  <c r="AR102" i="23"/>
  <c r="AS102" i="23" s="1"/>
  <c r="AT102" i="23" s="1"/>
  <c r="AR233" i="23"/>
  <c r="AS233" i="23" s="1"/>
  <c r="AW233" i="23"/>
  <c r="AX233" i="23" s="1"/>
  <c r="AR210" i="23"/>
  <c r="AS210" i="23" s="1"/>
  <c r="AW210" i="23"/>
  <c r="AX210" i="23" s="1"/>
  <c r="AR213" i="23"/>
  <c r="AS213" i="23" s="1"/>
  <c r="AW213" i="23"/>
  <c r="AX213" i="23" s="1"/>
  <c r="AR275" i="23"/>
  <c r="AS275" i="23" s="1"/>
  <c r="AW275" i="23"/>
  <c r="AX275" i="23" s="1"/>
  <c r="AW271" i="23"/>
  <c r="AX271" i="23" s="1"/>
  <c r="AR271" i="23"/>
  <c r="AS271" i="23" s="1"/>
  <c r="AW203" i="23"/>
  <c r="AX203" i="23" s="1"/>
  <c r="AR203" i="23"/>
  <c r="AS203" i="23" s="1"/>
  <c r="AW269" i="23"/>
  <c r="AX269" i="23" s="1"/>
  <c r="AR269" i="23"/>
  <c r="AS269" i="23" s="1"/>
  <c r="AR94" i="23"/>
  <c r="AS94" i="23" s="1"/>
  <c r="AT94" i="23" s="1"/>
  <c r="AW94" i="23"/>
  <c r="AX94" i="23" s="1"/>
  <c r="AR280" i="23"/>
  <c r="AS280" i="23" s="1"/>
  <c r="AW280" i="23"/>
  <c r="AX280" i="23" s="1"/>
  <c r="AR133" i="23"/>
  <c r="AS133" i="23" s="1"/>
  <c r="AW133" i="23"/>
  <c r="AX133" i="23" s="1"/>
  <c r="AR139" i="23"/>
  <c r="AS139" i="23" s="1"/>
  <c r="AW139" i="23"/>
  <c r="AX139" i="23" s="1"/>
  <c r="AR263" i="23"/>
  <c r="AS263" i="23" s="1"/>
  <c r="AW263" i="23"/>
  <c r="AX263" i="23" s="1"/>
  <c r="AW15" i="23"/>
  <c r="AX15" i="23" s="1"/>
  <c r="AR15" i="23"/>
  <c r="AS15" i="23" s="1"/>
  <c r="AT15" i="23" s="1"/>
  <c r="AR142" i="23"/>
  <c r="AS142" i="23" s="1"/>
  <c r="AW142" i="23"/>
  <c r="AX142" i="23" s="1"/>
  <c r="AR170" i="23"/>
  <c r="AS170" i="23" s="1"/>
  <c r="AW170" i="23"/>
  <c r="AX170" i="23" s="1"/>
  <c r="AW19" i="23"/>
  <c r="AX19" i="23" s="1"/>
  <c r="AR19" i="23"/>
  <c r="AS19" i="23" s="1"/>
  <c r="AT19" i="23" s="1"/>
  <c r="AR299" i="23"/>
  <c r="AS299" i="23" s="1"/>
  <c r="AW299" i="23"/>
  <c r="AX299" i="23" s="1"/>
  <c r="AR285" i="23"/>
  <c r="AS285" i="23" s="1"/>
  <c r="AW285" i="23"/>
  <c r="AX285" i="23" s="1"/>
  <c r="AW267" i="23"/>
  <c r="AX267" i="23" s="1"/>
  <c r="AR267" i="23"/>
  <c r="AS267" i="23" s="1"/>
  <c r="AW64" i="23"/>
  <c r="AX64" i="23" s="1"/>
  <c r="AR64" i="23"/>
  <c r="AS64" i="23" s="1"/>
  <c r="AT64" i="23" s="1"/>
  <c r="AR272" i="23"/>
  <c r="AS272" i="23" s="1"/>
  <c r="AW272" i="23"/>
  <c r="AX272" i="23" s="1"/>
  <c r="AR104" i="23"/>
  <c r="AS104" i="23" s="1"/>
  <c r="AT104" i="23" s="1"/>
  <c r="AW104" i="23"/>
  <c r="AX104" i="23" s="1"/>
  <c r="AR209" i="23"/>
  <c r="AS209" i="23" s="1"/>
  <c r="AW209" i="23"/>
  <c r="AX209" i="23" s="1"/>
  <c r="AR245" i="23"/>
  <c r="AS245" i="23" s="1"/>
  <c r="AW245" i="23"/>
  <c r="AX245" i="23" s="1"/>
  <c r="AR95" i="23"/>
  <c r="AS95" i="23" s="1"/>
  <c r="AT95" i="23" s="1"/>
  <c r="AW95" i="23"/>
  <c r="AX95" i="23" s="1"/>
  <c r="AR128" i="23"/>
  <c r="AS128" i="23" s="1"/>
  <c r="AW128" i="23"/>
  <c r="AX128" i="23" s="1"/>
  <c r="AR279" i="23"/>
  <c r="AS279" i="23" s="1"/>
  <c r="AW279" i="23"/>
  <c r="AX279" i="23" s="1"/>
  <c r="AW292" i="23"/>
  <c r="AX292" i="23" s="1"/>
  <c r="AR292" i="23"/>
  <c r="AS292" i="23" s="1"/>
  <c r="AR150" i="23"/>
  <c r="AS150" i="23" s="1"/>
  <c r="AW150" i="23"/>
  <c r="AX150" i="23" s="1"/>
  <c r="AR226" i="23"/>
  <c r="AS226" i="23" s="1"/>
  <c r="AW226" i="23"/>
  <c r="AX226" i="23" s="1"/>
  <c r="AR198" i="23"/>
  <c r="AS198" i="23" s="1"/>
  <c r="AW198" i="23"/>
  <c r="AX198" i="23" s="1"/>
  <c r="AR101" i="23"/>
  <c r="AS101" i="23" s="1"/>
  <c r="AT101" i="23" s="1"/>
  <c r="AW101" i="23"/>
  <c r="AX101" i="23" s="1"/>
  <c r="AR187" i="23"/>
  <c r="AS187" i="23" s="1"/>
  <c r="AW187" i="23"/>
  <c r="AX187" i="23" s="1"/>
  <c r="AR244" i="23"/>
  <c r="AS244" i="23" s="1"/>
  <c r="AW244" i="23"/>
  <c r="AX244" i="23" s="1"/>
  <c r="AR113" i="23"/>
  <c r="AS113" i="23" s="1"/>
  <c r="AT113" i="23" s="1"/>
  <c r="AW113" i="23"/>
  <c r="AX113" i="23" s="1"/>
  <c r="AW140" i="23"/>
  <c r="AX140" i="23" s="1"/>
  <c r="AR140" i="23"/>
  <c r="AS140" i="23" s="1"/>
  <c r="AR106" i="23"/>
  <c r="AS106" i="23" s="1"/>
  <c r="AT106" i="23" s="1"/>
  <c r="AW106" i="23"/>
  <c r="AX106" i="23" s="1"/>
  <c r="AR46" i="23"/>
  <c r="AS46" i="23" s="1"/>
  <c r="AT46" i="23" s="1"/>
  <c r="AW46" i="23"/>
  <c r="AX46" i="23" s="1"/>
  <c r="AR164" i="23"/>
  <c r="AS164" i="23" s="1"/>
  <c r="AW164" i="23"/>
  <c r="AX164" i="23" s="1"/>
  <c r="AR155" i="23"/>
  <c r="AS155" i="23" s="1"/>
  <c r="AW155" i="23"/>
  <c r="AX155" i="23" s="1"/>
  <c r="AW108" i="23"/>
  <c r="AX108" i="23" s="1"/>
  <c r="AR108" i="23"/>
  <c r="AS108" i="23" s="1"/>
  <c r="AT108" i="23" s="1"/>
  <c r="AR148" i="23"/>
  <c r="AS148" i="23" s="1"/>
  <c r="AW148" i="23"/>
  <c r="AX148" i="23" s="1"/>
  <c r="AY148" i="23" s="1"/>
  <c r="AR18" i="23"/>
  <c r="AS18" i="23" s="1"/>
  <c r="AT18" i="23" s="1"/>
  <c r="AW18" i="23"/>
  <c r="AX18" i="23" s="1"/>
  <c r="AR189" i="23"/>
  <c r="AS189" i="23" s="1"/>
  <c r="AW189" i="23"/>
  <c r="AX189" i="23" s="1"/>
  <c r="AW260" i="23"/>
  <c r="AX260" i="23" s="1"/>
  <c r="AR260" i="23"/>
  <c r="AS260" i="23" s="1"/>
  <c r="AR214" i="23"/>
  <c r="AS214" i="23" s="1"/>
  <c r="AW214" i="23"/>
  <c r="AX214" i="23" s="1"/>
  <c r="AY214" i="23" s="1"/>
  <c r="AR143" i="23"/>
  <c r="AS143" i="23" s="1"/>
  <c r="AW143" i="23"/>
  <c r="AX143" i="23" s="1"/>
  <c r="AW218" i="23"/>
  <c r="AX218" i="23" s="1"/>
  <c r="AR218" i="23"/>
  <c r="AS218" i="23" s="1"/>
  <c r="AW17" i="23"/>
  <c r="AX17" i="23" s="1"/>
  <c r="AR17" i="23"/>
  <c r="AS17" i="23" s="1"/>
  <c r="AT17" i="23" s="1"/>
  <c r="AR297" i="23"/>
  <c r="AS297" i="23" s="1"/>
  <c r="AW297" i="23"/>
  <c r="AX297" i="23" s="1"/>
  <c r="AY297" i="23" s="1"/>
  <c r="AR234" i="23"/>
  <c r="AS234" i="23" s="1"/>
  <c r="AW234" i="23"/>
  <c r="AX234" i="23" s="1"/>
  <c r="AR78" i="23"/>
  <c r="AS78" i="23" s="1"/>
  <c r="AT78" i="23" s="1"/>
  <c r="AW78" i="23"/>
  <c r="AX78" i="23" s="1"/>
  <c r="AR89" i="23"/>
  <c r="AS89" i="23" s="1"/>
  <c r="AT89" i="23" s="1"/>
  <c r="AW89" i="23"/>
  <c r="AX89" i="23" s="1"/>
  <c r="AY89" i="23" s="1"/>
  <c r="AW152" i="23"/>
  <c r="AX152" i="23" s="1"/>
  <c r="AR152" i="23"/>
  <c r="AS152" i="23" s="1"/>
  <c r="AW55" i="23"/>
  <c r="AX55" i="23" s="1"/>
  <c r="AR55" i="23"/>
  <c r="AS55" i="23" s="1"/>
  <c r="AT55" i="23" s="1"/>
  <c r="AR42" i="23"/>
  <c r="AS42" i="23" s="1"/>
  <c r="AT42" i="23" s="1"/>
  <c r="AW42" i="23"/>
  <c r="AX42" i="23" s="1"/>
  <c r="AR193" i="23"/>
  <c r="AS193" i="23" s="1"/>
  <c r="AW193" i="23"/>
  <c r="AX193" i="23" s="1"/>
  <c r="AY193" i="23" s="1"/>
  <c r="AW82" i="23"/>
  <c r="AX82" i="23" s="1"/>
  <c r="AR82" i="23"/>
  <c r="AS82" i="23" s="1"/>
  <c r="AT82" i="23" s="1"/>
  <c r="AR230" i="23"/>
  <c r="AS230" i="23" s="1"/>
  <c r="AW230" i="23"/>
  <c r="AX230" i="23" s="1"/>
  <c r="AW273" i="23"/>
  <c r="AX273" i="23" s="1"/>
  <c r="AR273" i="23"/>
  <c r="AS273" i="23" s="1"/>
  <c r="AR184" i="23"/>
  <c r="AS184" i="23" s="1"/>
  <c r="AW184" i="23"/>
  <c r="AX184" i="23" s="1"/>
  <c r="AY184" i="23" s="1"/>
  <c r="AR225" i="23"/>
  <c r="AS225" i="23" s="1"/>
  <c r="AW225" i="23"/>
  <c r="AX225" i="23" s="1"/>
  <c r="AY225" i="23" s="1"/>
  <c r="AW211" i="23"/>
  <c r="AX211" i="23" s="1"/>
  <c r="AR211" i="23"/>
  <c r="AS211" i="23" s="1"/>
  <c r="AW77" i="23"/>
  <c r="AX77" i="23" s="1"/>
  <c r="AR77" i="23"/>
  <c r="AS77" i="23" s="1"/>
  <c r="AT77" i="23" s="1"/>
  <c r="AR151" i="23"/>
  <c r="AS151" i="23" s="1"/>
  <c r="AW151" i="23"/>
  <c r="AX151" i="23" s="1"/>
  <c r="AY151" i="23" s="1"/>
  <c r="AR145" i="23"/>
  <c r="AS145" i="23" s="1"/>
  <c r="AW145" i="23"/>
  <c r="AX145" i="23" s="1"/>
  <c r="AY145" i="23" s="1"/>
  <c r="AW201" i="23"/>
  <c r="AX201" i="23" s="1"/>
  <c r="AR201" i="23"/>
  <c r="AS201" i="23" s="1"/>
  <c r="AW204" i="23"/>
  <c r="AX204" i="23" s="1"/>
  <c r="AR204" i="23"/>
  <c r="AS204" i="23" s="1"/>
  <c r="AR180" i="23"/>
  <c r="AS180" i="23" s="1"/>
  <c r="AW180" i="23"/>
  <c r="AX180" i="23" s="1"/>
  <c r="AY180" i="23" s="1"/>
  <c r="AR132" i="23"/>
  <c r="AS132" i="23" s="1"/>
  <c r="AW132" i="23"/>
  <c r="AX132" i="23" s="1"/>
  <c r="AY132" i="23" s="1"/>
  <c r="AW276" i="23"/>
  <c r="AX276" i="23" s="1"/>
  <c r="AR276" i="23"/>
  <c r="AS276" i="23" s="1"/>
  <c r="AW27" i="23"/>
  <c r="AX27" i="23" s="1"/>
  <c r="AR27" i="23"/>
  <c r="AS27" i="23" s="1"/>
  <c r="AT27" i="23" s="1"/>
  <c r="AR197" i="23"/>
  <c r="AS197" i="23" s="1"/>
  <c r="AW197" i="23"/>
  <c r="AX197" i="23" s="1"/>
  <c r="AY197" i="23" s="1"/>
  <c r="AW161" i="23"/>
  <c r="AX161" i="23" s="1"/>
  <c r="AR161" i="23"/>
  <c r="AS161" i="23" s="1"/>
  <c r="AR266" i="23"/>
  <c r="AS266" i="23" s="1"/>
  <c r="AW266" i="23"/>
  <c r="AX266" i="23" s="1"/>
  <c r="AW87" i="23"/>
  <c r="AX87" i="23" s="1"/>
  <c r="AR87" i="23"/>
  <c r="AS87" i="23" s="1"/>
  <c r="AT87" i="23" s="1"/>
  <c r="AR259" i="23"/>
  <c r="AS259" i="23" s="1"/>
  <c r="AW259" i="23"/>
  <c r="AX259" i="23" s="1"/>
  <c r="AY259" i="23" s="1"/>
  <c r="AR85" i="23"/>
  <c r="AS85" i="23" s="1"/>
  <c r="AT85" i="23" s="1"/>
  <c r="AW85" i="23"/>
  <c r="AX85" i="23" s="1"/>
  <c r="AY85" i="23" s="1"/>
  <c r="AR222" i="23"/>
  <c r="AS222" i="23" s="1"/>
  <c r="AW222" i="23"/>
  <c r="AX222" i="23" s="1"/>
  <c r="AR83" i="23"/>
  <c r="AS83" i="23" s="1"/>
  <c r="AT83" i="23" s="1"/>
  <c r="AW83" i="23"/>
  <c r="AX83" i="23" s="1"/>
  <c r="AR137" i="23"/>
  <c r="AS137" i="23" s="1"/>
  <c r="AW137" i="23"/>
  <c r="AX137" i="23" s="1"/>
  <c r="AY137" i="23" s="1"/>
  <c r="AR207" i="23"/>
  <c r="AS207" i="23" s="1"/>
  <c r="AW207" i="23"/>
  <c r="AX207" i="23" s="1"/>
  <c r="AY207" i="23" s="1"/>
  <c r="AW186" i="23"/>
  <c r="AX186" i="23" s="1"/>
  <c r="AR186" i="23"/>
  <c r="AS186" i="23" s="1"/>
  <c r="AR220" i="23"/>
  <c r="AS220" i="23" s="1"/>
  <c r="AW220" i="23"/>
  <c r="AX220" i="23" s="1"/>
  <c r="AW21" i="23"/>
  <c r="AX21" i="23" s="1"/>
  <c r="AR21" i="23"/>
  <c r="AS21" i="23" s="1"/>
  <c r="AT21" i="23" s="1"/>
  <c r="AR178" i="23"/>
  <c r="AS178" i="23" s="1"/>
  <c r="AW178" i="23"/>
  <c r="AX178" i="23" s="1"/>
  <c r="AY178" i="23" s="1"/>
  <c r="AW25" i="23"/>
  <c r="AX25" i="23" s="1"/>
  <c r="AR25" i="23"/>
  <c r="AS25" i="23" s="1"/>
  <c r="AT25" i="23" s="1"/>
  <c r="AY93" i="23"/>
  <c r="AY222" i="23" l="1"/>
  <c r="AY266" i="23"/>
  <c r="AY230" i="23"/>
  <c r="AY234" i="23"/>
  <c r="AY143" i="23"/>
  <c r="AY18" i="23"/>
  <c r="AY164" i="23"/>
  <c r="AY113" i="23"/>
  <c r="AY198" i="23"/>
  <c r="AY279" i="23"/>
  <c r="AY209" i="23"/>
  <c r="AY170" i="23"/>
  <c r="AY139" i="23"/>
  <c r="AY213" i="23"/>
  <c r="AY284" i="23"/>
  <c r="AY205" i="23"/>
  <c r="AY195" i="23"/>
  <c r="AY37" i="23"/>
  <c r="AY301" i="23"/>
  <c r="AY47" i="23"/>
  <c r="AY141" i="23"/>
  <c r="AY215" i="23"/>
  <c r="AY206" i="23"/>
  <c r="AY158" i="23"/>
  <c r="AY58" i="23"/>
  <c r="AY241" i="23"/>
  <c r="AY270" i="23"/>
  <c r="AY24" i="23"/>
  <c r="AY51" i="23"/>
  <c r="AY224" i="23"/>
  <c r="AY65" i="23"/>
  <c r="AY258" i="23"/>
  <c r="AY169" i="23"/>
  <c r="AY110" i="23"/>
  <c r="AY237" i="23"/>
  <c r="AY120" i="23"/>
  <c r="AY79" i="23"/>
  <c r="AY66" i="23"/>
  <c r="AY106" i="23"/>
  <c r="AY187" i="23"/>
  <c r="AY150" i="23"/>
  <c r="AY95" i="23"/>
  <c r="AY272" i="23"/>
  <c r="AY299" i="23"/>
  <c r="AY280" i="23"/>
  <c r="AY233" i="23"/>
  <c r="AY98" i="23"/>
  <c r="AY105" i="23"/>
  <c r="AY97" i="23"/>
  <c r="AY281" i="23"/>
  <c r="AY156" i="23"/>
  <c r="AY289" i="23"/>
  <c r="AY232" i="23"/>
  <c r="AY188" i="23"/>
  <c r="AY67" i="23"/>
  <c r="AY283" i="23"/>
  <c r="AY30" i="23"/>
  <c r="AY286" i="23"/>
  <c r="AY236" i="23"/>
  <c r="AY304" i="23"/>
  <c r="AY146" i="23"/>
  <c r="AY294" i="23"/>
  <c r="AY202" i="23"/>
  <c r="AY227" i="23"/>
  <c r="AY229" i="23"/>
  <c r="AY157" i="23"/>
  <c r="AY185" i="23"/>
  <c r="AY208" i="23"/>
  <c r="AY247" i="23"/>
  <c r="AY32" i="23"/>
  <c r="AY243" i="23"/>
  <c r="AY240" i="23"/>
  <c r="AY22" i="23"/>
  <c r="AY182" i="23"/>
  <c r="AY177" i="23"/>
  <c r="AY196" i="23"/>
  <c r="AY295" i="23"/>
  <c r="AY46" i="23"/>
  <c r="AY244" i="23"/>
  <c r="AY226" i="23"/>
  <c r="AY128" i="23"/>
  <c r="AY104" i="23"/>
  <c r="AY285" i="23"/>
  <c r="AY142" i="23"/>
  <c r="AY133" i="23"/>
  <c r="AY210" i="23"/>
  <c r="AY228" i="23"/>
  <c r="AY176" i="23"/>
  <c r="AY217" i="23"/>
  <c r="AY76" i="23"/>
  <c r="AY153" i="23"/>
  <c r="AY160" i="23"/>
  <c r="AY282" i="23"/>
  <c r="AY302" i="23"/>
  <c r="AY39" i="23"/>
  <c r="AY239" i="23"/>
  <c r="AY52" i="23"/>
  <c r="AY91" i="23"/>
  <c r="AY43" i="23"/>
  <c r="AY192" i="23"/>
  <c r="AY291" i="23"/>
  <c r="AY29" i="23"/>
  <c r="AY274" i="23"/>
  <c r="AY41" i="23"/>
  <c r="AY99" i="23"/>
  <c r="AY84" i="23"/>
  <c r="AY135" i="23"/>
  <c r="AY136" i="23"/>
  <c r="AY220" i="23"/>
  <c r="AY83" i="23"/>
  <c r="AY42" i="23"/>
  <c r="AY78" i="23"/>
  <c r="AY189" i="23"/>
  <c r="AY155" i="23"/>
  <c r="AY101" i="23"/>
  <c r="AY245" i="23"/>
  <c r="AY263" i="23"/>
  <c r="AY94" i="23"/>
  <c r="AY275" i="23"/>
  <c r="AY199" i="23"/>
  <c r="AY149" i="23"/>
  <c r="AY287" i="23"/>
  <c r="AY306" i="23"/>
  <c r="AY92" i="23"/>
  <c r="AY248" i="23"/>
  <c r="AY90" i="23"/>
  <c r="AY242" i="23"/>
  <c r="AY190" i="23"/>
  <c r="AY38" i="23"/>
  <c r="AY86" i="23"/>
  <c r="AY167" i="23"/>
  <c r="AY56" i="23"/>
  <c r="AY109" i="23"/>
  <c r="AY147" i="23"/>
  <c r="AY191" i="23"/>
  <c r="AY246" i="23"/>
  <c r="AY154" i="23"/>
  <c r="AY278" i="23"/>
  <c r="AY305" i="23"/>
  <c r="AY168" i="23"/>
  <c r="AY179" i="23"/>
  <c r="AY200" i="23"/>
  <c r="AY131" i="23"/>
  <c r="AY181" i="23"/>
  <c r="AY35" i="23"/>
  <c r="AR122" i="23"/>
  <c r="AS119" i="23"/>
  <c r="AS122" i="23" s="1"/>
  <c r="AX308" i="23"/>
  <c r="AY257" i="23"/>
  <c r="AY87" i="23"/>
  <c r="AY161" i="23"/>
  <c r="AY27" i="23"/>
  <c r="AY204" i="23"/>
  <c r="AY77" i="23"/>
  <c r="AY273" i="23"/>
  <c r="AY82" i="23"/>
  <c r="AY152" i="23"/>
  <c r="AY218" i="23"/>
  <c r="AY140" i="23"/>
  <c r="AY292" i="23"/>
  <c r="AY64" i="23"/>
  <c r="AY19" i="23"/>
  <c r="AY203" i="23"/>
  <c r="AY102" i="23"/>
  <c r="AY75" i="23"/>
  <c r="AY81" i="23"/>
  <c r="AY130" i="23"/>
  <c r="AY26" i="23"/>
  <c r="AY57" i="23"/>
  <c r="AY300" i="23"/>
  <c r="AY74" i="23"/>
  <c r="AY129" i="23"/>
  <c r="AY33" i="23"/>
  <c r="AY250" i="23"/>
  <c r="AY62" i="23"/>
  <c r="AY112" i="23"/>
  <c r="AY298" i="23"/>
  <c r="AY119" i="23"/>
  <c r="AY122" i="23" s="1"/>
  <c r="AX122" i="23"/>
  <c r="AY31" i="23"/>
  <c r="AY194" i="23"/>
  <c r="AY293" i="23"/>
  <c r="AY100" i="23"/>
  <c r="AY49" i="23"/>
  <c r="AY23" i="23"/>
  <c r="AY53" i="23"/>
  <c r="AY103" i="23"/>
  <c r="AY303" i="23"/>
  <c r="AY212" i="23"/>
  <c r="AY60" i="23"/>
  <c r="AY61" i="23"/>
  <c r="AY96" i="23"/>
  <c r="AY138" i="23"/>
  <c r="AY219" i="23"/>
  <c r="AY20" i="23"/>
  <c r="AY40" i="23"/>
  <c r="AY69" i="23"/>
  <c r="AY262" i="23"/>
  <c r="AR308" i="23"/>
  <c r="AS257" i="23"/>
  <c r="AS308" i="23" s="1"/>
  <c r="AT308" i="23" s="1"/>
  <c r="AY34" i="23"/>
  <c r="AY73" i="23"/>
  <c r="AY36" i="23"/>
  <c r="AY238" i="23"/>
  <c r="AR115" i="23"/>
  <c r="AS12" i="23"/>
  <c r="AX252" i="23"/>
  <c r="AY127" i="23"/>
  <c r="AY25" i="23"/>
  <c r="AY21" i="23"/>
  <c r="AY186" i="23"/>
  <c r="AY276" i="23"/>
  <c r="AY201" i="23"/>
  <c r="AY211" i="23"/>
  <c r="AY55" i="23"/>
  <c r="AY17" i="23"/>
  <c r="AY260" i="23"/>
  <c r="AY108" i="23"/>
  <c r="AY267" i="23"/>
  <c r="AY15" i="23"/>
  <c r="AY269" i="23"/>
  <c r="AY271" i="23"/>
  <c r="AY71" i="23"/>
  <c r="AY268" i="23"/>
  <c r="AY288" i="23"/>
  <c r="AY165" i="23"/>
  <c r="AY59" i="23"/>
  <c r="AY68" i="23"/>
  <c r="AX115" i="23"/>
  <c r="AY12" i="23"/>
  <c r="AY70" i="23"/>
  <c r="AY14" i="23"/>
  <c r="AY264" i="23"/>
  <c r="AR252" i="23"/>
  <c r="AS127" i="23"/>
  <c r="AS252" i="23" s="1"/>
  <c r="AT252" i="23" s="1"/>
  <c r="AY221" i="23"/>
  <c r="AY231" i="23"/>
  <c r="AY80" i="23"/>
  <c r="AY111" i="23"/>
  <c r="AY277" i="23"/>
  <c r="AY223" i="23"/>
  <c r="AY261" i="23"/>
  <c r="AY265" i="23"/>
  <c r="AY171" i="23"/>
  <c r="AY54" i="23"/>
  <c r="AY72" i="23"/>
  <c r="AY13" i="23"/>
  <c r="AY173" i="23"/>
  <c r="AY107" i="23"/>
  <c r="AY183" i="23"/>
  <c r="AY44" i="23"/>
  <c r="AY45" i="23"/>
  <c r="AY216" i="23"/>
  <c r="AY28" i="23"/>
  <c r="AY144" i="23"/>
  <c r="AY235" i="23"/>
  <c r="AY63" i="23"/>
  <c r="AR329" i="23" l="1"/>
  <c r="AX329" i="23"/>
  <c r="AY308" i="23"/>
  <c r="AY252" i="23"/>
  <c r="AT122" i="23"/>
  <c r="AS333" i="23"/>
  <c r="AT333" i="23" s="1"/>
  <c r="AY115" i="23"/>
  <c r="AT12" i="23"/>
  <c r="AS115" i="23"/>
  <c r="AT115" i="23" l="1"/>
  <c r="AS329" i="23"/>
  <c r="AS332" i="23" s="1"/>
  <c r="AT332" i="23" s="1"/>
  <c r="AY329" i="23"/>
  <c r="AY3" i="23" s="1"/>
</calcChain>
</file>

<file path=xl/comments1.xml><?xml version="1.0" encoding="utf-8"?>
<comments xmlns="http://schemas.openxmlformats.org/spreadsheetml/2006/main">
  <authors>
    <author>Akasha Leffler</author>
  </authors>
  <commentList>
    <comment ref="C62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$2.32 COLA/fuel surcharge /tonplus $0.41 admin fee/ton increase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</authors>
  <commentList>
    <comment ref="J89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Note: This was calculated by taking the PT expense from TG-210449 and dividing it by the Tip Fee.</t>
        </r>
      </text>
    </comment>
  </commentList>
</comments>
</file>

<file path=xl/comments3.xml><?xml version="1.0" encoding="utf-8"?>
<comments xmlns="http://schemas.openxmlformats.org/spreadsheetml/2006/main">
  <authors>
    <author>Lindsay Waldram</author>
    <author>Laura Kapuscinski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The tonnage for S. Bend includes RO, Comm &amp; Resi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Annual City of Aberdeen Clean up tonnage</t>
        </r>
      </text>
    </comment>
  </commentList>
</comments>
</file>

<file path=xl/comments4.xml><?xml version="1.0" encoding="utf-8"?>
<comments xmlns="http://schemas.openxmlformats.org/spreadsheetml/2006/main">
  <authors>
    <author>WCNX</author>
    <author>Akasha Leffler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area: EGH, and Harbor.</t>
        </r>
      </text>
    </comment>
    <comment ref="AI122" authorId="1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Per Lesley 5.24.21, rssi recycling customers get 95 gal</t>
        </r>
      </text>
    </comment>
  </commentList>
</comments>
</file>

<file path=xl/comments5.xml><?xml version="1.0" encoding="utf-8"?>
<comments xmlns="http://schemas.openxmlformats.org/spreadsheetml/2006/main">
  <authors>
    <author>Akasha Leffler</author>
  </authors>
  <commentList>
    <comment ref="G87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Rounding issue in calc, $0.04 is correct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Rounding issue in calc, $0.04 is correct</t>
        </r>
      </text>
    </comment>
  </commentList>
</comments>
</file>

<file path=xl/sharedStrings.xml><?xml version="1.0" encoding="utf-8"?>
<sst xmlns="http://schemas.openxmlformats.org/spreadsheetml/2006/main" count="1998" uniqueCount="937">
  <si>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</si>
  <si>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</si>
  <si>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</si>
  <si>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</si>
  <si>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</si>
  <si>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</si>
  <si>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</si>
  <si>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</si>
  <si>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</si>
  <si>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</si>
  <si>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</si>
  <si>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</si>
  <si>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</si>
  <si>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</si>
  <si>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</si>
  <si>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</si>
  <si>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</si>
  <si>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</si>
  <si>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</si>
  <si>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</si>
  <si>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</si>
  <si>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</si>
  <si>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</si>
  <si>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</si>
  <si>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</si>
  <si>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</si>
  <si>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</si>
  <si>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</si>
  <si>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</si>
  <si>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</si>
  <si>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</si>
  <si>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</si>
  <si>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</si>
  <si>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</si>
  <si>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</si>
  <si>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</si>
  <si>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</si>
  <si>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</si>
  <si>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</si>
  <si>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</si>
  <si>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</si>
  <si>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</si>
  <si>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</si>
  <si>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</si>
  <si>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</si>
  <si>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</si>
  <si>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</si>
  <si>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</si>
  <si>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</si>
  <si>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</si>
  <si>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</si>
  <si>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</si>
  <si>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</si>
  <si>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</si>
  <si>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</si>
  <si>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</si>
  <si>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</si>
  <si>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</si>
  <si>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</si>
  <si>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</si>
  <si>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</si>
  <si>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</si>
  <si>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</si>
  <si>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</si>
  <si>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</si>
  <si>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</si>
  <si>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</si>
  <si>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</si>
  <si>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</si>
  <si>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</si>
  <si>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</si>
  <si>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</si>
  <si>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</si>
  <si>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</si>
  <si>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</si>
  <si>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</si>
  <si>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</si>
  <si>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</si>
  <si>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</si>
  <si>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</si>
  <si>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</si>
  <si>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</si>
  <si>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</si>
  <si>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MG</t>
  </si>
  <si>
    <t>Extra Units</t>
  </si>
  <si>
    <t>1 yard</t>
  </si>
  <si>
    <t>1.5 yard</t>
  </si>
  <si>
    <t>2 yard</t>
  </si>
  <si>
    <t>4 yard</t>
  </si>
  <si>
    <t>6 yard</t>
  </si>
  <si>
    <t>3 yard</t>
  </si>
  <si>
    <t>RESIDENTIAL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</si>
  <si>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</si>
  <si>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</si>
  <si>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</si>
  <si>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</si>
  <si>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</si>
  <si>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</si>
  <si>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</si>
  <si>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</si>
  <si>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</si>
  <si>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</si>
  <si>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</si>
  <si>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</si>
  <si>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Dump Fee Calc References</t>
  </si>
  <si>
    <t>Dump Fee Calculation</t>
  </si>
  <si>
    <t>Service Code</t>
  </si>
  <si>
    <t>Resi</t>
  </si>
  <si>
    <t>Item/Page</t>
  </si>
  <si>
    <t>LOB</t>
  </si>
  <si>
    <t>SERVICE CODE</t>
  </si>
  <si>
    <t>SERVICE</t>
  </si>
  <si>
    <t>DETAILS</t>
  </si>
  <si>
    <t>FREQUENCY</t>
  </si>
  <si>
    <t>MEEKS WEIGHT</t>
  </si>
  <si>
    <t>SIZE</t>
  </si>
  <si>
    <t>20 Gal</t>
  </si>
  <si>
    <t>35 Gal</t>
  </si>
  <si>
    <t>65 Gal</t>
  </si>
  <si>
    <t>95 Gal</t>
  </si>
  <si>
    <t>1 YD</t>
  </si>
  <si>
    <t>4 YD</t>
  </si>
  <si>
    <t>6 YD</t>
  </si>
  <si>
    <t>3 YD</t>
  </si>
  <si>
    <t>2 YD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</si>
  <si>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</si>
  <si>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</si>
  <si>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</si>
  <si>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</si>
  <si>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</si>
  <si>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</si>
  <si>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</si>
  <si>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</si>
  <si>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</si>
  <si>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</si>
  <si>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</si>
  <si>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</si>
  <si>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</si>
  <si>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</si>
  <si>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SERVICES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</si>
  <si>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</si>
  <si>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</si>
  <si>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</si>
  <si>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</si>
  <si>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</si>
  <si>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</si>
  <si>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</si>
  <si>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</si>
  <si>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</si>
  <si>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</si>
  <si>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</si>
  <si>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</si>
  <si>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</si>
  <si>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</si>
  <si>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</si>
  <si>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</si>
  <si>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</si>
  <si>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</si>
  <si>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</si>
  <si>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</si>
  <si>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</si>
  <si>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Gray's Harbor</t>
  </si>
  <si>
    <t>R</t>
  </si>
  <si>
    <t>for recycling routes</t>
  </si>
  <si>
    <t>Increase per LG</t>
  </si>
  <si>
    <t>MSW</t>
  </si>
  <si>
    <t>Current Annual Revenue</t>
  </si>
  <si>
    <t>Regulated Areas Price Out</t>
  </si>
  <si>
    <t>Hardcoded/modified formula</t>
  </si>
  <si>
    <t>Recycle</t>
  </si>
  <si>
    <t>COVID Expenses to be Recovered</t>
  </si>
  <si>
    <t>April 1 - March 31</t>
  </si>
  <si>
    <t>2020-2021</t>
  </si>
  <si>
    <t>2-Year Reco very with B&amp;O and WUTC Fee</t>
  </si>
  <si>
    <t>B&amp;O Tax</t>
  </si>
  <si>
    <t>2020 Rates</t>
  </si>
  <si>
    <t>2021 Rates</t>
  </si>
  <si>
    <t>Average</t>
  </si>
  <si>
    <t>Container Counts</t>
  </si>
  <si>
    <t>2-Year Rate Increase Needed for COVID Exp. Recovery</t>
  </si>
  <si>
    <t>WUTC Fee</t>
  </si>
  <si>
    <t>Cart Size</t>
  </si>
  <si>
    <t>Can Size</t>
  </si>
  <si>
    <t>Container Size</t>
  </si>
  <si>
    <t>Quantity</t>
  </si>
  <si>
    <t>Count</t>
  </si>
  <si>
    <t>COVID EXPENSE RECOVERY</t>
  </si>
  <si>
    <t>Proposed Tariff Rate</t>
  </si>
  <si>
    <t>Proposed Annual Revenue</t>
  </si>
  <si>
    <t>Change in Annual</t>
  </si>
  <si>
    <t>RL020.0G1W001</t>
  </si>
  <si>
    <t>20 GL 1X WK 1</t>
  </si>
  <si>
    <t>RL020.0G1W001NOREC</t>
  </si>
  <si>
    <t>20 GL 1X WK NO RECY 1</t>
  </si>
  <si>
    <t>SL020.0G1W001NOREC</t>
  </si>
  <si>
    <t>SL020.0G1W001WREC</t>
  </si>
  <si>
    <t>20 GL 1X WK W/RECY 1</t>
  </si>
  <si>
    <t>RL020.0G1W003WREC</t>
  </si>
  <si>
    <t>20 GL 1X WK W/RECY 3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</si>
  <si>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</si>
  <si>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</si>
  <si>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</si>
  <si>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</si>
  <si>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</si>
  <si>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</si>
  <si>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</si>
  <si>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</si>
  <si>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</si>
  <si>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RL032.0G1W002NOREC</t>
  </si>
  <si>
    <t>32 GL 1X WK NO RECY 2</t>
  </si>
  <si>
    <t>RL032.0G1W003NOREC</t>
  </si>
  <si>
    <t>32 GL 1X WK NO RECY 3</t>
  </si>
  <si>
    <t>RL032.0G1W004NOREC</t>
  </si>
  <si>
    <t>32 GL 1X WK NO RECY 4</t>
  </si>
  <si>
    <t>RL032.0G1W001WREC</t>
  </si>
  <si>
    <t>32 GL 1X WK W/RECY 1</t>
  </si>
  <si>
    <t>RL032.0G1W002WREC</t>
  </si>
  <si>
    <t>32 GL 1X WK W/RECY 2</t>
  </si>
  <si>
    <t>RL032.0G1W003WREC</t>
  </si>
  <si>
    <t>32 GL 1X WK W/RECY 3</t>
  </si>
  <si>
    <t>RL032.0G1W004WREC</t>
  </si>
  <si>
    <t>32 GL 1X WK W/RECY 4</t>
  </si>
  <si>
    <t>RL032.0GEO001NOREC</t>
  </si>
  <si>
    <t>32 GL EOW NO RECY 1</t>
  </si>
  <si>
    <t>RL032.0GEO001WREC</t>
  </si>
  <si>
    <t>32 GL EOW W/RECY 1</t>
  </si>
  <si>
    <t>SL035.0G1M001NOREC</t>
  </si>
  <si>
    <t>35 GL 1X MO NO RECY 1</t>
  </si>
  <si>
    <t>SL035.0G1M001WREC</t>
  </si>
  <si>
    <t>35 GL 1X MO W/RECY 1</t>
  </si>
  <si>
    <t>SL035.0G1W001NOREC</t>
  </si>
  <si>
    <t>35 GL 1X WK NO RECY 1</t>
  </si>
  <si>
    <t>SL035.0G1W001WREC</t>
  </si>
  <si>
    <t>35 GL 1X WK W/ RECY 1</t>
  </si>
  <si>
    <t>SL035.0GEO001NOREC</t>
  </si>
  <si>
    <t>35 GL EOW NO RECY 1</t>
  </si>
  <si>
    <t>SL035.0GEO001WREC</t>
  </si>
  <si>
    <t>35 GL EOW W/RECY 1</t>
  </si>
  <si>
    <t>SL065.0G1M001</t>
  </si>
  <si>
    <t>65 GL 1X MO 1</t>
  </si>
  <si>
    <t>SL065.0G1M001NOREC</t>
  </si>
  <si>
    <t>65 GL 1X MO NO RECY 1</t>
  </si>
  <si>
    <t>SL065.0G1M002NOREC</t>
  </si>
  <si>
    <t>65 GL 1X MO NO RECY 2</t>
  </si>
  <si>
    <t>SL065.0G1M001WREC</t>
  </si>
  <si>
    <t>65 GL 1X MO W/RECY 1</t>
  </si>
  <si>
    <t>SL065.0G1M002WREC</t>
  </si>
  <si>
    <t>65 GL 1X MO W/RECY 2</t>
  </si>
  <si>
    <t>SL065.0G1W001</t>
  </si>
  <si>
    <t>65 GL 1X WK 1</t>
  </si>
  <si>
    <t>SL065.0G1W002</t>
  </si>
  <si>
    <t>65 GL 1X WK 2</t>
  </si>
  <si>
    <t>SL065.0G1W001NOREC</t>
  </si>
  <si>
    <t>65 GL 1X WK NO RECY 1</t>
  </si>
  <si>
    <t>SL065.0G1W001WREC</t>
  </si>
  <si>
    <t>65 GL 1X WK W/RECY 1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</si>
  <si>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</si>
  <si>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</si>
  <si>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</si>
  <si>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</si>
  <si>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</si>
  <si>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</si>
  <si>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SL065.0GEO002NOREC</t>
  </si>
  <si>
    <t>65 GL EOW NO RECY 2</t>
  </si>
  <si>
    <t>SL065.0GEO003NOREC</t>
  </si>
  <si>
    <t>65 GL EOW NO RECY 3</t>
  </si>
  <si>
    <t>SL065.0GEO001WREC</t>
  </si>
  <si>
    <t>65 GL EOW W/RECY 1</t>
  </si>
  <si>
    <t>SL065.0GEO002WREC</t>
  </si>
  <si>
    <t>65 GL EOW W/RECY 2</t>
  </si>
  <si>
    <t>SL095.0G1M001</t>
  </si>
  <si>
    <t>95 GL 1X MO 1</t>
  </si>
  <si>
    <t>SL095.0G1M001NOREC</t>
  </si>
  <si>
    <t>95 GL 1X MO NO RECY 1</t>
  </si>
  <si>
    <t>SL095.0G1M0001WRECSPCL</t>
  </si>
  <si>
    <t>95 GL 1X MO S/D W/RECY 1</t>
  </si>
  <si>
    <t>SL095.0G1M001WREC</t>
  </si>
  <si>
    <t>95 GL 1X MO W/RECY 1</t>
  </si>
  <si>
    <t>SL095.0G1M002WREC</t>
  </si>
  <si>
    <t>95 GL 1X MO W/RECY 2</t>
  </si>
  <si>
    <t>SL095.0G1W001</t>
  </si>
  <si>
    <t>95 GL 1X WK 1</t>
  </si>
  <si>
    <t>SL095.0G1W001NOREC</t>
  </si>
  <si>
    <t>95 GL 1X WK NO RECY 1</t>
  </si>
  <si>
    <t>SL095.0G1W002NOREC</t>
  </si>
  <si>
    <t>95 GL 1X WK NO RECY 2</t>
  </si>
  <si>
    <t>SL095.0G1W001WREC</t>
  </si>
  <si>
    <t>95 GL 1X WK W/RECY 1</t>
  </si>
  <si>
    <t>SL095.0G1W002WREC</t>
  </si>
  <si>
    <t>95 GL 1X WK W/RECY 2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</si>
  <si>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</si>
  <si>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</si>
  <si>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</si>
  <si>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</si>
  <si>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</si>
  <si>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</si>
  <si>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SL095.0GEO002WREC</t>
  </si>
  <si>
    <t>95 GL EOW W/RECY 12</t>
  </si>
  <si>
    <t>ACCESSEOW-RES</t>
  </si>
  <si>
    <t>ACCESS EOW - RES</t>
  </si>
  <si>
    <t>ACCESS-RES</t>
  </si>
  <si>
    <t>ACCESS FEE - RES</t>
  </si>
  <si>
    <t>ACCESSMTH-RES</t>
  </si>
  <si>
    <t>ACCESS FEE MONTHLY - RES</t>
  </si>
  <si>
    <t>ADJ-RES</t>
  </si>
  <si>
    <t>ADJUSTMENT SERVICE - RES</t>
  </si>
  <si>
    <t>APPLIANCER</t>
  </si>
  <si>
    <t>APPLIANCE REMOVAL - RES</t>
  </si>
  <si>
    <t>BULKY-RES</t>
  </si>
  <si>
    <t>BULKY ITEM PICK UP - RES</t>
  </si>
  <si>
    <t>CITYFEE-RES</t>
  </si>
  <si>
    <t>CITY FEE - RES</t>
  </si>
  <si>
    <t>CLEAN-RES</t>
  </si>
  <si>
    <t>CONTAINER CLEANING FEE</t>
  </si>
  <si>
    <t>UNRETURN-RES</t>
  </si>
  <si>
    <t xml:space="preserve">CONTAINER UNRETURNED FEE </t>
  </si>
  <si>
    <t>DISP-RES</t>
  </si>
  <si>
    <t>DISPOSAL FEE -RES</t>
  </si>
  <si>
    <t>DONATIONRES</t>
  </si>
  <si>
    <t>DONATED SERVICE RESIDENTIAL</t>
  </si>
  <si>
    <t>DRIVEINEOW-RES</t>
  </si>
  <si>
    <t>DRIVE IN EOW - RES</t>
  </si>
  <si>
    <t>DRIVEIN-RES</t>
  </si>
  <si>
    <t>DRIVE IN SERVICE - RES</t>
  </si>
  <si>
    <t>EMPLOYEER</t>
  </si>
  <si>
    <t>EMPLOYEE SERVICE RES</t>
  </si>
  <si>
    <t>EXTRA-RES</t>
  </si>
  <si>
    <t>EXTRA CAN, BAG, BOX - RES</t>
  </si>
  <si>
    <t>EXTRAYDG-RES</t>
  </si>
  <si>
    <t>EXTRA YARDAGE - RES</t>
  </si>
  <si>
    <t>GFUEL-ACCT ADJ</t>
  </si>
  <si>
    <t>FUEL &amp; MATERIAL SURCHARGE</t>
  </si>
  <si>
    <t>GFUEL-RES</t>
  </si>
  <si>
    <t>GOOD-RES</t>
  </si>
  <si>
    <t>GOODWILL CREDIT - RES</t>
  </si>
  <si>
    <t>LOOSE-RES</t>
  </si>
  <si>
    <t>LOOSE MATERIAL - RES</t>
  </si>
  <si>
    <t>OC-RES</t>
  </si>
  <si>
    <t>ON CALL SERVICE - RES</t>
  </si>
  <si>
    <t>OW-RES</t>
  </si>
  <si>
    <t>OVERFILL / OVERWEIGHT CAN</t>
  </si>
  <si>
    <t>OS-RES</t>
  </si>
  <si>
    <t>OVERSIZE CAN - RES</t>
  </si>
  <si>
    <t>REDEL-RES</t>
  </si>
  <si>
    <t>REDELIVER FEE - RES</t>
  </si>
  <si>
    <t>REINSTATE-RES</t>
  </si>
  <si>
    <t>REINSTATE FEE - RES</t>
  </si>
  <si>
    <t>RTRNCART65-RES</t>
  </si>
  <si>
    <t>RETURN TRIP 65 GL - RES</t>
  </si>
  <si>
    <t>RTRNCART95-RES</t>
  </si>
  <si>
    <t>RETURN TRIP 95 GL - RES</t>
  </si>
  <si>
    <t>RTRNTRIP-RES</t>
  </si>
  <si>
    <t>RETURN TRIP FEE - RES</t>
  </si>
  <si>
    <t>RTRNCART-RES</t>
  </si>
  <si>
    <t>RETURN TRIP FEE CART - RE</t>
  </si>
  <si>
    <t>ROLL1PTRES</t>
  </si>
  <si>
    <t>ROLL OUT PART TIME RES</t>
  </si>
  <si>
    <t>SPCL32-RES</t>
  </si>
  <si>
    <t>SPECIAL 32 GL - RES</t>
  </si>
  <si>
    <t>SPCL95-RES</t>
  </si>
  <si>
    <t>SPECIAL 95 GL - RES</t>
  </si>
  <si>
    <t>SP32-RES</t>
  </si>
  <si>
    <t>SPECIAL PICK UP 32 GL - RES</t>
  </si>
  <si>
    <t>SP65-RES</t>
  </si>
  <si>
    <t>SPECIAL PICK UP 65 GL - R</t>
  </si>
  <si>
    <t>SP95-RES</t>
  </si>
  <si>
    <t>SPECIAL PICK UP 95 GL - R</t>
  </si>
  <si>
    <t>SP35-RES</t>
  </si>
  <si>
    <t>SPECIAL PICKUP 35 GL - RES</t>
  </si>
  <si>
    <t>TIME-RES</t>
  </si>
  <si>
    <t>TIME FEE 1 - RES</t>
  </si>
  <si>
    <t>TIMENP-RES</t>
  </si>
  <si>
    <t>TIRELG-RES</t>
  </si>
  <si>
    <t>TIRE FEE LARGE - RES</t>
  </si>
  <si>
    <t>TIRESM-RES</t>
  </si>
  <si>
    <t>TIRE FEE SMALL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</si>
  <si>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</si>
  <si>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</si>
  <si>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</si>
  <si>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</si>
  <si>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</si>
  <si>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</si>
  <si>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</si>
  <si>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</si>
  <si>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WI1EOW-RES</t>
  </si>
  <si>
    <t>WALK IN 6-25' EOW - RES</t>
  </si>
  <si>
    <t>WI1MTH-RES</t>
  </si>
  <si>
    <t>WALK IN 6-25' MTH - RES</t>
  </si>
  <si>
    <t>WI4-RES</t>
  </si>
  <si>
    <t>WALK IN 76-100' - RES</t>
  </si>
  <si>
    <t>Total Carts</t>
  </si>
  <si>
    <t>Total Cans</t>
  </si>
  <si>
    <t>RECBINONLYR</t>
  </si>
  <si>
    <t>RECPROGADJ-RES</t>
  </si>
  <si>
    <t>RECYCLING PROGRAM ADJUSTM</t>
  </si>
  <si>
    <t>95R</t>
  </si>
  <si>
    <t>FL001.0Y1W001</t>
  </si>
  <si>
    <t>1 YD 1X WK 1</t>
  </si>
  <si>
    <t>RL001.0Y1W001</t>
  </si>
  <si>
    <t>FL001.0Y2W001</t>
  </si>
  <si>
    <t>1 YD 2X WK 1</t>
  </si>
  <si>
    <t>RL001.0Y2W001</t>
  </si>
  <si>
    <t>FL001.0YEO001</t>
  </si>
  <si>
    <t>1 YD EOW 1</t>
  </si>
  <si>
    <t>RL001.0YEO001</t>
  </si>
  <si>
    <t>RL001.0YXX001TEMPC</t>
  </si>
  <si>
    <t>1 YD TEMP</t>
  </si>
  <si>
    <t>RL001.5Y1M001</t>
  </si>
  <si>
    <t>1.5 YD 1X MO 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</si>
  <si>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</si>
  <si>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</si>
  <si>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</si>
  <si>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</si>
  <si>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</si>
  <si>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</si>
  <si>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</si>
  <si>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</si>
  <si>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</si>
  <si>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RL001.5YXX001TEMPC</t>
  </si>
  <si>
    <t>1.5 YD TEMP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</si>
  <si>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</si>
  <si>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</si>
  <si>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</si>
  <si>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</si>
  <si>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</si>
  <si>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</si>
  <si>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</si>
  <si>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</si>
  <si>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</si>
  <si>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RL002.0YXX001TEMPC</t>
  </si>
  <si>
    <t>2 YD TEMP</t>
  </si>
  <si>
    <t>FL002.0YXX001TEMPC</t>
  </si>
  <si>
    <t xml:space="preserve">2 YD TEMP </t>
  </si>
  <si>
    <t>FL003.0Y1W001</t>
  </si>
  <si>
    <t>3 YD 1X WK 1</t>
  </si>
  <si>
    <t>FL003.0Y2W001</t>
  </si>
  <si>
    <t>3 YD 2X WK 1</t>
  </si>
  <si>
    <t>FL003.0YEO001</t>
  </si>
  <si>
    <t>3 YD EOW 1</t>
  </si>
  <si>
    <t>FL003.0YXX001TEMPC</t>
  </si>
  <si>
    <t xml:space="preserve">3 YD TEMP </t>
  </si>
  <si>
    <t>RL032.0G1W001COMM</t>
  </si>
  <si>
    <t>32 GL 1X WK COMM 1</t>
  </si>
  <si>
    <t>RL032.0G1W002COMM</t>
  </si>
  <si>
    <t>32 GL 1X WK COMM 2</t>
  </si>
  <si>
    <t>RL032.0G1W003COMM</t>
  </si>
  <si>
    <t>32 GL 1X WK COMM 3</t>
  </si>
  <si>
    <t>RL032.0G1W004COMM</t>
  </si>
  <si>
    <t>32 GL 1X WK COMM 4</t>
  </si>
  <si>
    <t>RL032.0G1W001NORECC</t>
  </si>
  <si>
    <t xml:space="preserve">32 GL 1X WK NO RECY COMM </t>
  </si>
  <si>
    <t>RL032.0G1W001WRECC</t>
  </si>
  <si>
    <t>32 GL 1X WK W/RECY COMM 1</t>
  </si>
  <si>
    <t>RL032.0G1W002WRECC</t>
  </si>
  <si>
    <t>32 GL 1X WK W/RECY COMM 2</t>
  </si>
  <si>
    <t>RL032.0G1W003WRECC</t>
  </si>
  <si>
    <t>32 GL 1X WK W/RECY COMM 3</t>
  </si>
  <si>
    <t>RL032.0G1W006WRECC</t>
  </si>
  <si>
    <t>32 GL 1X WK W/RECY COMM 6</t>
  </si>
  <si>
    <t>RL032.0G1W009WRECC</t>
  </si>
  <si>
    <t>32 GL 1X WK W/RECY COMM 9</t>
  </si>
  <si>
    <t>FL004.0Y1W001</t>
  </si>
  <si>
    <t>4 YD 1X WK 1</t>
  </si>
  <si>
    <t>FL004.0Y2W001</t>
  </si>
  <si>
    <t>4 YD 2X WK 1</t>
  </si>
  <si>
    <t>FL004.0YEO001</t>
  </si>
  <si>
    <t>4 YD EOW 1</t>
  </si>
  <si>
    <t>RL004.0YXX001TEMPC</t>
  </si>
  <si>
    <t>4 YD TEMP</t>
  </si>
  <si>
    <t>FL004.0YXX001TEMPC</t>
  </si>
  <si>
    <t>4 YD TEMP 1</t>
  </si>
  <si>
    <t>FL006.0Y1W001</t>
  </si>
  <si>
    <t>6 YD 1X WK 1</t>
  </si>
  <si>
    <t>FL006.0Y2W001</t>
  </si>
  <si>
    <t>6 YD 2X WK 1</t>
  </si>
  <si>
    <t>FL006.0YEO001</t>
  </si>
  <si>
    <t>6 YD EOW 1</t>
  </si>
  <si>
    <t>FL006.0YXX001TEMPC</t>
  </si>
  <si>
    <t>6 YD TEMP 1</t>
  </si>
  <si>
    <t>SL065.0G1W001COMM</t>
  </si>
  <si>
    <t>65 GL 1X WK COMM 1</t>
  </si>
  <si>
    <t>SL065.0G1W001NORECC</t>
  </si>
  <si>
    <t xml:space="preserve">65 GL 1X WK NO RECY COMM </t>
  </si>
  <si>
    <t>SL065.0G1W001WRECC</t>
  </si>
  <si>
    <t>65 GL 1X WK W/RECY COMM 1</t>
  </si>
  <si>
    <t>SL065.0G1W002WRECC</t>
  </si>
  <si>
    <t>65 GL 1X WK W/RECY COMM 2</t>
  </si>
  <si>
    <t>SL065.0G1W003COMM</t>
  </si>
  <si>
    <t>65 GL 1X WK W/RECY COMM 3</t>
  </si>
  <si>
    <t>SL065.0GEO001COMM</t>
  </si>
  <si>
    <t>65 GL EOW COMM 1</t>
  </si>
  <si>
    <t>SL065.0GEO002NORECC</t>
  </si>
  <si>
    <t>65 GL EOW NO REC COMM 2</t>
  </si>
  <si>
    <t>SL065.0GEO001NORECC</t>
  </si>
  <si>
    <t>65 GL EOW NO RECY COMM 1</t>
  </si>
  <si>
    <t>SL065.0GEO001WRECC</t>
  </si>
  <si>
    <t>65 GL EOW W/RECY COMM 1</t>
  </si>
  <si>
    <t>FL008.0Y1W001</t>
  </si>
  <si>
    <t>8 YD 1X WK 1</t>
  </si>
  <si>
    <t>FL008.0Y2W001</t>
  </si>
  <si>
    <t>FL008.0YEO001</t>
  </si>
  <si>
    <t>8 YD EOW 1</t>
  </si>
  <si>
    <t>SL095.0G1W001COMM</t>
  </si>
  <si>
    <t>95 GL 1X WK COMM 1</t>
  </si>
  <si>
    <t>SL095.0G1W002COMM</t>
  </si>
  <si>
    <t>95 GL 1X WK COMM 2</t>
  </si>
  <si>
    <t>SL095.0G1W001NORECC</t>
  </si>
  <si>
    <t xml:space="preserve">95 GL 1X WK NO RECY COMM </t>
  </si>
  <si>
    <t>SL095.0G1W001WRECC</t>
  </si>
  <si>
    <t>95 GL 1X WK W/RECY COMM 1</t>
  </si>
  <si>
    <t>SL095.0G1W002WRECC</t>
  </si>
  <si>
    <t>95 GL 1X WK W/RECY COMM 2</t>
  </si>
  <si>
    <t>SL095.0G2W001WRECC</t>
  </si>
  <si>
    <t>95 GL 2X WK W/RECY COMM 1</t>
  </si>
  <si>
    <t>SL095.0GEO001COMM</t>
  </si>
  <si>
    <t>95 GL EOW COMM 1</t>
  </si>
  <si>
    <t>SL095.0GEO001NORECC</t>
  </si>
  <si>
    <t>95 GL EOW NO RECY COMM 1</t>
  </si>
  <si>
    <t>SL095.0GEO001WRECC</t>
  </si>
  <si>
    <t>95 GL EOW W/RECY COMM 1</t>
  </si>
  <si>
    <t>ACCESS-COMM</t>
  </si>
  <si>
    <t>ACCESS FEE - COMM</t>
  </si>
  <si>
    <t>ACCESS2W-COMM</t>
  </si>
  <si>
    <t>ACCESS FEE 2X WK - COMM</t>
  </si>
  <si>
    <t>ACCESSEOW-COMM</t>
  </si>
  <si>
    <t>ACCESS FEE EOW - COMM</t>
  </si>
  <si>
    <t>ADJ-COMM</t>
  </si>
  <si>
    <t>ADJUSTMENT SERVICE - COMM</t>
  </si>
  <si>
    <t>APPLIANCEC</t>
  </si>
  <si>
    <t>APPLIANCE REMOVAL - COMM</t>
  </si>
  <si>
    <t>CANCOUNT-COMM</t>
  </si>
  <si>
    <t>CAN COUNT - COMM</t>
  </si>
  <si>
    <t>CLEAN1.5-COMM</t>
  </si>
  <si>
    <t>CLEANING FEE 1.5 YD - COM</t>
  </si>
  <si>
    <t>CLEAN2-COMM</t>
  </si>
  <si>
    <t>CLEANING FEE 2 YD - COMM</t>
  </si>
  <si>
    <t>UNRETURN-COMM</t>
  </si>
  <si>
    <t>CONTRACTEDC</t>
  </si>
  <si>
    <t>CONTRACTED SERVICE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</si>
  <si>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</si>
  <si>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</si>
  <si>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</si>
  <si>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</si>
  <si>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</si>
  <si>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</si>
  <si>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</si>
  <si>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</si>
  <si>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</si>
  <si>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</si>
  <si>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DEL6TEMP-COMM</t>
  </si>
  <si>
    <t xml:space="preserve">DELIVERY FEE 6 YD TEMP - </t>
  </si>
  <si>
    <t>DISP-COMM</t>
  </si>
  <si>
    <t>DISPOSAL FEE - COMM</t>
  </si>
  <si>
    <t>DIST1CAN-COMM</t>
  </si>
  <si>
    <t>DISTRIBUTED 1 CAN - COMM</t>
  </si>
  <si>
    <t>DONATIONC</t>
  </si>
  <si>
    <t>DONATED SERVICE COMM</t>
  </si>
  <si>
    <t>DRIVEINEOW-COMM</t>
  </si>
  <si>
    <t>DRIVE IN EOW - COMM</t>
  </si>
  <si>
    <t>DRIVEIN-COMM</t>
  </si>
  <si>
    <t>DRIVE IN SERVICE - COMM</t>
  </si>
  <si>
    <t>EXTRA-COMM</t>
  </si>
  <si>
    <t>EXTRA CAN, BAG, BOX - COM</t>
  </si>
  <si>
    <t>EXTRAYDG-COM</t>
  </si>
  <si>
    <t>EXTRA YARDAGE - COMM</t>
  </si>
  <si>
    <t>GFUEL-COM</t>
  </si>
  <si>
    <t>GOOD-COMM</t>
  </si>
  <si>
    <t>GOODWILL CREDIT - COMM</t>
  </si>
  <si>
    <t>LCKC</t>
  </si>
  <si>
    <t>LOCK CHARGE - COMM</t>
  </si>
  <si>
    <t>LCKCEOW</t>
  </si>
  <si>
    <t>LOCK CHARGE EOW - COMM</t>
  </si>
  <si>
    <t>OC-COMM</t>
  </si>
  <si>
    <t>ON CALL SERVICE - COMM</t>
  </si>
  <si>
    <t>OS-COMM</t>
  </si>
  <si>
    <t>OVERSIZE CAN - COMM</t>
  </si>
  <si>
    <t>REDEL-COMM</t>
  </si>
  <si>
    <t>REDELIVER FEE LVL 1 - COM</t>
  </si>
  <si>
    <t>REINSTATE-COMM</t>
  </si>
  <si>
    <t>REINSTATE FEE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</si>
  <si>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</si>
  <si>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</si>
  <si>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</si>
  <si>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</si>
  <si>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</si>
  <si>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</si>
  <si>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</si>
  <si>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</si>
  <si>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</si>
  <si>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</si>
  <si>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</si>
  <si>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</si>
  <si>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RTRNTRIP1-COMM</t>
  </si>
  <si>
    <t>RETURN TRIP 1 YD - COMM</t>
  </si>
  <si>
    <t>RTRNTRIP1.5-COMM</t>
  </si>
  <si>
    <t>RETURN TRIP 1.5 YD - COMM</t>
  </si>
  <si>
    <t>RTRNTRIP2-COMM</t>
  </si>
  <si>
    <t>RETURN TRIP 2 YD - COMM</t>
  </si>
  <si>
    <t>RTRNCART65-COMM</t>
  </si>
  <si>
    <t>RETURN TRIP 65 GL - COMM</t>
  </si>
  <si>
    <t>RTRNTRIP-COMM</t>
  </si>
  <si>
    <t>RETURN TRIP FEE - COMM</t>
  </si>
  <si>
    <t>ROLL-COMM</t>
  </si>
  <si>
    <t>ROLL OUT CHARGE - COMM</t>
  </si>
  <si>
    <t>SPCL65-COMM</t>
  </si>
  <si>
    <t>SPECIAL 65 GL - COMM</t>
  </si>
  <si>
    <t>SP-COMM</t>
  </si>
  <si>
    <t>SPECIAL HAUL - COMM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</si>
  <si>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</si>
  <si>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</si>
  <si>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</si>
  <si>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</si>
  <si>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</si>
  <si>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</si>
  <si>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</si>
  <si>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</si>
  <si>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</si>
  <si>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</si>
  <si>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</si>
  <si>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</si>
  <si>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SP8-COMM</t>
  </si>
  <si>
    <t>SPECIAL PICKUP 8 YD - COMM</t>
  </si>
  <si>
    <t>SPCL95-COMM</t>
  </si>
  <si>
    <t>SPECIAL PICKUP 96GAL - COMM</t>
  </si>
  <si>
    <t>TIME-COMM</t>
  </si>
  <si>
    <t>TIME FEE 1 - COMM</t>
  </si>
  <si>
    <t>TIRE-COMM</t>
  </si>
  <si>
    <t>TIRE FEE - COMM</t>
  </si>
  <si>
    <t>TIRESM-COMM</t>
  </si>
  <si>
    <t>TIRE FEE SMALL - COMM</t>
  </si>
  <si>
    <t>WI1-COMM</t>
  </si>
  <si>
    <t>WALK IN 6-25' - COMM</t>
  </si>
  <si>
    <t>Total Containers</t>
  </si>
  <si>
    <t>HAUL10-RO</t>
  </si>
  <si>
    <t>HAUL 10 YD - RO</t>
  </si>
  <si>
    <t>HAUL10CUST-RO</t>
  </si>
  <si>
    <t>HAUL 10 YD CUST - RO</t>
  </si>
  <si>
    <t>HAUL20-RO</t>
  </si>
  <si>
    <t>HAUL 20 YD - RO</t>
  </si>
  <si>
    <t>HAUL20CUST-RO</t>
  </si>
  <si>
    <t>HAUL 20 YD CUST - RO</t>
  </si>
  <si>
    <t>HAUL20TEMP-RO</t>
  </si>
  <si>
    <t>HAUL 20 YD TEMP - RO</t>
  </si>
  <si>
    <t>HAUL30-RO</t>
  </si>
  <si>
    <t>HAUL 30 YD - RO</t>
  </si>
  <si>
    <t>HAUL30CUST-RO</t>
  </si>
  <si>
    <t>HAUL 30 YD CUST - RO</t>
  </si>
  <si>
    <t>HAUL30GLS-RO</t>
  </si>
  <si>
    <t>HAUL 30 YD GLASS - RO</t>
  </si>
  <si>
    <t>HAUL30SPCL-RO</t>
  </si>
  <si>
    <t>HAUL 30 YD SPECIAL - RO</t>
  </si>
  <si>
    <t>HAUL30TEMP-RO</t>
  </si>
  <si>
    <t>HAUL 30 YD TEMP - RO</t>
  </si>
  <si>
    <t>HAUL40-RO</t>
  </si>
  <si>
    <t>HAUL 40 YD - RO</t>
  </si>
  <si>
    <t>HAUL40TEMP-RO</t>
  </si>
  <si>
    <t>HAUL 40 YD TEMP - RO</t>
  </si>
  <si>
    <t>ADJ-RO</t>
  </si>
  <si>
    <t>ADJUSTMENT SERVICE - RO</t>
  </si>
  <si>
    <t>CLEAN-RO</t>
  </si>
  <si>
    <t>CLEANING FEE - RO</t>
  </si>
  <si>
    <t>CLEAN20-RO</t>
  </si>
  <si>
    <t>CLEANING FEE 20 YD - RO</t>
  </si>
  <si>
    <t>HAUL20-CP</t>
  </si>
  <si>
    <t>COMPACTOR HAUL 20 YD - RO</t>
  </si>
  <si>
    <t>HAUL24-CP</t>
  </si>
  <si>
    <t>COMPACTOR HAUL 24 YD - RO</t>
  </si>
  <si>
    <t>HAUL30-CP</t>
  </si>
  <si>
    <t>COMPACTOR HAUL 30 YD</t>
  </si>
  <si>
    <t>HAUL40-CP</t>
  </si>
  <si>
    <t>COMPACTOR HAUL 40 YD</t>
  </si>
  <si>
    <t>DEL-RO</t>
  </si>
  <si>
    <t>DELIVERY FEE - RO</t>
  </si>
  <si>
    <t>DEL15TEMP-RO</t>
  </si>
  <si>
    <t>DELIVERY FEE 15 YD TEMP -</t>
  </si>
  <si>
    <t>DEL20-RO</t>
  </si>
  <si>
    <t>DELIVERY FEE 20 YD - RO</t>
  </si>
  <si>
    <t>DEL20TEMP-RO</t>
  </si>
  <si>
    <t>DELIVERY FEE 20 YD TEMP -</t>
  </si>
  <si>
    <t>DEL30-RO</t>
  </si>
  <si>
    <t>DELIVERY FEE 30 YD - RO</t>
  </si>
  <si>
    <t>DEL30TEMP-RO</t>
  </si>
  <si>
    <t>DELIVERY FEE 30 YD TEMP -</t>
  </si>
  <si>
    <t>DEL40-RO</t>
  </si>
  <si>
    <t>DELIVERY FEE 40 YD - RO</t>
  </si>
  <si>
    <t>DEL40TEMP-RO</t>
  </si>
  <si>
    <t>DELIVERY FEE 40 YD TEMP -</t>
  </si>
  <si>
    <t>DONATIONRO</t>
  </si>
  <si>
    <t>DONATED SERVICE ROLL OFF</t>
  </si>
  <si>
    <t>FINAL20-RO</t>
  </si>
  <si>
    <t>FINAL PULL 20 YD - RO</t>
  </si>
  <si>
    <t>FINAL20TEMP-RO</t>
  </si>
  <si>
    <t>FINAL PULL 20 YD TEMP - R</t>
  </si>
  <si>
    <t>FINAL30-RO</t>
  </si>
  <si>
    <t>FINAL PULL 30 YD - RO</t>
  </si>
  <si>
    <t>FINAL30TEMP-RO</t>
  </si>
  <si>
    <t>FINAL PULL 30 YD TEMP - R</t>
  </si>
  <si>
    <t>FINAL40-RO</t>
  </si>
  <si>
    <t>FINAL PULL 40 YD - RO</t>
  </si>
  <si>
    <t>FINAL40TEMP-RO</t>
  </si>
  <si>
    <t>FINAL PULL 40 YD TEMP - R</t>
  </si>
  <si>
    <t>GFUEL-RO</t>
  </si>
  <si>
    <t>LABOR-RO</t>
  </si>
  <si>
    <t>LABOR CHARGE - RO</t>
  </si>
  <si>
    <t>LIDRO</t>
  </si>
  <si>
    <t>LID CHARGE - RO</t>
  </si>
  <si>
    <t>LOCK-RO</t>
  </si>
  <si>
    <t>LOCK CHARGE - RO</t>
  </si>
  <si>
    <t>MILE-RO</t>
  </si>
  <si>
    <t>MILEAGE FEE - RO</t>
  </si>
  <si>
    <t>RENT20MO-RO</t>
  </si>
  <si>
    <t>RENTAL FEE 20 YD MONTHLY</t>
  </si>
  <si>
    <t>RENT20TEMP-RO</t>
  </si>
  <si>
    <t>RENTAL FEE 20 YD TEMP - R</t>
  </si>
  <si>
    <t>RENT30MO-RO</t>
  </si>
  <si>
    <t>RENTAL FEE 30 YD MONTHLY</t>
  </si>
  <si>
    <t>RENT30TEMP-RO</t>
  </si>
  <si>
    <t>RENTAL FEE 30 YD TEMP - R</t>
  </si>
  <si>
    <t>RENT40MO-RO</t>
  </si>
  <si>
    <t>RENTAL FEE 40 YD MONTHLY</t>
  </si>
  <si>
    <t>RENT40TEMP-RO</t>
  </si>
  <si>
    <t>RENTAL FEE 40 YD TEMP - R</t>
  </si>
  <si>
    <t>RENTMO-CP</t>
  </si>
  <si>
    <t>RENTAL FEE MONTHLY - COMP</t>
  </si>
  <si>
    <t>Compactor</t>
  </si>
  <si>
    <t>TIME-RO</t>
  </si>
  <si>
    <t>TIME FEE - RO</t>
  </si>
  <si>
    <t>TIRE-RO</t>
  </si>
  <si>
    <t>TIRE FEE - RO</t>
  </si>
  <si>
    <t>TIRELG-RO</t>
  </si>
  <si>
    <t>TIRE FEE LARGE - RO</t>
  </si>
  <si>
    <t>TIRESM-RO</t>
  </si>
  <si>
    <t>TIRE FEE SMALL - RO</t>
  </si>
  <si>
    <t>Total RO</t>
  </si>
  <si>
    <t>DISP-RO</t>
  </si>
  <si>
    <t>DISPOSAL CHARGE - RO</t>
  </si>
  <si>
    <t>DISPPULP-RO</t>
  </si>
  <si>
    <t>DISPPLSTC-RO</t>
  </si>
  <si>
    <t>DISPMETAL-RO</t>
  </si>
  <si>
    <t>DISPOSAL FEE METAL - RO</t>
  </si>
  <si>
    <t>DISPCONCRETE-RO</t>
  </si>
  <si>
    <t>DISPOSAL FEE CONCRETE - R</t>
  </si>
  <si>
    <t>DISPITEM-RO</t>
  </si>
  <si>
    <t>DISPOSAL FEE ITEM - RO</t>
  </si>
  <si>
    <t>Service Charges</t>
  </si>
  <si>
    <t>FINANCE CHARGE</t>
  </si>
  <si>
    <t>C19-ADJFIN</t>
  </si>
  <si>
    <t>FINANCE CHARGE ADJUSTMENT</t>
  </si>
  <si>
    <t>ADJ-FIN</t>
  </si>
  <si>
    <t>ADJUSTMENT FINANCE CHARGE</t>
  </si>
  <si>
    <t>COLLFEE</t>
  </si>
  <si>
    <t>COLLECTION AGENCY FEE</t>
  </si>
  <si>
    <t>RETCKC</t>
  </si>
  <si>
    <t>RETURN CHECK CHARGE</t>
  </si>
  <si>
    <t>COLLINT</t>
  </si>
  <si>
    <t>COLLECTION INTEREST</t>
  </si>
  <si>
    <t>TOTAL REVENUE</t>
  </si>
  <si>
    <t>TOTAL</t>
  </si>
  <si>
    <t>Increase Per LG</t>
  </si>
  <si>
    <t>Per Price Out</t>
  </si>
  <si>
    <t>Difference</t>
  </si>
  <si>
    <t>TAKEN FROM MOST RECENT FILING - TG 210449</t>
  </si>
  <si>
    <t>32 Gal</t>
  </si>
  <si>
    <t>EOW</t>
  </si>
  <si>
    <t>8 yard</t>
  </si>
  <si>
    <t>1.5 YD</t>
  </si>
  <si>
    <t>8 YD</t>
  </si>
  <si>
    <t>Item 100, pg 20</t>
  </si>
  <si>
    <t>Item 245, pg 30</t>
  </si>
  <si>
    <t>Item 240, pg. 29</t>
  </si>
  <si>
    <t>Mini Can</t>
  </si>
  <si>
    <t>MG-NR</t>
  </si>
  <si>
    <t>WG-NR</t>
  </si>
  <si>
    <t>EOW-NR</t>
  </si>
  <si>
    <t>32 Gal Can -1</t>
  </si>
  <si>
    <t>32 Gal Can -2</t>
  </si>
  <si>
    <t>32 Gal Can -3</t>
  </si>
  <si>
    <t>32 Gal Can -4</t>
  </si>
  <si>
    <t>35 Gal Cart</t>
  </si>
  <si>
    <t>65 Gal Cart</t>
  </si>
  <si>
    <t>95 Gal Cart</t>
  </si>
  <si>
    <t>Item 150, pg 22</t>
  </si>
  <si>
    <t>Item 230, pg. 28</t>
  </si>
  <si>
    <t>Item 100, pg 21</t>
  </si>
  <si>
    <t>Item 55, pg 100</t>
  </si>
  <si>
    <t>Residential</t>
  </si>
  <si>
    <t>First Pickup</t>
  </si>
  <si>
    <t>Additional Pickup</t>
  </si>
  <si>
    <t>95 Gal Toter</t>
  </si>
  <si>
    <t>32 Gal Can or Unit</t>
  </si>
  <si>
    <t>65 Gal Toter</t>
  </si>
  <si>
    <t>First or Additonal Pickup (For Comm)</t>
  </si>
  <si>
    <t>Special</t>
  </si>
  <si>
    <t>Permanent</t>
  </si>
  <si>
    <t>Effective 1/1/2022</t>
  </si>
  <si>
    <t>Harbor Disposal and Eastern Grays Harbor Disposal</t>
  </si>
  <si>
    <t>RO</t>
  </si>
  <si>
    <t>Cust Counts for TL - Rounded</t>
  </si>
  <si>
    <t>TG-210449</t>
  </si>
  <si>
    <t>*Only South Bend tons go to RH TS</t>
  </si>
  <si>
    <t>Royal Heights TS</t>
  </si>
  <si>
    <t>Grays Harbor TS</t>
  </si>
  <si>
    <t>Tip Fee</t>
  </si>
  <si>
    <t xml:space="preserve">Non-regulated tons exclude South Bend since that disposal is coded to 40101.  </t>
  </si>
  <si>
    <t>A</t>
  </si>
  <si>
    <t>Non- Regulated</t>
  </si>
  <si>
    <t>Regulated</t>
  </si>
  <si>
    <t>Packer Tons</t>
  </si>
  <si>
    <t>%</t>
  </si>
  <si>
    <t>COMM</t>
  </si>
  <si>
    <t>RESI</t>
  </si>
  <si>
    <t>MAR</t>
  </si>
  <si>
    <t>FEB</t>
  </si>
  <si>
    <t>Jan</t>
  </si>
  <si>
    <t>Dec</t>
  </si>
  <si>
    <t>Nov</t>
  </si>
  <si>
    <t>Oct</t>
  </si>
  <si>
    <t>Sept</t>
  </si>
  <si>
    <t>August</t>
  </si>
  <si>
    <t>July</t>
  </si>
  <si>
    <t>June</t>
  </si>
  <si>
    <t>May</t>
  </si>
  <si>
    <t>Apr</t>
  </si>
  <si>
    <t>GL 40101</t>
  </si>
  <si>
    <t>Comm/Resi/RO Disposal</t>
  </si>
  <si>
    <t>Price/Ton</t>
  </si>
  <si>
    <t>Tons</t>
  </si>
  <si>
    <t>GL 40139</t>
  </si>
  <si>
    <t>PT</t>
  </si>
  <si>
    <t>Comm/Resi Disposal</t>
  </si>
  <si>
    <t>Total Tons</t>
  </si>
  <si>
    <t>WESTPORT</t>
  </si>
  <si>
    <t>SOUTH BEND</t>
  </si>
  <si>
    <t>OCEAN SHORES</t>
  </si>
  <si>
    <t>OAKVILLE</t>
  </si>
  <si>
    <t>MONTESANO</t>
  </si>
  <si>
    <t>MCCLEARY</t>
  </si>
  <si>
    <t>UTC - HARBOR</t>
  </si>
  <si>
    <t>ELMA</t>
  </si>
  <si>
    <t>COSMOPOLIS</t>
  </si>
  <si>
    <t>ABERDEEN</t>
  </si>
  <si>
    <t>South Bend Tons</t>
  </si>
  <si>
    <t>Total Tons (except South Bend)</t>
  </si>
  <si>
    <t>Note from Heather Garland: Customer Counts and Disposal Schedule have been copied from TG-210449.</t>
  </si>
  <si>
    <t>EXTRA</t>
  </si>
  <si>
    <t>APPLIANCE REMOVAL</t>
  </si>
  <si>
    <t>EACH</t>
  </si>
  <si>
    <t>N/A</t>
  </si>
  <si>
    <t>YARD</t>
  </si>
  <si>
    <t>CAN</t>
  </si>
  <si>
    <t>1 YARD</t>
  </si>
  <si>
    <t>SPECIAL</t>
  </si>
  <si>
    <t>Matches the TL amounts from the 2021 Gen rate filing</t>
  </si>
  <si>
    <t>32 Gal Can -5 WG-NR</t>
  </si>
  <si>
    <t>32 Gal Can -5 WG</t>
  </si>
  <si>
    <t xml:space="preserve">Proposed COVID Rate </t>
  </si>
  <si>
    <t>Current Normal Rate</t>
  </si>
  <si>
    <t>Proposed Normal Rate</t>
  </si>
  <si>
    <t>UNIQUE FORMULA</t>
  </si>
  <si>
    <t>Prepaid Bag</t>
  </si>
  <si>
    <t>Temp Pickup</t>
  </si>
  <si>
    <t>8 yard Temp Pickup</t>
  </si>
  <si>
    <t>Bulky Additional Cubic Yards</t>
  </si>
  <si>
    <t>Bulky Minimum Charge Per Pickup</t>
  </si>
  <si>
    <t>Loose Additional Cubic Yards</t>
  </si>
  <si>
    <t>Loose Minimum Charge Per Pickup</t>
  </si>
  <si>
    <t>BULKY</t>
  </si>
  <si>
    <t>1 - 4 Cubic Yards</t>
  </si>
  <si>
    <t>32 Gal Can</t>
  </si>
  <si>
    <t>OVERWEIGHT/OVERFILL</t>
  </si>
  <si>
    <t>ON CALL</t>
  </si>
  <si>
    <t>Montly</t>
  </si>
  <si>
    <t>Check to Mapping Tab</t>
  </si>
  <si>
    <t>Total for check on DF Calc tab</t>
  </si>
  <si>
    <t>Standard Service Code</t>
  </si>
  <si>
    <t>APPLIANCE REMOVAL EXTRA</t>
  </si>
  <si>
    <t>32 Gal Can -4 WG</t>
  </si>
  <si>
    <t>3 yard Temp Pickup</t>
  </si>
  <si>
    <t>4 yard Temp Pickup</t>
  </si>
  <si>
    <t>6 yard Temp Pickup</t>
  </si>
  <si>
    <t>Loose</t>
  </si>
  <si>
    <t>per PU</t>
  </si>
  <si>
    <t>Monthly Minimum</t>
  </si>
  <si>
    <t>Extra</t>
  </si>
  <si>
    <t>x</t>
  </si>
  <si>
    <t>Company Current Tariff - Post COVID Recovery</t>
  </si>
  <si>
    <t>Calcualted Rate - Post COVID Recovery</t>
  </si>
  <si>
    <t>Company Current Tariff  with COVID Recovery</t>
  </si>
  <si>
    <t xml:space="preserve"> Calculated Rate - with COVID Recovery</t>
  </si>
  <si>
    <t>CAN OVERWEIGHT/OVERFILL</t>
  </si>
  <si>
    <t>65 Gal Can Extra</t>
  </si>
  <si>
    <t>95 Gal Can Extra</t>
  </si>
  <si>
    <t>32 Gal Over 5 Units</t>
  </si>
  <si>
    <t>Single Not Grouped</t>
  </si>
  <si>
    <t>32 Gal One Unit</t>
  </si>
  <si>
    <t>65 Gal One Unit</t>
  </si>
  <si>
    <t>95 Gal One Unit</t>
  </si>
  <si>
    <t>32 Gal One Unit - Special Pickup</t>
  </si>
  <si>
    <t>65 Gal One Unit- Special Pickup</t>
  </si>
  <si>
    <t>95 Gal One Unit  - Special Pickup</t>
  </si>
  <si>
    <t>No customers</t>
  </si>
  <si>
    <t>1 YD 1X WK 1 - First PU</t>
  </si>
  <si>
    <t>1 yard Permanent</t>
  </si>
  <si>
    <t>1 YD 1X WK 1 - Addl PU</t>
  </si>
  <si>
    <t>1.5 YD 1X WK 1 - First PU</t>
  </si>
  <si>
    <t>1.5 YD 1X WK 1 - Addl PU</t>
  </si>
  <si>
    <t>1.5 yard Permanent</t>
  </si>
  <si>
    <t>2 YD 1X WK 1 - First PU</t>
  </si>
  <si>
    <t>2 YD 1X WK 1 - Addl PU</t>
  </si>
  <si>
    <t>2 yard Permanent</t>
  </si>
  <si>
    <t>3 yard Permanent</t>
  </si>
  <si>
    <t>3 YD 1X WK 1 - First PU</t>
  </si>
  <si>
    <t>3 YD 1X WK 1 - Addl PU</t>
  </si>
  <si>
    <t>4 YD 1X WK 1 - First PU</t>
  </si>
  <si>
    <t>4 YD 1X WK 1 - Addl PU</t>
  </si>
  <si>
    <t>4 yard Permanent</t>
  </si>
  <si>
    <t>6 YD 1X WK 1 - First PU</t>
  </si>
  <si>
    <t>6 YD 1X WK 1 - Addl PU</t>
  </si>
  <si>
    <t>6 yard Permanent</t>
  </si>
  <si>
    <t>8 YD 1X WK 1 - First PU</t>
  </si>
  <si>
    <t>8 YD 1X WK 1 - Addl PU</t>
  </si>
  <si>
    <t>8 yard Permanent</t>
  </si>
  <si>
    <t>Overweight per pound</t>
  </si>
  <si>
    <t>Unique Formula</t>
  </si>
  <si>
    <t>32 GL 1X WK NO RECY 5</t>
  </si>
  <si>
    <t>32 GL 1X WK W/RECY 5</t>
  </si>
  <si>
    <t>32 Gal First 5 Grouped</t>
  </si>
  <si>
    <t>Car Tire</t>
  </si>
  <si>
    <t>Truck Tire</t>
  </si>
  <si>
    <t>Rims</t>
  </si>
  <si>
    <t>Refridgerators</t>
  </si>
  <si>
    <t>Asbestos</t>
  </si>
  <si>
    <t>COVID RATE</t>
  </si>
  <si>
    <t>NON-COVID RATE</t>
  </si>
  <si>
    <t>Price Out</t>
  </si>
  <si>
    <t>Mapping</t>
  </si>
  <si>
    <t>Annual Cust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</si>
</sst>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  <numFmt numFmtId="180" formatCode="0.0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4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1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4" fontId="0" fillId="0" borderId="0" xfId="2" applyFont="1" applyFill="1" applyBorder="1"/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3" fillId="0" borderId="19" xfId="0" applyFont="1" applyBorder="1"/>
    <xf numFmtId="0" fontId="0" fillId="0" borderId="20" xfId="0" applyFont="1" applyBorder="1"/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10" fontId="0" fillId="0" borderId="0" xfId="0" applyNumberFormat="1" applyFon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0" fillId="6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3" xfId="0" applyFont="1" applyBorder="1"/>
    <xf numFmtId="0" fontId="0" fillId="6" borderId="32" xfId="0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0" applyNumberFormat="1" applyFont="1" applyFill="1"/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6" borderId="366" xfId="0" applyFont="1" applyFill="1" applyBorder="1" applyAlignment="1">
      <alignment horizontal="center" vertical="center"/>
    </xf>
    <xf numFmtId="166" fontId="0" fillId="0" borderId="0" xfId="1" applyNumberFormat="1" applyFont="1" applyFill="1"/>
    <xf numFmtId="43" fontId="3" fillId="0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ont="1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99" fillId="0" borderId="0" xfId="0" applyFont="1"/>
    <xf numFmtId="166" fontId="3" fillId="0" borderId="0" xfId="0" applyNumberFormat="1" applyFont="1" applyFill="1" applyAlignment="1">
      <alignment horizontal="center" vertical="center" wrapText="1"/>
    </xf>
    <xf numFmtId="0" fontId="100" fillId="0" borderId="0" xfId="0" applyFont="1" applyFill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0" fontId="0" fillId="6" borderId="368" xfId="0" applyFont="1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ont="1" applyFill="1" applyBorder="1"/>
    <xf numFmtId="166" fontId="3" fillId="6" borderId="368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0" fontId="11" fillId="0" borderId="0" xfId="296" applyFont="1" applyBorder="1"/>
    <xf numFmtId="3" fontId="3" fillId="6" borderId="368" xfId="0" applyNumberFormat="1" applyFont="1" applyFill="1" applyBorder="1" applyAlignment="1">
      <alignment horizontal="right"/>
    </xf>
    <xf numFmtId="44" fontId="0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70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1" xfId="0" applyFont="1" applyFill="1" applyBorder="1" applyAlignment="1">
      <alignment vertical="center" textRotation="90"/>
    </xf>
    <xf numFmtId="0" fontId="3" fillId="80" borderId="36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7" xfId="0" applyFont="1" applyFill="1" applyBorder="1" applyAlignment="1">
      <alignment horizontal="center" vertical="center" wrapText="1"/>
    </xf>
    <xf numFmtId="43" fontId="98" fillId="2" borderId="367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1" fillId="6" borderId="367" xfId="0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2" fillId="0" borderId="0" xfId="0" applyFont="1" applyBorder="1" applyAlignment="1">
      <alignment horizontal="left"/>
    </xf>
    <xf numFmtId="43" fontId="0" fillId="0" borderId="0" xfId="1" applyNumberFormat="1" applyFont="1" applyBorder="1"/>
    <xf numFmtId="10" fontId="103" fillId="0" borderId="0" xfId="3" applyNumberFormat="1" applyFont="1" applyFill="1" applyBorder="1"/>
    <xf numFmtId="3" fontId="97" fillId="6" borderId="32" xfId="0" applyNumberFormat="1" applyFont="1" applyFill="1" applyBorder="1" applyAlignment="1">
      <alignment horizontal="right"/>
    </xf>
    <xf numFmtId="43" fontId="0" fillId="0" borderId="0" xfId="0" applyNumberFormat="1"/>
    <xf numFmtId="0" fontId="98" fillId="0" borderId="0" xfId="0" applyFont="1" applyFill="1"/>
    <xf numFmtId="0" fontId="104" fillId="0" borderId="0" xfId="37404" applyFont="1" applyFill="1"/>
    <xf numFmtId="0" fontId="104" fillId="0" borderId="0" xfId="37404" applyFont="1" applyFill="1" applyAlignment="1">
      <alignment horizontal="center"/>
    </xf>
    <xf numFmtId="0" fontId="104" fillId="0" borderId="0" xfId="37404" applyFont="1"/>
    <xf numFmtId="0" fontId="105" fillId="0" borderId="0" xfId="0" applyFont="1"/>
    <xf numFmtId="0" fontId="105" fillId="0" borderId="0" xfId="0" applyFont="1" applyAlignment="1">
      <alignment horizontal="right"/>
    </xf>
    <xf numFmtId="0" fontId="105" fillId="0" borderId="0" xfId="0" applyFont="1" applyFill="1" applyAlignment="1">
      <alignment horizontal="right"/>
    </xf>
    <xf numFmtId="0" fontId="105" fillId="0" borderId="0" xfId="0" applyFont="1" applyFill="1"/>
    <xf numFmtId="0" fontId="105" fillId="79" borderId="0" xfId="0" applyFont="1" applyFill="1" applyAlignment="1">
      <alignment horizontal="right"/>
    </xf>
    <xf numFmtId="0" fontId="98" fillId="79" borderId="0" xfId="0" applyFont="1" applyFill="1"/>
    <xf numFmtId="10" fontId="105" fillId="79" borderId="0" xfId="0" applyNumberFormat="1" applyFont="1" applyFill="1"/>
    <xf numFmtId="10" fontId="105" fillId="79" borderId="0" xfId="37405" applyNumberFormat="1" applyFont="1" applyFill="1"/>
    <xf numFmtId="0" fontId="98" fillId="0" borderId="0" xfId="0" applyFont="1" applyAlignment="1">
      <alignment horizontal="right"/>
    </xf>
    <xf numFmtId="164" fontId="98" fillId="0" borderId="0" xfId="0" applyNumberFormat="1" applyFont="1"/>
    <xf numFmtId="0" fontId="105" fillId="79" borderId="0" xfId="0" applyFont="1" applyFill="1"/>
    <xf numFmtId="164" fontId="98" fillId="77" borderId="0" xfId="0" applyNumberFormat="1" applyFont="1" applyFill="1"/>
    <xf numFmtId="0" fontId="107" fillId="0" borderId="0" xfId="37404" applyFont="1" applyFill="1"/>
    <xf numFmtId="0" fontId="107" fillId="0" borderId="0" xfId="37404" applyFont="1" applyFill="1" applyAlignment="1">
      <alignment horizontal="left"/>
    </xf>
    <xf numFmtId="2" fontId="104" fillId="0" borderId="0" xfId="37404" applyNumberFormat="1" applyFont="1"/>
    <xf numFmtId="10" fontId="105" fillId="0" borderId="0" xfId="0" applyNumberFormat="1" applyFont="1" applyFill="1"/>
    <xf numFmtId="10" fontId="105" fillId="0" borderId="0" xfId="37405" applyNumberFormat="1" applyFont="1" applyFill="1"/>
    <xf numFmtId="164" fontId="106" fillId="0" borderId="0" xfId="0" applyNumberFormat="1" applyFont="1"/>
    <xf numFmtId="10" fontId="105" fillId="0" borderId="0" xfId="37405" applyNumberFormat="1" applyFont="1"/>
    <xf numFmtId="0" fontId="107" fillId="0" borderId="0" xfId="37404" applyFont="1" applyFill="1" applyAlignment="1">
      <alignment horizontal="center" wrapText="1"/>
    </xf>
    <xf numFmtId="0" fontId="107" fillId="38" borderId="0" xfId="37404" applyFont="1" applyFill="1" applyAlignment="1">
      <alignment horizontal="center"/>
    </xf>
    <xf numFmtId="17" fontId="107" fillId="82" borderId="0" xfId="37404" applyNumberFormat="1" applyFont="1" applyFill="1" applyAlignment="1">
      <alignment horizontal="center"/>
    </xf>
    <xf numFmtId="0" fontId="107" fillId="82" borderId="0" xfId="37404" applyFont="1" applyFill="1" applyAlignment="1">
      <alignment horizontal="center" wrapText="1"/>
    </xf>
    <xf numFmtId="17" fontId="107" fillId="70" borderId="0" xfId="37404" applyNumberFormat="1" applyFont="1" applyFill="1" applyAlignment="1">
      <alignment horizontal="center"/>
    </xf>
    <xf numFmtId="10" fontId="105" fillId="77" borderId="0" xfId="0" applyNumberFormat="1" applyFont="1" applyFill="1"/>
    <xf numFmtId="0" fontId="107" fillId="0" borderId="0" xfId="37404" applyFont="1" applyFill="1" applyAlignment="1">
      <alignment horizontal="center"/>
    </xf>
    <xf numFmtId="14" fontId="107" fillId="0" borderId="0" xfId="37404" applyNumberFormat="1" applyFont="1" applyFill="1" applyAlignment="1">
      <alignment horizontal="center" wrapText="1"/>
    </xf>
    <xf numFmtId="0" fontId="107" fillId="70" borderId="0" xfId="37404" applyFont="1" applyFill="1" applyAlignment="1">
      <alignment horizontal="center" wrapText="1"/>
    </xf>
    <xf numFmtId="0" fontId="108" fillId="77" borderId="0" xfId="37404" applyFont="1" applyFill="1" applyAlignment="1">
      <alignment horizontal="center"/>
    </xf>
    <xf numFmtId="0" fontId="108" fillId="77" borderId="0" xfId="37404" applyFont="1" applyFill="1" applyAlignment="1">
      <alignment horizontal="right"/>
    </xf>
    <xf numFmtId="0" fontId="104" fillId="0" borderId="0" xfId="37404" applyFont="1" applyAlignment="1">
      <alignment horizontal="right"/>
    </xf>
    <xf numFmtId="0" fontId="109" fillId="0" borderId="0" xfId="37404" applyFont="1" applyFill="1" applyAlignment="1">
      <alignment horizontal="center"/>
    </xf>
    <xf numFmtId="0" fontId="110" fillId="0" borderId="0" xfId="37404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07" fillId="0" borderId="0" xfId="37404" applyFont="1" applyAlignment="1">
      <alignment horizontal="left"/>
    </xf>
    <xf numFmtId="43" fontId="104" fillId="0" borderId="0" xfId="103" applyFont="1" applyFill="1" applyAlignment="1">
      <alignment horizontal="center"/>
    </xf>
    <xf numFmtId="166" fontId="104" fillId="0" borderId="0" xfId="103" applyNumberFormat="1" applyFont="1" applyFill="1"/>
    <xf numFmtId="166" fontId="104" fillId="0" borderId="0" xfId="103" applyNumberFormat="1" applyFont="1"/>
    <xf numFmtId="43" fontId="104" fillId="0" borderId="0" xfId="37404" applyNumberFormat="1" applyFont="1"/>
    <xf numFmtId="166" fontId="111" fillId="0" borderId="0" xfId="103" applyNumberFormat="1" applyFont="1" applyFill="1"/>
    <xf numFmtId="0" fontId="111" fillId="0" borderId="0" xfId="0" applyFont="1" applyFill="1" applyBorder="1"/>
    <xf numFmtId="43" fontId="111" fillId="70" borderId="0" xfId="103" applyFont="1" applyFill="1" applyAlignment="1">
      <alignment horizontal="center"/>
    </xf>
    <xf numFmtId="43" fontId="111" fillId="0" borderId="0" xfId="103" applyFont="1" applyFill="1" applyAlignment="1">
      <alignment horizontal="center"/>
    </xf>
    <xf numFmtId="43" fontId="111" fillId="0" borderId="0" xfId="37404" applyNumberFormat="1" applyFont="1" applyFill="1"/>
    <xf numFmtId="0" fontId="111" fillId="0" borderId="0" xfId="37404" applyFont="1" applyFill="1"/>
    <xf numFmtId="166" fontId="111" fillId="0" borderId="0" xfId="0" applyNumberFormat="1" applyFont="1" applyFill="1"/>
    <xf numFmtId="166" fontId="111" fillId="0" borderId="0" xfId="37404" applyNumberFormat="1" applyFont="1" applyFill="1"/>
    <xf numFmtId="0" fontId="111" fillId="0" borderId="0" xfId="37404" applyFont="1" applyFill="1" applyAlignment="1">
      <alignment horizontal="right"/>
    </xf>
    <xf numFmtId="44" fontId="111" fillId="75" borderId="0" xfId="2" applyFont="1" applyFill="1"/>
    <xf numFmtId="164" fontId="111" fillId="75" borderId="0" xfId="2" applyNumberFormat="1" applyFont="1" applyFill="1"/>
    <xf numFmtId="10" fontId="111" fillId="0" borderId="0" xfId="37405" applyNumberFormat="1" applyFont="1" applyFill="1"/>
    <xf numFmtId="44" fontId="111" fillId="0" borderId="0" xfId="2" applyFont="1" applyFill="1"/>
    <xf numFmtId="44" fontId="111" fillId="0" borderId="0" xfId="37404" applyNumberFormat="1" applyFont="1" applyFill="1"/>
    <xf numFmtId="0" fontId="105" fillId="0" borderId="0" xfId="0" applyFont="1" applyFill="1" applyBorder="1"/>
    <xf numFmtId="43" fontId="104" fillId="70" borderId="0" xfId="103" applyFont="1" applyFill="1" applyAlignment="1">
      <alignment horizontal="center"/>
    </xf>
    <xf numFmtId="43" fontId="104" fillId="0" borderId="0" xfId="37404" applyNumberFormat="1" applyFont="1" applyFill="1"/>
    <xf numFmtId="0" fontId="104" fillId="0" borderId="0" xfId="37404" applyFont="1" applyFill="1" applyAlignment="1">
      <alignment horizontal="right"/>
    </xf>
    <xf numFmtId="0" fontId="111" fillId="0" borderId="0" xfId="0" applyFont="1" applyFill="1"/>
    <xf numFmtId="0" fontId="105" fillId="0" borderId="0" xfId="0" applyFont="1" applyBorder="1"/>
    <xf numFmtId="0" fontId="107" fillId="77" borderId="0" xfId="37404" applyFont="1" applyFill="1" applyAlignment="1">
      <alignment horizontal="right"/>
    </xf>
    <xf numFmtId="166" fontId="104" fillId="77" borderId="0" xfId="37404" applyNumberFormat="1" applyFont="1" applyFill="1"/>
    <xf numFmtId="0" fontId="104" fillId="0" borderId="0" xfId="37404" applyFont="1" applyFill="1" applyBorder="1"/>
    <xf numFmtId="0" fontId="107" fillId="0" borderId="0" xfId="37404" applyFont="1" applyBorder="1" applyAlignment="1">
      <alignment horizontal="right"/>
    </xf>
    <xf numFmtId="44" fontId="112" fillId="0" borderId="368" xfId="37406" applyFont="1" applyFill="1" applyBorder="1"/>
    <xf numFmtId="166" fontId="112" fillId="0" borderId="368" xfId="103" applyNumberFormat="1" applyFont="1" applyFill="1" applyBorder="1"/>
    <xf numFmtId="0" fontId="113" fillId="0" borderId="0" xfId="37404" applyFont="1" applyFill="1" applyAlignment="1">
      <alignment horizontal="right"/>
    </xf>
    <xf numFmtId="166" fontId="104" fillId="0" borderId="0" xfId="37404" applyNumberFormat="1" applyFont="1" applyFill="1"/>
    <xf numFmtId="164" fontId="112" fillId="0" borderId="368" xfId="2" applyNumberFormat="1" applyFont="1" applyFill="1" applyBorder="1"/>
    <xf numFmtId="0" fontId="110" fillId="0" borderId="0" xfId="37404" applyFont="1" applyAlignment="1">
      <alignment horizontal="center"/>
    </xf>
    <xf numFmtId="166" fontId="105" fillId="0" borderId="0" xfId="0" applyNumberFormat="1" applyFont="1"/>
    <xf numFmtId="166" fontId="104" fillId="0" borderId="0" xfId="37404" applyNumberFormat="1" applyFont="1"/>
    <xf numFmtId="0" fontId="104" fillId="81" borderId="0" xfId="37404" applyFont="1" applyFill="1"/>
    <xf numFmtId="0" fontId="104" fillId="0" borderId="0" xfId="37404" applyFont="1" applyBorder="1"/>
    <xf numFmtId="43" fontId="104" fillId="0" borderId="0" xfId="103" applyFont="1" applyFill="1"/>
    <xf numFmtId="0" fontId="110" fillId="0" borderId="0" xfId="37404" applyFont="1" applyFill="1" applyAlignment="1">
      <alignment horizontal="left"/>
    </xf>
    <xf numFmtId="166" fontId="105" fillId="0" borderId="0" xfId="0" applyNumberFormat="1" applyFont="1" applyFill="1"/>
    <xf numFmtId="0" fontId="104" fillId="0" borderId="0" xfId="0" applyFont="1" applyFill="1" applyAlignment="1">
      <alignment vertical="top"/>
    </xf>
    <xf numFmtId="44" fontId="104" fillId="0" borderId="0" xfId="2" applyFont="1" applyFill="1"/>
    <xf numFmtId="0" fontId="107" fillId="0" borderId="0" xfId="37404" applyFont="1" applyFill="1" applyAlignment="1">
      <alignment horizontal="right"/>
    </xf>
    <xf numFmtId="44" fontId="107" fillId="0" borderId="368" xfId="37406" applyFont="1" applyFill="1" applyBorder="1"/>
    <xf numFmtId="164" fontId="107" fillId="0" borderId="368" xfId="2" applyNumberFormat="1" applyFont="1" applyFill="1" applyBorder="1"/>
    <xf numFmtId="0" fontId="113" fillId="0" borderId="0" xfId="37404" applyFont="1" applyAlignment="1">
      <alignment horizontal="right"/>
    </xf>
    <xf numFmtId="44" fontId="105" fillId="0" borderId="0" xfId="2" applyFont="1" applyFill="1"/>
    <xf numFmtId="0" fontId="110" fillId="0" borderId="0" xfId="37404" applyFont="1" applyFill="1" applyAlignment="1">
      <alignment horizontal="center"/>
    </xf>
    <xf numFmtId="0" fontId="107" fillId="0" borderId="0" xfId="37404" applyFont="1" applyFill="1" applyBorder="1"/>
    <xf numFmtId="0" fontId="114" fillId="0" borderId="0" xfId="0" applyFont="1" applyBorder="1"/>
    <xf numFmtId="43" fontId="114" fillId="70" borderId="0" xfId="103" applyFont="1" applyFill="1" applyAlignment="1">
      <alignment horizontal="center"/>
    </xf>
    <xf numFmtId="0" fontId="114" fillId="0" borderId="0" xfId="0" applyFont="1"/>
    <xf numFmtId="166" fontId="114" fillId="0" borderId="0" xfId="103" applyNumberFormat="1" applyFont="1" applyFill="1"/>
    <xf numFmtId="43" fontId="114" fillId="0" borderId="0" xfId="37404" applyNumberFormat="1" applyFont="1"/>
    <xf numFmtId="166" fontId="114" fillId="0" borderId="0" xfId="103" applyNumberFormat="1" applyFont="1"/>
    <xf numFmtId="166" fontId="114" fillId="0" borderId="0" xfId="0" applyNumberFormat="1" applyFont="1" applyFill="1"/>
    <xf numFmtId="166" fontId="114" fillId="0" borderId="0" xfId="37404" applyNumberFormat="1" applyFont="1" applyFill="1"/>
    <xf numFmtId="0" fontId="114" fillId="0" borderId="0" xfId="0" applyFont="1" applyAlignment="1">
      <alignment horizontal="right"/>
    </xf>
    <xf numFmtId="0" fontId="114" fillId="81" borderId="0" xfId="0" applyFont="1" applyFill="1"/>
    <xf numFmtId="0" fontId="114" fillId="0" borderId="0" xfId="0" applyFont="1" applyFill="1"/>
    <xf numFmtId="0" fontId="114" fillId="5" borderId="0" xfId="0" applyFont="1" applyFill="1"/>
    <xf numFmtId="166" fontId="114" fillId="5" borderId="0" xfId="103" applyNumberFormat="1" applyFont="1" applyFill="1"/>
    <xf numFmtId="0" fontId="107" fillId="0" borderId="0" xfId="37404" applyFont="1" applyFill="1" applyBorder="1" applyAlignment="1">
      <alignment horizontal="right"/>
    </xf>
    <xf numFmtId="166" fontId="105" fillId="75" borderId="0" xfId="0" applyNumberFormat="1" applyFont="1" applyFill="1"/>
    <xf numFmtId="164" fontId="98" fillId="0" borderId="368" xfId="2" applyNumberFormat="1" applyFont="1" applyFill="1" applyBorder="1"/>
    <xf numFmtId="0" fontId="106" fillId="0" borderId="0" xfId="0" applyFont="1" applyAlignment="1">
      <alignment horizontal="right"/>
    </xf>
    <xf numFmtId="44" fontId="105" fillId="75" borderId="0" xfId="2" applyFont="1" applyFill="1"/>
    <xf numFmtId="44" fontId="105" fillId="0" borderId="0" xfId="0" applyNumberFormat="1" applyFont="1" applyFill="1"/>
    <xf numFmtId="44" fontId="112" fillId="0" borderId="0" xfId="37406" applyFont="1" applyFill="1" applyBorder="1"/>
    <xf numFmtId="0" fontId="111" fillId="0" borderId="0" xfId="0" applyFont="1"/>
    <xf numFmtId="44" fontId="105" fillId="0" borderId="0" xfId="0" applyNumberFormat="1" applyFont="1"/>
    <xf numFmtId="0" fontId="98" fillId="83" borderId="0" xfId="0" applyFont="1" applyFill="1" applyAlignment="1">
      <alignment horizontal="right"/>
    </xf>
    <xf numFmtId="166" fontId="105" fillId="83" borderId="0" xfId="103" applyNumberFormat="1" applyFont="1" applyFill="1"/>
    <xf numFmtId="44" fontId="105" fillId="0" borderId="19" xfId="2" applyFont="1" applyFill="1" applyBorder="1"/>
    <xf numFmtId="44" fontId="98" fillId="0" borderId="31" xfId="2" applyFont="1" applyFill="1" applyBorder="1"/>
    <xf numFmtId="0" fontId="115" fillId="0" borderId="34" xfId="0" applyFont="1" applyFill="1" applyBorder="1"/>
    <xf numFmtId="44" fontId="98" fillId="0" borderId="20" xfId="2" applyFont="1" applyFill="1" applyBorder="1" applyAlignment="1">
      <alignment horizontal="right"/>
    </xf>
    <xf numFmtId="164" fontId="105" fillId="0" borderId="0" xfId="2" applyNumberFormat="1" applyFont="1" applyFill="1" applyBorder="1"/>
    <xf numFmtId="164" fontId="106" fillId="0" borderId="21" xfId="0" applyNumberFormat="1" applyFont="1" applyFill="1" applyBorder="1"/>
    <xf numFmtId="43" fontId="105" fillId="0" borderId="0" xfId="103" applyFont="1"/>
    <xf numFmtId="44" fontId="98" fillId="0" borderId="22" xfId="2" applyFont="1" applyFill="1" applyBorder="1" applyAlignment="1">
      <alignment horizontal="right"/>
    </xf>
    <xf numFmtId="164" fontId="105" fillId="0" borderId="71" xfId="2" applyNumberFormat="1" applyFont="1" applyFill="1" applyBorder="1"/>
    <xf numFmtId="164" fontId="106" fillId="0" borderId="23" xfId="0" applyNumberFormat="1" applyFont="1" applyFill="1" applyBorder="1"/>
    <xf numFmtId="44" fontId="105" fillId="0" borderId="0" xfId="2" applyFont="1" applyFill="1" applyBorder="1"/>
    <xf numFmtId="44" fontId="105" fillId="0" borderId="0" xfId="2" applyFont="1"/>
    <xf numFmtId="0" fontId="102" fillId="0" borderId="0" xfId="37404" applyFont="1" applyFill="1" applyAlignment="1">
      <alignment horizontal="left"/>
    </xf>
    <xf numFmtId="0" fontId="3" fillId="75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3" fillId="6" borderId="0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 wrapText="1"/>
    </xf>
    <xf numFmtId="0" fontId="11" fillId="6" borderId="0" xfId="296" applyFont="1" applyFill="1" applyBorder="1"/>
    <xf numFmtId="166" fontId="103" fillId="0" borderId="0" xfId="0" applyNumberFormat="1" applyFont="1" applyBorder="1"/>
    <xf numFmtId="0" fontId="0" fillId="5" borderId="0" xfId="0" applyFont="1" applyFill="1" applyBorder="1"/>
    <xf numFmtId="0" fontId="0" fillId="0" borderId="0" xfId="0" applyFont="1" applyAlignment="1">
      <alignment horizontal="right"/>
    </xf>
    <xf numFmtId="1" fontId="0" fillId="0" borderId="0" xfId="1" applyNumberFormat="1" applyFont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0" fillId="0" borderId="0" xfId="0" applyNumberFormat="1" applyFont="1" applyAlignment="1">
      <alignment horizontal="left"/>
    </xf>
    <xf numFmtId="1" fontId="11" fillId="0" borderId="0" xfId="0" applyNumberFormat="1" applyFont="1" applyFill="1" applyAlignment="1">
      <alignment horizontal="left"/>
    </xf>
    <xf numFmtId="0" fontId="3" fillId="85" borderId="0" xfId="0" applyFont="1" applyFill="1" applyAlignment="1">
      <alignment horizontal="center"/>
    </xf>
    <xf numFmtId="44" fontId="0" fillId="85" borderId="0" xfId="2" applyFont="1" applyFill="1" applyBorder="1"/>
    <xf numFmtId="43" fontId="0" fillId="0" borderId="0" xfId="1" applyNumberFormat="1" applyFont="1" applyFill="1" applyBorder="1" applyAlignment="1">
      <alignment horizontal="right"/>
    </xf>
    <xf numFmtId="0" fontId="103" fillId="0" borderId="0" xfId="0" applyFont="1" applyFill="1" applyBorder="1"/>
    <xf numFmtId="166" fontId="97" fillId="0" borderId="0" xfId="1" applyNumberFormat="1" applyFont="1" applyFill="1" applyBorder="1"/>
    <xf numFmtId="0" fontId="97" fillId="0" borderId="0" xfId="0" applyFont="1" applyFill="1" applyBorder="1"/>
    <xf numFmtId="0" fontId="0" fillId="0" borderId="0" xfId="0" applyAlignment="1">
      <alignment horizontal="right"/>
    </xf>
    <xf numFmtId="0" fontId="9" fillId="0" borderId="0" xfId="0" applyFont="1"/>
    <xf numFmtId="44" fontId="9" fillId="0" borderId="367" xfId="2" applyFont="1" applyBorder="1"/>
    <xf numFmtId="0" fontId="9" fillId="0" borderId="367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7" fillId="0" borderId="0" xfId="0" applyFont="1" applyAlignment="1">
      <alignment horizontal="right"/>
    </xf>
    <xf numFmtId="9" fontId="0" fillId="0" borderId="0" xfId="3" applyFont="1"/>
    <xf numFmtId="0" fontId="97" fillId="0" borderId="0" xfId="0" applyFont="1"/>
    <xf numFmtId="43" fontId="0" fillId="0" borderId="1" xfId="0" applyNumberFormat="1" applyBorder="1"/>
    <xf numFmtId="43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43" fontId="0" fillId="0" borderId="0" xfId="1" applyFont="1" applyFill="1"/>
    <xf numFmtId="43" fontId="3" fillId="0" borderId="0" xfId="1" applyFont="1" applyFill="1"/>
    <xf numFmtId="0" fontId="3" fillId="0" borderId="0" xfId="0" applyFont="1" applyFill="1"/>
    <xf numFmtId="10" fontId="97" fillId="0" borderId="0" xfId="3" applyNumberFormat="1" applyFont="1" applyFill="1"/>
    <xf numFmtId="10" fontId="9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0" fontId="97" fillId="0" borderId="0" xfId="0" applyFont="1" applyFill="1"/>
    <xf numFmtId="43" fontId="3" fillId="0" borderId="0" xfId="1" applyFont="1"/>
    <xf numFmtId="43" fontId="0" fillId="0" borderId="0" xfId="1" applyFont="1" applyAlignment="1">
      <alignment horizontal="right"/>
    </xf>
    <xf numFmtId="44" fontId="0" fillId="0" borderId="0" xfId="0" applyNumberFormat="1"/>
    <xf numFmtId="171" fontId="0" fillId="0" borderId="0" xfId="3" applyNumberFormat="1" applyFont="1"/>
    <xf numFmtId="43" fontId="3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75" borderId="0" xfId="0" applyFont="1" applyFill="1" applyAlignment="1">
      <alignment horizontal="center"/>
    </xf>
    <xf numFmtId="0" fontId="0" fillId="85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7" fontId="3" fillId="0" borderId="0" xfId="0" applyNumberFormat="1" applyFont="1"/>
    <xf numFmtId="0" fontId="3" fillId="0" borderId="0" xfId="0" applyFont="1" applyFill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2" fontId="0" fillId="0" borderId="0" xfId="0" applyNumberFormat="1"/>
    <xf numFmtId="2" fontId="0" fillId="5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85" borderId="0" xfId="0" applyFont="1" applyFill="1" applyAlignment="1">
      <alignment horizontal="center" wrapText="1"/>
    </xf>
    <xf numFmtId="43" fontId="3" fillId="85" borderId="0" xfId="1" applyFont="1" applyFill="1" applyAlignment="1">
      <alignment horizontal="center" wrapText="1"/>
    </xf>
    <xf numFmtId="1" fontId="3" fillId="85" borderId="0" xfId="0" applyNumberFormat="1" applyFont="1" applyFill="1" applyAlignment="1">
      <alignment horizontal="right" wrapText="1"/>
    </xf>
    <xf numFmtId="0" fontId="97" fillId="0" borderId="0" xfId="0" applyFont="1" applyFill="1" applyBorder="1" applyAlignment="1"/>
    <xf numFmtId="0" fontId="3" fillId="80" borderId="0" xfId="0" applyFont="1" applyFill="1" applyBorder="1" applyAlignment="1">
      <alignment horizontal="center"/>
    </xf>
    <xf numFmtId="0" fontId="3" fillId="85" borderId="367" xfId="0" applyFont="1" applyFill="1" applyBorder="1" applyAlignment="1">
      <alignment horizontal="center" vertical="center" wrapText="1"/>
    </xf>
    <xf numFmtId="44" fontId="11" fillId="85" borderId="0" xfId="2" applyFont="1" applyFill="1" applyBorder="1"/>
    <xf numFmtId="44" fontId="0" fillId="80" borderId="0" xfId="2" applyFont="1" applyFill="1" applyBorder="1"/>
    <xf numFmtId="0" fontId="98" fillId="2" borderId="0" xfId="0" applyFont="1" applyFill="1" applyBorder="1" applyAlignment="1">
      <alignment horizontal="center" vertical="center" wrapText="1"/>
    </xf>
    <xf numFmtId="3" fontId="97" fillId="6" borderId="368" xfId="0" applyNumberFormat="1" applyFont="1" applyFill="1" applyBorder="1" applyAlignment="1">
      <alignment horizontal="right"/>
    </xf>
    <xf numFmtId="43" fontId="0" fillId="76" borderId="0" xfId="1" applyFont="1" applyFill="1"/>
    <xf numFmtId="43" fontId="0" fillId="76" borderId="0" xfId="1" applyNumberFormat="1" applyFont="1" applyFill="1"/>
    <xf numFmtId="0" fontId="11" fillId="76" borderId="0" xfId="296" applyFont="1" applyFill="1" applyBorder="1"/>
    <xf numFmtId="43" fontId="0" fillId="75" borderId="0" xfId="1" applyFont="1" applyFill="1"/>
    <xf numFmtId="43" fontId="0" fillId="75" borderId="0" xfId="1" applyNumberFormat="1" applyFont="1" applyFill="1"/>
    <xf numFmtId="44" fontId="11" fillId="80" borderId="0" xfId="2" applyFont="1" applyFill="1" applyBorder="1"/>
    <xf numFmtId="3" fontId="0" fillId="86" borderId="0" xfId="1" applyNumberFormat="1" applyFont="1" applyFill="1" applyBorder="1" applyAlignment="1">
      <alignment horizontal="right"/>
    </xf>
    <xf numFmtId="166" fontId="0" fillId="86" borderId="0" xfId="0" applyNumberFormat="1" applyFont="1" applyFill="1" applyBorder="1"/>
    <xf numFmtId="0" fontId="3" fillId="86" borderId="0" xfId="0" applyFont="1" applyFill="1" applyBorder="1" applyAlignment="1">
      <alignment horizontal="center"/>
    </xf>
    <xf numFmtId="44" fontId="0" fillId="86" borderId="0" xfId="2" applyFont="1" applyFill="1" applyBorder="1"/>
    <xf numFmtId="44" fontId="0" fillId="86" borderId="1" xfId="2" applyFont="1" applyFill="1" applyBorder="1"/>
    <xf numFmtId="0" fontId="3" fillId="86" borderId="0" xfId="0" applyFont="1" applyFill="1" applyAlignment="1">
      <alignment horizontal="center"/>
    </xf>
    <xf numFmtId="0" fontId="0" fillId="0" borderId="372" xfId="0" applyFill="1" applyBorder="1" applyAlignment="1">
      <alignment horizontal="right"/>
    </xf>
    <xf numFmtId="166" fontId="103" fillId="0" borderId="372" xfId="1" applyNumberFormat="1" applyFont="1" applyFill="1" applyBorder="1" applyAlignment="1">
      <alignment horizontal="right"/>
    </xf>
    <xf numFmtId="166" fontId="0" fillId="0" borderId="372" xfId="1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right"/>
    </xf>
    <xf numFmtId="166" fontId="103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76" borderId="0" xfId="0" applyFont="1" applyFill="1" applyBorder="1" applyAlignment="1">
      <alignment horizontal="center" vertical="center"/>
    </xf>
    <xf numFmtId="0" fontId="11" fillId="76" borderId="0" xfId="0" applyFont="1" applyFill="1" applyBorder="1" applyAlignment="1">
      <alignment horizontal="left" vertical="center"/>
    </xf>
    <xf numFmtId="0" fontId="11" fillId="75" borderId="0" xfId="0" applyFont="1" applyFill="1" applyBorder="1" applyAlignment="1">
      <alignment horizontal="center" vertical="center"/>
    </xf>
    <xf numFmtId="0" fontId="11" fillId="75" borderId="0" xfId="0" applyFont="1" applyFill="1" applyBorder="1" applyAlignment="1">
      <alignment horizontal="left" vertical="center"/>
    </xf>
    <xf numFmtId="0" fontId="11" fillId="75" borderId="0" xfId="0" applyFont="1" applyFill="1" applyBorder="1" applyAlignment="1">
      <alignment horizontal="center"/>
    </xf>
    <xf numFmtId="0" fontId="11" fillId="75" borderId="0" xfId="0" applyFont="1" applyFill="1" applyBorder="1" applyAlignment="1">
      <alignment horizontal="left"/>
    </xf>
    <xf numFmtId="0" fontId="9" fillId="75" borderId="0" xfId="0" applyFont="1" applyFill="1" applyBorder="1" applyAlignment="1">
      <alignment horizontal="center"/>
    </xf>
    <xf numFmtId="0" fontId="9" fillId="75" borderId="0" xfId="0" applyFont="1" applyFill="1" applyBorder="1" applyAlignment="1">
      <alignment horizontal="left"/>
    </xf>
    <xf numFmtId="0" fontId="9" fillId="76" borderId="0" xfId="0" applyFont="1" applyFill="1" applyBorder="1" applyAlignment="1">
      <alignment horizontal="center" vertical="center"/>
    </xf>
    <xf numFmtId="0" fontId="9" fillId="76" borderId="0" xfId="296" applyFont="1" applyFill="1" applyBorder="1"/>
    <xf numFmtId="0" fontId="9" fillId="76" borderId="0" xfId="0" applyFont="1" applyFill="1" applyBorder="1" applyAlignment="1">
      <alignment horizontal="left" vertical="center"/>
    </xf>
    <xf numFmtId="43" fontId="9" fillId="0" borderId="0" xfId="0" applyNumberFormat="1" applyFont="1"/>
    <xf numFmtId="0" fontId="3" fillId="87" borderId="0" xfId="0" applyFont="1" applyFill="1" applyBorder="1" applyAlignment="1">
      <alignment horizontal="center"/>
    </xf>
    <xf numFmtId="166" fontId="0" fillId="87" borderId="0" xfId="1" applyNumberFormat="1" applyFont="1" applyFill="1" applyBorder="1"/>
    <xf numFmtId="0" fontId="114" fillId="0" borderId="0" xfId="0" applyFont="1" applyFill="1" applyBorder="1"/>
    <xf numFmtId="43" fontId="114" fillId="0" borderId="0" xfId="103" applyFont="1" applyFill="1" applyAlignment="1">
      <alignment horizontal="center"/>
    </xf>
    <xf numFmtId="43" fontId="114" fillId="0" borderId="0" xfId="37404" applyNumberFormat="1" applyFont="1" applyFill="1"/>
    <xf numFmtId="0" fontId="114" fillId="0" borderId="0" xfId="37404" applyFont="1" applyFill="1"/>
    <xf numFmtId="0" fontId="114" fillId="0" borderId="0" xfId="37404" applyFont="1" applyFill="1" applyAlignment="1">
      <alignment horizontal="right"/>
    </xf>
    <xf numFmtId="0" fontId="97" fillId="0" borderId="0" xfId="0" applyFont="1" applyFill="1" applyAlignment="1">
      <alignment horizontal="right"/>
    </xf>
    <xf numFmtId="44" fontId="114" fillId="75" borderId="0" xfId="2" applyFont="1" applyFill="1"/>
    <xf numFmtId="164" fontId="114" fillId="75" borderId="0" xfId="2" applyNumberFormat="1" applyFont="1" applyFill="1"/>
    <xf numFmtId="10" fontId="114" fillId="0" borderId="0" xfId="37405" applyNumberFormat="1" applyFont="1" applyFill="1"/>
    <xf numFmtId="44" fontId="114" fillId="0" borderId="0" xfId="2" applyFont="1" applyFill="1"/>
    <xf numFmtId="44" fontId="114" fillId="0" borderId="0" xfId="37404" applyNumberFormat="1" applyFont="1" applyFill="1"/>
    <xf numFmtId="1" fontId="97" fillId="0" borderId="0" xfId="0" applyNumberFormat="1" applyFont="1" applyFill="1" applyAlignment="1">
      <alignment horizontal="right"/>
    </xf>
    <xf numFmtId="180" fontId="97" fillId="0" borderId="0" xfId="0" applyNumberFormat="1" applyFont="1" applyFill="1" applyAlignment="1">
      <alignment horizontal="right"/>
    </xf>
    <xf numFmtId="0" fontId="97" fillId="0" borderId="0" xfId="0" applyFont="1" applyFill="1" applyAlignment="1">
      <alignment horizontal="center"/>
    </xf>
    <xf numFmtId="0" fontId="120" fillId="0" borderId="0" xfId="37404" applyFont="1" applyFill="1"/>
    <xf numFmtId="0" fontId="99" fillId="0" borderId="0" xfId="37404" applyFont="1" applyFill="1" applyAlignment="1">
      <alignment horizontal="right"/>
    </xf>
    <xf numFmtId="0" fontId="114" fillId="81" borderId="0" xfId="37404" applyFont="1" applyFill="1" applyAlignment="1">
      <alignment horizontal="right"/>
    </xf>
    <xf numFmtId="0" fontId="114" fillId="77" borderId="0" xfId="37404" applyFont="1" applyFill="1"/>
    <xf numFmtId="164" fontId="3" fillId="6" borderId="32" xfId="2" applyNumberFormat="1" applyFont="1" applyFill="1" applyBorder="1" applyAlignment="1">
      <alignment horizontal="right"/>
    </xf>
    <xf numFmtId="164" fontId="3" fillId="6" borderId="368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10" fontId="0" fillId="0" borderId="0" xfId="3" applyNumberFormat="1" applyFont="1"/>
    <xf numFmtId="0" fontId="9" fillId="75" borderId="0" xfId="0" applyFont="1" applyFill="1" applyBorder="1" applyAlignment="1">
      <alignment horizontal="center" vertical="center"/>
    </xf>
    <xf numFmtId="0" fontId="9" fillId="75" borderId="0" xfId="0" applyFont="1" applyFill="1" applyBorder="1" applyAlignment="1">
      <alignment horizontal="left" vertical="center"/>
    </xf>
    <xf numFmtId="0" fontId="9" fillId="75" borderId="0" xfId="296" applyFont="1" applyFill="1" applyBorder="1"/>
    <xf numFmtId="0" fontId="11" fillId="76" borderId="0" xfId="0" applyFont="1" applyFill="1" applyAlignment="1">
      <alignment horizontal="left"/>
    </xf>
    <xf numFmtId="43" fontId="11" fillId="76" borderId="0" xfId="1" applyFont="1" applyFill="1" applyAlignment="1">
      <alignment horizontal="right"/>
    </xf>
    <xf numFmtId="43" fontId="11" fillId="76" borderId="0" xfId="1" applyFont="1" applyFill="1" applyAlignment="1">
      <alignment horizontal="left"/>
    </xf>
    <xf numFmtId="0" fontId="11" fillId="76" borderId="0" xfId="0" applyFont="1" applyFill="1" applyAlignment="1">
      <alignment horizontal="right"/>
    </xf>
    <xf numFmtId="43" fontId="11" fillId="76" borderId="0" xfId="0" applyNumberFormat="1" applyFont="1" applyFill="1" applyAlignment="1">
      <alignment horizontal="right"/>
    </xf>
    <xf numFmtId="166" fontId="11" fillId="76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76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5" borderId="0" xfId="0" applyFont="1" applyFill="1" applyAlignment="1">
      <alignment horizontal="right"/>
    </xf>
    <xf numFmtId="0" fontId="12" fillId="75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43" fontId="11" fillId="0" borderId="0" xfId="1" applyNumberFormat="1" applyFont="1" applyFill="1" applyBorder="1"/>
    <xf numFmtId="43" fontId="11" fillId="75" borderId="0" xfId="1" applyFont="1" applyFill="1" applyAlignment="1">
      <alignment horizontal="left"/>
    </xf>
    <xf numFmtId="0" fontId="11" fillId="84" borderId="0" xfId="0" applyFont="1" applyFill="1"/>
    <xf numFmtId="0" fontId="11" fillId="75" borderId="0" xfId="0" applyFont="1" applyFill="1"/>
    <xf numFmtId="43" fontId="9" fillId="0" borderId="0" xfId="0" applyNumberFormat="1" applyFont="1" applyFill="1"/>
    <xf numFmtId="43" fontId="0" fillId="70" borderId="0" xfId="1" applyFont="1" applyFill="1"/>
    <xf numFmtId="43" fontId="11" fillId="75" borderId="0" xfId="1" applyFont="1" applyFill="1"/>
    <xf numFmtId="0" fontId="3" fillId="7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3" fontId="0" fillId="70" borderId="0" xfId="1" applyNumberFormat="1" applyFont="1" applyFill="1"/>
    <xf numFmtId="43" fontId="0" fillId="0" borderId="0" xfId="0" applyNumberFormat="1" applyFill="1"/>
    <xf numFmtId="43" fontId="11" fillId="0" borderId="0" xfId="0" applyNumberFormat="1" applyFont="1" applyFill="1"/>
    <xf numFmtId="44" fontId="0" fillId="0" borderId="0" xfId="2" applyFont="1"/>
    <xf numFmtId="0" fontId="11" fillId="5" borderId="0" xfId="0" applyFont="1" applyFill="1" applyAlignment="1">
      <alignment horizontal="left"/>
    </xf>
    <xf numFmtId="0" fontId="0" fillId="78" borderId="0" xfId="0" applyFill="1" applyAlignment="1">
      <alignment horizontal="right"/>
    </xf>
    <xf numFmtId="44" fontId="0" fillId="78" borderId="0" xfId="2" applyFont="1" applyFill="1"/>
    <xf numFmtId="0" fontId="0" fillId="78" borderId="0" xfId="0" applyFill="1"/>
    <xf numFmtId="44" fontId="0" fillId="87" borderId="0" xfId="2" applyFont="1" applyFill="1" applyBorder="1"/>
    <xf numFmtId="0" fontId="12" fillId="0" borderId="0" xfId="0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3" fillId="76" borderId="0" xfId="1" applyNumberFormat="1" applyFont="1" applyFill="1"/>
    <xf numFmtId="43" fontId="103" fillId="70" borderId="0" xfId="1" applyNumberFormat="1" applyFont="1" applyFill="1"/>
    <xf numFmtId="43" fontId="103" fillId="75" borderId="0" xfId="1" applyNumberFormat="1" applyFont="1" applyFill="1"/>
    <xf numFmtId="43" fontId="101" fillId="6" borderId="367" xfId="1" applyNumberFormat="1" applyFont="1" applyFill="1" applyBorder="1" applyAlignment="1">
      <alignment horizontal="center" vertical="center" wrapText="1"/>
    </xf>
    <xf numFmtId="43" fontId="103" fillId="0" borderId="0" xfId="1" applyNumberFormat="1" applyFont="1"/>
    <xf numFmtId="0" fontId="101" fillId="6" borderId="0" xfId="0" applyFont="1" applyFill="1" applyBorder="1" applyAlignment="1">
      <alignment horizontal="center" vertical="center" wrapText="1"/>
    </xf>
    <xf numFmtId="43" fontId="11" fillId="76" borderId="0" xfId="1" applyNumberFormat="1" applyFont="1" applyFill="1"/>
    <xf numFmtId="43" fontId="9" fillId="75" borderId="0" xfId="1" applyNumberFormat="1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6" borderId="338" xfId="0" applyFont="1" applyFill="1" applyBorder="1" applyAlignment="1">
      <alignment horizontal="center" vertical="center" textRotation="90"/>
    </xf>
    <xf numFmtId="0" fontId="3" fillId="75" borderId="338" xfId="0" applyFont="1" applyFill="1" applyBorder="1" applyAlignment="1">
      <alignment horizontal="center" vertical="center" textRotation="90"/>
    </xf>
    <xf numFmtId="0" fontId="3" fillId="76" borderId="337" xfId="0" applyFont="1" applyFill="1" applyBorder="1" applyAlignment="1">
      <alignment horizontal="center" vertical="center" textRotation="90"/>
    </xf>
    <xf numFmtId="43" fontId="3" fillId="78" borderId="0" xfId="1" applyFont="1" applyFill="1" applyAlignment="1">
      <alignment horizontal="center"/>
    </xf>
    <xf numFmtId="0" fontId="3" fillId="78" borderId="0" xfId="0" applyFont="1" applyFill="1" applyAlignment="1">
      <alignment horizontal="center"/>
    </xf>
    <xf numFmtId="0" fontId="106" fillId="81" borderId="0" xfId="0" applyFont="1" applyFill="1" applyAlignment="1">
      <alignment horizontal="center"/>
    </xf>
    <xf numFmtId="0" fontId="108" fillId="77" borderId="0" xfId="37404" applyFont="1" applyFill="1" applyAlignment="1">
      <alignment horizontal="center"/>
    </xf>
    <xf numFmtId="0" fontId="107" fillId="77" borderId="0" xfId="37404" applyFont="1" applyFill="1" applyAlignment="1">
      <alignment horizontal="center"/>
    </xf>
    <xf numFmtId="0" fontId="107" fillId="79" borderId="0" xfId="37404" applyFont="1" applyFill="1" applyAlignment="1">
      <alignment horizontal="center" wrapText="1"/>
    </xf>
    <xf numFmtId="0" fontId="107" fillId="77" borderId="0" xfId="37404" applyFont="1" applyFill="1" applyAlignment="1">
      <alignment horizontal="center" wrapText="1"/>
    </xf>
  </cellXfs>
  <cellStyles count="37407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399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8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0 5" xfId="37406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0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Murrey's Jan-Dec 2012" xfId="296"/>
    <cellStyle name="Normal_Price out" xfId="4"/>
    <cellStyle name="Normal_Regulated Price Out 9-6-2011 Final HL" xfId="3740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2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1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3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" xfId="37405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20</xdr:row>
      <xdr:rowOff>95250</xdr:rowOff>
    </xdr:from>
    <xdr:to>
      <xdr:col>28</xdr:col>
      <xdr:colOff>408539</xdr:colOff>
      <xdr:row>51</xdr:row>
      <xdr:rowOff>18321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300" y="4286250"/>
          <a:ext cx="8285714" cy="58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21/General%20Rate%20Filings/Gray's%20Harbor%208.1.2021/Grays%20Disposal%20by%20Bill%20Are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General%20Rate%20Filings/Rate%20Filing%201-1-2019/Fuel%20Sta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UTC-LeMay/General%20Rate%20Filing/Gray's%20Harbor%20Filed%206-15-21/Audit/FINAL/.Gray's%20Harbor%20GRC%20Pro%20forma%2003.31.2021%20(C)%20Non-Redacted%20F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49%20Mason%20County/2021/General%20Rate%20Filing/.Mason%20Pro%20forma11.30.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2186%20Aberdeen%20Sanitation\ABERDEEN%20BANKING%202016\Aberdeen%20CSR%20Reports\Tonnage%20reports\Driver's%20Tonnag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39 JE Query"/>
      <sheetName val="PT Disposal per Price Out"/>
      <sheetName val="40101 JE Query"/>
      <sheetName val="Disposal"/>
    </sheetNames>
    <sheetDataSet>
      <sheetData sheetId="0">
        <row r="6">
          <cell r="D6">
            <v>10000</v>
          </cell>
        </row>
        <row r="12">
          <cell r="I12" t="str">
            <v>2020-04</v>
          </cell>
        </row>
        <row r="13">
          <cell r="I13" t="str">
            <v>2021-03</v>
          </cell>
        </row>
        <row r="42">
          <cell r="D42">
            <v>319267.02</v>
          </cell>
        </row>
        <row r="44">
          <cell r="D44">
            <v>297146.68</v>
          </cell>
        </row>
        <row r="46">
          <cell r="D46">
            <v>367671.03999999998</v>
          </cell>
        </row>
        <row r="48">
          <cell r="D48">
            <v>281757.58</v>
          </cell>
        </row>
        <row r="50">
          <cell r="D50">
            <v>304007.58</v>
          </cell>
        </row>
        <row r="53">
          <cell r="D53">
            <v>339280.78</v>
          </cell>
        </row>
        <row r="55">
          <cell r="D55">
            <v>377395.12</v>
          </cell>
        </row>
        <row r="57">
          <cell r="D57">
            <v>346858.02</v>
          </cell>
        </row>
        <row r="59">
          <cell r="D59">
            <v>417354.08</v>
          </cell>
        </row>
        <row r="61">
          <cell r="D61">
            <v>352098.03</v>
          </cell>
        </row>
        <row r="63">
          <cell r="D63">
            <v>310216.67</v>
          </cell>
        </row>
        <row r="65">
          <cell r="D65">
            <v>349628.21</v>
          </cell>
        </row>
        <row r="67">
          <cell r="D67">
            <v>4062377.58</v>
          </cell>
        </row>
      </sheetData>
      <sheetData sheetId="1">
        <row r="23">
          <cell r="B23">
            <v>54661.38</v>
          </cell>
          <cell r="C23">
            <v>66912.239999999991</v>
          </cell>
          <cell r="D23">
            <v>73726.48</v>
          </cell>
          <cell r="E23">
            <v>90979.839999999997</v>
          </cell>
          <cell r="F23">
            <v>79508.28</v>
          </cell>
          <cell r="G23">
            <v>83910.739999999991</v>
          </cell>
          <cell r="H23">
            <v>83353.55</v>
          </cell>
          <cell r="I23">
            <v>58498.7</v>
          </cell>
          <cell r="J23">
            <v>83523.53</v>
          </cell>
          <cell r="K23">
            <v>67808.439999999988</v>
          </cell>
          <cell r="L23">
            <v>74616.77</v>
          </cell>
          <cell r="M23">
            <v>97187.180000000008</v>
          </cell>
        </row>
      </sheetData>
      <sheetData sheetId="2">
        <row r="60">
          <cell r="D60">
            <v>12486.149999999998</v>
          </cell>
        </row>
        <row r="64">
          <cell r="D64">
            <v>10351.58</v>
          </cell>
        </row>
        <row r="66">
          <cell r="D66">
            <v>13204.81</v>
          </cell>
        </row>
        <row r="69">
          <cell r="D69">
            <v>9491.81</v>
          </cell>
        </row>
        <row r="71">
          <cell r="D71">
            <v>11402.56</v>
          </cell>
        </row>
        <row r="73">
          <cell r="D73">
            <v>14488.67</v>
          </cell>
        </row>
        <row r="75">
          <cell r="D75">
            <v>11970.37</v>
          </cell>
        </row>
        <row r="77">
          <cell r="D77">
            <v>11306.269999999999</v>
          </cell>
        </row>
        <row r="83">
          <cell r="D83">
            <v>12168.95</v>
          </cell>
        </row>
        <row r="88">
          <cell r="D88">
            <v>12033.28</v>
          </cell>
        </row>
        <row r="92">
          <cell r="D92">
            <v>10826.49</v>
          </cell>
        </row>
        <row r="95">
          <cell r="D95">
            <v>11366.27</v>
          </cell>
        </row>
        <row r="98">
          <cell r="D98">
            <v>141097.20999999996</v>
          </cell>
        </row>
      </sheetData>
      <sheetData sheetId="3">
        <row r="47">
          <cell r="H47">
            <v>0.33638346248750628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  <row r="22">
          <cell r="K22">
            <v>7.8185393865515262E-2</v>
          </cell>
        </row>
      </sheetData>
      <sheetData sheetId="17">
        <row r="20">
          <cell r="J20">
            <v>-31578.017917077872</v>
          </cell>
        </row>
        <row r="22">
          <cell r="K22">
            <v>-4.1215216251492715E-2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Totals"/>
      <sheetName val="Monday"/>
      <sheetName val="Tuesday"/>
      <sheetName val="Wednesday"/>
      <sheetName val="Thursday"/>
      <sheetName val="Friday"/>
      <sheetName val="Recycle"/>
      <sheetName val="HYPERLINK GARB TOTALS "/>
    </sheetNames>
    <sheetDataSet>
      <sheetData sheetId="0" refreshError="1"/>
      <sheetData sheetId="1">
        <row r="3">
          <cell r="D3">
            <v>61.84</v>
          </cell>
          <cell r="E3">
            <v>23.29</v>
          </cell>
          <cell r="F3">
            <v>0</v>
          </cell>
          <cell r="G3">
            <v>91.200000000000017</v>
          </cell>
          <cell r="H3">
            <v>0</v>
          </cell>
          <cell r="I3">
            <v>22.87</v>
          </cell>
          <cell r="J3">
            <v>0</v>
          </cell>
          <cell r="K3">
            <v>88.14</v>
          </cell>
          <cell r="L3">
            <v>4.55</v>
          </cell>
        </row>
        <row r="5">
          <cell r="D5">
            <v>75.009999999999991</v>
          </cell>
          <cell r="E5">
            <v>2.73</v>
          </cell>
          <cell r="F5">
            <v>0</v>
          </cell>
          <cell r="G5">
            <v>34.799999999999997</v>
          </cell>
          <cell r="H5">
            <v>0</v>
          </cell>
          <cell r="I5">
            <v>5.9599999999999991</v>
          </cell>
          <cell r="J5">
            <v>0</v>
          </cell>
          <cell r="K5">
            <v>58.210000000000008</v>
          </cell>
          <cell r="L5">
            <v>4.55</v>
          </cell>
        </row>
      </sheetData>
      <sheetData sheetId="2">
        <row r="3">
          <cell r="D3">
            <v>101.04999999999998</v>
          </cell>
          <cell r="E3">
            <v>0</v>
          </cell>
          <cell r="F3">
            <v>77.97</v>
          </cell>
          <cell r="G3">
            <v>210.56999999999996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5">
          <cell r="D5">
            <v>138.23999999999998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52.459999999999994</v>
          </cell>
        </row>
      </sheetData>
      <sheetData sheetId="3">
        <row r="3">
          <cell r="D3">
            <v>96.779999999999987</v>
          </cell>
          <cell r="E3">
            <v>0</v>
          </cell>
          <cell r="F3">
            <v>0</v>
          </cell>
          <cell r="G3">
            <v>169.47000000000003</v>
          </cell>
          <cell r="H3">
            <v>0</v>
          </cell>
          <cell r="I3">
            <v>0</v>
          </cell>
          <cell r="J3">
            <v>0</v>
          </cell>
          <cell r="K3">
            <v>54.8</v>
          </cell>
          <cell r="L3">
            <v>60</v>
          </cell>
        </row>
        <row r="5">
          <cell r="D5">
            <v>46.56</v>
          </cell>
          <cell r="E5">
            <v>0</v>
          </cell>
          <cell r="F5">
            <v>0</v>
          </cell>
          <cell r="G5">
            <v>53.87</v>
          </cell>
          <cell r="H5">
            <v>0</v>
          </cell>
          <cell r="I5">
            <v>0</v>
          </cell>
          <cell r="J5">
            <v>0</v>
          </cell>
          <cell r="K5">
            <v>44.780000000000008</v>
          </cell>
          <cell r="L5">
            <v>0</v>
          </cell>
        </row>
      </sheetData>
      <sheetData sheetId="4">
        <row r="3">
          <cell r="D3">
            <v>97.699999999999989</v>
          </cell>
          <cell r="E3">
            <v>0</v>
          </cell>
          <cell r="F3">
            <v>0</v>
          </cell>
          <cell r="G3">
            <v>144.74</v>
          </cell>
          <cell r="H3">
            <v>42.26</v>
          </cell>
          <cell r="I3">
            <v>0</v>
          </cell>
          <cell r="J3">
            <v>0</v>
          </cell>
          <cell r="K3">
            <v>54.82</v>
          </cell>
          <cell r="L3">
            <v>0</v>
          </cell>
        </row>
        <row r="5">
          <cell r="D5">
            <v>15.33</v>
          </cell>
          <cell r="E5">
            <v>0</v>
          </cell>
          <cell r="F5">
            <v>56.98</v>
          </cell>
          <cell r="G5">
            <v>87.220000000000013</v>
          </cell>
          <cell r="H5">
            <v>17.95</v>
          </cell>
          <cell r="I5">
            <v>0</v>
          </cell>
          <cell r="J5">
            <v>1.6700000000000002</v>
          </cell>
          <cell r="K5">
            <v>0</v>
          </cell>
          <cell r="L5">
            <v>0</v>
          </cell>
        </row>
      </sheetData>
      <sheetData sheetId="5">
        <row r="3">
          <cell r="D3">
            <v>64.5</v>
          </cell>
          <cell r="E3">
            <v>13.25</v>
          </cell>
          <cell r="F3">
            <v>0</v>
          </cell>
          <cell r="G3">
            <v>67.02</v>
          </cell>
          <cell r="H3">
            <v>0</v>
          </cell>
          <cell r="I3">
            <v>69.790000000000006</v>
          </cell>
          <cell r="J3">
            <v>14.209999999999999</v>
          </cell>
          <cell r="K3">
            <v>0</v>
          </cell>
          <cell r="L3">
            <v>0</v>
          </cell>
        </row>
        <row r="5">
          <cell r="D5">
            <v>78.499999999999986</v>
          </cell>
          <cell r="E5">
            <v>0</v>
          </cell>
          <cell r="F5">
            <v>0</v>
          </cell>
          <cell r="G5">
            <v>25.799999999999997</v>
          </cell>
          <cell r="H5">
            <v>0</v>
          </cell>
          <cell r="I5">
            <v>0</v>
          </cell>
          <cell r="J5">
            <v>0</v>
          </cell>
          <cell r="K5">
            <v>40.5</v>
          </cell>
          <cell r="L5">
            <v>25.449999999999996</v>
          </cell>
        </row>
      </sheetData>
      <sheetData sheetId="6">
        <row r="3">
          <cell r="D3">
            <v>96.009999999999991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workbookViewId="0">
      <selection activeCell="C73" sqref="C73"/>
    </sheetView>
  </sheetViews>
  <sheetFormatPr defaultRowHeight="15"/>
  <cols>
    <col min="1" max="1" width="31.28515625" style="3" customWidth="1"/>
    <col min="2" max="2" width="7" style="21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9.85546875" style="3" customWidth="1"/>
    <col min="7" max="7" width="11.42578125" style="3" bestFit="1" customWidth="1"/>
    <col min="8" max="8" width="13.28515625" style="3" customWidth="1"/>
    <col min="9" max="9" width="8" style="3" bestFit="1" customWidth="1"/>
    <col min="10" max="10" width="18.7109375" style="3" customWidth="1"/>
    <col min="11" max="11" width="14.5703125" style="3" customWidth="1"/>
    <col min="12" max="16384" width="9.140625" style="3"/>
  </cols>
  <sheetData>
    <row r="1" spans="1:10" s="21" customFormat="1">
      <c r="A1" s="23" t="s">
        <v>795</v>
      </c>
    </row>
    <row r="2" spans="1:10" s="21" customFormat="1">
      <c r="A2" s="23" t="s">
        <v>104</v>
      </c>
      <c r="J2" s="386" t="s">
        <v>153</v>
      </c>
    </row>
    <row r="3" spans="1:10" s="21" customFormat="1"/>
    <row r="4" spans="1:10" s="21" customFormat="1"/>
    <row r="5" spans="1:10">
      <c r="A5" s="485" t="s">
        <v>15</v>
      </c>
      <c r="B5" s="485"/>
      <c r="C5" s="485"/>
      <c r="D5" s="485"/>
      <c r="E5" s="485"/>
      <c r="F5" s="485"/>
      <c r="G5" s="485"/>
      <c r="H5" s="485"/>
      <c r="I5" s="485"/>
    </row>
    <row r="6" spans="1:10">
      <c r="A6" s="3" t="s">
        <v>49</v>
      </c>
      <c r="C6" s="9" t="s">
        <v>36</v>
      </c>
      <c r="D6" s="9" t="s">
        <v>37</v>
      </c>
      <c r="E6" s="9" t="s">
        <v>38</v>
      </c>
      <c r="F6" s="10" t="s">
        <v>40</v>
      </c>
      <c r="G6" s="10" t="s">
        <v>41</v>
      </c>
      <c r="H6" s="10" t="s">
        <v>42</v>
      </c>
      <c r="I6" s="9" t="s">
        <v>45</v>
      </c>
    </row>
    <row r="7" spans="1:10">
      <c r="A7" s="3" t="s">
        <v>46</v>
      </c>
      <c r="C7" s="1">
        <f>52*5/12</f>
        <v>21.666666666666668</v>
      </c>
      <c r="D7" s="11">
        <f>$C$7*2</f>
        <v>43.333333333333336</v>
      </c>
      <c r="E7" s="11">
        <f>$C$7*3</f>
        <v>65</v>
      </c>
      <c r="F7" s="11">
        <f>$C$7*4</f>
        <v>86.666666666666671</v>
      </c>
      <c r="G7" s="11">
        <f>$C$7*5</f>
        <v>108.33333333333334</v>
      </c>
      <c r="H7" s="11">
        <f>$C$7*6</f>
        <v>130</v>
      </c>
      <c r="I7" s="11">
        <f>$C$7*7</f>
        <v>151.66666666666669</v>
      </c>
    </row>
    <row r="8" spans="1:10">
      <c r="A8" s="3" t="s">
        <v>81</v>
      </c>
      <c r="C8" s="1">
        <f>52*4/12</f>
        <v>17.333333333333332</v>
      </c>
      <c r="D8" s="11">
        <f>$C$8*2</f>
        <v>34.666666666666664</v>
      </c>
      <c r="E8" s="11">
        <f>$C$8*3</f>
        <v>52</v>
      </c>
      <c r="F8" s="11">
        <f>$C$8*4</f>
        <v>69.333333333333329</v>
      </c>
      <c r="G8" s="11">
        <f>$C$8*5</f>
        <v>86.666666666666657</v>
      </c>
      <c r="H8" s="11">
        <f>$C$8*6</f>
        <v>104</v>
      </c>
      <c r="I8" s="11">
        <f>$C$8*7</f>
        <v>121.33333333333333</v>
      </c>
    </row>
    <row r="9" spans="1:10">
      <c r="A9" s="3" t="s">
        <v>47</v>
      </c>
      <c r="C9" s="1">
        <f>52*3/12</f>
        <v>13</v>
      </c>
      <c r="D9" s="11">
        <f>$C$9*2</f>
        <v>26</v>
      </c>
      <c r="E9" s="11">
        <f>$C$9*3</f>
        <v>39</v>
      </c>
      <c r="F9" s="11">
        <f>$C$9*4</f>
        <v>52</v>
      </c>
      <c r="G9" s="11">
        <f>$C$9*5</f>
        <v>65</v>
      </c>
      <c r="H9" s="11">
        <f>$C$9*6</f>
        <v>78</v>
      </c>
      <c r="I9" s="11">
        <f>$C$9*7</f>
        <v>91</v>
      </c>
    </row>
    <row r="10" spans="1:10">
      <c r="A10" s="3" t="s">
        <v>48</v>
      </c>
      <c r="C10" s="1">
        <f>52*2/12</f>
        <v>8.6666666666666661</v>
      </c>
      <c r="D10" s="12">
        <f>$C$10*2</f>
        <v>17.333333333333332</v>
      </c>
      <c r="E10" s="12">
        <f>$C$10*3</f>
        <v>26</v>
      </c>
      <c r="F10" s="12">
        <f>$C$10*4</f>
        <v>34.666666666666664</v>
      </c>
      <c r="G10" s="12">
        <f>$C$10*5</f>
        <v>43.333333333333329</v>
      </c>
      <c r="H10" s="12">
        <f>$C$10*6</f>
        <v>52</v>
      </c>
      <c r="I10" s="12">
        <f>$C$10*7</f>
        <v>60.666666666666664</v>
      </c>
    </row>
    <row r="11" spans="1:10">
      <c r="A11" s="3" t="s">
        <v>18</v>
      </c>
      <c r="C11" s="1">
        <f>52/12</f>
        <v>4.333333333333333</v>
      </c>
      <c r="D11" s="12">
        <f>$C$11*2</f>
        <v>8.6666666666666661</v>
      </c>
      <c r="E11" s="12">
        <f>$C$11*3</f>
        <v>13</v>
      </c>
      <c r="F11" s="12">
        <f>$C$11*4</f>
        <v>17.333333333333332</v>
      </c>
      <c r="G11" s="12">
        <f>$C$11*5</f>
        <v>21.666666666666664</v>
      </c>
      <c r="H11" s="12">
        <f>$C$11*6</f>
        <v>26</v>
      </c>
      <c r="I11" s="12">
        <f>$C$11*7</f>
        <v>30.333333333333332</v>
      </c>
    </row>
    <row r="12" spans="1:10">
      <c r="A12" s="3" t="s">
        <v>20</v>
      </c>
      <c r="C12" s="1">
        <f>26/12</f>
        <v>2.1666666666666665</v>
      </c>
      <c r="D12" s="12">
        <f>$C$12*2</f>
        <v>4.333333333333333</v>
      </c>
      <c r="E12" s="12">
        <f>$C$12*3</f>
        <v>6.5</v>
      </c>
      <c r="F12" s="12">
        <f>$C$12*4</f>
        <v>8.6666666666666661</v>
      </c>
      <c r="G12" s="12">
        <f>$C$12*5</f>
        <v>10.833333333333332</v>
      </c>
      <c r="H12" s="12">
        <f>$C$12*6</f>
        <v>13</v>
      </c>
      <c r="I12" s="12">
        <f>$C$12*7</f>
        <v>15.166666666666666</v>
      </c>
    </row>
    <row r="13" spans="1:10">
      <c r="A13" s="3" t="s">
        <v>19</v>
      </c>
      <c r="C13" s="1">
        <f>12/12</f>
        <v>1</v>
      </c>
      <c r="D13" s="12">
        <f>$C$13*2</f>
        <v>2</v>
      </c>
      <c r="E13" s="12">
        <f>$C$13*3</f>
        <v>3</v>
      </c>
      <c r="F13" s="12">
        <f>$C$13*4</f>
        <v>4</v>
      </c>
      <c r="G13" s="12">
        <f>$C$13*5</f>
        <v>5</v>
      </c>
      <c r="H13" s="12">
        <f>$C$13*6</f>
        <v>6</v>
      </c>
      <c r="I13" s="12">
        <f>$C$13*7</f>
        <v>7</v>
      </c>
    </row>
    <row r="14" spans="1:10">
      <c r="A14" s="21" t="s">
        <v>84</v>
      </c>
      <c r="C14" s="1">
        <v>1</v>
      </c>
      <c r="D14" s="12"/>
      <c r="E14" s="12"/>
      <c r="F14" s="12"/>
      <c r="G14" s="12"/>
      <c r="H14" s="12"/>
      <c r="I14" s="12"/>
    </row>
    <row r="15" spans="1:10">
      <c r="A15" s="485" t="s">
        <v>9</v>
      </c>
      <c r="B15" s="485"/>
      <c r="C15" s="485"/>
      <c r="D15" s="25"/>
      <c r="E15" s="12"/>
      <c r="F15" s="12"/>
      <c r="G15" s="12"/>
      <c r="H15" s="12"/>
      <c r="I15" s="12"/>
    </row>
    <row r="16" spans="1:10">
      <c r="A16" s="23" t="s">
        <v>44</v>
      </c>
      <c r="B16" s="23"/>
      <c r="C16" s="27" t="s">
        <v>73</v>
      </c>
      <c r="D16" s="25"/>
      <c r="E16" s="12"/>
      <c r="F16" s="12"/>
      <c r="G16" s="12"/>
      <c r="H16" s="12"/>
      <c r="I16" s="12"/>
    </row>
    <row r="17" spans="1:9">
      <c r="A17" s="26" t="s">
        <v>74</v>
      </c>
      <c r="B17" s="40"/>
      <c r="C17" s="24">
        <v>20</v>
      </c>
      <c r="D17" s="25"/>
      <c r="E17" s="12"/>
      <c r="F17" s="12"/>
      <c r="G17" s="12"/>
      <c r="H17" s="12"/>
      <c r="I17" s="12"/>
    </row>
    <row r="18" spans="1:9">
      <c r="A18" s="26" t="s">
        <v>50</v>
      </c>
      <c r="B18" s="40"/>
      <c r="C18" s="24">
        <v>34</v>
      </c>
      <c r="D18" s="25"/>
      <c r="E18" s="12"/>
      <c r="F18" s="12"/>
      <c r="G18" s="12"/>
      <c r="H18" s="12"/>
      <c r="I18" s="12"/>
    </row>
    <row r="19" spans="1:9">
      <c r="A19" s="26" t="s">
        <v>51</v>
      </c>
      <c r="B19" s="40"/>
      <c r="C19" s="24">
        <v>51</v>
      </c>
      <c r="D19" s="25"/>
      <c r="E19" s="12"/>
      <c r="F19" s="12"/>
      <c r="G19" s="12"/>
      <c r="H19" s="12"/>
      <c r="I19" s="12"/>
    </row>
    <row r="20" spans="1:9">
      <c r="A20" s="26" t="s">
        <v>52</v>
      </c>
      <c r="B20" s="40"/>
      <c r="C20" s="24">
        <v>77</v>
      </c>
      <c r="D20" s="25"/>
      <c r="E20" s="12"/>
      <c r="F20" s="12"/>
      <c r="G20" s="315" t="s">
        <v>16</v>
      </c>
      <c r="H20" s="316">
        <v>2000</v>
      </c>
      <c r="I20" s="12"/>
    </row>
    <row r="21" spans="1:9">
      <c r="A21" s="26" t="s">
        <v>53</v>
      </c>
      <c r="B21" s="40"/>
      <c r="C21" s="24">
        <v>97</v>
      </c>
      <c r="D21" s="25"/>
      <c r="E21" s="12"/>
      <c r="F21" s="12"/>
      <c r="G21" s="315" t="s">
        <v>17</v>
      </c>
      <c r="H21" s="317" t="s">
        <v>39</v>
      </c>
      <c r="I21" s="12"/>
    </row>
    <row r="22" spans="1:9">
      <c r="A22" s="26" t="s">
        <v>54</v>
      </c>
      <c r="B22" s="40"/>
      <c r="C22" s="24">
        <v>117</v>
      </c>
      <c r="D22" s="25"/>
      <c r="E22" s="12"/>
      <c r="F22" s="12"/>
      <c r="G22" s="315"/>
      <c r="H22" s="318"/>
      <c r="I22" s="12"/>
    </row>
    <row r="23" spans="1:9">
      <c r="A23" s="26" t="s">
        <v>55</v>
      </c>
      <c r="B23" s="40"/>
      <c r="C23" s="24">
        <v>137</v>
      </c>
      <c r="D23" s="25"/>
      <c r="E23" s="12"/>
      <c r="F23" s="12"/>
      <c r="G23" s="309" t="s">
        <v>76</v>
      </c>
      <c r="H23" s="319">
        <v>12</v>
      </c>
      <c r="I23" s="12"/>
    </row>
    <row r="24" spans="1:9" s="21" customFormat="1">
      <c r="A24" s="40" t="s">
        <v>98</v>
      </c>
      <c r="B24" s="40"/>
      <c r="C24" s="33">
        <v>40</v>
      </c>
      <c r="D24" s="39" t="s">
        <v>75</v>
      </c>
      <c r="E24" s="25"/>
      <c r="F24" s="25"/>
      <c r="G24" s="7"/>
      <c r="H24" s="8"/>
      <c r="I24" s="25"/>
    </row>
    <row r="25" spans="1:9">
      <c r="A25" s="26" t="s">
        <v>56</v>
      </c>
      <c r="B25" s="40"/>
      <c r="C25" s="24">
        <v>47</v>
      </c>
      <c r="D25" s="25"/>
      <c r="E25" s="12"/>
      <c r="F25" s="12"/>
      <c r="G25" s="12"/>
      <c r="H25" s="12"/>
      <c r="I25" s="12"/>
    </row>
    <row r="26" spans="1:9">
      <c r="A26" s="26" t="s">
        <v>57</v>
      </c>
      <c r="B26" s="40"/>
      <c r="C26" s="24">
        <v>68</v>
      </c>
      <c r="D26" s="25"/>
      <c r="E26" s="12"/>
      <c r="F26" s="12"/>
      <c r="G26" s="12"/>
      <c r="H26" s="12"/>
      <c r="I26" s="12"/>
    </row>
    <row r="27" spans="1:9">
      <c r="A27" s="26" t="s">
        <v>58</v>
      </c>
      <c r="B27" s="40"/>
      <c r="C27" s="24">
        <v>34</v>
      </c>
      <c r="D27" s="25"/>
      <c r="E27" s="12"/>
      <c r="F27" s="12"/>
      <c r="G27" s="12"/>
      <c r="H27" s="12"/>
      <c r="I27" s="12"/>
    </row>
    <row r="28" spans="1:9">
      <c r="A28" s="26" t="s">
        <v>28</v>
      </c>
      <c r="B28" s="40"/>
      <c r="C28" s="24">
        <v>34</v>
      </c>
      <c r="D28" s="25"/>
      <c r="E28" s="12"/>
      <c r="F28" s="12"/>
      <c r="G28" s="12"/>
      <c r="H28" s="12"/>
      <c r="I28" s="12"/>
    </row>
    <row r="29" spans="1:9">
      <c r="A29" s="23" t="s">
        <v>59</v>
      </c>
      <c r="B29" s="23"/>
      <c r="C29" s="24"/>
      <c r="D29" s="25"/>
      <c r="E29" s="12"/>
      <c r="F29" s="12"/>
      <c r="G29" s="12"/>
      <c r="H29" s="12"/>
      <c r="I29" s="12"/>
    </row>
    <row r="30" spans="1:9">
      <c r="A30" s="26" t="s">
        <v>60</v>
      </c>
      <c r="B30" s="40"/>
      <c r="C30" s="24">
        <v>29</v>
      </c>
      <c r="D30" s="25"/>
      <c r="E30" s="12"/>
      <c r="F30" s="12"/>
      <c r="G30" s="12"/>
      <c r="H30" s="12"/>
      <c r="I30" s="12"/>
    </row>
    <row r="31" spans="1:9" s="21" customFormat="1">
      <c r="A31" s="40" t="s">
        <v>72</v>
      </c>
      <c r="B31" s="40"/>
      <c r="C31" s="33">
        <v>125</v>
      </c>
      <c r="D31" s="39"/>
      <c r="E31" s="39"/>
      <c r="F31" s="39"/>
      <c r="G31" s="39"/>
      <c r="H31" s="39"/>
      <c r="I31" s="39"/>
    </row>
    <row r="32" spans="1:9">
      <c r="A32" s="26" t="s">
        <v>61</v>
      </c>
      <c r="B32" s="40"/>
      <c r="C32" s="24">
        <v>175</v>
      </c>
      <c r="D32" s="25"/>
      <c r="E32" s="12"/>
      <c r="F32" s="12"/>
      <c r="G32" s="12"/>
      <c r="H32" s="12"/>
      <c r="I32" s="12"/>
    </row>
    <row r="33" spans="1:9" s="110" customFormat="1">
      <c r="A33" s="108" t="s">
        <v>62</v>
      </c>
      <c r="B33" s="108"/>
      <c r="C33" s="105">
        <v>250</v>
      </c>
      <c r="D33" s="95"/>
      <c r="E33" s="95"/>
      <c r="F33" s="95"/>
      <c r="G33" s="95"/>
      <c r="H33" s="95"/>
      <c r="I33" s="95"/>
    </row>
    <row r="34" spans="1:9" s="110" customFormat="1">
      <c r="A34" s="108" t="s">
        <v>63</v>
      </c>
      <c r="B34" s="108"/>
      <c r="C34" s="105">
        <v>324</v>
      </c>
      <c r="D34" s="95"/>
      <c r="E34" s="95"/>
      <c r="F34" s="95"/>
      <c r="G34" s="95"/>
      <c r="H34" s="95"/>
      <c r="I34" s="95"/>
    </row>
    <row r="35" spans="1:9" s="110" customFormat="1">
      <c r="A35" s="108" t="s">
        <v>64</v>
      </c>
      <c r="B35" s="108"/>
      <c r="C35" s="105">
        <v>473</v>
      </c>
      <c r="D35" s="95"/>
      <c r="E35" s="95"/>
      <c r="F35" s="95"/>
      <c r="G35" s="95"/>
      <c r="H35" s="95"/>
      <c r="I35" s="95"/>
    </row>
    <row r="36" spans="1:9" s="110" customFormat="1">
      <c r="A36" s="108" t="s">
        <v>65</v>
      </c>
      <c r="B36" s="108"/>
      <c r="C36" s="105">
        <v>613</v>
      </c>
      <c r="D36" s="95"/>
      <c r="E36" s="95"/>
      <c r="F36" s="95"/>
      <c r="G36" s="95"/>
      <c r="H36" s="95"/>
      <c r="I36" s="95"/>
    </row>
    <row r="37" spans="1:9" s="110" customFormat="1">
      <c r="A37" s="108" t="s">
        <v>66</v>
      </c>
      <c r="B37" s="108"/>
      <c r="C37" s="105">
        <v>840</v>
      </c>
      <c r="D37" s="95"/>
      <c r="E37" s="95"/>
      <c r="F37" s="95"/>
      <c r="G37" s="95"/>
      <c r="H37" s="95"/>
      <c r="I37" s="95"/>
    </row>
    <row r="38" spans="1:9" s="110" customFormat="1">
      <c r="A38" s="108" t="s">
        <v>67</v>
      </c>
      <c r="B38" s="108"/>
      <c r="C38" s="105">
        <v>980</v>
      </c>
      <c r="D38" s="106"/>
      <c r="E38" s="95"/>
      <c r="F38" s="95"/>
      <c r="G38" s="95"/>
      <c r="H38" s="95"/>
      <c r="I38" s="95"/>
    </row>
    <row r="39" spans="1:9" s="21" customFormat="1">
      <c r="A39" s="73" t="s">
        <v>94</v>
      </c>
      <c r="B39" s="73">
        <v>2.25</v>
      </c>
      <c r="C39" s="33"/>
      <c r="D39" s="72"/>
      <c r="E39" s="39"/>
      <c r="F39" s="39"/>
      <c r="G39" s="39"/>
      <c r="H39" s="39"/>
      <c r="I39" s="39"/>
    </row>
    <row r="40" spans="1:9" s="21" customFormat="1">
      <c r="A40" s="26" t="s">
        <v>69</v>
      </c>
      <c r="B40" s="40"/>
      <c r="C40" s="24">
        <f>C34*$B$39</f>
        <v>729</v>
      </c>
      <c r="D40" s="25" t="s">
        <v>75</v>
      </c>
      <c r="E40" s="22"/>
      <c r="F40" s="22"/>
      <c r="G40" s="22"/>
      <c r="H40" s="22"/>
      <c r="I40" s="22"/>
    </row>
    <row r="41" spans="1:9" s="21" customFormat="1">
      <c r="A41" s="26" t="s">
        <v>70</v>
      </c>
      <c r="B41" s="40"/>
      <c r="C41" s="33">
        <f>C36*$B$39</f>
        <v>1379.25</v>
      </c>
      <c r="D41" s="39" t="s">
        <v>75</v>
      </c>
      <c r="E41" s="22"/>
      <c r="F41" s="22"/>
      <c r="G41" s="22"/>
      <c r="H41" s="22"/>
      <c r="I41" s="22"/>
    </row>
    <row r="42" spans="1:9" s="21" customFormat="1">
      <c r="A42" s="26" t="s">
        <v>71</v>
      </c>
      <c r="B42" s="40"/>
      <c r="C42" s="33">
        <f>C37*$B$39</f>
        <v>1890</v>
      </c>
      <c r="D42" s="39" t="s">
        <v>75</v>
      </c>
      <c r="E42" s="22"/>
      <c r="F42" s="22"/>
      <c r="G42" s="22"/>
      <c r="H42" s="22"/>
      <c r="I42" s="22"/>
    </row>
    <row r="43" spans="1:9" s="21" customFormat="1">
      <c r="A43" s="73" t="s">
        <v>93</v>
      </c>
      <c r="B43" s="73">
        <v>3</v>
      </c>
      <c r="C43" s="33"/>
      <c r="D43" s="39"/>
      <c r="E43" s="39"/>
      <c r="F43" s="39"/>
      <c r="G43" s="39"/>
      <c r="H43" s="39"/>
      <c r="I43" s="39"/>
    </row>
    <row r="44" spans="1:9" s="21" customFormat="1">
      <c r="A44" s="40" t="s">
        <v>69</v>
      </c>
      <c r="B44" s="40"/>
      <c r="C44" s="75">
        <f>C34*$B$43</f>
        <v>972</v>
      </c>
      <c r="D44" s="39" t="s">
        <v>75</v>
      </c>
      <c r="E44" s="39"/>
      <c r="F44" s="39"/>
      <c r="G44" s="39"/>
      <c r="H44" s="39"/>
      <c r="I44" s="39"/>
    </row>
    <row r="45" spans="1:9" s="21" customFormat="1">
      <c r="A45" s="40" t="s">
        <v>68</v>
      </c>
      <c r="B45" s="40"/>
      <c r="C45" s="75">
        <f t="shared" ref="C45:C47" si="0">C35*$B$43</f>
        <v>1419</v>
      </c>
      <c r="D45" s="39" t="s">
        <v>75</v>
      </c>
      <c r="E45" s="39"/>
      <c r="F45" s="39"/>
      <c r="G45" s="39"/>
      <c r="H45" s="39"/>
      <c r="I45" s="39"/>
    </row>
    <row r="46" spans="1:9" s="21" customFormat="1">
      <c r="A46" s="40" t="s">
        <v>70</v>
      </c>
      <c r="B46" s="40"/>
      <c r="C46" s="75">
        <f t="shared" si="0"/>
        <v>1839</v>
      </c>
      <c r="D46" s="39" t="s">
        <v>75</v>
      </c>
      <c r="E46" s="39"/>
      <c r="F46" s="39"/>
      <c r="G46" s="39"/>
      <c r="H46" s="39"/>
      <c r="I46" s="39"/>
    </row>
    <row r="47" spans="1:9" s="21" customFormat="1">
      <c r="A47" s="40" t="s">
        <v>71</v>
      </c>
      <c r="B47" s="40"/>
      <c r="C47" s="75">
        <f t="shared" si="0"/>
        <v>2520</v>
      </c>
      <c r="D47" s="39" t="s">
        <v>75</v>
      </c>
      <c r="E47" s="39"/>
      <c r="F47" s="39"/>
      <c r="G47" s="39"/>
      <c r="H47" s="39"/>
      <c r="I47" s="39"/>
    </row>
    <row r="48" spans="1:9" s="21" customFormat="1">
      <c r="A48" s="73" t="s">
        <v>95</v>
      </c>
      <c r="B48" s="73">
        <v>4</v>
      </c>
      <c r="C48" s="33"/>
      <c r="D48" s="39"/>
      <c r="E48" s="39"/>
      <c r="F48" s="39"/>
      <c r="G48" s="39"/>
      <c r="H48" s="39"/>
      <c r="I48" s="39"/>
    </row>
    <row r="49" spans="1:10" s="21" customFormat="1">
      <c r="A49" s="40" t="s">
        <v>68</v>
      </c>
      <c r="B49" s="40"/>
      <c r="C49" s="75">
        <f t="shared" ref="C49:C51" si="1">C35*$B$48</f>
        <v>1892</v>
      </c>
      <c r="D49" s="39" t="s">
        <v>75</v>
      </c>
      <c r="E49" s="39"/>
      <c r="F49" s="39"/>
      <c r="G49" s="39"/>
      <c r="H49" s="39"/>
      <c r="I49" s="39"/>
    </row>
    <row r="50" spans="1:10" s="21" customFormat="1">
      <c r="A50" s="40" t="s">
        <v>70</v>
      </c>
      <c r="B50" s="40"/>
      <c r="C50" s="75">
        <f t="shared" si="1"/>
        <v>2452</v>
      </c>
      <c r="D50" s="39" t="s">
        <v>75</v>
      </c>
      <c r="E50" s="39"/>
      <c r="F50" s="39"/>
      <c r="G50" s="39"/>
      <c r="H50" s="39"/>
      <c r="I50" s="39"/>
    </row>
    <row r="51" spans="1:10" s="21" customFormat="1">
      <c r="A51" s="40" t="s">
        <v>71</v>
      </c>
      <c r="B51" s="40"/>
      <c r="C51" s="75">
        <f t="shared" si="1"/>
        <v>3360</v>
      </c>
      <c r="D51" s="39" t="s">
        <v>75</v>
      </c>
      <c r="E51" s="39"/>
      <c r="F51" s="39"/>
      <c r="G51" s="39"/>
      <c r="H51" s="39"/>
      <c r="I51" s="39"/>
    </row>
    <row r="52" spans="1:10" s="21" customFormat="1">
      <c r="A52" s="73" t="s">
        <v>96</v>
      </c>
      <c r="B52" s="73">
        <v>5</v>
      </c>
      <c r="C52" s="33"/>
      <c r="D52" s="39"/>
      <c r="E52" s="39"/>
      <c r="F52" s="39"/>
      <c r="G52" s="39"/>
      <c r="H52" s="39"/>
      <c r="I52" s="39"/>
    </row>
    <row r="53" spans="1:10" s="21" customFormat="1">
      <c r="A53" s="40" t="s">
        <v>70</v>
      </c>
      <c r="B53" s="40"/>
      <c r="C53" s="75">
        <f>C36*$B$52</f>
        <v>3065</v>
      </c>
      <c r="D53" s="39" t="s">
        <v>75</v>
      </c>
      <c r="E53" s="39"/>
      <c r="F53" s="39"/>
      <c r="G53" s="39"/>
      <c r="H53" s="39"/>
      <c r="I53" s="39"/>
    </row>
    <row r="54" spans="1:10" s="21" customFormat="1">
      <c r="A54" s="40" t="s">
        <v>71</v>
      </c>
      <c r="B54" s="40"/>
      <c r="C54" s="75">
        <f>C37*$B$52</f>
        <v>4200</v>
      </c>
      <c r="D54" s="39" t="s">
        <v>75</v>
      </c>
      <c r="E54" s="39"/>
      <c r="F54" s="39"/>
      <c r="G54" s="39"/>
      <c r="H54" s="39"/>
      <c r="I54" s="39"/>
    </row>
    <row r="55" spans="1:10">
      <c r="C55" s="487" t="s">
        <v>102</v>
      </c>
      <c r="D55" s="487"/>
    </row>
    <row r="56" spans="1:10">
      <c r="C56" s="3" t="s">
        <v>103</v>
      </c>
    </row>
    <row r="58" spans="1:10">
      <c r="A58" s="20" t="s">
        <v>92</v>
      </c>
      <c r="B58" s="43"/>
      <c r="C58" s="18" t="s">
        <v>4</v>
      </c>
      <c r="D58" s="18" t="s">
        <v>5</v>
      </c>
      <c r="G58" s="486" t="s">
        <v>23</v>
      </c>
      <c r="H58" s="486"/>
    </row>
    <row r="59" spans="1:10">
      <c r="A59" s="14" t="s">
        <v>6</v>
      </c>
      <c r="B59" s="71"/>
      <c r="C59" s="384">
        <v>106.77</v>
      </c>
      <c r="D59" s="68">
        <f>C59/2000</f>
        <v>5.3384999999999995E-2</v>
      </c>
      <c r="G59" s="3" t="s">
        <v>24</v>
      </c>
      <c r="H59" s="4">
        <v>1.7500000000000002E-2</v>
      </c>
    </row>
    <row r="60" spans="1:10">
      <c r="A60" s="14" t="s">
        <v>7</v>
      </c>
      <c r="B60" s="71"/>
      <c r="C60" s="385">
        <v>109.5</v>
      </c>
      <c r="D60" s="69">
        <f>C60/2000</f>
        <v>5.475E-2</v>
      </c>
      <c r="G60" s="3" t="s">
        <v>25</v>
      </c>
      <c r="H60" s="5">
        <f>0.0051</f>
        <v>5.1000000000000004E-3</v>
      </c>
    </row>
    <row r="61" spans="1:10">
      <c r="A61" s="13" t="s">
        <v>8</v>
      </c>
      <c r="B61" s="40"/>
      <c r="C61" s="67">
        <f>C60-C59</f>
        <v>2.730000000000004</v>
      </c>
      <c r="D61" s="70">
        <f>D60-D59</f>
        <v>1.3650000000000051E-3</v>
      </c>
      <c r="E61" s="66">
        <f>C61/C59</f>
        <v>2.5568980050576041E-2</v>
      </c>
      <c r="G61" s="3" t="s">
        <v>43</v>
      </c>
      <c r="H61" s="6"/>
    </row>
    <row r="62" spans="1:10">
      <c r="C62" s="1">
        <f>ROUND(2.32+0.41-C61,2)</f>
        <v>0</v>
      </c>
      <c r="D62" s="65"/>
      <c r="G62" s="3" t="s">
        <v>14</v>
      </c>
      <c r="H62" s="15">
        <f>SUM(H59:H61)</f>
        <v>2.2600000000000002E-2</v>
      </c>
      <c r="J62" s="64"/>
    </row>
    <row r="63" spans="1:10">
      <c r="C63" s="19" t="s">
        <v>82</v>
      </c>
      <c r="E63" s="348"/>
    </row>
    <row r="64" spans="1:10">
      <c r="A64" s="3" t="s">
        <v>2</v>
      </c>
      <c r="C64" s="16">
        <f>C61</f>
        <v>2.730000000000004</v>
      </c>
      <c r="D64" s="65"/>
      <c r="E64" s="429"/>
      <c r="G64" s="3" t="s">
        <v>26</v>
      </c>
      <c r="H64" s="17">
        <f>1-H62</f>
        <v>0.97740000000000005</v>
      </c>
    </row>
    <row r="65" spans="1:16">
      <c r="A65" s="3" t="s">
        <v>22</v>
      </c>
      <c r="C65" s="16">
        <f>C64/$H$64</f>
        <v>2.79312461632904</v>
      </c>
      <c r="D65" s="65"/>
    </row>
    <row r="66" spans="1:16">
      <c r="A66" s="3" t="s">
        <v>21</v>
      </c>
      <c r="C66" s="136">
        <f>'DF Calculation'!D84</f>
        <v>9857.64</v>
      </c>
      <c r="D66" s="16"/>
      <c r="E66" s="54"/>
    </row>
    <row r="67" spans="1:16">
      <c r="A67" s="2" t="s">
        <v>27</v>
      </c>
      <c r="B67" s="23"/>
      <c r="C67" s="82">
        <f>C65*C66</f>
        <v>27533.616942909797</v>
      </c>
      <c r="E67" s="54"/>
    </row>
    <row r="68" spans="1:16">
      <c r="E68" s="49"/>
    </row>
    <row r="69" spans="1:16">
      <c r="M69" s="21"/>
    </row>
    <row r="70" spans="1:16" ht="15.75" thickBot="1"/>
    <row r="71" spans="1:16">
      <c r="A71" s="57" t="s">
        <v>79</v>
      </c>
      <c r="B71" s="74"/>
      <c r="C71" s="76" t="s">
        <v>77</v>
      </c>
      <c r="E71" s="16"/>
    </row>
    <row r="72" spans="1:16">
      <c r="A72" s="58" t="s">
        <v>78</v>
      </c>
      <c r="B72" s="49"/>
      <c r="C72" s="135">
        <f>'DF Calculation'!L87-'DF Calculation'!J87</f>
        <v>27506.394712148234</v>
      </c>
    </row>
    <row r="73" spans="1:16">
      <c r="A73" s="58" t="s">
        <v>11</v>
      </c>
      <c r="B73" s="49"/>
      <c r="C73" s="135">
        <f>C67-C72</f>
        <v>27.222230761562969</v>
      </c>
      <c r="D73" s="137" t="s">
        <v>154</v>
      </c>
      <c r="L73" s="110"/>
      <c r="M73" s="110"/>
      <c r="N73" s="110"/>
      <c r="O73" s="110"/>
      <c r="P73" s="110"/>
    </row>
    <row r="74" spans="1:16" ht="15.75" thickBot="1">
      <c r="A74" s="83"/>
      <c r="B74" s="86"/>
      <c r="C74" s="87"/>
    </row>
    <row r="75" spans="1:16">
      <c r="A75" s="51"/>
      <c r="B75" s="84"/>
      <c r="C75" s="85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I133"/>
  <sheetViews>
    <sheetView view="pageBreakPreview" zoomScale="60" zoomScaleNormal="85" workbookViewId="0">
      <pane xSplit="1" ySplit="6" topLeftCell="B60" activePane="bottomRight" state="frozen"/>
      <selection pane="topRight" activeCell="B1" sqref="B1"/>
      <selection pane="bottomLeft" activeCell="A7" sqref="A7"/>
      <selection pane="bottomRight" activeCell="O82" sqref="O82"/>
    </sheetView>
  </sheetViews>
  <sheetFormatPr defaultColWidth="8.85546875" defaultRowHeight="15" outlineLevelCol="1"/>
  <cols>
    <col min="1" max="1" width="5.85546875" style="91" customWidth="1"/>
    <col min="2" max="2" width="7.5703125" style="53" customWidth="1"/>
    <col min="3" max="3" width="29.7109375" style="53" customWidth="1"/>
    <col min="4" max="4" width="33.7109375" style="98" customWidth="1"/>
    <col min="5" max="5" width="33.7109375" style="98" customWidth="1" outlineLevel="1"/>
    <col min="6" max="6" width="12.85546875" style="50" customWidth="1" outlineLevel="1"/>
    <col min="7" max="8" width="12.85546875" style="98" customWidth="1" outlineLevel="1"/>
    <col min="9" max="9" width="12.85546875" style="48" customWidth="1" outlineLevel="1"/>
    <col min="10" max="11" width="12.85546875" style="98" customWidth="1" outlineLevel="1"/>
    <col min="12" max="14" width="12.85546875" style="98" customWidth="1"/>
    <col min="15" max="16" width="12.85546875" style="151" customWidth="1"/>
    <col min="17" max="18" width="12.85546875" style="98" customWidth="1"/>
    <col min="19" max="19" width="12.85546875" style="61" customWidth="1"/>
    <col min="20" max="20" width="9.42578125" style="98" customWidth="1"/>
    <col min="21" max="21" width="12.42578125" style="154" customWidth="1"/>
    <col min="22" max="22" width="11.7109375" style="151" bestFit="1" customWidth="1"/>
    <col min="23" max="16384" width="8.85546875" style="151"/>
  </cols>
  <sheetData>
    <row r="1" spans="1:21">
      <c r="A1" s="23" t="s">
        <v>795</v>
      </c>
      <c r="D1" s="320" t="s">
        <v>932</v>
      </c>
      <c r="E1" s="50"/>
      <c r="H1" s="107"/>
      <c r="O1" s="113"/>
    </row>
    <row r="2" spans="1:21">
      <c r="A2" s="91" t="s">
        <v>105</v>
      </c>
      <c r="D2" s="369" t="s">
        <v>933</v>
      </c>
      <c r="E2" s="50"/>
      <c r="H2" s="107"/>
      <c r="I2" s="177"/>
      <c r="O2" s="113"/>
    </row>
    <row r="3" spans="1:21">
      <c r="A3" s="91" t="s">
        <v>794</v>
      </c>
      <c r="D3" s="406" t="s">
        <v>858</v>
      </c>
      <c r="E3" s="50"/>
      <c r="H3" s="107"/>
      <c r="N3" s="29"/>
      <c r="O3" s="113"/>
    </row>
    <row r="4" spans="1:21">
      <c r="D4" s="383" t="s">
        <v>153</v>
      </c>
      <c r="E4" s="50"/>
      <c r="I4" s="177"/>
      <c r="N4" s="29"/>
      <c r="O4" s="29"/>
    </row>
    <row r="5" spans="1:21">
      <c r="E5" s="50"/>
      <c r="F5" s="94"/>
      <c r="G5" s="93"/>
      <c r="H5" s="94"/>
      <c r="I5" s="93"/>
      <c r="J5" s="94"/>
      <c r="K5" s="93"/>
      <c r="L5" s="146"/>
      <c r="M5" s="146"/>
      <c r="N5" s="93"/>
      <c r="O5" s="146"/>
      <c r="P5" s="146"/>
    </row>
    <row r="6" spans="1:21" s="175" customFormat="1" ht="60">
      <c r="A6" s="159"/>
      <c r="B6" s="116" t="s">
        <v>13</v>
      </c>
      <c r="C6" s="116" t="s">
        <v>874</v>
      </c>
      <c r="D6" s="116" t="s">
        <v>129</v>
      </c>
      <c r="E6" s="116" t="s">
        <v>791</v>
      </c>
      <c r="F6" s="116" t="s">
        <v>130</v>
      </c>
      <c r="G6" s="116" t="s">
        <v>9</v>
      </c>
      <c r="H6" s="116" t="s">
        <v>31</v>
      </c>
      <c r="I6" s="117" t="s">
        <v>32</v>
      </c>
      <c r="J6" s="116" t="s">
        <v>8</v>
      </c>
      <c r="K6" s="116" t="s">
        <v>0</v>
      </c>
      <c r="L6" s="370" t="s">
        <v>887</v>
      </c>
      <c r="M6" s="162" t="s">
        <v>885</v>
      </c>
      <c r="N6" s="116" t="s">
        <v>34</v>
      </c>
      <c r="O6" s="370" t="s">
        <v>888</v>
      </c>
      <c r="P6" s="162" t="s">
        <v>886</v>
      </c>
      <c r="Q6" s="116" t="s">
        <v>33</v>
      </c>
      <c r="R6" s="116" t="s">
        <v>99</v>
      </c>
      <c r="S6" s="118" t="s">
        <v>35</v>
      </c>
      <c r="T6" s="173" t="s">
        <v>149</v>
      </c>
      <c r="U6" s="174"/>
    </row>
    <row r="7" spans="1:21">
      <c r="A7" s="491" t="s">
        <v>785</v>
      </c>
      <c r="B7" s="149">
        <v>15</v>
      </c>
      <c r="C7" s="107" t="s">
        <v>340</v>
      </c>
      <c r="D7" s="114" t="str">
        <f>VLOOKUP(C7,Mapping!$D$2:$H$91,5,FALSE)</f>
        <v>CAN OVERWEIGHT/OVERFILL</v>
      </c>
      <c r="E7" s="312"/>
      <c r="F7" s="153">
        <f>SUMIFS(Mapping!M:M,Mapping!A:A,"Residential",Mapping!D:D,'DF Calculation'!C7)</f>
        <v>1.0028530670470757</v>
      </c>
      <c r="G7" s="153">
        <f>VLOOKUP(C7,Mapping!D:L,7,FALSE)</f>
        <v>34</v>
      </c>
      <c r="H7" s="153">
        <f>F7*G7</f>
        <v>34.097004279600576</v>
      </c>
      <c r="I7" s="41">
        <f t="shared" ref="I7:I44" si="0">$D$87*H7</f>
        <v>33.630842458428916</v>
      </c>
      <c r="J7" s="115">
        <f>(References!$D$61*I7)</f>
        <v>4.590609995575564E-2</v>
      </c>
      <c r="K7" s="115">
        <f>J7/References!$H$64</f>
        <v>4.6967566969260938E-2</v>
      </c>
      <c r="L7" s="371">
        <v>7.66</v>
      </c>
      <c r="M7" s="380">
        <v>7.63</v>
      </c>
      <c r="N7" s="152">
        <f>IFERROR((K7/F7),0)*References!$C$14</f>
        <v>4.6833946579590204E-2</v>
      </c>
      <c r="O7" s="321">
        <f>N7+L7</f>
        <v>7.7068339465795903</v>
      </c>
      <c r="P7" s="372">
        <f>M7+N7</f>
        <v>7.6768339465795901</v>
      </c>
      <c r="Q7" s="115">
        <f>(F7/References!$C$14)*'DF Calculation'!L7</f>
        <v>7.6818544935805999</v>
      </c>
      <c r="R7" s="115">
        <f>(F7/References!$C$14)*'DF Calculation'!O7</f>
        <v>7.7288220605498603</v>
      </c>
      <c r="S7" s="115">
        <f>R7-Q7</f>
        <v>4.696756696926041E-2</v>
      </c>
      <c r="T7" s="157">
        <f>(((G7*$D$87)*(References!$D$61/References!$H$64))*References!$C$14)-N7</f>
        <v>0</v>
      </c>
      <c r="U7" s="178"/>
    </row>
    <row r="8" spans="1:21" ht="15" customHeight="1">
      <c r="A8" s="491"/>
      <c r="B8" s="42">
        <v>20</v>
      </c>
      <c r="C8" s="107" t="s">
        <v>191</v>
      </c>
      <c r="D8" s="114" t="str">
        <f>VLOOKUP(C8,Mapping!$D$2:$H$91,5,FALSE)</f>
        <v>Mini Can WG</v>
      </c>
      <c r="E8" s="312"/>
      <c r="F8" s="99">
        <f>SUMIFS(Mapping!M:M,Mapping!A:A,"Residential",Mapping!D:D,'DF Calculation'!C8)</f>
        <v>4401.0198721285715</v>
      </c>
      <c r="G8" s="153">
        <f>VLOOKUP(C8,Mapping!D:L,7,FALSE)</f>
        <v>20</v>
      </c>
      <c r="H8" s="153">
        <f t="shared" ref="H8:H44" si="1">F8*G8</f>
        <v>88020.397442571426</v>
      </c>
      <c r="I8" s="41">
        <f t="shared" si="0"/>
        <v>86817.014634052073</v>
      </c>
      <c r="J8" s="115">
        <f>(References!$D$61*I8)</f>
        <v>118.50522497548153</v>
      </c>
      <c r="K8" s="115">
        <f>J8/References!$H$64</f>
        <v>121.24537034528495</v>
      </c>
      <c r="L8" s="371">
        <v>12.76</v>
      </c>
      <c r="M8" s="380">
        <v>12.71</v>
      </c>
      <c r="N8" s="152">
        <f>IFERROR((K8/F8),0)*References!$C$11</f>
        <v>0.11938064814405346</v>
      </c>
      <c r="O8" s="321">
        <f t="shared" ref="O8" si="2">N8+L8</f>
        <v>12.879380648144053</v>
      </c>
      <c r="P8" s="372">
        <f>M8+N8</f>
        <v>12.829380648144054</v>
      </c>
      <c r="Q8" s="115">
        <f>(F8/References!$C$11)*'DF Calculation'!L8</f>
        <v>12959.310823467824</v>
      </c>
      <c r="R8" s="115">
        <f>(F8/References!$C$11)*'DF Calculation'!O8</f>
        <v>13080.55619381311</v>
      </c>
      <c r="S8" s="115">
        <f t="shared" ref="S8" si="3">R8-Q8</f>
        <v>121.24537034528657</v>
      </c>
      <c r="T8" s="157">
        <f>(((G8*$D$87)*(References!$D$61/References!$H$64))*References!$C$11)-N8</f>
        <v>0</v>
      </c>
      <c r="U8" s="178"/>
    </row>
    <row r="9" spans="1:21">
      <c r="A9" s="491"/>
      <c r="B9" s="149">
        <v>20</v>
      </c>
      <c r="C9" s="107" t="s">
        <v>193</v>
      </c>
      <c r="D9" s="114" t="str">
        <f>VLOOKUP(C9,Mapping!$D$2:$H$91,5,FALSE)</f>
        <v>Mini Can WG-NR</v>
      </c>
      <c r="E9" s="312"/>
      <c r="F9" s="153">
        <f>SUMIFS(Mapping!M:M,Mapping!A:A,"Residential",Mapping!D:D,'DF Calculation'!C9)</f>
        <v>364.33260233918128</v>
      </c>
      <c r="G9" s="153">
        <f>VLOOKUP(C9,Mapping!D:L,7,FALSE)</f>
        <v>20</v>
      </c>
      <c r="H9" s="153">
        <f t="shared" si="1"/>
        <v>7286.6520467836253</v>
      </c>
      <c r="I9" s="41">
        <f t="shared" si="0"/>
        <v>7187.0315944846816</v>
      </c>
      <c r="J9" s="115">
        <f>(References!$D$61*I9)</f>
        <v>9.8102981264716274</v>
      </c>
      <c r="K9" s="115">
        <f>J9/References!$H$64</f>
        <v>10.037137432444881</v>
      </c>
      <c r="L9" s="371">
        <v>14.76</v>
      </c>
      <c r="M9" s="380">
        <v>14.71</v>
      </c>
      <c r="N9" s="152">
        <f>IFERROR((K9/F9),0)*References!$C$11</f>
        <v>0.11938064814405347</v>
      </c>
      <c r="O9" s="321">
        <f t="shared" ref="O9:O38" si="4">N9+L9</f>
        <v>14.879380648144053</v>
      </c>
      <c r="P9" s="372">
        <f t="shared" ref="P9:P38" si="5">M9+N9</f>
        <v>14.829380648144054</v>
      </c>
      <c r="Q9" s="115">
        <f>(F9/References!$C$11)*'DF Calculation'!L9</f>
        <v>1240.9728947368421</v>
      </c>
      <c r="R9" s="115">
        <f>(F9/References!$C$11)*'DF Calculation'!O9</f>
        <v>1251.0100321692871</v>
      </c>
      <c r="S9" s="115">
        <f t="shared" ref="S9:S38" si="6">R9-Q9</f>
        <v>10.037137432444979</v>
      </c>
      <c r="T9" s="157">
        <f>(((G9*$D$87)*(References!$D$61/References!$H$64))*References!$C$11)-N9</f>
        <v>0</v>
      </c>
      <c r="U9" s="178"/>
    </row>
    <row r="10" spans="1:21">
      <c r="A10" s="491"/>
      <c r="B10" s="149">
        <v>20</v>
      </c>
      <c r="C10" s="107" t="s">
        <v>200</v>
      </c>
      <c r="D10" s="114" t="str">
        <f>VLOOKUP(C10,Mapping!$D$2:$H$91,5,FALSE)</f>
        <v>32 Gal Can -1 MG</v>
      </c>
      <c r="E10" s="312"/>
      <c r="F10" s="153">
        <f>SUMIFS(Mapping!M:M,Mapping!A:A,"Residential",Mapping!D:D,'DF Calculation'!C10)</f>
        <v>497.09303877233299</v>
      </c>
      <c r="G10" s="153">
        <f>VLOOKUP(C10,Mapping!D:L,7,FALSE)</f>
        <v>34</v>
      </c>
      <c r="H10" s="153">
        <f t="shared" si="1"/>
        <v>16901.163318259321</v>
      </c>
      <c r="I10" s="41">
        <f t="shared" si="0"/>
        <v>16670.09677036693</v>
      </c>
      <c r="J10" s="115">
        <f>(References!$D$61*I10)</f>
        <v>22.754682091550944</v>
      </c>
      <c r="K10" s="115">
        <f>J10/References!$H$64</f>
        <v>23.280828822949605</v>
      </c>
      <c r="L10" s="371">
        <v>7.17</v>
      </c>
      <c r="M10" s="380">
        <v>7.14</v>
      </c>
      <c r="N10" s="152">
        <f>IFERROR((K10/F10),0)*References!$C$13</f>
        <v>4.6833946579590204E-2</v>
      </c>
      <c r="O10" s="321">
        <f t="shared" si="4"/>
        <v>7.2168339465795901</v>
      </c>
      <c r="P10" s="372">
        <f t="shared" si="5"/>
        <v>7.1868339465795898</v>
      </c>
      <c r="Q10" s="115">
        <f>(F10/References!$C$13)*'DF Calculation'!L10</f>
        <v>3564.1570879976275</v>
      </c>
      <c r="R10" s="115">
        <f>(F10/References!$C$13)*'DF Calculation'!O10</f>
        <v>3587.4379168205769</v>
      </c>
      <c r="S10" s="115">
        <f t="shared" si="6"/>
        <v>23.280828822949388</v>
      </c>
      <c r="T10" s="157">
        <f>(((G10*$D$87)*(References!$D$61/References!$H$64))*References!$C$13)-N10</f>
        <v>0</v>
      </c>
      <c r="U10" s="178"/>
    </row>
    <row r="11" spans="1:21">
      <c r="A11" s="491"/>
      <c r="B11" s="149">
        <v>20</v>
      </c>
      <c r="C11" s="107" t="s">
        <v>203</v>
      </c>
      <c r="D11" s="114" t="str">
        <f>VLOOKUP(C11,Mapping!$D$2:$H$91,5,FALSE)</f>
        <v>32 Gal Can -1 MG-NR</v>
      </c>
      <c r="E11" s="312"/>
      <c r="F11" s="153">
        <f>SUMIFS(Mapping!M:M,Mapping!A:A,"Residential",Mapping!D:D,'DF Calculation'!C11)</f>
        <v>18.014018691588785</v>
      </c>
      <c r="G11" s="153">
        <f>VLOOKUP(C11,Mapping!D:L,7,FALSE)</f>
        <v>34</v>
      </c>
      <c r="H11" s="153">
        <f t="shared" si="1"/>
        <v>612.47663551401865</v>
      </c>
      <c r="I11" s="41">
        <f t="shared" si="0"/>
        <v>604.10307807492359</v>
      </c>
      <c r="J11" s="115">
        <f>(References!$D$61*I11)</f>
        <v>0.82460070157227383</v>
      </c>
      <c r="K11" s="115">
        <f>J11/References!$H$64</f>
        <v>0.84366758908560857</v>
      </c>
      <c r="L11" s="371">
        <v>9.17</v>
      </c>
      <c r="M11" s="380">
        <v>9.14</v>
      </c>
      <c r="N11" s="152">
        <f>IFERROR((K11/F11),0)*References!$C$13</f>
        <v>4.6833946579590204E-2</v>
      </c>
      <c r="O11" s="321">
        <f t="shared" si="4"/>
        <v>9.216833946579591</v>
      </c>
      <c r="P11" s="372">
        <f t="shared" si="5"/>
        <v>9.1868339465795916</v>
      </c>
      <c r="Q11" s="115">
        <f>(F11/References!$C$13)*'DF Calculation'!L11</f>
        <v>165.18855140186915</v>
      </c>
      <c r="R11" s="115">
        <f>(F11/References!$C$13)*'DF Calculation'!O11</f>
        <v>166.03221899095479</v>
      </c>
      <c r="S11" s="115">
        <f t="shared" si="6"/>
        <v>0.84366758908564066</v>
      </c>
      <c r="T11" s="157">
        <f>(((G11*$D$87)*(References!$D$61/References!$H$64))*References!$C$13)-N11</f>
        <v>0</v>
      </c>
      <c r="U11" s="178"/>
    </row>
    <row r="12" spans="1:21">
      <c r="A12" s="491"/>
      <c r="B12" s="149">
        <v>20</v>
      </c>
      <c r="C12" s="107" t="s">
        <v>207</v>
      </c>
      <c r="D12" s="114" t="str">
        <f>VLOOKUP(C12,Mapping!$D$2:$H$91,5,FALSE)</f>
        <v>32 Gal Can -1 WG-NR</v>
      </c>
      <c r="E12" s="312"/>
      <c r="F12" s="153">
        <f>SUMIFS(Mapping!M:M,Mapping!A:A,"Residential",Mapping!D:D,'DF Calculation'!C12)</f>
        <v>7983.3858616108946</v>
      </c>
      <c r="G12" s="153">
        <f>VLOOKUP(C12,Mapping!D:L,7,FALSE)</f>
        <v>34</v>
      </c>
      <c r="H12" s="153">
        <f t="shared" si="1"/>
        <v>271435.11929477041</v>
      </c>
      <c r="I12" s="41">
        <f t="shared" si="0"/>
        <v>267724.15722599719</v>
      </c>
      <c r="J12" s="115">
        <f>(References!$D$61*I12)</f>
        <v>365.44347461348752</v>
      </c>
      <c r="K12" s="115">
        <f>J12/References!$H$64</f>
        <v>373.89346696694037</v>
      </c>
      <c r="L12" s="371">
        <v>20.440000000000001</v>
      </c>
      <c r="M12" s="380">
        <v>20.37</v>
      </c>
      <c r="N12" s="152">
        <f>IFERROR((K12/F12),0)*References!$C$11</f>
        <v>0.20294710184489087</v>
      </c>
      <c r="O12" s="321">
        <f t="shared" si="4"/>
        <v>20.642947101844893</v>
      </c>
      <c r="P12" s="372">
        <f t="shared" si="5"/>
        <v>20.572947101844893</v>
      </c>
      <c r="Q12" s="115">
        <f>(F12/References!$C$11)*'DF Calculation'!L12</f>
        <v>37657.017002613858</v>
      </c>
      <c r="R12" s="115">
        <f>(F12/References!$C$11)*'DF Calculation'!O12</f>
        <v>38030.910469580798</v>
      </c>
      <c r="S12" s="115">
        <f t="shared" si="6"/>
        <v>373.89346696693974</v>
      </c>
      <c r="T12" s="157">
        <f>(((G12*$D$87)*(References!$D$61/References!$H$64))*References!$C$11)-N12</f>
        <v>0</v>
      </c>
      <c r="U12" s="178"/>
    </row>
    <row r="13" spans="1:21">
      <c r="A13" s="491"/>
      <c r="B13" s="149">
        <v>20</v>
      </c>
      <c r="C13" s="107" t="s">
        <v>209</v>
      </c>
      <c r="D13" s="114" t="str">
        <f>VLOOKUP(C13,Mapping!$D$2:$H$91,5,FALSE)</f>
        <v>32 Gal Can -2 WG-NR</v>
      </c>
      <c r="E13" s="312"/>
      <c r="F13" s="153">
        <f>SUMIFS(Mapping!M:M,Mapping!A:A,"Residential",Mapping!D:D,'DF Calculation'!C13)</f>
        <v>597.60226769063888</v>
      </c>
      <c r="G13" s="153">
        <f>VLOOKUP(C13,Mapping!D:L,7,FALSE)</f>
        <v>51</v>
      </c>
      <c r="H13" s="153">
        <f t="shared" si="1"/>
        <v>30477.715652222581</v>
      </c>
      <c r="I13" s="41">
        <f t="shared" si="0"/>
        <v>30061.035426678776</v>
      </c>
      <c r="J13" s="115">
        <f>(References!$D$61*I13)</f>
        <v>41.033313357416681</v>
      </c>
      <c r="K13" s="115">
        <f>J13/References!$H$64</f>
        <v>41.982109021298015</v>
      </c>
      <c r="L13" s="371">
        <v>30.35</v>
      </c>
      <c r="M13" s="380">
        <v>30.24</v>
      </c>
      <c r="N13" s="152">
        <f>IFERROR((K13/F13),0)*References!$C$11</f>
        <v>0.30442065276733626</v>
      </c>
      <c r="O13" s="321">
        <f t="shared" si="4"/>
        <v>30.654420652767339</v>
      </c>
      <c r="P13" s="372">
        <f t="shared" si="5"/>
        <v>30.544420652767336</v>
      </c>
      <c r="Q13" s="115">
        <f>(F13/References!$C$11)*'DF Calculation'!L13</f>
        <v>4185.5143440948214</v>
      </c>
      <c r="R13" s="115">
        <f>(F13/References!$C$11)*'DF Calculation'!O13</f>
        <v>4227.4964531161195</v>
      </c>
      <c r="S13" s="115">
        <f t="shared" si="6"/>
        <v>41.982109021298129</v>
      </c>
      <c r="T13" s="157">
        <f>(((G13*$D$87)*(References!$D$61/References!$H$64))*References!$C$11)-N13</f>
        <v>0</v>
      </c>
      <c r="U13" s="178"/>
    </row>
    <row r="14" spans="1:21">
      <c r="A14" s="491"/>
      <c r="B14" s="149">
        <v>20</v>
      </c>
      <c r="C14" s="107" t="s">
        <v>211</v>
      </c>
      <c r="D14" s="114" t="str">
        <f>VLOOKUP(C14,Mapping!$D$2:$H$91,5,FALSE)</f>
        <v>32 Gal Can -3 WG-NR</v>
      </c>
      <c r="E14" s="312"/>
      <c r="F14" s="153">
        <f>SUMIFS(Mapping!M:M,Mapping!A:A,"Residential",Mapping!D:D,'DF Calculation'!C14)</f>
        <v>98.691346882537431</v>
      </c>
      <c r="G14" s="153">
        <f>VLOOKUP(C14,Mapping!D:L,7,FALSE)</f>
        <v>77</v>
      </c>
      <c r="H14" s="153">
        <f t="shared" si="1"/>
        <v>7599.2337099553824</v>
      </c>
      <c r="I14" s="41">
        <f t="shared" si="0"/>
        <v>7495.3397550292239</v>
      </c>
      <c r="J14" s="115">
        <f>(References!$D$61*I14)</f>
        <v>10.231138765614929</v>
      </c>
      <c r="K14" s="115">
        <f>J14/References!$H$64</f>
        <v>10.467708988760926</v>
      </c>
      <c r="L14" s="371">
        <v>40.6</v>
      </c>
      <c r="M14" s="380">
        <v>40.44</v>
      </c>
      <c r="N14" s="152">
        <f>IFERROR((K14/F14),0)*References!$C$11</f>
        <v>0.45961549535460583</v>
      </c>
      <c r="O14" s="321">
        <f t="shared" si="4"/>
        <v>41.059615495354606</v>
      </c>
      <c r="P14" s="372">
        <f t="shared" si="5"/>
        <v>40.899615495354603</v>
      </c>
      <c r="Q14" s="115">
        <f>(F14/References!$C$11)*'DF Calculation'!L14</f>
        <v>924.66200386869696</v>
      </c>
      <c r="R14" s="115">
        <f>(F14/References!$C$11)*'DF Calculation'!O14</f>
        <v>935.12971285745778</v>
      </c>
      <c r="S14" s="115">
        <f t="shared" si="6"/>
        <v>10.467708988760819</v>
      </c>
      <c r="T14" s="157">
        <f>(((G14*$D$87)*(References!$D$61/References!$H$64))*References!$C$11)-N14</f>
        <v>0</v>
      </c>
      <c r="U14" s="178"/>
    </row>
    <row r="15" spans="1:21">
      <c r="A15" s="491"/>
      <c r="B15" s="149">
        <v>20</v>
      </c>
      <c r="C15" s="107" t="s">
        <v>213</v>
      </c>
      <c r="D15" s="114" t="str">
        <f>VLOOKUP(C15,Mapping!$D$2:$H$91,5,FALSE)</f>
        <v>32 Gal Can -4 WG-NR</v>
      </c>
      <c r="E15" s="312"/>
      <c r="F15" s="153">
        <f>SUMIFS(Mapping!M:M,Mapping!A:A,"Residential",Mapping!D:D,'DF Calculation'!C15)</f>
        <v>52.148812095032397</v>
      </c>
      <c r="G15" s="153">
        <f>VLOOKUP(C15,Mapping!D:L,7,FALSE)</f>
        <v>97</v>
      </c>
      <c r="H15" s="153">
        <f t="shared" si="1"/>
        <v>5058.4347732181423</v>
      </c>
      <c r="I15" s="41">
        <f t="shared" si="0"/>
        <v>4989.2776957568776</v>
      </c>
      <c r="J15" s="115">
        <f>(References!$D$61*I15)</f>
        <v>6.8103640547081632</v>
      </c>
      <c r="K15" s="115">
        <f>J15/References!$H$64</f>
        <v>6.9678371748599988</v>
      </c>
      <c r="L15" s="371">
        <v>50.42</v>
      </c>
      <c r="M15" s="380">
        <v>50.23</v>
      </c>
      <c r="N15" s="152">
        <f>IFERROR((K15/F15),0)*References!$C$11</f>
        <v>0.57899614349865924</v>
      </c>
      <c r="O15" s="321">
        <f t="shared" si="4"/>
        <v>50.998996143498658</v>
      </c>
      <c r="P15" s="372">
        <f t="shared" si="5"/>
        <v>50.808996143498653</v>
      </c>
      <c r="Q15" s="115">
        <f>(F15/References!$C$11)*'DF Calculation'!L15</f>
        <v>606.77148596112318</v>
      </c>
      <c r="R15" s="115">
        <f>(F15/References!$C$11)*'DF Calculation'!O15</f>
        <v>613.73932313598311</v>
      </c>
      <c r="S15" s="115">
        <f t="shared" si="6"/>
        <v>6.9678371748599375</v>
      </c>
      <c r="T15" s="157">
        <f>(((G15*$D$87)*(References!$D$61/References!$H$64))*References!$C$11)-N15</f>
        <v>0</v>
      </c>
      <c r="U15" s="178"/>
    </row>
    <row r="16" spans="1:21">
      <c r="A16" s="491"/>
      <c r="B16" s="149">
        <v>20</v>
      </c>
      <c r="C16" s="107" t="s">
        <v>215</v>
      </c>
      <c r="D16" s="114" t="str">
        <f>VLOOKUP(C16,Mapping!$D$2:$H$91,5,FALSE)</f>
        <v>32 Gal Can -1 WG</v>
      </c>
      <c r="E16" s="312"/>
      <c r="F16" s="153">
        <f>SUMIFS(Mapping!M:M,Mapping!A:A,"Residential",Mapping!D:D,'DF Calculation'!C16)</f>
        <v>15223.368610633486</v>
      </c>
      <c r="G16" s="153">
        <f>VLOOKUP(C16,Mapping!D:L,7,FALSE)</f>
        <v>34</v>
      </c>
      <c r="H16" s="153">
        <f t="shared" si="1"/>
        <v>517594.53276153852</v>
      </c>
      <c r="I16" s="41">
        <f t="shared" si="0"/>
        <v>510518.16886628087</v>
      </c>
      <c r="J16" s="115">
        <f>(References!$D$61*I16)</f>
        <v>696.85730050247605</v>
      </c>
      <c r="K16" s="115">
        <f>J16/References!$H$64</f>
        <v>712.97043227181916</v>
      </c>
      <c r="L16" s="371">
        <v>18.440000000000001</v>
      </c>
      <c r="M16" s="380">
        <v>18.37</v>
      </c>
      <c r="N16" s="152">
        <f>IFERROR((K16/F16),0)*References!$C$11</f>
        <v>0.2029471018448909</v>
      </c>
      <c r="O16" s="321">
        <f t="shared" si="4"/>
        <v>18.642947101844893</v>
      </c>
      <c r="P16" s="372">
        <f t="shared" si="5"/>
        <v>18.572947101844893</v>
      </c>
      <c r="Q16" s="115">
        <f>(F16/References!$C$11)*'DF Calculation'!L16</f>
        <v>64781.288580018816</v>
      </c>
      <c r="R16" s="115">
        <f>(F16/References!$C$11)*'DF Calculation'!O16</f>
        <v>65494.259012290633</v>
      </c>
      <c r="S16" s="115">
        <f t="shared" si="6"/>
        <v>712.97043227181712</v>
      </c>
      <c r="T16" s="157">
        <f>(((G16*$D$87)*(References!$D$61/References!$H$64))*References!$C$11)-N16</f>
        <v>0</v>
      </c>
      <c r="U16" s="178"/>
    </row>
    <row r="17" spans="1:21">
      <c r="A17" s="491"/>
      <c r="B17" s="149">
        <v>20</v>
      </c>
      <c r="C17" s="107" t="s">
        <v>217</v>
      </c>
      <c r="D17" s="114" t="str">
        <f>VLOOKUP(C17,Mapping!$D$2:$H$91,5,FALSE)</f>
        <v>32 Gal Can -2 WG</v>
      </c>
      <c r="E17" s="312"/>
      <c r="F17" s="153">
        <f>SUMIFS(Mapping!M:M,Mapping!A:A,"Residential",Mapping!D:D,'DF Calculation'!C17)</f>
        <v>527.35289414317936</v>
      </c>
      <c r="G17" s="153">
        <f>VLOOKUP(C17,Mapping!D:L,7,FALSE)</f>
        <v>51</v>
      </c>
      <c r="H17" s="153">
        <f t="shared" si="1"/>
        <v>26894.997601302148</v>
      </c>
      <c r="I17" s="41">
        <f t="shared" si="0"/>
        <v>26527.298991787316</v>
      </c>
      <c r="J17" s="115">
        <f>(References!$D$61*I17)</f>
        <v>36.20976312378982</v>
      </c>
      <c r="K17" s="115">
        <f>J17/References!$H$64</f>
        <v>37.047025909340924</v>
      </c>
      <c r="L17" s="371">
        <v>28.35</v>
      </c>
      <c r="M17" s="380">
        <v>28.24</v>
      </c>
      <c r="N17" s="152">
        <f>IFERROR((K17/F17),0)*References!$C$11</f>
        <v>0.30442065276733632</v>
      </c>
      <c r="O17" s="321">
        <f t="shared" si="4"/>
        <v>28.654420652767339</v>
      </c>
      <c r="P17" s="372">
        <f t="shared" si="5"/>
        <v>28.544420652767336</v>
      </c>
      <c r="Q17" s="115">
        <f>(F17/References!$C$11)*'DF Calculation'!L17</f>
        <v>3450.1048959136469</v>
      </c>
      <c r="R17" s="115">
        <f>(F17/References!$C$11)*'DF Calculation'!O17</f>
        <v>3487.1519218229882</v>
      </c>
      <c r="S17" s="115">
        <f t="shared" si="6"/>
        <v>37.047025909341301</v>
      </c>
      <c r="T17" s="157">
        <f>(((G17*$D$87)*(References!$D$61/References!$H$64))*References!$C$11)-N17</f>
        <v>0</v>
      </c>
      <c r="U17" s="178"/>
    </row>
    <row r="18" spans="1:21">
      <c r="A18" s="491"/>
      <c r="B18" s="149">
        <v>20</v>
      </c>
      <c r="C18" s="107" t="s">
        <v>219</v>
      </c>
      <c r="D18" s="114" t="str">
        <f>VLOOKUP(C18,Mapping!$D$2:$H$91,5,FALSE)</f>
        <v>32 Gal Can -3 WG</v>
      </c>
      <c r="E18" s="312"/>
      <c r="F18" s="153">
        <f>SUMIFS(Mapping!M:M,Mapping!A:A,"Residential",Mapping!D:D,'DF Calculation'!C18)</f>
        <v>104.09817804210327</v>
      </c>
      <c r="G18" s="153">
        <f>VLOOKUP(C18,Mapping!D:L,7,FALSE)</f>
        <v>77</v>
      </c>
      <c r="H18" s="153">
        <f t="shared" si="1"/>
        <v>8015.5597092419521</v>
      </c>
      <c r="I18" s="41">
        <f t="shared" si="0"/>
        <v>7905.9738969186719</v>
      </c>
      <c r="J18" s="115">
        <f>(References!$D$61*I18)</f>
        <v>10.791654369294028</v>
      </c>
      <c r="K18" s="115">
        <f>J18/References!$H$64</f>
        <v>11.041185153769211</v>
      </c>
      <c r="L18" s="371">
        <v>38.6</v>
      </c>
      <c r="M18" s="380">
        <v>38.44</v>
      </c>
      <c r="N18" s="152">
        <f>IFERROR((K18/F18),0)*References!$C$11</f>
        <v>0.45961549535460583</v>
      </c>
      <c r="O18" s="321">
        <f t="shared" si="4"/>
        <v>39.059615495354606</v>
      </c>
      <c r="P18" s="372">
        <f t="shared" si="5"/>
        <v>38.899615495354603</v>
      </c>
      <c r="Q18" s="115">
        <f>(F18/References!$C$11)*'DF Calculation'!L18</f>
        <v>927.27453979042775</v>
      </c>
      <c r="R18" s="115">
        <f>(F18/References!$C$11)*'DF Calculation'!O18</f>
        <v>938.31572494419686</v>
      </c>
      <c r="S18" s="115">
        <f t="shared" si="6"/>
        <v>11.041185153769106</v>
      </c>
      <c r="T18" s="157">
        <f>(((G18*$D$87)*(References!$D$61/References!$H$64))*References!$C$11)-N18</f>
        <v>0</v>
      </c>
      <c r="U18" s="178"/>
    </row>
    <row r="19" spans="1:21">
      <c r="A19" s="491"/>
      <c r="B19" s="149">
        <v>20</v>
      </c>
      <c r="C19" s="107" t="s">
        <v>223</v>
      </c>
      <c r="D19" s="114" t="str">
        <f>VLOOKUP(C19,Mapping!$D$2:$H$91,5,FALSE)</f>
        <v>32 Gal Can -1 EOW-NR</v>
      </c>
      <c r="E19" s="312"/>
      <c r="F19" s="153">
        <f>SUMIFS(Mapping!M:M,Mapping!A:A,"Residential",Mapping!D:D,'DF Calculation'!C19)</f>
        <v>467.40986638033877</v>
      </c>
      <c r="G19" s="153">
        <f>VLOOKUP(C19,Mapping!D:L,7,FALSE)</f>
        <v>34</v>
      </c>
      <c r="H19" s="153">
        <f t="shared" si="1"/>
        <v>15891.935456931518</v>
      </c>
      <c r="I19" s="41">
        <f t="shared" si="0"/>
        <v>15674.666704703401</v>
      </c>
      <c r="J19" s="115">
        <f>(References!$D$61*I19)</f>
        <v>21.395920051920221</v>
      </c>
      <c r="K19" s="115">
        <f>J19/References!$H$64</f>
        <v>21.890648712830181</v>
      </c>
      <c r="L19" s="371">
        <v>15.08</v>
      </c>
      <c r="M19" s="380">
        <v>15.03</v>
      </c>
      <c r="N19" s="152">
        <f>IFERROR((K19/F19),0)*References!$C$12</f>
        <v>0.10147355092244544</v>
      </c>
      <c r="O19" s="321">
        <f t="shared" si="4"/>
        <v>15.181473550922446</v>
      </c>
      <c r="P19" s="372">
        <f t="shared" si="5"/>
        <v>15.131473550922445</v>
      </c>
      <c r="Q19" s="115">
        <f>(F19/References!$C$12)*'DF Calculation'!L19</f>
        <v>3253.1726700071581</v>
      </c>
      <c r="R19" s="115">
        <f>(F19/References!$C$12)*'DF Calculation'!O19</f>
        <v>3275.0633187199883</v>
      </c>
      <c r="S19" s="115">
        <f t="shared" si="6"/>
        <v>21.890648712830171</v>
      </c>
      <c r="T19" s="157">
        <f>(((G19*$D$87)*(References!$D$61/References!$H$64))*References!$C$12)-N19</f>
        <v>0</v>
      </c>
      <c r="U19" s="178"/>
    </row>
    <row r="20" spans="1:21">
      <c r="A20" s="491"/>
      <c r="B20" s="149">
        <v>20</v>
      </c>
      <c r="C20" s="107" t="s">
        <v>225</v>
      </c>
      <c r="D20" s="114" t="str">
        <f>VLOOKUP(C20,Mapping!$D$2:$H$91,5,FALSE)</f>
        <v>32 Gal Can -1 EOW</v>
      </c>
      <c r="E20" s="312"/>
      <c r="F20" s="153">
        <f>SUMIFS(Mapping!M:M,Mapping!A:A,"Residential",Mapping!D:D,'DF Calculation'!C20)</f>
        <v>2049.0942354149256</v>
      </c>
      <c r="G20" s="153">
        <f>VLOOKUP(C20,Mapping!D:L,7,FALSE)</f>
        <v>34</v>
      </c>
      <c r="H20" s="153">
        <f t="shared" si="1"/>
        <v>69669.204004107465</v>
      </c>
      <c r="I20" s="41">
        <f t="shared" si="0"/>
        <v>68716.712027046451</v>
      </c>
      <c r="J20" s="115">
        <f>(References!$D$61*I20)</f>
        <v>93.798311916918763</v>
      </c>
      <c r="K20" s="115">
        <f>J20/References!$H$64</f>
        <v>95.967169957968849</v>
      </c>
      <c r="L20" s="371">
        <v>13.08</v>
      </c>
      <c r="M20" s="380">
        <v>13.03</v>
      </c>
      <c r="N20" s="152">
        <f>IFERROR((K20/F20),0)*References!$C$12</f>
        <v>0.10147355092244542</v>
      </c>
      <c r="O20" s="321">
        <f t="shared" si="4"/>
        <v>13.181473550922446</v>
      </c>
      <c r="P20" s="372">
        <f t="shared" si="5"/>
        <v>13.131473550922445</v>
      </c>
      <c r="Q20" s="115">
        <f>(F20/References!$C$12)*'DF Calculation'!L20</f>
        <v>12370.224276566414</v>
      </c>
      <c r="R20" s="115">
        <f>(F20/References!$C$12)*'DF Calculation'!O20</f>
        <v>12466.191446524383</v>
      </c>
      <c r="S20" s="115">
        <f t="shared" si="6"/>
        <v>95.967169957968508</v>
      </c>
      <c r="T20" s="157">
        <f>(((G20*$D$87)*(References!$D$61/References!$H$64))*References!$C$12)-N20</f>
        <v>0</v>
      </c>
      <c r="U20" s="178"/>
    </row>
    <row r="21" spans="1:21">
      <c r="A21" s="491"/>
      <c r="B21" s="149">
        <v>20</v>
      </c>
      <c r="C21" s="107" t="s">
        <v>227</v>
      </c>
      <c r="D21" s="114" t="str">
        <f>VLOOKUP(C21,Mapping!$D$2:$H$91,5,FALSE)</f>
        <v>35 Gal Cart MG-NR</v>
      </c>
      <c r="E21" s="312"/>
      <c r="F21" s="153">
        <f>SUMIFS(Mapping!M:M,Mapping!A:A,"Residential",Mapping!D:D,'DF Calculation'!C21)</f>
        <v>12.006514657980457</v>
      </c>
      <c r="G21" s="153">
        <f>VLOOKUP(C21,Mapping!D:L,7,FALSE)</f>
        <v>34</v>
      </c>
      <c r="H21" s="153">
        <f t="shared" si="1"/>
        <v>408.22149837133554</v>
      </c>
      <c r="I21" s="41">
        <f t="shared" si="0"/>
        <v>402.64044275830463</v>
      </c>
      <c r="J21" s="115">
        <f>(References!$D$61*I21)</f>
        <v>0.54960420436508783</v>
      </c>
      <c r="K21" s="115">
        <f>J21/References!$H$64</f>
        <v>0.56231246609892349</v>
      </c>
      <c r="L21" s="371">
        <v>9.8800000000000008</v>
      </c>
      <c r="M21" s="380">
        <v>9.85</v>
      </c>
      <c r="N21" s="152">
        <f>IFERROR((K21/F21),0)*References!$C$13</f>
        <v>4.6833946579590204E-2</v>
      </c>
      <c r="O21" s="321">
        <f t="shared" si="4"/>
        <v>9.9268339465795918</v>
      </c>
      <c r="P21" s="372">
        <f t="shared" si="5"/>
        <v>9.8968339465795907</v>
      </c>
      <c r="Q21" s="115">
        <f>(F21/References!$C$13)*'DF Calculation'!L21</f>
        <v>118.62436482084692</v>
      </c>
      <c r="R21" s="115">
        <f>(F21/References!$C$13)*'DF Calculation'!O21</f>
        <v>119.18667728694585</v>
      </c>
      <c r="S21" s="115">
        <f t="shared" si="6"/>
        <v>0.56231246609893049</v>
      </c>
      <c r="T21" s="157">
        <f>(((G21*$D$87)*(References!$D$61/References!$H$64))*References!$C$13)-N21</f>
        <v>0</v>
      </c>
      <c r="U21" s="178"/>
    </row>
    <row r="22" spans="1:21">
      <c r="A22" s="491"/>
      <c r="B22" s="149">
        <v>20</v>
      </c>
      <c r="C22" s="107" t="s">
        <v>229</v>
      </c>
      <c r="D22" s="114" t="str">
        <f>VLOOKUP(C22,Mapping!$D$2:$H$91,5,FALSE)</f>
        <v>35 Gal Cart MG</v>
      </c>
      <c r="E22" s="312"/>
      <c r="F22" s="153">
        <f>SUMIFS(Mapping!M:M,Mapping!A:A,"Residential",Mapping!D:D,'DF Calculation'!C22)</f>
        <v>263.33292856279604</v>
      </c>
      <c r="G22" s="153">
        <f>VLOOKUP(C22,Mapping!D:L,7,FALSE)</f>
        <v>34</v>
      </c>
      <c r="H22" s="153">
        <f t="shared" si="1"/>
        <v>8953.3195711350654</v>
      </c>
      <c r="I22" s="41">
        <f t="shared" si="0"/>
        <v>8830.9130476004102</v>
      </c>
      <c r="J22" s="115">
        <f>(References!$D$61*I22)</f>
        <v>12.054196309974605</v>
      </c>
      <c r="K22" s="115">
        <f>J22/References!$H$64</f>
        <v>12.332920308957034</v>
      </c>
      <c r="L22" s="371">
        <v>7.88</v>
      </c>
      <c r="M22" s="380">
        <v>7.85</v>
      </c>
      <c r="N22" s="152">
        <f>IFERROR((K22/F22),0)*References!$C$13</f>
        <v>4.6833946579590204E-2</v>
      </c>
      <c r="O22" s="321">
        <f t="shared" si="4"/>
        <v>7.9268339465795901</v>
      </c>
      <c r="P22" s="372">
        <f t="shared" si="5"/>
        <v>7.8968339465795898</v>
      </c>
      <c r="Q22" s="115">
        <f>(F22/References!$C$13)*'DF Calculation'!L22</f>
        <v>2075.0634770748329</v>
      </c>
      <c r="R22" s="115">
        <f>(F22/References!$C$13)*'DF Calculation'!O22</f>
        <v>2087.3963973837899</v>
      </c>
      <c r="S22" s="115">
        <f t="shared" si="6"/>
        <v>12.332920308957</v>
      </c>
      <c r="T22" s="157">
        <f>(((G22*$D$87)*(References!$D$61/References!$H$64))*References!$C$13)-N22</f>
        <v>0</v>
      </c>
      <c r="U22" s="178"/>
    </row>
    <row r="23" spans="1:21">
      <c r="A23" s="491"/>
      <c r="B23" s="149">
        <v>20</v>
      </c>
      <c r="C23" s="107" t="s">
        <v>231</v>
      </c>
      <c r="D23" s="114" t="str">
        <f>VLOOKUP(C23,Mapping!$D$2:$H$91,5,FALSE)</f>
        <v>35 Gal Cart WG-NR</v>
      </c>
      <c r="E23" s="312"/>
      <c r="F23" s="153">
        <f>SUMIFS(Mapping!M:M,Mapping!A:A,"Residential",Mapping!D:D,'DF Calculation'!C23)</f>
        <v>813.57198238333342</v>
      </c>
      <c r="G23" s="153">
        <f>VLOOKUP(C23,Mapping!D:L,7,FALSE)</f>
        <v>34</v>
      </c>
      <c r="H23" s="153">
        <f t="shared" si="1"/>
        <v>27661.447401033336</v>
      </c>
      <c r="I23" s="41">
        <f t="shared" si="0"/>
        <v>27283.270169069754</v>
      </c>
      <c r="J23" s="115">
        <f>(References!$D$61*I23)</f>
        <v>37.241663780780357</v>
      </c>
      <c r="K23" s="115">
        <f>J23/References!$H$64</f>
        <v>38.102786761592341</v>
      </c>
      <c r="L23" s="371">
        <v>21.72</v>
      </c>
      <c r="M23" s="380">
        <v>21.64</v>
      </c>
      <c r="N23" s="152">
        <f>IFERROR((K23/F23),0)*References!$C$11</f>
        <v>0.20294710184489087</v>
      </c>
      <c r="O23" s="321">
        <f t="shared" si="4"/>
        <v>21.92294710184489</v>
      </c>
      <c r="P23" s="372">
        <f t="shared" si="5"/>
        <v>21.842947101844892</v>
      </c>
      <c r="Q23" s="115">
        <f>(F23/References!$C$11)*'DF Calculation'!L23</f>
        <v>4077.8731055460003</v>
      </c>
      <c r="R23" s="115">
        <f>(F23/References!$C$11)*'DF Calculation'!O23</f>
        <v>4115.9758923075933</v>
      </c>
      <c r="S23" s="115">
        <f t="shared" si="6"/>
        <v>38.102786761593052</v>
      </c>
      <c r="T23" s="157">
        <f>(((G23*$D$87)*(References!$D$61/References!$H$64))*References!$C$11)-N23</f>
        <v>0</v>
      </c>
      <c r="U23" s="178"/>
    </row>
    <row r="24" spans="1:21">
      <c r="A24" s="491"/>
      <c r="B24" s="149">
        <v>20</v>
      </c>
      <c r="C24" s="107" t="s">
        <v>233</v>
      </c>
      <c r="D24" s="114" t="str">
        <f>VLOOKUP(C24,Mapping!$D$2:$H$91,5,FALSE)</f>
        <v>35 Gal Cart WG</v>
      </c>
      <c r="E24" s="312"/>
      <c r="F24" s="153">
        <f>SUMIFS(Mapping!M:M,Mapping!A:A,"Residential",Mapping!D:D,'DF Calculation'!C24)</f>
        <v>4568.9578991284043</v>
      </c>
      <c r="G24" s="153">
        <f>VLOOKUP(C24,Mapping!D:L,7,FALSE)</f>
        <v>34</v>
      </c>
      <c r="H24" s="153">
        <f t="shared" si="1"/>
        <v>155344.56857036575</v>
      </c>
      <c r="I24" s="41">
        <f t="shared" si="0"/>
        <v>153220.75421998859</v>
      </c>
      <c r="J24" s="115">
        <f>(References!$D$61*I24)</f>
        <v>209.1463295102852</v>
      </c>
      <c r="K24" s="115">
        <f>J24/References!$H$64</f>
        <v>213.98233017217638</v>
      </c>
      <c r="L24" s="371">
        <v>19.72</v>
      </c>
      <c r="M24" s="380">
        <v>19.64</v>
      </c>
      <c r="N24" s="152">
        <f>IFERROR((K24/F24),0)*References!$C$11</f>
        <v>0.20294710184489087</v>
      </c>
      <c r="O24" s="321">
        <f t="shared" si="4"/>
        <v>19.92294710184489</v>
      </c>
      <c r="P24" s="372">
        <f t="shared" si="5"/>
        <v>19.842947101844892</v>
      </c>
      <c r="Q24" s="115">
        <f>(F24/References!$C$11)*'DF Calculation'!L24</f>
        <v>20792.27302403357</v>
      </c>
      <c r="R24" s="115">
        <f>(F24/References!$C$11)*'DF Calculation'!O24</f>
        <v>21006.255354205747</v>
      </c>
      <c r="S24" s="115">
        <f t="shared" si="6"/>
        <v>213.98233017217717</v>
      </c>
      <c r="T24" s="157">
        <f>(((G24*$D$87)*(References!$D$61/References!$H$64))*References!$C$11)-N24</f>
        <v>0</v>
      </c>
      <c r="U24" s="178"/>
    </row>
    <row r="25" spans="1:21">
      <c r="A25" s="491"/>
      <c r="B25" s="149">
        <v>20</v>
      </c>
      <c r="C25" s="107" t="s">
        <v>235</v>
      </c>
      <c r="D25" s="114" t="str">
        <f>VLOOKUP(C25,Mapping!$D$2:$H$91,5,FALSE)</f>
        <v>35 Gal Cart EOW-NR</v>
      </c>
      <c r="E25" s="312"/>
      <c r="F25" s="153">
        <f>SUMIFS(Mapping!M:M,Mapping!A:A,"Residential",Mapping!D:D,'DF Calculation'!C25)</f>
        <v>145.29577425163177</v>
      </c>
      <c r="G25" s="153">
        <f>VLOOKUP(C25,Mapping!D:L,7,FALSE)</f>
        <v>34</v>
      </c>
      <c r="H25" s="153">
        <f t="shared" si="1"/>
        <v>4940.0563245554804</v>
      </c>
      <c r="I25" s="41">
        <f t="shared" si="0"/>
        <v>4872.5176741197556</v>
      </c>
      <c r="J25" s="115">
        <f>(References!$D$61*I25)</f>
        <v>6.6509866251734913</v>
      </c>
      <c r="K25" s="115">
        <f>J25/References!$H$64</f>
        <v>6.8047745295411204</v>
      </c>
      <c r="L25" s="371">
        <v>16</v>
      </c>
      <c r="M25" s="380">
        <v>15.94</v>
      </c>
      <c r="N25" s="152">
        <f>IFERROR((K25/F25),0)*References!$C$12</f>
        <v>0.10147355092244544</v>
      </c>
      <c r="O25" s="321">
        <f t="shared" si="4"/>
        <v>16.101473550922446</v>
      </c>
      <c r="P25" s="372">
        <f t="shared" si="5"/>
        <v>16.041473550922444</v>
      </c>
      <c r="Q25" s="115">
        <f>(F25/References!$C$12)*'DF Calculation'!L25</f>
        <v>1072.9534098582039</v>
      </c>
      <c r="R25" s="115">
        <f>(F25/References!$C$12)*'DF Calculation'!O25</f>
        <v>1079.7581843877451</v>
      </c>
      <c r="S25" s="115">
        <f t="shared" si="6"/>
        <v>6.8047745295411914</v>
      </c>
      <c r="T25" s="157">
        <f>(((G25*$D$87)*(References!$D$61/References!$H$64))*References!$C$12)-N25</f>
        <v>0</v>
      </c>
      <c r="U25" s="178"/>
    </row>
    <row r="26" spans="1:21">
      <c r="A26" s="491"/>
      <c r="B26" s="149">
        <v>20</v>
      </c>
      <c r="C26" s="107" t="s">
        <v>237</v>
      </c>
      <c r="D26" s="114" t="str">
        <f>VLOOKUP(C26,Mapping!$D$2:$H$91,5,FALSE)</f>
        <v>35 Gal Cart EOW</v>
      </c>
      <c r="E26" s="312"/>
      <c r="F26" s="153">
        <f>SUMIFS(Mapping!M:M,Mapping!A:A,"Residential",Mapping!D:D,'DF Calculation'!C26)</f>
        <v>1398.5383436263533</v>
      </c>
      <c r="G26" s="153">
        <f>VLOOKUP(C26,Mapping!D:L,7,FALSE)</f>
        <v>34</v>
      </c>
      <c r="H26" s="153">
        <f t="shared" si="1"/>
        <v>47550.303683296013</v>
      </c>
      <c r="I26" s="41">
        <f t="shared" si="0"/>
        <v>46900.213253635244</v>
      </c>
      <c r="J26" s="115">
        <f>(References!$D$61*I26)</f>
        <v>64.01879109121235</v>
      </c>
      <c r="K26" s="115">
        <f>J26/References!$H$64</f>
        <v>65.499070074905205</v>
      </c>
      <c r="L26" s="371">
        <v>14</v>
      </c>
      <c r="M26" s="380">
        <v>13.94</v>
      </c>
      <c r="N26" s="152">
        <f>IFERROR((K26/F26),0)*References!$C$12</f>
        <v>0.10147355092244545</v>
      </c>
      <c r="O26" s="321">
        <f t="shared" si="4"/>
        <v>14.101473550922446</v>
      </c>
      <c r="P26" s="372">
        <f t="shared" si="5"/>
        <v>14.041473550922445</v>
      </c>
      <c r="Q26" s="115">
        <f>(F26/References!$C$12)*'DF Calculation'!L26</f>
        <v>9036.7092972779756</v>
      </c>
      <c r="R26" s="115">
        <f>(F26/References!$C$12)*'DF Calculation'!O26</f>
        <v>9102.2083673528814</v>
      </c>
      <c r="S26" s="115">
        <f t="shared" si="6"/>
        <v>65.499070074905831</v>
      </c>
      <c r="T26" s="157">
        <f>(((G26*$D$87)*(References!$D$61/References!$H$64))*References!$C$12)-N26</f>
        <v>0</v>
      </c>
      <c r="U26" s="178"/>
    </row>
    <row r="27" spans="1:21">
      <c r="A27" s="491"/>
      <c r="B27" s="149">
        <v>20</v>
      </c>
      <c r="C27" s="107" t="s">
        <v>239</v>
      </c>
      <c r="D27" s="114" t="str">
        <f>VLOOKUP(C27,Mapping!$D$2:$H$91,5,FALSE)</f>
        <v>65 Gal Cart MG</v>
      </c>
      <c r="E27" s="312"/>
      <c r="F27" s="153">
        <f>SUMIFS(Mapping!M:M,Mapping!A:A,"Residential",Mapping!D:D,'DF Calculation'!C27)</f>
        <v>6508.1129010624827</v>
      </c>
      <c r="G27" s="153">
        <f>VLOOKUP(C27,Mapping!D:L,7,FALSE)</f>
        <v>47</v>
      </c>
      <c r="H27" s="153">
        <f t="shared" si="1"/>
        <v>305881.3063499367</v>
      </c>
      <c r="I27" s="41">
        <f t="shared" si="0"/>
        <v>301699.40856028954</v>
      </c>
      <c r="J27" s="115">
        <f>(References!$D$61*I27)</f>
        <v>411.81969268479673</v>
      </c>
      <c r="K27" s="115">
        <f>J27/References!$H$64</f>
        <v>421.34202239082947</v>
      </c>
      <c r="L27" s="371">
        <v>10.75</v>
      </c>
      <c r="M27" s="380">
        <v>10.7</v>
      </c>
      <c r="N27" s="152">
        <f>IFERROR((K27/F27),0)*References!$C$13</f>
        <v>6.4741043801198231E-2</v>
      </c>
      <c r="O27" s="321">
        <f t="shared" si="4"/>
        <v>10.814741043801199</v>
      </c>
      <c r="P27" s="372">
        <f t="shared" si="5"/>
        <v>10.764741043801198</v>
      </c>
      <c r="Q27" s="115">
        <f>(F27/References!$C$13)*'DF Calculation'!L27</f>
        <v>69962.213686421688</v>
      </c>
      <c r="R27" s="115">
        <f>(F27/References!$C$13)*'DF Calculation'!O27</f>
        <v>70383.555708812521</v>
      </c>
      <c r="S27" s="115">
        <f t="shared" si="6"/>
        <v>421.34202239083243</v>
      </c>
      <c r="T27" s="157">
        <f>(((G27*$D$87)*(References!$D$61/References!$H$64))*References!$C$13)-N27</f>
        <v>0</v>
      </c>
      <c r="U27" s="178"/>
    </row>
    <row r="28" spans="1:21">
      <c r="A28" s="491"/>
      <c r="B28" s="149">
        <v>20</v>
      </c>
      <c r="C28" s="107" t="s">
        <v>241</v>
      </c>
      <c r="D28" s="114" t="str">
        <f>VLOOKUP(C28,Mapping!$D$2:$H$91,5,FALSE)</f>
        <v>65 Gal Cart MG-NR</v>
      </c>
      <c r="E28" s="312"/>
      <c r="F28" s="153">
        <f>SUMIFS(Mapping!M:M,Mapping!A:A,"Residential",Mapping!D:D,'DF Calculation'!C28)</f>
        <v>614.15638528678483</v>
      </c>
      <c r="G28" s="153">
        <f>VLOOKUP(C28,Mapping!D:L,7,FALSE)</f>
        <v>47</v>
      </c>
      <c r="H28" s="153">
        <f t="shared" si="1"/>
        <v>28865.350108478888</v>
      </c>
      <c r="I28" s="41">
        <f t="shared" si="0"/>
        <v>28470.713557273819</v>
      </c>
      <c r="J28" s="115">
        <f>(References!$D$61*I28)</f>
        <v>38.862524005678907</v>
      </c>
      <c r="K28" s="115">
        <f>J28/References!$H$64</f>
        <v>39.761125440637308</v>
      </c>
      <c r="L28" s="371">
        <v>12.75</v>
      </c>
      <c r="M28" s="380">
        <v>12.7</v>
      </c>
      <c r="N28" s="152">
        <f>IFERROR((K28/F28),0)*References!$C$13</f>
        <v>6.4741043801198217E-2</v>
      </c>
      <c r="O28" s="321">
        <f t="shared" si="4"/>
        <v>12.814741043801199</v>
      </c>
      <c r="P28" s="372">
        <f t="shared" si="5"/>
        <v>12.764741043801198</v>
      </c>
      <c r="Q28" s="115">
        <f>(F28/References!$C$13)*'DF Calculation'!L28</f>
        <v>7830.4939124065068</v>
      </c>
      <c r="R28" s="115">
        <f>(F28/References!$C$13)*'DF Calculation'!O28</f>
        <v>7870.2550378471442</v>
      </c>
      <c r="S28" s="115">
        <f t="shared" si="6"/>
        <v>39.761125440637443</v>
      </c>
      <c r="T28" s="157">
        <f>(((G28*$D$87)*(References!$D$61/References!$H$64))*References!$C$13)-N28</f>
        <v>0</v>
      </c>
      <c r="U28" s="178"/>
    </row>
    <row r="29" spans="1:21">
      <c r="A29" s="491"/>
      <c r="B29" s="149">
        <v>20</v>
      </c>
      <c r="C29" s="107" t="s">
        <v>249</v>
      </c>
      <c r="D29" s="114" t="str">
        <f>VLOOKUP(C29,Mapping!$D$2:$H$91,5,FALSE)</f>
        <v>65 Gal Cart WG</v>
      </c>
      <c r="E29" s="312"/>
      <c r="F29" s="153">
        <f>SUMIFS(Mapping!M:M,Mapping!A:A,"Residential",Mapping!D:D,'DF Calculation'!C29)</f>
        <v>73395.982442747583</v>
      </c>
      <c r="G29" s="153">
        <f>VLOOKUP(C29,Mapping!D:L,7,FALSE)</f>
        <v>47</v>
      </c>
      <c r="H29" s="153">
        <f t="shared" si="1"/>
        <v>3449611.1748091364</v>
      </c>
      <c r="I29" s="41">
        <f t="shared" si="0"/>
        <v>3402449.3475003014</v>
      </c>
      <c r="J29" s="115">
        <f>(References!$D$61*I29)</f>
        <v>4644.3433593379286</v>
      </c>
      <c r="K29" s="115">
        <f>J29/References!$H$64</f>
        <v>4751.7325141578967</v>
      </c>
      <c r="L29" s="371">
        <v>28.95</v>
      </c>
      <c r="M29" s="380">
        <v>28.84</v>
      </c>
      <c r="N29" s="152">
        <f>IFERROR((K29/F29),0)*References!$C$11</f>
        <v>0.28054452313852557</v>
      </c>
      <c r="O29" s="321">
        <f t="shared" si="4"/>
        <v>29.230544523138526</v>
      </c>
      <c r="P29" s="372">
        <f t="shared" si="5"/>
        <v>29.120544523138527</v>
      </c>
      <c r="Q29" s="115">
        <f>(F29/References!$C$11)*'DF Calculation'!L29</f>
        <v>490341.62116558675</v>
      </c>
      <c r="R29" s="115">
        <f>(F29/References!$C$11)*'DF Calculation'!O29</f>
        <v>495093.35367974464</v>
      </c>
      <c r="S29" s="115">
        <f t="shared" si="6"/>
        <v>4751.7325141578913</v>
      </c>
      <c r="T29" s="157">
        <f>(((G29*$D$87)*(References!$D$61/References!$H$64))*References!$C$11)-N29</f>
        <v>0</v>
      </c>
      <c r="U29" s="178"/>
    </row>
    <row r="30" spans="1:21">
      <c r="A30" s="491"/>
      <c r="B30" s="149">
        <v>20</v>
      </c>
      <c r="C30" s="107" t="s">
        <v>253</v>
      </c>
      <c r="D30" s="114" t="str">
        <f>VLOOKUP(C30,Mapping!$D$2:$H$91,5,FALSE)</f>
        <v>65 Gal Cart WG-NR</v>
      </c>
      <c r="E30" s="312"/>
      <c r="F30" s="153">
        <f>SUMIFS(Mapping!M:M,Mapping!A:A,"Residential",Mapping!D:D,'DF Calculation'!C30)</f>
        <v>7440.6086532483596</v>
      </c>
      <c r="G30" s="153">
        <f>VLOOKUP(C30,Mapping!D:L,7,FALSE)</f>
        <v>47</v>
      </c>
      <c r="H30" s="153">
        <f t="shared" si="1"/>
        <v>349708.6067026729</v>
      </c>
      <c r="I30" s="41">
        <f t="shared" si="0"/>
        <v>344927.51802863204</v>
      </c>
      <c r="J30" s="115">
        <f>(References!$D$61*I30)</f>
        <v>470.82606210908449</v>
      </c>
      <c r="K30" s="115">
        <f>J30/References!$H$64</f>
        <v>481.71277072752656</v>
      </c>
      <c r="L30" s="371">
        <v>30.95</v>
      </c>
      <c r="M30" s="380">
        <v>30.84</v>
      </c>
      <c r="N30" s="152">
        <f>IFERROR((K30/F30),0)*References!$C$11</f>
        <v>0.28054452313852557</v>
      </c>
      <c r="O30" s="321">
        <f t="shared" si="4"/>
        <v>31.230544523138526</v>
      </c>
      <c r="P30" s="372">
        <f t="shared" si="5"/>
        <v>31.120544523138527</v>
      </c>
      <c r="Q30" s="115">
        <f>(F30/References!$C$11)*'DF Calculation'!L30</f>
        <v>53143.116419546939</v>
      </c>
      <c r="R30" s="115">
        <f>(F30/References!$C$11)*'DF Calculation'!O30</f>
        <v>53624.829190274468</v>
      </c>
      <c r="S30" s="115">
        <f t="shared" si="6"/>
        <v>481.71277072752855</v>
      </c>
      <c r="T30" s="157">
        <f>(((G30*$D$87)*(References!$D$61/References!$H$64))*References!$C$11)-N30</f>
        <v>0</v>
      </c>
      <c r="U30" s="178"/>
    </row>
    <row r="31" spans="1:21">
      <c r="A31" s="491"/>
      <c r="B31" s="149">
        <v>20</v>
      </c>
      <c r="C31" s="107" t="s">
        <v>259</v>
      </c>
      <c r="D31" s="114" t="str">
        <f>VLOOKUP(C31,Mapping!$D$2:$H$91,5,FALSE)</f>
        <v>65 Gal Cart EOW</v>
      </c>
      <c r="E31" s="312"/>
      <c r="F31" s="153">
        <f>SUMIFS(Mapping!M:M,Mapping!A:A,"Residential",Mapping!D:D,'DF Calculation'!C31)</f>
        <v>73210.057035535603</v>
      </c>
      <c r="G31" s="153">
        <f>VLOOKUP(C31,Mapping!D:L,7,FALSE)</f>
        <v>47</v>
      </c>
      <c r="H31" s="153">
        <f t="shared" si="1"/>
        <v>3440872.6806701734</v>
      </c>
      <c r="I31" s="41">
        <f t="shared" si="0"/>
        <v>3393830.3228698242</v>
      </c>
      <c r="J31" s="115">
        <f>(References!$D$61*I31)</f>
        <v>4632.5783907173272</v>
      </c>
      <c r="K31" s="115">
        <f>J31/References!$H$64</f>
        <v>4739.6955092258304</v>
      </c>
      <c r="L31" s="371">
        <v>18.579999999999998</v>
      </c>
      <c r="M31" s="380">
        <v>18.510000000000002</v>
      </c>
      <c r="N31" s="152">
        <f>IFERROR((K31/F31),0)*References!$C$12</f>
        <v>0.14027226156926278</v>
      </c>
      <c r="O31" s="321">
        <f t="shared" si="4"/>
        <v>18.72027226156926</v>
      </c>
      <c r="P31" s="372">
        <f t="shared" si="5"/>
        <v>18.650272261569263</v>
      </c>
      <c r="Q31" s="115">
        <f>(F31/References!$C$12)*'DF Calculation'!L31</f>
        <v>627804.39679396222</v>
      </c>
      <c r="R31" s="115">
        <f>(F31/References!$C$12)*'DF Calculation'!O31</f>
        <v>632544.09230318805</v>
      </c>
      <c r="S31" s="115">
        <f t="shared" si="6"/>
        <v>4739.6955092258286</v>
      </c>
      <c r="T31" s="157">
        <f>(((G31*$D$87)*(References!$D$61/References!$H$64))*References!$C$12)-N31</f>
        <v>0</v>
      </c>
      <c r="U31" s="178"/>
    </row>
    <row r="32" spans="1:21">
      <c r="A32" s="491"/>
      <c r="B32" s="149">
        <v>20</v>
      </c>
      <c r="C32" s="107" t="s">
        <v>261</v>
      </c>
      <c r="D32" s="114" t="str">
        <f>VLOOKUP(C32,Mapping!$D$2:$H$91,5,FALSE)</f>
        <v>65 Gal Cart EOW-NR</v>
      </c>
      <c r="E32" s="312"/>
      <c r="F32" s="153">
        <f>SUMIFS(Mapping!M:M,Mapping!A:A,"Residential",Mapping!D:D,'DF Calculation'!C32)</f>
        <v>4994.7747909471836</v>
      </c>
      <c r="G32" s="153">
        <f>VLOOKUP(C32,Mapping!D:L,7,FALSE)</f>
        <v>47</v>
      </c>
      <c r="H32" s="153">
        <f t="shared" si="1"/>
        <v>234754.41517451764</v>
      </c>
      <c r="I32" s="41">
        <f t="shared" si="0"/>
        <v>231544.93832991074</v>
      </c>
      <c r="J32" s="115">
        <f>(References!$D$61*I32)</f>
        <v>316.05884082032935</v>
      </c>
      <c r="K32" s="115">
        <f>J32/References!$H$64</f>
        <v>323.36693351783236</v>
      </c>
      <c r="L32" s="371">
        <v>20.58</v>
      </c>
      <c r="M32" s="380">
        <v>20.51</v>
      </c>
      <c r="N32" s="152">
        <f>IFERROR((K32/F32),0)*References!$C$12</f>
        <v>0.14027226156926281</v>
      </c>
      <c r="O32" s="321">
        <f t="shared" si="4"/>
        <v>20.72027226156926</v>
      </c>
      <c r="P32" s="372">
        <f t="shared" si="5"/>
        <v>20.650272261569263</v>
      </c>
      <c r="Q32" s="115">
        <f>(F32/References!$C$12)*'DF Calculation'!L32</f>
        <v>47442.676245089096</v>
      </c>
      <c r="R32" s="115">
        <f>(F32/References!$C$12)*'DF Calculation'!O32</f>
        <v>47766.043178606924</v>
      </c>
      <c r="S32" s="115">
        <f t="shared" si="6"/>
        <v>323.36693351782742</v>
      </c>
      <c r="T32" s="157">
        <f>(((G32*$D$87)*(References!$D$61/References!$H$64))*References!$C$12)-N32</f>
        <v>0</v>
      </c>
      <c r="U32" s="178"/>
    </row>
    <row r="33" spans="1:21">
      <c r="A33" s="491"/>
      <c r="B33" s="149">
        <v>20</v>
      </c>
      <c r="C33" s="107" t="s">
        <v>271</v>
      </c>
      <c r="D33" s="114" t="str">
        <f>VLOOKUP(C33,Mapping!$D$2:$H$91,5,FALSE)</f>
        <v>95 Gal Cart MG</v>
      </c>
      <c r="E33" s="312"/>
      <c r="F33" s="153">
        <f>SUMIFS(Mapping!M:M,Mapping!A:A,"Residential",Mapping!D:D,'DF Calculation'!C33)</f>
        <v>966.64819010776455</v>
      </c>
      <c r="G33" s="153">
        <f>VLOOKUP(C33,Mapping!D:L,7,FALSE)</f>
        <v>68</v>
      </c>
      <c r="H33" s="153">
        <f t="shared" si="1"/>
        <v>65732.076927327988</v>
      </c>
      <c r="I33" s="41">
        <f t="shared" si="0"/>
        <v>64833.411917388359</v>
      </c>
      <c r="J33" s="115">
        <f>(References!$D$61*I33)</f>
        <v>88.497607267235438</v>
      </c>
      <c r="K33" s="115">
        <f>J33/References!$H$64</f>
        <v>90.543899393529188</v>
      </c>
      <c r="L33" s="371">
        <v>14.39</v>
      </c>
      <c r="M33" s="380">
        <v>14.33</v>
      </c>
      <c r="N33" s="152">
        <f>IFERROR((K33/F33),0)*References!$C$13</f>
        <v>9.3667893159180393E-2</v>
      </c>
      <c r="O33" s="321">
        <f t="shared" si="4"/>
        <v>14.483667893159181</v>
      </c>
      <c r="P33" s="372">
        <f t="shared" si="5"/>
        <v>14.42366789315918</v>
      </c>
      <c r="Q33" s="115">
        <f>(F33/References!$C$13)*'DF Calculation'!L33</f>
        <v>13910.067455650733</v>
      </c>
      <c r="R33" s="115">
        <f>(F33/References!$C$13)*'DF Calculation'!O33</f>
        <v>14000.611355044262</v>
      </c>
      <c r="S33" s="115">
        <f t="shared" si="6"/>
        <v>90.5438993935295</v>
      </c>
      <c r="T33" s="157">
        <f>(((G33*$D$87)*(References!$D$61/References!$H$64))*References!$C$13)-N33</f>
        <v>0</v>
      </c>
      <c r="U33" s="178"/>
    </row>
    <row r="34" spans="1:21">
      <c r="A34" s="491"/>
      <c r="B34" s="149">
        <v>20</v>
      </c>
      <c r="C34" s="107" t="s">
        <v>273</v>
      </c>
      <c r="D34" s="114" t="str">
        <f>VLOOKUP(C34,Mapping!$D$2:$H$91,5,FALSE)</f>
        <v>95 Gal Cart MG-NR</v>
      </c>
      <c r="E34" s="312"/>
      <c r="F34" s="153">
        <f>SUMIFS(Mapping!M:M,Mapping!A:A,"Residential",Mapping!D:D,'DF Calculation'!C34)</f>
        <v>74.090372864879882</v>
      </c>
      <c r="G34" s="153">
        <f>VLOOKUP(C34,Mapping!D:L,7,FALSE)</f>
        <v>68</v>
      </c>
      <c r="H34" s="153">
        <f t="shared" si="1"/>
        <v>5038.1453548118316</v>
      </c>
      <c r="I34" s="41">
        <f t="shared" si="0"/>
        <v>4969.2656668877016</v>
      </c>
      <c r="J34" s="115">
        <f>(References!$D$61*I34)</f>
        <v>6.7830476353017382</v>
      </c>
      <c r="K34" s="115">
        <f>J34/References!$H$64</f>
        <v>6.9398891296314078</v>
      </c>
      <c r="L34" s="371">
        <v>16.39</v>
      </c>
      <c r="M34" s="380">
        <v>16.329999999999998</v>
      </c>
      <c r="N34" s="152">
        <f>IFERROR((K34/F34),0)*References!$C$13</f>
        <v>9.3667893159180407E-2</v>
      </c>
      <c r="O34" s="321">
        <f t="shared" si="4"/>
        <v>16.483667893159183</v>
      </c>
      <c r="P34" s="372">
        <f t="shared" si="5"/>
        <v>16.42366789315918</v>
      </c>
      <c r="Q34" s="115">
        <f>(F34/References!$C$13)*'DF Calculation'!L34</f>
        <v>1214.3412112553813</v>
      </c>
      <c r="R34" s="115">
        <f>(F34/References!$C$13)*'DF Calculation'!O34</f>
        <v>1221.2811003850129</v>
      </c>
      <c r="S34" s="115">
        <f t="shared" si="6"/>
        <v>6.9398891296316378</v>
      </c>
      <c r="T34" s="157">
        <f>(((G34*$D$87)*(References!$D$61/References!$H$64))*References!$C$13)-N34</f>
        <v>0</v>
      </c>
      <c r="U34" s="178"/>
    </row>
    <row r="35" spans="1:21">
      <c r="A35" s="491"/>
      <c r="B35" s="149">
        <v>20</v>
      </c>
      <c r="C35" s="107" t="s">
        <v>281</v>
      </c>
      <c r="D35" s="114" t="str">
        <f>VLOOKUP(C35,Mapping!$D$2:$H$91,5,FALSE)</f>
        <v>95 Gal Cart WG</v>
      </c>
      <c r="E35" s="312"/>
      <c r="F35" s="153">
        <f>SUMIFS(Mapping!M:M,Mapping!A:A,"Residential",Mapping!D:D,'DF Calculation'!C35)</f>
        <v>20940.755387439978</v>
      </c>
      <c r="G35" s="153">
        <f>VLOOKUP(C35,Mapping!D:L,7,FALSE)</f>
        <v>68</v>
      </c>
      <c r="H35" s="153">
        <f t="shared" si="1"/>
        <v>1423971.3663459185</v>
      </c>
      <c r="I35" s="41">
        <f t="shared" si="0"/>
        <v>1404503.3485696693</v>
      </c>
      <c r="J35" s="115">
        <f>(References!$D$61*I35)</f>
        <v>1917.1470707976057</v>
      </c>
      <c r="K35" s="115">
        <f>J35/References!$H$64</f>
        <v>1961.4764383032593</v>
      </c>
      <c r="L35" s="371">
        <v>39.97</v>
      </c>
      <c r="M35" s="380">
        <v>39.81</v>
      </c>
      <c r="N35" s="152">
        <f>IFERROR((K35/F35),0)*References!$C$11</f>
        <v>0.40589420368978174</v>
      </c>
      <c r="O35" s="321">
        <f t="shared" si="4"/>
        <v>40.375894203689782</v>
      </c>
      <c r="P35" s="372">
        <f t="shared" si="5"/>
        <v>40.215894203689786</v>
      </c>
      <c r="Q35" s="115">
        <f>(F35/References!$C$11)*'DF Calculation'!L35</f>
        <v>193154.30603907138</v>
      </c>
      <c r="R35" s="115">
        <f>(F35/References!$C$11)*'DF Calculation'!O35</f>
        <v>195115.78247737463</v>
      </c>
      <c r="S35" s="115">
        <f t="shared" si="6"/>
        <v>1961.4764383032452</v>
      </c>
      <c r="T35" s="157">
        <f>(((G35*$D$87)*(References!$D$61/References!$H$64))*References!$C$11)-N35</f>
        <v>0</v>
      </c>
      <c r="U35" s="178"/>
    </row>
    <row r="36" spans="1:21">
      <c r="A36" s="491"/>
      <c r="B36" s="149">
        <v>20</v>
      </c>
      <c r="C36" s="107" t="s">
        <v>283</v>
      </c>
      <c r="D36" s="114" t="str">
        <f>VLOOKUP(C36,Mapping!$D$2:$H$91,5,FALSE)</f>
        <v>95 Gal Cart WG-NR</v>
      </c>
      <c r="E36" s="312"/>
      <c r="F36" s="153">
        <f>SUMIFS(Mapping!M:M,Mapping!A:A,"Residential",Mapping!D:D,'DF Calculation'!C36)</f>
        <v>1308.2165168545878</v>
      </c>
      <c r="G36" s="153">
        <f>VLOOKUP(C36,Mapping!D:L,7,FALSE)</f>
        <v>68</v>
      </c>
      <c r="H36" s="153">
        <f t="shared" si="1"/>
        <v>88958.723146111966</v>
      </c>
      <c r="I36" s="41">
        <f t="shared" si="0"/>
        <v>87742.511890400361</v>
      </c>
      <c r="J36" s="115">
        <f>(References!$D$61*I36)</f>
        <v>119.76852873039694</v>
      </c>
      <c r="K36" s="115">
        <f>J36/References!$H$64</f>
        <v>122.53788492981066</v>
      </c>
      <c r="L36" s="371">
        <v>41.97</v>
      </c>
      <c r="M36" s="380">
        <v>41.81</v>
      </c>
      <c r="N36" s="152">
        <f>IFERROR((K36/F36),0)*References!$C$11</f>
        <v>0.40589420368978174</v>
      </c>
      <c r="O36" s="321">
        <f t="shared" si="4"/>
        <v>42.375894203689782</v>
      </c>
      <c r="P36" s="372">
        <f t="shared" si="5"/>
        <v>42.215894203689786</v>
      </c>
      <c r="Q36" s="115">
        <f>(F36/References!$C$11)*'DF Calculation'!L36</f>
        <v>12670.580125935474</v>
      </c>
      <c r="R36" s="115">
        <f>(F36/References!$C$11)*'DF Calculation'!O36</f>
        <v>12793.118010865286</v>
      </c>
      <c r="S36" s="115">
        <f t="shared" si="6"/>
        <v>122.53788492981221</v>
      </c>
      <c r="T36" s="157">
        <f>(((G36*$D$87)*(References!$D$61/References!$H$64))*References!$C$11)-N36</f>
        <v>0</v>
      </c>
      <c r="U36" s="178"/>
    </row>
    <row r="37" spans="1:21">
      <c r="A37" s="491"/>
      <c r="B37" s="149">
        <v>20</v>
      </c>
      <c r="C37" s="107" t="s">
        <v>291</v>
      </c>
      <c r="D37" s="114" t="str">
        <f>VLOOKUP(C37,Mapping!$D$2:$H$91,5,FALSE)</f>
        <v>95 Gal Cart EOW</v>
      </c>
      <c r="E37" s="312"/>
      <c r="F37" s="153">
        <f>SUMIFS(Mapping!M:M,Mapping!A:A,"Residential",Mapping!D:D,'DF Calculation'!C37)</f>
        <v>11893.201536940125</v>
      </c>
      <c r="G37" s="153">
        <f>VLOOKUP(C37,Mapping!D:L,7,FALSE)</f>
        <v>68</v>
      </c>
      <c r="H37" s="153">
        <f t="shared" si="1"/>
        <v>808737.70451192849</v>
      </c>
      <c r="I37" s="41">
        <f t="shared" si="0"/>
        <v>797680.93723425246</v>
      </c>
      <c r="J37" s="115">
        <f>(References!$D$61*I37)</f>
        <v>1088.8344793247586</v>
      </c>
      <c r="K37" s="115">
        <f>J37/References!$H$64</f>
        <v>1114.0111308827077</v>
      </c>
      <c r="L37" s="371">
        <v>24.21</v>
      </c>
      <c r="M37" s="380">
        <v>24.11</v>
      </c>
      <c r="N37" s="152">
        <f>IFERROR((K37/F37),0)*References!$C$12</f>
        <v>0.20294710184489084</v>
      </c>
      <c r="O37" s="321">
        <f t="shared" si="4"/>
        <v>24.412947101844892</v>
      </c>
      <c r="P37" s="372">
        <f t="shared" si="5"/>
        <v>24.312947101844891</v>
      </c>
      <c r="Q37" s="115">
        <f>(F37/References!$C$12)*'DF Calculation'!L37</f>
        <v>132892.80425045561</v>
      </c>
      <c r="R37" s="115">
        <f>(F37/References!$C$12)*'DF Calculation'!O37</f>
        <v>134006.81538133833</v>
      </c>
      <c r="S37" s="115">
        <f t="shared" si="6"/>
        <v>1114.0111308827181</v>
      </c>
      <c r="T37" s="157">
        <f>(((G37*$D$87)*(References!$D$61/References!$H$64))*References!$C$12)-N37</f>
        <v>0</v>
      </c>
      <c r="U37" s="178"/>
    </row>
    <row r="38" spans="1:21">
      <c r="A38" s="491"/>
      <c r="B38" s="149">
        <v>20</v>
      </c>
      <c r="C38" s="107" t="s">
        <v>293</v>
      </c>
      <c r="D38" s="114" t="str">
        <f>VLOOKUP(C38,Mapping!$D$2:$H$91,5,FALSE)</f>
        <v>95 Gal Cart EOW-NR</v>
      </c>
      <c r="E38" s="312"/>
      <c r="F38" s="153">
        <f>SUMIFS(Mapping!M:M,Mapping!A:A,"Residential",Mapping!D:D,'DF Calculation'!C38)</f>
        <v>562.08493119640684</v>
      </c>
      <c r="G38" s="153">
        <f>VLOOKUP(C38,Mapping!D:L,7,FALSE)</f>
        <v>68</v>
      </c>
      <c r="H38" s="153">
        <f t="shared" si="1"/>
        <v>38221.775321355664</v>
      </c>
      <c r="I38" s="41">
        <f t="shared" si="0"/>
        <v>37699.221133131075</v>
      </c>
      <c r="J38" s="115">
        <f>(References!$D$61*I38)</f>
        <v>51.45943684672411</v>
      </c>
      <c r="K38" s="115">
        <f>J38/References!$H$64</f>
        <v>52.649311281690309</v>
      </c>
      <c r="L38" s="371">
        <v>26.21</v>
      </c>
      <c r="M38" s="380">
        <v>26.11</v>
      </c>
      <c r="N38" s="152">
        <f>IFERROR((K38/F38),0)*References!$C$12</f>
        <v>0.20294710184489087</v>
      </c>
      <c r="O38" s="321">
        <f t="shared" si="4"/>
        <v>26.412947101844892</v>
      </c>
      <c r="P38" s="372">
        <f t="shared" si="5"/>
        <v>26.312947101844891</v>
      </c>
      <c r="Q38" s="115">
        <f>(F38/References!$C$12)*'DF Calculation'!L38</f>
        <v>6799.4981753805341</v>
      </c>
      <c r="R38" s="115">
        <f>(F38/References!$C$12)*'DF Calculation'!O38</f>
        <v>6852.1474866622248</v>
      </c>
      <c r="S38" s="115">
        <f t="shared" si="6"/>
        <v>52.649311281690643</v>
      </c>
      <c r="T38" s="157">
        <f>(((G38*$D$87)*(References!$D$61/References!$H$64))*References!$C$12)-N38</f>
        <v>0</v>
      </c>
      <c r="U38" s="178"/>
    </row>
    <row r="39" spans="1:21">
      <c r="A39" s="491"/>
      <c r="B39" s="149">
        <v>21</v>
      </c>
      <c r="C39" s="107" t="s">
        <v>338</v>
      </c>
      <c r="D39" s="114" t="str">
        <f>VLOOKUP(C39,Mapping!$D$2:$H$91,5,FALSE)</f>
        <v>CAN ON CALL</v>
      </c>
      <c r="E39" s="312"/>
      <c r="F39" s="153">
        <f>SUMIFS(Mapping!M:M,Mapping!A:A,"Residential",Mapping!D:D,'DF Calculation'!C39)</f>
        <v>219.10597426229364</v>
      </c>
      <c r="G39" s="153">
        <f>VLOOKUP(C39,Mapping!D:L,7,FALSE)</f>
        <v>34</v>
      </c>
      <c r="H39" s="153">
        <f t="shared" ref="H39:H43" si="7">F39*G39</f>
        <v>7449.6031249179841</v>
      </c>
      <c r="I39" s="41">
        <f t="shared" si="0"/>
        <v>7347.7548648409111</v>
      </c>
      <c r="J39" s="115">
        <f>(References!$D$61*I39)</f>
        <v>10.029685390507881</v>
      </c>
      <c r="K39" s="115">
        <f>J39/References!$H$64</f>
        <v>10.261597493869328</v>
      </c>
      <c r="L39" s="371">
        <v>8.25</v>
      </c>
      <c r="M39" s="380">
        <v>8.2200000000000006</v>
      </c>
      <c r="N39" s="152">
        <f>IFERROR((K39/F39),0)*References!$C$14</f>
        <v>4.683394657959021E-2</v>
      </c>
      <c r="O39" s="321">
        <f t="shared" ref="O39:O43" si="8">N39+L39</f>
        <v>8.2968339465795911</v>
      </c>
      <c r="P39" s="372">
        <f t="shared" ref="P39:P43" si="9">M39+N39</f>
        <v>8.2668339465795917</v>
      </c>
      <c r="Q39" s="115">
        <f>(F39/References!$C$14)*'DF Calculation'!L39</f>
        <v>1807.6242876639226</v>
      </c>
      <c r="R39" s="115">
        <f>(F39/References!$C$14)*'DF Calculation'!O39</f>
        <v>1817.885885157792</v>
      </c>
      <c r="S39" s="115">
        <f t="shared" ref="S39:S43" si="10">R39-Q39</f>
        <v>10.261597493869431</v>
      </c>
      <c r="T39" s="157">
        <f>(((G39*$D$87)*(References!$D$61/References!$H$64))*References!$C$14)-N39</f>
        <v>0</v>
      </c>
      <c r="U39" s="178"/>
    </row>
    <row r="40" spans="1:21">
      <c r="A40" s="491"/>
      <c r="B40" s="149">
        <v>21</v>
      </c>
      <c r="C40" s="107" t="s">
        <v>358</v>
      </c>
      <c r="D40" s="114" t="str">
        <f>VLOOKUP(C40,Mapping!$D$2:$H$91,5,FALSE)</f>
        <v>32 Gal Can EXTRA</v>
      </c>
      <c r="E40" s="312"/>
      <c r="F40" s="153">
        <f>SUMIFS(Mapping!M:M,Mapping!A:A,"Residential",Mapping!D:D,'DF Calculation'!C40)</f>
        <v>3094.6005773928491</v>
      </c>
      <c r="G40" s="153">
        <f>VLOOKUP(C40,Mapping!D:L,7,FALSE)</f>
        <v>34</v>
      </c>
      <c r="H40" s="153">
        <f t="shared" si="7"/>
        <v>105216.41963135687</v>
      </c>
      <c r="I40" s="41">
        <f t="shared" si="0"/>
        <v>103777.93907188265</v>
      </c>
      <c r="J40" s="115">
        <f>(References!$D$61*I40)</f>
        <v>141.65688683312035</v>
      </c>
      <c r="K40" s="115">
        <f>J40/References!$H$64</f>
        <v>144.93235812678572</v>
      </c>
      <c r="L40" s="371">
        <v>5.18</v>
      </c>
      <c r="M40" s="380">
        <v>5.16</v>
      </c>
      <c r="N40" s="152">
        <f>IFERROR((K40/F40),0)*References!$C$14</f>
        <v>4.683394657959021E-2</v>
      </c>
      <c r="O40" s="321">
        <f t="shared" si="8"/>
        <v>5.2268339465795899</v>
      </c>
      <c r="P40" s="372">
        <f t="shared" si="9"/>
        <v>5.2068339465795903</v>
      </c>
      <c r="Q40" s="115">
        <f>(F40/References!$C$14)*'DF Calculation'!L40</f>
        <v>16030.030990894958</v>
      </c>
      <c r="R40" s="115">
        <f>(F40/References!$C$14)*'DF Calculation'!O40</f>
        <v>16174.963349021744</v>
      </c>
      <c r="S40" s="115">
        <f t="shared" si="10"/>
        <v>144.9323581267854</v>
      </c>
      <c r="T40" s="157">
        <f>(((G40*$D$87)*(References!$D$61/References!$H$64))*References!$C$14)-N40</f>
        <v>0</v>
      </c>
      <c r="U40" s="178"/>
    </row>
    <row r="41" spans="1:21">
      <c r="A41" s="491"/>
      <c r="B41" s="149">
        <v>21</v>
      </c>
      <c r="C41" s="107" t="s">
        <v>360</v>
      </c>
      <c r="D41" s="114" t="str">
        <f>VLOOKUP(C41,Mapping!$D$2:$H$91,5,FALSE)</f>
        <v>95 Gal Toter SPECIAL</v>
      </c>
      <c r="E41" s="312"/>
      <c r="F41" s="153">
        <f>SUMIFS(Mapping!M:M,Mapping!A:A,"Residential",Mapping!D:D,'DF Calculation'!C41)</f>
        <v>150.4877521613833</v>
      </c>
      <c r="G41" s="153">
        <f>VLOOKUP(C41,Mapping!D:L,7,FALSE)</f>
        <v>68</v>
      </c>
      <c r="H41" s="153">
        <f t="shared" si="7"/>
        <v>10233.167146974065</v>
      </c>
      <c r="I41" s="41">
        <f t="shared" si="0"/>
        <v>10093.263013623518</v>
      </c>
      <c r="J41" s="115">
        <f>(References!$D$61*I41)</f>
        <v>13.777304013596154</v>
      </c>
      <c r="K41" s="115">
        <f>J41/References!$H$64</f>
        <v>14.095870691217673</v>
      </c>
      <c r="L41" s="371">
        <v>15.17</v>
      </c>
      <c r="M41" s="380">
        <v>15.11</v>
      </c>
      <c r="N41" s="152">
        <f>IFERROR((K41/F41),0)*References!$C$14</f>
        <v>9.3667893159180421E-2</v>
      </c>
      <c r="O41" s="321">
        <f t="shared" si="8"/>
        <v>15.26366789315918</v>
      </c>
      <c r="P41" s="372">
        <f t="shared" si="9"/>
        <v>15.20366789315918</v>
      </c>
      <c r="Q41" s="115">
        <f>(F41/References!$C$14)*'DF Calculation'!L41</f>
        <v>2282.8992002881846</v>
      </c>
      <c r="R41" s="115">
        <f>(F41/References!$C$14)*'DF Calculation'!O41</f>
        <v>2296.9950709794025</v>
      </c>
      <c r="S41" s="115">
        <f t="shared" si="10"/>
        <v>14.095870691217897</v>
      </c>
      <c r="T41" s="157">
        <f>(((G41*$D$87)*(References!$D$61/References!$H$64))*References!$C$14)-N41</f>
        <v>0</v>
      </c>
      <c r="U41" s="178"/>
    </row>
    <row r="42" spans="1:21">
      <c r="A42" s="491"/>
      <c r="B42" s="149">
        <v>21</v>
      </c>
      <c r="C42" s="107" t="s">
        <v>364</v>
      </c>
      <c r="D42" s="114" t="str">
        <f>VLOOKUP(C42,Mapping!$D$2:$H$91,5,FALSE)</f>
        <v>65 Gal Toter SPECIAL</v>
      </c>
      <c r="E42" s="312"/>
      <c r="F42" s="153">
        <f>SUMIFS(Mapping!M:M,Mapping!A:A,"Residential",Mapping!D:D,'DF Calculation'!C42)</f>
        <v>631.22870400367867</v>
      </c>
      <c r="G42" s="153">
        <f>VLOOKUP(C42,Mapping!D:L,7,FALSE)</f>
        <v>47</v>
      </c>
      <c r="H42" s="153">
        <f t="shared" si="7"/>
        <v>29667.749088172899</v>
      </c>
      <c r="I42" s="41">
        <f t="shared" si="0"/>
        <v>29262.142430426706</v>
      </c>
      <c r="J42" s="115">
        <f>(References!$D$61*I42)</f>
        <v>39.942824417532606</v>
      </c>
      <c r="K42" s="115">
        <f>J42/References!$H$64</f>
        <v>40.866405174475759</v>
      </c>
      <c r="L42" s="371">
        <v>10.130000000000001</v>
      </c>
      <c r="M42" s="380">
        <v>10.09</v>
      </c>
      <c r="N42" s="152">
        <f>IFERROR((K42/F42),0)*References!$C$14</f>
        <v>6.4741043801198245E-2</v>
      </c>
      <c r="O42" s="321">
        <f t="shared" si="8"/>
        <v>10.1947410438012</v>
      </c>
      <c r="P42" s="372">
        <f t="shared" si="9"/>
        <v>10.154741043801199</v>
      </c>
      <c r="Q42" s="115">
        <f>(F42/References!$C$14)*'DF Calculation'!L42</f>
        <v>6394.3467715572651</v>
      </c>
      <c r="R42" s="115">
        <f>(F42/References!$C$14)*'DF Calculation'!O42</f>
        <v>6435.2131767317414</v>
      </c>
      <c r="S42" s="115">
        <f t="shared" si="10"/>
        <v>40.866405174476313</v>
      </c>
      <c r="T42" s="157">
        <f>(((G42*$D$87)*(References!$D$61/References!$H$64))*References!$C$14)-N42</f>
        <v>0</v>
      </c>
      <c r="U42" s="178"/>
    </row>
    <row r="43" spans="1:21">
      <c r="A43" s="491"/>
      <c r="B43" s="149">
        <v>22</v>
      </c>
      <c r="C43" s="107" t="s">
        <v>309</v>
      </c>
      <c r="D43" s="114" t="str">
        <f>VLOOKUP(C43,Mapping!$D$2:$H$91,5,FALSE)</f>
        <v>1 - 4 Cubic Yards BULKY</v>
      </c>
      <c r="E43" s="312"/>
      <c r="F43" s="153">
        <f>SUMIFS(Mapping!M:M,Mapping!A:A,"Residential",Mapping!D:D,'DF Calculation'!C43)</f>
        <v>39.87531800748615</v>
      </c>
      <c r="G43" s="153">
        <f>VLOOKUP(C43,Mapping!D:L,7,FALSE)</f>
        <v>125</v>
      </c>
      <c r="H43" s="153">
        <f t="shared" si="7"/>
        <v>4984.414750935769</v>
      </c>
      <c r="I43" s="41">
        <f t="shared" si="0"/>
        <v>4916.2696482540887</v>
      </c>
      <c r="J43" s="115">
        <f>(References!$D$61*I43)</f>
        <v>6.7107080698668558</v>
      </c>
      <c r="K43" s="115">
        <f>J43/References!$H$64</f>
        <v>6.8658768875249185</v>
      </c>
      <c r="L43" s="371">
        <v>15.25</v>
      </c>
      <c r="M43" s="380">
        <v>15.19</v>
      </c>
      <c r="N43" s="152">
        <f>IFERROR((K43/F43),0)*References!$C$14</f>
        <v>0.17218362713084637</v>
      </c>
      <c r="O43" s="321">
        <f t="shared" si="8"/>
        <v>15.422183627130847</v>
      </c>
      <c r="P43" s="372">
        <f t="shared" si="9"/>
        <v>15.362183627130847</v>
      </c>
      <c r="Q43" s="115">
        <f>(F43/References!$C$14)*'DF Calculation'!L43</f>
        <v>608.09859961416385</v>
      </c>
      <c r="R43" s="115">
        <f>(F43/References!$C$14)*'DF Calculation'!O43</f>
        <v>614.96447650168875</v>
      </c>
      <c r="S43" s="115">
        <f t="shared" si="10"/>
        <v>6.8658768875249052</v>
      </c>
      <c r="T43" s="157">
        <f>(((G43*$D$87)*(References!$D$61/References!$H$64))*References!$C$14)-N43</f>
        <v>0</v>
      </c>
      <c r="U43" s="178"/>
    </row>
    <row r="44" spans="1:21">
      <c r="A44" s="491"/>
      <c r="B44" s="149">
        <v>28</v>
      </c>
      <c r="C44" s="107" t="s">
        <v>845</v>
      </c>
      <c r="D44" s="114" t="str">
        <f>VLOOKUP(C44,Mapping!$D$2:$H$91,5,FALSE)</f>
        <v>APPLIANCE REMOVAL EXTRA</v>
      </c>
      <c r="E44" s="312"/>
      <c r="F44" s="153">
        <f>SUMIFS(Mapping!M:M,Mapping!A:A,"Residential",Mapping!D:D,'DF Calculation'!C44)</f>
        <v>4</v>
      </c>
      <c r="G44" s="153">
        <f>VLOOKUP(C44,Mapping!D:L,7,FALSE)</f>
        <v>125</v>
      </c>
      <c r="H44" s="153">
        <f t="shared" si="1"/>
        <v>500</v>
      </c>
      <c r="I44" s="41">
        <f t="shared" si="0"/>
        <v>493.16418214707278</v>
      </c>
      <c r="J44" s="115">
        <f>(References!$D$61*I44)</f>
        <v>0.67316910863075685</v>
      </c>
      <c r="K44" s="115">
        <f>J44/References!$H$64</f>
        <v>0.68873450852338536</v>
      </c>
      <c r="L44" s="371">
        <v>33.85</v>
      </c>
      <c r="M44" s="380">
        <v>33.85</v>
      </c>
      <c r="N44" s="152">
        <f>IFERROR((K44/F44),0)*References!$C$14</f>
        <v>0.17218362713084634</v>
      </c>
      <c r="O44" s="471">
        <v>34.86</v>
      </c>
      <c r="P44" s="471">
        <v>34.86</v>
      </c>
      <c r="Q44" s="115">
        <f>(F44/References!$C$14)*'DF Calculation'!L44</f>
        <v>135.4</v>
      </c>
      <c r="R44" s="115">
        <f>(F44/References!$C$14)*'DF Calculation'!O44</f>
        <v>139.44</v>
      </c>
      <c r="S44" s="115">
        <f t="shared" ref="S44" si="11">R44-Q44</f>
        <v>4.039999999999992</v>
      </c>
      <c r="T44" s="157">
        <f>(((G44*$D$87)*(References!$D$61/References!$H$64))*References!$C$14)-N44</f>
        <v>0</v>
      </c>
      <c r="U44" s="178"/>
    </row>
    <row r="45" spans="1:21">
      <c r="A45" s="126"/>
      <c r="B45" s="88"/>
      <c r="C45" s="104"/>
      <c r="D45" s="89" t="s">
        <v>14</v>
      </c>
      <c r="E45" s="142"/>
      <c r="F45" s="81">
        <f>SUM(F7:F44)</f>
        <v>245634.30537056181</v>
      </c>
      <c r="G45" s="90"/>
      <c r="H45" s="81">
        <f>SUM(H7:H44)</f>
        <v>11708754.11562418</v>
      </c>
      <c r="I45" s="81">
        <f>SUM(I7:I44)</f>
        <v>11548676.294785945</v>
      </c>
      <c r="J45" s="426">
        <f>SUM(J7:J44)</f>
        <v>15763.94314238287</v>
      </c>
      <c r="K45" s="426">
        <f>SUM(K7:K44)</f>
        <v>16128.446022491171</v>
      </c>
      <c r="L45" s="81"/>
      <c r="M45" s="156"/>
      <c r="N45" s="81"/>
      <c r="O45" s="130"/>
      <c r="P45" s="145"/>
      <c r="Q45" s="426">
        <f>SUM(Q7:Q44)</f>
        <v>1867691.3530203248</v>
      </c>
      <c r="R45" s="426">
        <f>SUM(R7:R44)</f>
        <v>1883823.150308308</v>
      </c>
      <c r="S45" s="426">
        <f>SUM(S7:S44)</f>
        <v>16131.797287982643</v>
      </c>
      <c r="T45" s="80">
        <f>S45/Q45</f>
        <v>8.637292913465178E-3</v>
      </c>
      <c r="U45" s="171"/>
    </row>
    <row r="46" spans="1:21" ht="15" customHeight="1">
      <c r="A46" s="492" t="s">
        <v>12</v>
      </c>
      <c r="B46" s="149">
        <v>22</v>
      </c>
      <c r="C46" s="107" t="s">
        <v>564</v>
      </c>
      <c r="D46" s="114" t="str">
        <f>VLOOKUP(C46,Mapping!$D$2:$H$91,5,FALSE)</f>
        <v>1 - 4 Cubic Yards Loose</v>
      </c>
      <c r="E46" s="114"/>
      <c r="F46" s="153">
        <f>SUMIFS(Mapping!M:M,Mapping!A:A,"Commercial",Mapping!D:D,'DF Calculation'!C46)</f>
        <v>58.531012404961984</v>
      </c>
      <c r="G46" s="153">
        <f>VLOOKUP(C46,Mapping!D:L,7,FALSE)</f>
        <v>125</v>
      </c>
      <c r="H46" s="153">
        <f>F46*G46</f>
        <v>7316.3765506202481</v>
      </c>
      <c r="I46" s="41">
        <f t="shared" ref="I46:I76" si="12">$D$87*H46</f>
        <v>7216.3497157333122</v>
      </c>
      <c r="J46" s="115">
        <f>(References!$D$61*I46)</f>
        <v>9.8503173619760087</v>
      </c>
      <c r="K46" s="115">
        <f>J46/References!$H$64</f>
        <v>10.078082015526917</v>
      </c>
      <c r="L46" s="371">
        <v>27.32</v>
      </c>
      <c r="M46" s="380">
        <v>27.21</v>
      </c>
      <c r="N46" s="152">
        <f t="shared" ref="N46" si="13">IFERROR((K46/F46),0)</f>
        <v>0.17218362713084637</v>
      </c>
      <c r="O46" s="321">
        <f t="shared" ref="O46" si="14">ROUND(N46+L46,2)</f>
        <v>27.49</v>
      </c>
      <c r="P46" s="372">
        <f t="shared" ref="P46" si="15">M46+N46</f>
        <v>27.382183627130846</v>
      </c>
      <c r="Q46" s="115">
        <f t="shared" ref="Q46" si="16">F46*L46</f>
        <v>1599.0672589035614</v>
      </c>
      <c r="R46" s="115">
        <f t="shared" ref="R46" si="17">F46*O46</f>
        <v>1609.0175310124048</v>
      </c>
      <c r="S46" s="115">
        <f t="shared" ref="S46" si="18">R46-Q46</f>
        <v>9.9502721088433645</v>
      </c>
      <c r="T46" s="157">
        <f>((G46*$D$87)*(References!$D$61/References!$H$64))-N46</f>
        <v>0</v>
      </c>
      <c r="U46" s="153"/>
    </row>
    <row r="47" spans="1:21">
      <c r="A47" s="492"/>
      <c r="B47" s="149">
        <v>28</v>
      </c>
      <c r="C47" s="107" t="s">
        <v>845</v>
      </c>
      <c r="D47" s="114" t="s">
        <v>875</v>
      </c>
      <c r="E47" s="114"/>
      <c r="F47" s="153">
        <f>SUMIFS(Mapping!M:M,Mapping!A:A,"Commercial",Mapping!D:D,'DF Calculation'!C47)</f>
        <v>23.073405535499397</v>
      </c>
      <c r="G47" s="153">
        <f>VLOOKUP(C47,Mapping!D:L,7,FALSE)</f>
        <v>125</v>
      </c>
      <c r="H47" s="153">
        <f>F47*G47</f>
        <v>2884.1756919374247</v>
      </c>
      <c r="I47" s="41">
        <f t="shared" si="12"/>
        <v>2844.744292565576</v>
      </c>
      <c r="J47" s="115">
        <f>(References!$D$61*I47)</f>
        <v>3.8830759593520257</v>
      </c>
      <c r="K47" s="115">
        <f>J47/References!$H$64</f>
        <v>3.9728626553632345</v>
      </c>
      <c r="L47" s="371">
        <v>33.85</v>
      </c>
      <c r="M47" s="380">
        <v>33.85</v>
      </c>
      <c r="N47" s="152">
        <f t="shared" ref="N47" si="19">IFERROR((K47/F47),0)</f>
        <v>0.17218362713084637</v>
      </c>
      <c r="O47" s="471">
        <v>34.86</v>
      </c>
      <c r="P47" s="471">
        <v>34.86</v>
      </c>
      <c r="Q47" s="115">
        <f t="shared" ref="Q47" si="20">F47*L47</f>
        <v>781.03477737665457</v>
      </c>
      <c r="R47" s="115">
        <f t="shared" ref="R47" si="21">F47*O47</f>
        <v>804.33891696750902</v>
      </c>
      <c r="S47" s="115">
        <f t="shared" ref="S47" si="22">R47-Q47</f>
        <v>23.304139590854447</v>
      </c>
      <c r="T47" s="157">
        <f>((G47*$D$87)*(References!$D$61/References!$H$64))-N47</f>
        <v>0</v>
      </c>
      <c r="U47" s="153"/>
    </row>
    <row r="48" spans="1:21" ht="15" customHeight="1">
      <c r="A48" s="492"/>
      <c r="B48" s="149">
        <v>29</v>
      </c>
      <c r="C48" s="107" t="s">
        <v>397</v>
      </c>
      <c r="D48" s="114" t="str">
        <f>VLOOKUP(C48,Mapping!$D$2:$H$91,5,FALSE)</f>
        <v>1 yard Permanent</v>
      </c>
      <c r="E48" s="114" t="s">
        <v>786</v>
      </c>
      <c r="F48" s="407">
        <f>SUMIFS(Mapping!L:L,Mapping!A:A,"Commercial",Mapping!D:D,'DF Calculation'!C48)</f>
        <v>3111.815838934941</v>
      </c>
      <c r="G48" s="153">
        <f>VLOOKUP(C48,Mapping!D:L,7,FALSE)</f>
        <v>175</v>
      </c>
      <c r="H48" s="153">
        <f t="shared" ref="H48:H76" si="23">F48*G48</f>
        <v>544567.77181361464</v>
      </c>
      <c r="I48" s="41">
        <f t="shared" si="12"/>
        <v>537122.63962023007</v>
      </c>
      <c r="J48" s="115">
        <f>(References!$D$61*I48)</f>
        <v>733.17240308161684</v>
      </c>
      <c r="K48" s="115">
        <f>J48/References!$H$64</f>
        <v>750.12523335544995</v>
      </c>
      <c r="L48" s="371">
        <v>37.96</v>
      </c>
      <c r="M48" s="380">
        <v>37.81</v>
      </c>
      <c r="N48" s="152">
        <f t="shared" ref="N48" si="24">IFERROR((K48/F48),0)</f>
        <v>0.24105707798318488</v>
      </c>
      <c r="O48" s="321">
        <f>ROUND(N48+L48,2)</f>
        <v>38.200000000000003</v>
      </c>
      <c r="P48" s="372">
        <f>M48+N48</f>
        <v>38.051057077983188</v>
      </c>
      <c r="Q48" s="115">
        <f t="shared" ref="Q48" si="25">F48*L48</f>
        <v>118124.52924597036</v>
      </c>
      <c r="R48" s="115">
        <f t="shared" ref="R48" si="26">F48*O48</f>
        <v>118871.36504731476</v>
      </c>
      <c r="S48" s="115">
        <f t="shared" ref="S48" si="27">R48-Q48</f>
        <v>746.83580134439399</v>
      </c>
      <c r="T48" s="157">
        <f>((G48*$D$87)*(References!$D$61/References!$H$64))-N48</f>
        <v>0</v>
      </c>
      <c r="U48" s="153"/>
    </row>
    <row r="49" spans="1:21" ht="15" customHeight="1">
      <c r="A49" s="492"/>
      <c r="B49" s="149">
        <v>29</v>
      </c>
      <c r="C49" s="107" t="s">
        <v>397</v>
      </c>
      <c r="D49" s="114" t="str">
        <f>VLOOKUP(C49,Mapping!$D$2:$H$91,5,FALSE)</f>
        <v>1 yard Permanent</v>
      </c>
      <c r="E49" s="114" t="s">
        <v>787</v>
      </c>
      <c r="F49" s="407">
        <f>SUMIFS(Mapping!M:M,Mapping!A:A,"Commercial",Mapping!D:D,'DF Calculation'!C49)-F48</f>
        <v>6189.7144669086574</v>
      </c>
      <c r="G49" s="153">
        <f>VLOOKUP(C49,Mapping!D:L,7,FALSE)</f>
        <v>175</v>
      </c>
      <c r="H49" s="153">
        <f t="shared" si="23"/>
        <v>1083200.0317090151</v>
      </c>
      <c r="I49" s="41">
        <f t="shared" si="12"/>
        <v>1068390.9154789196</v>
      </c>
      <c r="J49" s="115">
        <f>(References!$D$61*I49)</f>
        <v>1458.3535996287308</v>
      </c>
      <c r="K49" s="115">
        <f>J49/References!$H$64</f>
        <v>1492.0744829432481</v>
      </c>
      <c r="L49" s="371">
        <v>22.28</v>
      </c>
      <c r="M49" s="380">
        <v>22.19</v>
      </c>
      <c r="N49" s="152">
        <f t="shared" ref="N49:N76" si="28">IFERROR((K49/F49),0)</f>
        <v>0.2410570779831849</v>
      </c>
      <c r="O49" s="321">
        <f t="shared" ref="O49:O76" si="29">ROUND(N49+L49,2)</f>
        <v>22.52</v>
      </c>
      <c r="P49" s="372">
        <f t="shared" ref="P49:P76" si="30">M49+N49</f>
        <v>22.431057077983187</v>
      </c>
      <c r="Q49" s="115">
        <f t="shared" ref="Q49:Q76" si="31">F49*L49</f>
        <v>137906.83832272489</v>
      </c>
      <c r="R49" s="115">
        <f t="shared" ref="R49:R76" si="32">F49*O49</f>
        <v>139392.36979478295</v>
      </c>
      <c r="S49" s="115">
        <f t="shared" ref="S49:S76" si="33">R49-Q49</f>
        <v>1485.5314720580645</v>
      </c>
      <c r="T49" s="157">
        <f>((G49*$D$87)*(References!$D$61/References!$H$64))-N49</f>
        <v>0</v>
      </c>
      <c r="U49" s="153"/>
    </row>
    <row r="50" spans="1:21">
      <c r="A50" s="492"/>
      <c r="B50" s="149">
        <v>29</v>
      </c>
      <c r="C50" s="107" t="s">
        <v>406</v>
      </c>
      <c r="D50" s="114" t="str">
        <f>VLOOKUP(C50,Mapping!$D$2:$H$91,5,FALSE)</f>
        <v>1 yard Temp Pickup</v>
      </c>
      <c r="E50" s="151"/>
      <c r="F50" s="153">
        <f>SUMIFS(Mapping!M:M,Mapping!A:A,"Commercial",Mapping!D:D,'DF Calculation'!C50)</f>
        <v>7</v>
      </c>
      <c r="G50" s="153">
        <f>VLOOKUP(C50,Mapping!D:L,7,FALSE)</f>
        <v>175</v>
      </c>
      <c r="H50" s="153">
        <f t="shared" si="23"/>
        <v>1225</v>
      </c>
      <c r="I50" s="41">
        <f t="shared" si="12"/>
        <v>1208.2522462603283</v>
      </c>
      <c r="J50" s="115">
        <f>(References!$D$61*I50)</f>
        <v>1.6492643161453544</v>
      </c>
      <c r="K50" s="115">
        <f>J50/References!$H$64</f>
        <v>1.6873995458822941</v>
      </c>
      <c r="L50" s="371">
        <v>33.409999999999997</v>
      </c>
      <c r="M50" s="380">
        <v>33.28</v>
      </c>
      <c r="N50" s="152">
        <f t="shared" si="28"/>
        <v>0.24105707798318488</v>
      </c>
      <c r="O50" s="321">
        <f t="shared" si="29"/>
        <v>33.65</v>
      </c>
      <c r="P50" s="372">
        <f t="shared" si="30"/>
        <v>33.521057077983187</v>
      </c>
      <c r="Q50" s="115">
        <f t="shared" si="31"/>
        <v>233.86999999999998</v>
      </c>
      <c r="R50" s="115">
        <f t="shared" si="32"/>
        <v>235.54999999999998</v>
      </c>
      <c r="S50" s="115">
        <f t="shared" si="33"/>
        <v>1.6800000000000068</v>
      </c>
      <c r="T50" s="157">
        <f>((G50*$D$87)*(References!$D$61/References!$H$64))-N50</f>
        <v>0</v>
      </c>
      <c r="U50" s="148"/>
    </row>
    <row r="51" spans="1:21">
      <c r="A51" s="492"/>
      <c r="B51" s="149">
        <v>29</v>
      </c>
      <c r="C51" s="107" t="s">
        <v>609</v>
      </c>
      <c r="D51" s="114" t="str">
        <f>VLOOKUP(C51,Mapping!$D$2:$H$91,5,FALSE)</f>
        <v>1 yard Special</v>
      </c>
      <c r="E51" s="114"/>
      <c r="F51" s="153">
        <f>SUMIFS(Mapping!M:M,Mapping!A:A,"Commercial",Mapping!D:D,'DF Calculation'!C51)</f>
        <v>35.018325443543851</v>
      </c>
      <c r="G51" s="153">
        <f>VLOOKUP(C51,Mapping!D:L,7,FALSE)</f>
        <v>175</v>
      </c>
      <c r="H51" s="153">
        <f>F51*G51</f>
        <v>6128.206952620174</v>
      </c>
      <c r="I51" s="41">
        <f t="shared" si="12"/>
        <v>6044.424339633867</v>
      </c>
      <c r="J51" s="115">
        <f>(References!$D$61*I51)</f>
        <v>8.2506392236002597</v>
      </c>
      <c r="K51" s="115">
        <f>J51/References!$H$64</f>
        <v>8.4414152072848978</v>
      </c>
      <c r="L51" s="371">
        <v>33.409999999999997</v>
      </c>
      <c r="M51" s="380">
        <v>33.28</v>
      </c>
      <c r="N51" s="152">
        <f>IFERROR((K51/F51),0)</f>
        <v>0.2410570779831849</v>
      </c>
      <c r="O51" s="321">
        <f>ROUND(N51+L51,2)</f>
        <v>33.65</v>
      </c>
      <c r="P51" s="372">
        <f>M51+N51</f>
        <v>33.521057077983187</v>
      </c>
      <c r="Q51" s="115">
        <f>F51*L51</f>
        <v>1169.9622530688</v>
      </c>
      <c r="R51" s="115">
        <f>F51*O51</f>
        <v>1178.3666511752506</v>
      </c>
      <c r="S51" s="115">
        <f>R51-Q51</f>
        <v>8.4043981064505715</v>
      </c>
      <c r="T51" s="157">
        <f>((G51*$D$87)*(References!$D$61/References!$H$64))-N51</f>
        <v>0</v>
      </c>
      <c r="U51" s="153"/>
    </row>
    <row r="52" spans="1:21">
      <c r="A52" s="492"/>
      <c r="B52" s="149">
        <v>29</v>
      </c>
      <c r="C52" s="107" t="s">
        <v>410</v>
      </c>
      <c r="D52" s="114" t="str">
        <f>VLOOKUP(C52,Mapping!$D$2:$H$91,5,FALSE)</f>
        <v>1.5 yard Permanent</v>
      </c>
      <c r="E52" s="114" t="s">
        <v>786</v>
      </c>
      <c r="F52" s="407">
        <f>SUMIFS(Mapping!L:L,Mapping!A:A,"Commercial",Mapping!D:D,'DF Calculation'!C52)</f>
        <v>1239.7328867706199</v>
      </c>
      <c r="G52" s="153">
        <f>VLOOKUP(C52,Mapping!D:L,7,FALSE)</f>
        <v>250</v>
      </c>
      <c r="H52" s="153">
        <f t="shared" si="23"/>
        <v>309933.22169265494</v>
      </c>
      <c r="I52" s="41">
        <f t="shared" si="12"/>
        <v>305695.92759253114</v>
      </c>
      <c r="J52" s="115">
        <f>(References!$D$61*I52)</f>
        <v>417.27494116380655</v>
      </c>
      <c r="K52" s="115">
        <f>J52/References!$H$64</f>
        <v>426.92341023512023</v>
      </c>
      <c r="L52" s="371">
        <v>53.59</v>
      </c>
      <c r="M52" s="380">
        <v>53.38</v>
      </c>
      <c r="N52" s="152">
        <f t="shared" si="28"/>
        <v>0.34436725426169262</v>
      </c>
      <c r="O52" s="321">
        <f t="shared" si="29"/>
        <v>53.93</v>
      </c>
      <c r="P52" s="372">
        <f t="shared" si="30"/>
        <v>53.724367254261693</v>
      </c>
      <c r="Q52" s="115">
        <f t="shared" si="31"/>
        <v>66437.285402037523</v>
      </c>
      <c r="R52" s="115">
        <f t="shared" si="32"/>
        <v>66858.794583539522</v>
      </c>
      <c r="S52" s="115">
        <f t="shared" si="33"/>
        <v>421.50918150199868</v>
      </c>
      <c r="T52" s="157">
        <f>((G52*$D$87)*(References!$D$61/References!$H$64))-N52</f>
        <v>0</v>
      </c>
      <c r="U52" s="153"/>
    </row>
    <row r="53" spans="1:21">
      <c r="A53" s="492"/>
      <c r="B53" s="149">
        <v>29</v>
      </c>
      <c r="C53" s="107" t="s">
        <v>410</v>
      </c>
      <c r="D53" s="114" t="str">
        <f>VLOOKUP(C53,Mapping!$D$2:$H$91,5,FALSE)</f>
        <v>1.5 yard Permanent</v>
      </c>
      <c r="E53" s="114" t="s">
        <v>787</v>
      </c>
      <c r="F53" s="407">
        <f>SUMIFS(Mapping!M:M,Mapping!A:A,"Commercial",Mapping!D:D,'DF Calculation'!C53)-F52</f>
        <v>2886.7578364319634</v>
      </c>
      <c r="G53" s="153">
        <f>VLOOKUP(C53,Mapping!D:L,7,FALSE)</f>
        <v>250</v>
      </c>
      <c r="H53" s="153">
        <f t="shared" si="23"/>
        <v>721689.45910799084</v>
      </c>
      <c r="I53" s="41">
        <f t="shared" si="12"/>
        <v>711822.78373031132</v>
      </c>
      <c r="J53" s="115">
        <f>(References!$D$61*I53)</f>
        <v>971.63809979187863</v>
      </c>
      <c r="K53" s="115">
        <f>J53/References!$H$64</f>
        <v>994.10486985049988</v>
      </c>
      <c r="L53" s="371">
        <v>30.67</v>
      </c>
      <c r="M53" s="380">
        <v>30.55</v>
      </c>
      <c r="N53" s="152">
        <f t="shared" si="28"/>
        <v>0.34436725426169273</v>
      </c>
      <c r="O53" s="321">
        <f t="shared" si="29"/>
        <v>31.01</v>
      </c>
      <c r="P53" s="372">
        <f t="shared" si="30"/>
        <v>30.894367254261695</v>
      </c>
      <c r="Q53" s="115">
        <f t="shared" si="31"/>
        <v>88536.862843368319</v>
      </c>
      <c r="R53" s="115">
        <f t="shared" si="32"/>
        <v>89518.360507755191</v>
      </c>
      <c r="S53" s="115">
        <f t="shared" si="33"/>
        <v>981.4976643868722</v>
      </c>
      <c r="T53" s="157">
        <f>((G53*$D$87)*(References!$D$61/References!$H$64))-N53</f>
        <v>0</v>
      </c>
      <c r="U53" s="153"/>
    </row>
    <row r="54" spans="1:21">
      <c r="A54" s="492"/>
      <c r="B54" s="149">
        <v>29</v>
      </c>
      <c r="C54" s="107" t="s">
        <v>419</v>
      </c>
      <c r="D54" s="114" t="str">
        <f>VLOOKUP(C54,Mapping!$D$2:$H$91,5,FALSE)</f>
        <v>1.5 yard Temp Pickup</v>
      </c>
      <c r="E54" s="114"/>
      <c r="F54" s="153">
        <f>SUMIFS(Mapping!M:M,Mapping!A:A,"Commercial",Mapping!D:D,'DF Calculation'!C54)</f>
        <v>27.005546536243251</v>
      </c>
      <c r="G54" s="153">
        <f>VLOOKUP(C54,Mapping!D:L,7,FALSE)</f>
        <v>250</v>
      </c>
      <c r="H54" s="153">
        <f t="shared" si="23"/>
        <v>6751.3866340608129</v>
      </c>
      <c r="I54" s="41">
        <f t="shared" si="12"/>
        <v>6659.0841354905588</v>
      </c>
      <c r="J54" s="115">
        <f>(References!$D$61*I54)</f>
        <v>9.0896498449446472</v>
      </c>
      <c r="K54" s="115">
        <f>J54/References!$H$64</f>
        <v>9.2998259105224541</v>
      </c>
      <c r="L54" s="371">
        <v>47.36</v>
      </c>
      <c r="M54" s="380">
        <v>47.17</v>
      </c>
      <c r="N54" s="152">
        <f t="shared" si="28"/>
        <v>0.34436725426169268</v>
      </c>
      <c r="O54" s="321">
        <f t="shared" si="29"/>
        <v>47.7</v>
      </c>
      <c r="P54" s="372">
        <f t="shared" si="30"/>
        <v>47.514367254261693</v>
      </c>
      <c r="Q54" s="115">
        <f t="shared" si="31"/>
        <v>1278.9826839564803</v>
      </c>
      <c r="R54" s="115">
        <f t="shared" si="32"/>
        <v>1288.1645697788031</v>
      </c>
      <c r="S54" s="115">
        <f t="shared" si="33"/>
        <v>9.1818858223227835</v>
      </c>
      <c r="T54" s="157">
        <f>((G54*$D$87)*(References!$D$61/References!$H$64))-N54</f>
        <v>0</v>
      </c>
      <c r="U54" s="153"/>
    </row>
    <row r="55" spans="1:21">
      <c r="A55" s="492"/>
      <c r="B55" s="149">
        <v>29</v>
      </c>
      <c r="C55" s="107" t="s">
        <v>611</v>
      </c>
      <c r="D55" s="114" t="str">
        <f>VLOOKUP(C55,Mapping!$D$2:$H$91,5,FALSE)</f>
        <v>1.5 yard Special</v>
      </c>
      <c r="E55" s="114"/>
      <c r="F55" s="153">
        <f>SUMIFS(Mapping!M:M,Mapping!A:A,"Commercial",Mapping!D:D,'DF Calculation'!C55)</f>
        <v>21</v>
      </c>
      <c r="G55" s="153">
        <f>VLOOKUP(C55,Mapping!D:L,7,FALSE)</f>
        <v>250</v>
      </c>
      <c r="H55" s="153">
        <f>F55*G55</f>
        <v>5250</v>
      </c>
      <c r="I55" s="41">
        <f t="shared" si="12"/>
        <v>5178.2239125442647</v>
      </c>
      <c r="J55" s="115">
        <f>(References!$D$61*I55)</f>
        <v>7.0682756406229474</v>
      </c>
      <c r="K55" s="115">
        <f>J55/References!$H$64</f>
        <v>7.2317123394955463</v>
      </c>
      <c r="L55" s="371">
        <v>47.36</v>
      </c>
      <c r="M55" s="380">
        <v>47.17</v>
      </c>
      <c r="N55" s="152">
        <f>IFERROR((K55/F55),0)</f>
        <v>0.34436725426169268</v>
      </c>
      <c r="O55" s="321">
        <f>ROUND(N55+L55,2)</f>
        <v>47.7</v>
      </c>
      <c r="P55" s="372">
        <f>M55+N55</f>
        <v>47.514367254261693</v>
      </c>
      <c r="Q55" s="115">
        <f>F55*L55</f>
        <v>994.56</v>
      </c>
      <c r="R55" s="115">
        <f>F55*O55</f>
        <v>1001.7</v>
      </c>
      <c r="S55" s="115">
        <f>R55-Q55</f>
        <v>7.1400000000001</v>
      </c>
      <c r="T55" s="157">
        <f>((G55*$D$87)*(References!$D$61/References!$H$64))-N55</f>
        <v>0</v>
      </c>
      <c r="U55" s="153"/>
    </row>
    <row r="56" spans="1:21">
      <c r="A56" s="492"/>
      <c r="B56" s="149">
        <v>29</v>
      </c>
      <c r="C56" s="107" t="s">
        <v>421</v>
      </c>
      <c r="D56" s="114" t="str">
        <f>VLOOKUP(C56,Mapping!$D$2:$H$91,5,FALSE)</f>
        <v>2 yard Permanent</v>
      </c>
      <c r="E56" s="114" t="s">
        <v>786</v>
      </c>
      <c r="F56" s="407">
        <f>SUMIFS(Mapping!L:L,Mapping!A:A,"Commercial",Mapping!D:D,'DF Calculation'!C56)</f>
        <v>1180.8764745764765</v>
      </c>
      <c r="G56" s="153">
        <f>VLOOKUP(C56,Mapping!D:L,7,FALSE)</f>
        <v>324</v>
      </c>
      <c r="H56" s="153">
        <f t="shared" si="23"/>
        <v>382603.97776277841</v>
      </c>
      <c r="I56" s="41">
        <f t="shared" si="12"/>
        <v>377373.15555919491</v>
      </c>
      <c r="J56" s="115">
        <f>(References!$D$61*I56)</f>
        <v>515.11435733830297</v>
      </c>
      <c r="K56" s="115">
        <f>J56/References!$H$64</f>
        <v>527.02512516707895</v>
      </c>
      <c r="L56" s="371">
        <v>65.400000000000006</v>
      </c>
      <c r="M56" s="380">
        <v>65.14</v>
      </c>
      <c r="N56" s="152">
        <f t="shared" si="28"/>
        <v>0.44629996152315377</v>
      </c>
      <c r="O56" s="321">
        <f t="shared" si="29"/>
        <v>65.849999999999994</v>
      </c>
      <c r="P56" s="372">
        <f t="shared" si="30"/>
        <v>65.586299961523153</v>
      </c>
      <c r="Q56" s="115">
        <f t="shared" si="31"/>
        <v>77229.321437301565</v>
      </c>
      <c r="R56" s="115">
        <f t="shared" si="32"/>
        <v>77760.715850860972</v>
      </c>
      <c r="S56" s="115">
        <f t="shared" si="33"/>
        <v>531.39441355940653</v>
      </c>
      <c r="T56" s="157">
        <f>((G56*$D$87)*(References!$D$61/References!$H$64))-N56</f>
        <v>0</v>
      </c>
      <c r="U56" s="153"/>
    </row>
    <row r="57" spans="1:21">
      <c r="A57" s="492"/>
      <c r="B57" s="149">
        <v>29</v>
      </c>
      <c r="C57" s="107" t="s">
        <v>421</v>
      </c>
      <c r="D57" s="114" t="str">
        <f>VLOOKUP(C57,Mapping!$D$2:$H$91,5,FALSE)</f>
        <v>2 yard Permanent</v>
      </c>
      <c r="E57" s="114" t="s">
        <v>787</v>
      </c>
      <c r="F57" s="407">
        <f>SUMIFS(Mapping!M:M,Mapping!A:A,"Commercial",Mapping!D:D,'DF Calculation'!C57)-F56</f>
        <v>3313.5066430847046</v>
      </c>
      <c r="G57" s="153">
        <f>VLOOKUP(C57,Mapping!D:L,7,FALSE)</f>
        <v>324</v>
      </c>
      <c r="H57" s="153">
        <f t="shared" si="23"/>
        <v>1073576.1523594442</v>
      </c>
      <c r="I57" s="41">
        <f t="shared" si="12"/>
        <v>1058898.610301893</v>
      </c>
      <c r="J57" s="115">
        <f>(References!$D$61*I57)</f>
        <v>1445.3966030620893</v>
      </c>
      <c r="K57" s="115">
        <f>J57/References!$H$64</f>
        <v>1478.8178873154177</v>
      </c>
      <c r="L57" s="371">
        <v>40.96</v>
      </c>
      <c r="M57" s="380">
        <v>40.799999999999997</v>
      </c>
      <c r="N57" s="152">
        <f t="shared" si="28"/>
        <v>0.44629996152315365</v>
      </c>
      <c r="O57" s="321">
        <f t="shared" si="29"/>
        <v>41.41</v>
      </c>
      <c r="P57" s="372">
        <f t="shared" si="30"/>
        <v>41.24629996152315</v>
      </c>
      <c r="Q57" s="115">
        <f t="shared" si="31"/>
        <v>135721.2321007495</v>
      </c>
      <c r="R57" s="115">
        <f t="shared" si="32"/>
        <v>137212.31009013762</v>
      </c>
      <c r="S57" s="115">
        <f t="shared" si="33"/>
        <v>1491.0779893881117</v>
      </c>
      <c r="T57" s="157">
        <f>((G57*$D$87)*(References!$D$61/References!$H$64))-N57</f>
        <v>0</v>
      </c>
      <c r="U57" s="153"/>
    </row>
    <row r="58" spans="1:21">
      <c r="A58" s="492"/>
      <c r="B58" s="149">
        <v>29</v>
      </c>
      <c r="C58" s="107" t="s">
        <v>430</v>
      </c>
      <c r="D58" s="114" t="str">
        <f>VLOOKUP(C58,Mapping!$D$2:$H$91,5,FALSE)</f>
        <v>2 yard Temp Pickup</v>
      </c>
      <c r="E58" s="114"/>
      <c r="F58" s="153">
        <f>SUMIFS(Mapping!M:M,Mapping!A:A,"Commercial",Mapping!D:D,'DF Calculation'!C58)</f>
        <v>284.0538572932515</v>
      </c>
      <c r="G58" s="153">
        <f>VLOOKUP(C58,Mapping!D:L,7,FALSE)</f>
        <v>324</v>
      </c>
      <c r="H58" s="153">
        <f t="shared" si="23"/>
        <v>92033.449763013487</v>
      </c>
      <c r="I58" s="41">
        <f t="shared" si="12"/>
        <v>90775.20196510051</v>
      </c>
      <c r="J58" s="115">
        <f>(References!$D$61*I58)</f>
        <v>123.90815068236266</v>
      </c>
      <c r="K58" s="115">
        <f>J58/References!$H$64</f>
        <v>126.77322558048154</v>
      </c>
      <c r="L58" s="371">
        <v>60.95</v>
      </c>
      <c r="M58" s="380">
        <v>60.71</v>
      </c>
      <c r="N58" s="152">
        <f t="shared" si="28"/>
        <v>0.44629996152315371</v>
      </c>
      <c r="O58" s="321">
        <f t="shared" si="29"/>
        <v>61.4</v>
      </c>
      <c r="P58" s="372">
        <f t="shared" si="30"/>
        <v>61.156299961523153</v>
      </c>
      <c r="Q58" s="115">
        <f t="shared" si="31"/>
        <v>17313.082602023678</v>
      </c>
      <c r="R58" s="115">
        <f t="shared" si="32"/>
        <v>17440.90683780564</v>
      </c>
      <c r="S58" s="115">
        <f t="shared" si="33"/>
        <v>127.82423578196176</v>
      </c>
      <c r="T58" s="157">
        <f>((G58*$D$87)*(References!$D$61/References!$H$64))-N58</f>
        <v>0</v>
      </c>
      <c r="U58" s="153"/>
    </row>
    <row r="59" spans="1:21">
      <c r="A59" s="492"/>
      <c r="B59" s="149">
        <v>29</v>
      </c>
      <c r="C59" s="107" t="s">
        <v>613</v>
      </c>
      <c r="D59" s="114" t="str">
        <f>VLOOKUP(C59,Mapping!$D$2:$H$91,5,FALSE)</f>
        <v>2 yard Special</v>
      </c>
      <c r="E59" s="114"/>
      <c r="F59" s="153">
        <f>SUMIFS(Mapping!M:M,Mapping!A:A,"Commercial",Mapping!D:D,'DF Calculation'!C59)</f>
        <v>28.024206562668102</v>
      </c>
      <c r="G59" s="153">
        <f>VLOOKUP(C59,Mapping!D:L,7,FALSE)</f>
        <v>324</v>
      </c>
      <c r="H59" s="153">
        <f>F59*G59</f>
        <v>9079.8429263044654</v>
      </c>
      <c r="I59" s="41">
        <f t="shared" si="12"/>
        <v>8955.7066215496525</v>
      </c>
      <c r="J59" s="115">
        <f>(References!$D$61*I59)</f>
        <v>12.224539538415321</v>
      </c>
      <c r="K59" s="115">
        <f>J59/References!$H$64</f>
        <v>12.507202310635687</v>
      </c>
      <c r="L59" s="371">
        <v>60.95</v>
      </c>
      <c r="M59" s="380">
        <v>60.71</v>
      </c>
      <c r="N59" s="152">
        <f>IFERROR((K59/F59),0)</f>
        <v>0.44629996152315377</v>
      </c>
      <c r="O59" s="321">
        <f>ROUND(N59+L59,2)</f>
        <v>61.4</v>
      </c>
      <c r="P59" s="372">
        <f>M59+N59</f>
        <v>61.156299961523153</v>
      </c>
      <c r="Q59" s="115">
        <f>F59*L59</f>
        <v>1708.075389994621</v>
      </c>
      <c r="R59" s="115">
        <f>F59*O59</f>
        <v>1720.6862829478214</v>
      </c>
      <c r="S59" s="115">
        <f>R59-Q59</f>
        <v>12.610892953200391</v>
      </c>
      <c r="T59" s="157">
        <f>((G59*$D$87)*(References!$D$61/References!$H$64))-N59</f>
        <v>0</v>
      </c>
      <c r="U59" s="153"/>
    </row>
    <row r="60" spans="1:21">
      <c r="A60" s="492"/>
      <c r="B60" s="149">
        <v>29</v>
      </c>
      <c r="C60" s="107" t="s">
        <v>434</v>
      </c>
      <c r="D60" s="114" t="str">
        <f>VLOOKUP(C60,Mapping!$D$2:$H$91,5,FALSE)</f>
        <v>3 yard Permanent</v>
      </c>
      <c r="E60" s="114" t="s">
        <v>786</v>
      </c>
      <c r="F60" s="407">
        <f>SUMIFS(Mapping!L:L,Mapping!A:A,"Commercial",Mapping!D:D,'DF Calculation'!C60)</f>
        <v>305.3107147034828</v>
      </c>
      <c r="G60" s="153">
        <f>VLOOKUP(C60,Mapping!D:L,7,FALSE)</f>
        <v>473</v>
      </c>
      <c r="H60" s="153">
        <f t="shared" si="23"/>
        <v>144411.96805474735</v>
      </c>
      <c r="I60" s="41">
        <f t="shared" si="12"/>
        <v>142437.62023593736</v>
      </c>
      <c r="J60" s="115">
        <f>(References!$D$61*I60)</f>
        <v>194.42735162205523</v>
      </c>
      <c r="K60" s="115">
        <f>J60/References!$H$64</f>
        <v>198.92301168616248</v>
      </c>
      <c r="L60" s="371">
        <v>88.43</v>
      </c>
      <c r="M60" s="380">
        <v>88.08</v>
      </c>
      <c r="N60" s="152">
        <f t="shared" si="28"/>
        <v>0.65154284506312243</v>
      </c>
      <c r="O60" s="321">
        <f t="shared" si="29"/>
        <v>89.08</v>
      </c>
      <c r="P60" s="372">
        <f t="shared" si="30"/>
        <v>88.731542845063117</v>
      </c>
      <c r="Q60" s="115">
        <f t="shared" si="31"/>
        <v>26998.626501228988</v>
      </c>
      <c r="R60" s="115">
        <f t="shared" si="32"/>
        <v>27197.078465786246</v>
      </c>
      <c r="S60" s="115">
        <f t="shared" si="33"/>
        <v>198.45196455725818</v>
      </c>
      <c r="T60" s="157">
        <f>((G60*$D$87)*(References!$D$61/References!$H$64))-N60</f>
        <v>0</v>
      </c>
      <c r="U60" s="153"/>
    </row>
    <row r="61" spans="1:21">
      <c r="A61" s="492"/>
      <c r="B61" s="149">
        <v>29</v>
      </c>
      <c r="C61" s="107" t="s">
        <v>434</v>
      </c>
      <c r="D61" s="114" t="str">
        <f>VLOOKUP(C61,Mapping!$D$2:$H$91,5,FALSE)</f>
        <v>3 yard Permanent</v>
      </c>
      <c r="E61" s="114" t="s">
        <v>787</v>
      </c>
      <c r="F61" s="407">
        <f>SUMIFS(Mapping!M:M,Mapping!A:A,"Commercial",Mapping!D:D,'DF Calculation'!C61)-F60</f>
        <v>957.68382193595539</v>
      </c>
      <c r="G61" s="153">
        <f>VLOOKUP(C61,Mapping!D:L,7,FALSE)</f>
        <v>473</v>
      </c>
      <c r="H61" s="153">
        <f t="shared" si="23"/>
        <v>452984.44777570688</v>
      </c>
      <c r="I61" s="41">
        <f t="shared" si="12"/>
        <v>446791.40942529979</v>
      </c>
      <c r="J61" s="115">
        <f>(References!$D$61*I61)</f>
        <v>609.87027386553655</v>
      </c>
      <c r="K61" s="115">
        <f>J61/References!$H$64</f>
        <v>623.97204201507725</v>
      </c>
      <c r="L61" s="371">
        <v>59.16</v>
      </c>
      <c r="M61" s="380">
        <v>58.93</v>
      </c>
      <c r="N61" s="152">
        <f t="shared" si="28"/>
        <v>0.65154284506312254</v>
      </c>
      <c r="O61" s="321">
        <f t="shared" si="29"/>
        <v>59.81</v>
      </c>
      <c r="P61" s="372">
        <f>M61+N61</f>
        <v>59.581542845063119</v>
      </c>
      <c r="Q61" s="115">
        <f t="shared" si="31"/>
        <v>56656.574905731119</v>
      </c>
      <c r="R61" s="115">
        <f t="shared" si="32"/>
        <v>57279.069389989498</v>
      </c>
      <c r="S61" s="115">
        <f t="shared" si="33"/>
        <v>622.49448425837909</v>
      </c>
      <c r="T61" s="157">
        <f>((G61*$D$87)*(References!$D$61/References!$H$64))-N61</f>
        <v>0</v>
      </c>
      <c r="U61" s="153"/>
    </row>
    <row r="62" spans="1:21">
      <c r="A62" s="492"/>
      <c r="B62" s="149">
        <v>29</v>
      </c>
      <c r="C62" s="107" t="s">
        <v>615</v>
      </c>
      <c r="D62" s="114" t="str">
        <f>VLOOKUP(C62,Mapping!$D$2:$H$91,5,FALSE)</f>
        <v>3 yard Special</v>
      </c>
      <c r="E62" s="114"/>
      <c r="F62" s="153">
        <f>SUMIFS(Mapping!M:M,Mapping!A:A,"Commercial",Mapping!D:D,'DF Calculation'!C62)</f>
        <v>42.018619497273576</v>
      </c>
      <c r="G62" s="153">
        <f>VLOOKUP(C62,Mapping!D:L,7,FALSE)</f>
        <v>473</v>
      </c>
      <c r="H62" s="153">
        <f>F62*G62</f>
        <v>19874.807022210403</v>
      </c>
      <c r="I62" s="41">
        <f t="shared" si="12"/>
        <v>19603.085900878585</v>
      </c>
      <c r="J62" s="115">
        <f>(References!$D$61*I62)</f>
        <v>26.758212254699369</v>
      </c>
      <c r="K62" s="115">
        <f>J62/References!$H$64</f>
        <v>27.37693089287842</v>
      </c>
      <c r="L62" s="371">
        <v>82.17</v>
      </c>
      <c r="M62" s="380">
        <v>81.849999999999994</v>
      </c>
      <c r="N62" s="152">
        <f>IFERROR((K62/F62),0)</f>
        <v>0.65154284506312254</v>
      </c>
      <c r="O62" s="321">
        <f>ROUND(N62+L62,2)</f>
        <v>82.82</v>
      </c>
      <c r="P62" s="372">
        <f>M62+N62</f>
        <v>82.501542845063113</v>
      </c>
      <c r="Q62" s="115">
        <f>F62*L62</f>
        <v>3452.6699640909696</v>
      </c>
      <c r="R62" s="115">
        <f>F62*O62</f>
        <v>3479.9820667641975</v>
      </c>
      <c r="S62" s="115">
        <f>R62-Q62</f>
        <v>27.312102673227855</v>
      </c>
      <c r="T62" s="157">
        <f>((G62*$D$87)*(References!$D$61/References!$H$64))-N62</f>
        <v>0</v>
      </c>
      <c r="U62" s="153"/>
    </row>
    <row r="63" spans="1:21">
      <c r="A63" s="492"/>
      <c r="B63" s="149">
        <v>29</v>
      </c>
      <c r="C63" s="107" t="s">
        <v>462</v>
      </c>
      <c r="D63" s="114" t="str">
        <f>VLOOKUP(C63,Mapping!$D$2:$H$91,5,FALSE)</f>
        <v>4 yard Permanent</v>
      </c>
      <c r="E63" s="114" t="s">
        <v>786</v>
      </c>
      <c r="F63" s="407">
        <f>SUMIFS(Mapping!L:L,Mapping!A:A,"Commercial",Mapping!D:D,'DF Calculation'!C63)</f>
        <v>405.36099076298564</v>
      </c>
      <c r="G63" s="153">
        <f>VLOOKUP(C63,Mapping!D:L,7,FALSE)</f>
        <v>613</v>
      </c>
      <c r="H63" s="153">
        <f t="shared" si="23"/>
        <v>248486.28733771021</v>
      </c>
      <c r="I63" s="41">
        <f t="shared" si="12"/>
        <v>245089.07333932878</v>
      </c>
      <c r="J63" s="115">
        <f>(References!$D$61*I63)</f>
        <v>334.54658510818501</v>
      </c>
      <c r="K63" s="115">
        <f>J63/References!$H$64</f>
        <v>342.28216196867709</v>
      </c>
      <c r="L63" s="371">
        <v>109.85</v>
      </c>
      <c r="M63" s="380">
        <v>109.42</v>
      </c>
      <c r="N63" s="152">
        <f t="shared" si="28"/>
        <v>0.84438850744967042</v>
      </c>
      <c r="O63" s="321">
        <f t="shared" si="29"/>
        <v>110.69</v>
      </c>
      <c r="P63" s="372">
        <f t="shared" si="30"/>
        <v>110.26438850744967</v>
      </c>
      <c r="Q63" s="115">
        <f t="shared" si="31"/>
        <v>44528.904835313973</v>
      </c>
      <c r="R63" s="115">
        <f t="shared" si="32"/>
        <v>44869.408067554876</v>
      </c>
      <c r="S63" s="115">
        <f t="shared" si="33"/>
        <v>340.50323224090243</v>
      </c>
      <c r="T63" s="157">
        <f>((G63*$D$87)*(References!$D$61/References!$H$64))-N63</f>
        <v>0</v>
      </c>
      <c r="U63" s="153"/>
    </row>
    <row r="64" spans="1:21">
      <c r="A64" s="492"/>
      <c r="B64" s="149">
        <v>29</v>
      </c>
      <c r="C64" s="107" t="s">
        <v>462</v>
      </c>
      <c r="D64" s="114" t="str">
        <f>VLOOKUP(C64,Mapping!$D$2:$H$91,5,FALSE)</f>
        <v>4 yard Permanent</v>
      </c>
      <c r="E64" s="114" t="s">
        <v>787</v>
      </c>
      <c r="F64" s="407">
        <f>SUMIFS(Mapping!M:M,Mapping!A:A,"Commercial",Mapping!D:D,'DF Calculation'!C64)-F63</f>
        <v>1260.622446946531</v>
      </c>
      <c r="G64" s="153">
        <f>VLOOKUP(C64,Mapping!D:L,7,FALSE)</f>
        <v>613</v>
      </c>
      <c r="H64" s="153">
        <f t="shared" si="23"/>
        <v>772761.55997822352</v>
      </c>
      <c r="I64" s="41">
        <f t="shared" si="12"/>
        <v>762196.64544271352</v>
      </c>
      <c r="J64" s="115">
        <f>(References!$D$61*I64)</f>
        <v>1040.3984210293079</v>
      </c>
      <c r="K64" s="115">
        <f>J64/References!$H$64</f>
        <v>1064.4551064347329</v>
      </c>
      <c r="L64" s="371">
        <v>74.05</v>
      </c>
      <c r="M64" s="380">
        <v>73.760000000000005</v>
      </c>
      <c r="N64" s="152">
        <f t="shared" si="28"/>
        <v>0.84438850744967064</v>
      </c>
      <c r="O64" s="321">
        <f t="shared" si="29"/>
        <v>74.89</v>
      </c>
      <c r="P64" s="372">
        <f t="shared" si="30"/>
        <v>74.60438850744967</v>
      </c>
      <c r="Q64" s="115">
        <f t="shared" si="31"/>
        <v>93349.092196390615</v>
      </c>
      <c r="R64" s="115">
        <f t="shared" si="32"/>
        <v>94408.015051825714</v>
      </c>
      <c r="S64" s="115">
        <f t="shared" si="33"/>
        <v>1058.9228554350993</v>
      </c>
      <c r="T64" s="157">
        <f>((G64*$D$87)*(References!$D$61/References!$H$64))-N64</f>
        <v>0</v>
      </c>
      <c r="U64" s="153"/>
    </row>
    <row r="65" spans="1:21">
      <c r="A65" s="492"/>
      <c r="B65" s="149">
        <v>29</v>
      </c>
      <c r="C65" s="107" t="s">
        <v>617</v>
      </c>
      <c r="D65" s="114" t="str">
        <f>VLOOKUP(C65,Mapping!$D$2:$H$91,5,FALSE)</f>
        <v>4 yard Special</v>
      </c>
      <c r="E65" s="114"/>
      <c r="F65" s="153">
        <f>SUMIFS(Mapping!M:M,Mapping!A:A,"Commercial",Mapping!D:D,'DF Calculation'!C65)</f>
        <v>16.005455647605576</v>
      </c>
      <c r="G65" s="153">
        <f>VLOOKUP(C65,Mapping!D:L,7,FALSE)</f>
        <v>613</v>
      </c>
      <c r="H65" s="153">
        <f>F65*G65</f>
        <v>9811.3443119822186</v>
      </c>
      <c r="I65" s="41">
        <f t="shared" si="12"/>
        <v>9677.2071867640916</v>
      </c>
      <c r="J65" s="115">
        <f>(References!$D$61*I65)</f>
        <v>13.209387809933034</v>
      </c>
      <c r="K65" s="115">
        <f>J65/References!$H$64</f>
        <v>13.514822805333573</v>
      </c>
      <c r="L65" s="371">
        <v>108.18</v>
      </c>
      <c r="M65" s="380">
        <v>107.75</v>
      </c>
      <c r="N65" s="152">
        <f>IFERROR((K65/F65),0)</f>
        <v>0.84438850744967053</v>
      </c>
      <c r="O65" s="321">
        <f>ROUND(N65+L65,2)</f>
        <v>109.02</v>
      </c>
      <c r="P65" s="372">
        <f>M65+N65</f>
        <v>108.59438850744966</v>
      </c>
      <c r="Q65" s="115">
        <f>F65*L65</f>
        <v>1731.4701919579713</v>
      </c>
      <c r="R65" s="115">
        <f>F65*O65</f>
        <v>1744.9147747019599</v>
      </c>
      <c r="S65" s="115">
        <f>R65-Q65</f>
        <v>13.444582743988576</v>
      </c>
      <c r="T65" s="157">
        <f>((G65*$D$87)*(References!$D$61/References!$H$64))-N65</f>
        <v>0</v>
      </c>
      <c r="U65" s="153"/>
    </row>
    <row r="66" spans="1:21">
      <c r="A66" s="492"/>
      <c r="B66" s="149">
        <v>29</v>
      </c>
      <c r="C66" s="107" t="s">
        <v>472</v>
      </c>
      <c r="D66" s="114" t="str">
        <f>VLOOKUP(C66,Mapping!$D$2:$H$91,5,FALSE)</f>
        <v>6 yard Permanent</v>
      </c>
      <c r="E66" s="114" t="s">
        <v>786</v>
      </c>
      <c r="F66" s="407">
        <f>SUMIFS(Mapping!L:L,Mapping!A:A,"Commercial",Mapping!D:D,'DF Calculation'!C66)</f>
        <v>240.92151451760685</v>
      </c>
      <c r="G66" s="153">
        <f>VLOOKUP(C66,Mapping!D:L,7,FALSE)</f>
        <v>840</v>
      </c>
      <c r="H66" s="153">
        <f t="shared" si="23"/>
        <v>202374.07219478977</v>
      </c>
      <c r="I66" s="41">
        <f t="shared" si="12"/>
        <v>199607.28760343234</v>
      </c>
      <c r="J66" s="115">
        <f>(References!$D$61*I66)</f>
        <v>272.46394757868615</v>
      </c>
      <c r="K66" s="115">
        <f>J66/References!$H$64</f>
        <v>278.7640143019093</v>
      </c>
      <c r="L66" s="371">
        <v>168.38</v>
      </c>
      <c r="M66" s="380">
        <v>167.72</v>
      </c>
      <c r="N66" s="152">
        <f t="shared" si="28"/>
        <v>1.1570739743192875</v>
      </c>
      <c r="O66" s="321">
        <f t="shared" si="29"/>
        <v>169.54</v>
      </c>
      <c r="P66" s="372">
        <f t="shared" si="30"/>
        <v>168.87707397431927</v>
      </c>
      <c r="Q66" s="115">
        <f t="shared" si="31"/>
        <v>40566.364614474638</v>
      </c>
      <c r="R66" s="115">
        <f t="shared" si="32"/>
        <v>40845.833571315066</v>
      </c>
      <c r="S66" s="115">
        <f t="shared" si="33"/>
        <v>279.46895684042829</v>
      </c>
      <c r="T66" s="157">
        <f>((G66*$D$87)*(References!$D$61/References!$H$64))-N66</f>
        <v>0</v>
      </c>
      <c r="U66" s="153"/>
    </row>
    <row r="67" spans="1:21">
      <c r="A67" s="492"/>
      <c r="B67" s="149">
        <v>29</v>
      </c>
      <c r="C67" s="107" t="s">
        <v>472</v>
      </c>
      <c r="D67" s="114" t="str">
        <f>VLOOKUP(C67,Mapping!$D$2:$H$91,5,FALSE)</f>
        <v>6 yard Permanent</v>
      </c>
      <c r="E67" s="114" t="s">
        <v>787</v>
      </c>
      <c r="F67" s="407">
        <f>SUMIFS(Mapping!M:M,Mapping!A:A,"Commercial",Mapping!D:D,'DF Calculation'!C67)-F66</f>
        <v>785.80464416156622</v>
      </c>
      <c r="G67" s="153">
        <f>VLOOKUP(C67,Mapping!D:L,7,FALSE)</f>
        <v>840</v>
      </c>
      <c r="H67" s="153">
        <f t="shared" si="23"/>
        <v>660075.90109571558</v>
      </c>
      <c r="I67" s="41">
        <f t="shared" si="12"/>
        <v>651051.58383772138</v>
      </c>
      <c r="J67" s="115">
        <f>(References!$D$61*I67)</f>
        <v>888.68541193849296</v>
      </c>
      <c r="K67" s="115">
        <f>J67/References!$H$64</f>
        <v>909.23410265857672</v>
      </c>
      <c r="L67" s="371">
        <v>104.16</v>
      </c>
      <c r="M67" s="380">
        <v>103.75</v>
      </c>
      <c r="N67" s="152">
        <f t="shared" si="28"/>
        <v>1.1570739743192873</v>
      </c>
      <c r="O67" s="321">
        <f t="shared" si="29"/>
        <v>105.32</v>
      </c>
      <c r="P67" s="372">
        <f t="shared" si="30"/>
        <v>104.90707397431929</v>
      </c>
      <c r="Q67" s="115">
        <f t="shared" si="31"/>
        <v>81849.411735868736</v>
      </c>
      <c r="R67" s="115">
        <f t="shared" si="32"/>
        <v>82760.945123096142</v>
      </c>
      <c r="S67" s="115">
        <f t="shared" si="33"/>
        <v>911.53338722740591</v>
      </c>
      <c r="T67" s="157">
        <f>((G67*$D$87)*(References!$D$61/References!$H$64))-N67</f>
        <v>0</v>
      </c>
      <c r="U67" s="153"/>
    </row>
    <row r="68" spans="1:21">
      <c r="A68" s="492"/>
      <c r="B68" s="149">
        <v>29</v>
      </c>
      <c r="C68" s="107" t="s">
        <v>619</v>
      </c>
      <c r="D68" s="114" t="str">
        <f>VLOOKUP(C68,Mapping!$D$2:$H$91,5,FALSE)</f>
        <v>6 yard Special</v>
      </c>
      <c r="E68" s="114"/>
      <c r="F68" s="153">
        <f>SUMIFS(Mapping!M:M,Mapping!A:A,"Commercial",Mapping!D:D,'DF Calculation'!C68)</f>
        <v>8</v>
      </c>
      <c r="G68" s="153">
        <f>VLOOKUP(C68,Mapping!D:L,7,FALSE)</f>
        <v>840</v>
      </c>
      <c r="H68" s="153">
        <f>F68*G68</f>
        <v>6720</v>
      </c>
      <c r="I68" s="41">
        <f t="shared" si="12"/>
        <v>6628.1266080566584</v>
      </c>
      <c r="J68" s="115">
        <f>(References!$D$61*I68)</f>
        <v>9.0473928199973717</v>
      </c>
      <c r="K68" s="115">
        <f>J68/References!$H$64</f>
        <v>9.2565917945542981</v>
      </c>
      <c r="L68" s="371">
        <v>141.03</v>
      </c>
      <c r="M68" s="380">
        <v>140.47999999999999</v>
      </c>
      <c r="N68" s="152">
        <f>IFERROR((K68/F68),0)</f>
        <v>1.1570739743192873</v>
      </c>
      <c r="O68" s="321">
        <f>ROUND(N68+L68,2)</f>
        <v>142.19</v>
      </c>
      <c r="P68" s="372">
        <f>M68+N68</f>
        <v>141.63707397431926</v>
      </c>
      <c r="Q68" s="115">
        <f>F68*L68</f>
        <v>1128.24</v>
      </c>
      <c r="R68" s="115">
        <f>F68*O68</f>
        <v>1137.52</v>
      </c>
      <c r="S68" s="115">
        <f>R68-Q68</f>
        <v>9.2799999999999727</v>
      </c>
      <c r="T68" s="157">
        <f>((G68*$D$87)*(References!$D$61/References!$H$64))-N68</f>
        <v>0</v>
      </c>
      <c r="U68" s="153"/>
    </row>
    <row r="69" spans="1:21">
      <c r="A69" s="492"/>
      <c r="B69" s="149">
        <v>29</v>
      </c>
      <c r="C69" s="107" t="s">
        <v>498</v>
      </c>
      <c r="D69" s="114" t="str">
        <f>VLOOKUP(C69,Mapping!$D$2:$H$91,5,FALSE)</f>
        <v>8 yard Permanent</v>
      </c>
      <c r="E69" s="114" t="s">
        <v>786</v>
      </c>
      <c r="F69" s="407">
        <f>SUMIFS(Mapping!L:L,Mapping!A:A,"Commercial",Mapping!D:D,'DF Calculation'!C69)</f>
        <v>125.4725070169102</v>
      </c>
      <c r="G69" s="153">
        <f>VLOOKUP(C69,Mapping!D:L,7,FALSE)</f>
        <v>980</v>
      </c>
      <c r="H69" s="153">
        <f t="shared" si="23"/>
        <v>122963.05687657199</v>
      </c>
      <c r="I69" s="41">
        <f t="shared" si="12"/>
        <v>121281.95075767724</v>
      </c>
      <c r="J69" s="115">
        <f>(References!$D$61*I69)</f>
        <v>165.54986278423004</v>
      </c>
      <c r="K69" s="115">
        <f>J69/References!$H$64</f>
        <v>169.37780108883777</v>
      </c>
      <c r="L69" s="371">
        <v>203.49</v>
      </c>
      <c r="M69" s="380">
        <v>202.69</v>
      </c>
      <c r="N69" s="152">
        <f t="shared" si="28"/>
        <v>1.3499196367058353</v>
      </c>
      <c r="O69" s="321">
        <f t="shared" si="29"/>
        <v>204.84</v>
      </c>
      <c r="P69" s="372">
        <f t="shared" si="30"/>
        <v>204.03991963670583</v>
      </c>
      <c r="Q69" s="115">
        <f t="shared" si="31"/>
        <v>25532.400452871057</v>
      </c>
      <c r="R69" s="115">
        <f t="shared" si="32"/>
        <v>25701.788337343885</v>
      </c>
      <c r="S69" s="115">
        <f t="shared" si="33"/>
        <v>169.38788447282786</v>
      </c>
      <c r="T69" s="157">
        <f>((G69*$D$87)*(References!$D$61/References!$H$64))-N69</f>
        <v>0</v>
      </c>
      <c r="U69" s="153"/>
    </row>
    <row r="70" spans="1:21">
      <c r="A70" s="492"/>
      <c r="B70" s="149">
        <v>29</v>
      </c>
      <c r="C70" s="107" t="s">
        <v>498</v>
      </c>
      <c r="D70" s="114" t="str">
        <f>VLOOKUP(C70,Mapping!$D$2:$H$91,5,FALSE)</f>
        <v>8 yard Permanent</v>
      </c>
      <c r="E70" s="114" t="s">
        <v>787</v>
      </c>
      <c r="F70" s="407">
        <f>SUMIFS(Mapping!M:M,Mapping!A:A,"Commercial",Mapping!D:D,'DF Calculation'!C70)-F69</f>
        <v>356.6441475164587</v>
      </c>
      <c r="G70" s="153">
        <f>VLOOKUP(C70,Mapping!D:L,7,FALSE)</f>
        <v>980</v>
      </c>
      <c r="H70" s="153">
        <f t="shared" si="23"/>
        <v>349511.26456612954</v>
      </c>
      <c r="I70" s="41">
        <f t="shared" si="12"/>
        <v>344732.87388188893</v>
      </c>
      <c r="J70" s="115">
        <f>(References!$D$61*I70)</f>
        <v>470.56037284878016</v>
      </c>
      <c r="K70" s="115">
        <f>J70/References!$H$64</f>
        <v>481.44093804868032</v>
      </c>
      <c r="L70" s="371">
        <v>127.82</v>
      </c>
      <c r="M70" s="380">
        <v>127.32</v>
      </c>
      <c r="N70" s="152">
        <f t="shared" si="28"/>
        <v>1.3499196367058355</v>
      </c>
      <c r="O70" s="321">
        <f t="shared" si="29"/>
        <v>129.16999999999999</v>
      </c>
      <c r="P70" s="372">
        <f t="shared" si="30"/>
        <v>128.66991963670583</v>
      </c>
      <c r="Q70" s="115">
        <f t="shared" si="31"/>
        <v>45586.254935553749</v>
      </c>
      <c r="R70" s="115">
        <f t="shared" si="32"/>
        <v>46067.724534700967</v>
      </c>
      <c r="S70" s="115">
        <f t="shared" si="33"/>
        <v>481.4695991472181</v>
      </c>
      <c r="T70" s="157">
        <f>((G70*$D$87)*(References!$D$61/References!$H$64))-N70</f>
        <v>0</v>
      </c>
      <c r="U70" s="153"/>
    </row>
    <row r="71" spans="1:21">
      <c r="A71" s="492"/>
      <c r="B71" s="149">
        <v>29</v>
      </c>
      <c r="C71" s="107" t="s">
        <v>621</v>
      </c>
      <c r="D71" s="114" t="str">
        <f>VLOOKUP(C71,Mapping!$D$2:$H$91,5,FALSE)</f>
        <v>8 yard Special</v>
      </c>
      <c r="E71" s="114"/>
      <c r="F71" s="153">
        <f>SUMIFS(Mapping!M:M,Mapping!A:A,"Commercial",Mapping!D:D,'DF Calculation'!C71)</f>
        <v>4</v>
      </c>
      <c r="G71" s="153">
        <f>VLOOKUP(C71,Mapping!D:L,7,FALSE)</f>
        <v>980</v>
      </c>
      <c r="H71" s="153">
        <f>F71*G71</f>
        <v>3920</v>
      </c>
      <c r="I71" s="41">
        <f t="shared" si="12"/>
        <v>3866.4071880330507</v>
      </c>
      <c r="J71" s="115">
        <f>(References!$D$61*I71)</f>
        <v>5.2776458116651339</v>
      </c>
      <c r="K71" s="115">
        <f>J71/References!$H$64</f>
        <v>5.399678546823341</v>
      </c>
      <c r="L71" s="371">
        <v>184.86</v>
      </c>
      <c r="M71" s="380">
        <v>184.13</v>
      </c>
      <c r="N71" s="152">
        <f t="shared" ref="N71" si="34">IFERROR((K71/F71),0)</f>
        <v>1.3499196367058353</v>
      </c>
      <c r="O71" s="321">
        <f t="shared" ref="O71" si="35">ROUND(N71+L71,2)</f>
        <v>186.21</v>
      </c>
      <c r="P71" s="372">
        <f t="shared" ref="P71" si="36">M71+N71</f>
        <v>185.47991963670583</v>
      </c>
      <c r="Q71" s="115">
        <f t="shared" ref="Q71" si="37">F71*L71</f>
        <v>739.44</v>
      </c>
      <c r="R71" s="115">
        <f t="shared" ref="R71" si="38">F71*O71</f>
        <v>744.84</v>
      </c>
      <c r="S71" s="115">
        <f t="shared" ref="S71" si="39">R71-Q71</f>
        <v>5.3999999999999773</v>
      </c>
      <c r="T71" s="157">
        <f>((G71*$D$87)*(References!$D$61/References!$H$64))-N71</f>
        <v>0</v>
      </c>
      <c r="U71" s="153"/>
    </row>
    <row r="72" spans="1:21">
      <c r="A72" s="492"/>
      <c r="B72" s="149">
        <v>30</v>
      </c>
      <c r="C72" s="107" t="s">
        <v>442</v>
      </c>
      <c r="D72" s="114" t="str">
        <f>VLOOKUP(C72,Mapping!$D$2:$H$91,5,FALSE)</f>
        <v>32 Gal Can Monthly Minimum</v>
      </c>
      <c r="E72" s="114"/>
      <c r="F72" s="153">
        <f>SUMIFS(Mapping!M:M,Mapping!A:A,"Commercial",Mapping!D:D,'DF Calculation'!C72)</f>
        <v>10990.526487900586</v>
      </c>
      <c r="G72" s="153">
        <f>VLOOKUP(C72,Mapping!D:L,7,FALSE)</f>
        <v>29</v>
      </c>
      <c r="H72" s="153">
        <f>F72*G72</f>
        <v>318725.26814911701</v>
      </c>
      <c r="I72" s="41">
        <f t="shared" si="12"/>
        <v>314367.77239273151</v>
      </c>
      <c r="J72" s="115">
        <f>(References!$D$61*I72)</f>
        <v>429.1120093160801</v>
      </c>
      <c r="K72" s="115">
        <f>J72/References!$H$64</f>
        <v>439.03418182533261</v>
      </c>
      <c r="L72" s="371">
        <v>16.71</v>
      </c>
      <c r="M72" s="380">
        <v>16.64</v>
      </c>
      <c r="N72" s="152">
        <f>IFERROR((K72/F72),0)</f>
        <v>3.9946601494356353E-2</v>
      </c>
      <c r="O72" s="321">
        <f>ROUND(N72+L72,2)</f>
        <v>16.75</v>
      </c>
      <c r="P72" s="372">
        <f>M72+N72</f>
        <v>16.679946601494358</v>
      </c>
      <c r="Q72" s="115">
        <f>F72*L72</f>
        <v>183651.6976128188</v>
      </c>
      <c r="R72" s="115">
        <f>F72*O72</f>
        <v>184091.31867233483</v>
      </c>
      <c r="S72" s="115">
        <f>R72-Q72</f>
        <v>439.62105951603735</v>
      </c>
      <c r="T72" s="157">
        <f>((G72*$D$87)*(References!$D$61/References!$H$64))-N72</f>
        <v>0</v>
      </c>
      <c r="U72" s="153"/>
    </row>
    <row r="73" spans="1:21">
      <c r="A73" s="492"/>
      <c r="B73" s="149">
        <v>30</v>
      </c>
      <c r="C73" s="107" t="s">
        <v>480</v>
      </c>
      <c r="D73" s="114" t="str">
        <f>VLOOKUP(C73,Mapping!$D$2:$H$91,5,FALSE)</f>
        <v>65 Gal Cart per PU</v>
      </c>
      <c r="E73" s="114"/>
      <c r="F73" s="153">
        <f>SUMIFS(Mapping!M:M,Mapping!A:A,"Commercial",Mapping!D:D,'DF Calculation'!C73)</f>
        <v>5833.0958196405763</v>
      </c>
      <c r="G73" s="153">
        <f>VLOOKUP(C73,Mapping!D:L,7,FALSE)</f>
        <v>47</v>
      </c>
      <c r="H73" s="153">
        <f>F73*G73</f>
        <v>274155.50352310709</v>
      </c>
      <c r="I73" s="41">
        <f t="shared" si="12"/>
        <v>270407.3493521841</v>
      </c>
      <c r="J73" s="115">
        <f>(References!$D$61*I73)</f>
        <v>369.10603186573269</v>
      </c>
      <c r="K73" s="115">
        <f>J73/References!$H$64</f>
        <v>377.64071195593687</v>
      </c>
      <c r="L73" s="371">
        <v>7.48</v>
      </c>
      <c r="M73" s="380">
        <v>7.45</v>
      </c>
      <c r="N73" s="152">
        <f>IFERROR((K73/F73),0)</f>
        <v>6.4741043801198231E-2</v>
      </c>
      <c r="O73" s="321">
        <f>ROUND(N73+L73,2)</f>
        <v>7.54</v>
      </c>
      <c r="P73" s="372">
        <f>M73+N73</f>
        <v>7.5147410438011981</v>
      </c>
      <c r="Q73" s="115">
        <f>F73*L73</f>
        <v>43631.556730911514</v>
      </c>
      <c r="R73" s="115">
        <f>F73*O73</f>
        <v>43981.542480089949</v>
      </c>
      <c r="S73" s="115">
        <f>R73-Q73</f>
        <v>349.98574917843507</v>
      </c>
      <c r="T73" s="157">
        <f>((G73*$D$87)*(References!$D$61/References!$H$64))-N73</f>
        <v>0</v>
      </c>
      <c r="U73" s="153"/>
    </row>
    <row r="74" spans="1:21">
      <c r="A74" s="492"/>
      <c r="B74" s="149">
        <v>30</v>
      </c>
      <c r="C74" s="107" t="s">
        <v>503</v>
      </c>
      <c r="D74" s="114" t="str">
        <f>VLOOKUP(C74,Mapping!$D$2:$H$91,5,FALSE)</f>
        <v>95 Gal Cart per PU</v>
      </c>
      <c r="E74" s="114"/>
      <c r="F74" s="153">
        <f>SUMIFS(Mapping!M:M,Mapping!A:A,"Commercial",Mapping!D:D,'DF Calculation'!C74)</f>
        <v>1813.7003705462932</v>
      </c>
      <c r="G74" s="153">
        <f>VLOOKUP(C74,Mapping!D:L,7,FALSE)</f>
        <v>68</v>
      </c>
      <c r="H74" s="153">
        <f t="shared" si="23"/>
        <v>123331.62519714794</v>
      </c>
      <c r="I74" s="41">
        <f t="shared" si="12"/>
        <v>121645.48014644155</v>
      </c>
      <c r="J74" s="115">
        <f>(References!$D$61*I74)</f>
        <v>166.04608039989333</v>
      </c>
      <c r="K74" s="115">
        <f>J74/References!$H$64</f>
        <v>169.88549253109611</v>
      </c>
      <c r="L74" s="371">
        <v>10.77</v>
      </c>
      <c r="M74" s="380">
        <v>10.73</v>
      </c>
      <c r="N74" s="152">
        <f t="shared" si="28"/>
        <v>9.3667893159180407E-2</v>
      </c>
      <c r="O74" s="321">
        <f t="shared" si="29"/>
        <v>10.86</v>
      </c>
      <c r="P74" s="372">
        <f t="shared" si="30"/>
        <v>10.823667893159181</v>
      </c>
      <c r="Q74" s="115">
        <f t="shared" si="31"/>
        <v>19533.552990783577</v>
      </c>
      <c r="R74" s="115">
        <f t="shared" si="32"/>
        <v>19696.786024132743</v>
      </c>
      <c r="S74" s="115">
        <f t="shared" si="33"/>
        <v>163.23303334916636</v>
      </c>
      <c r="T74" s="157">
        <f>((G74*$D$87)*(References!$D$61/References!$H$64))-N74</f>
        <v>0</v>
      </c>
      <c r="U74" s="153"/>
    </row>
    <row r="75" spans="1:21">
      <c r="A75" s="492"/>
      <c r="B75" s="149">
        <v>30</v>
      </c>
      <c r="C75" s="107" t="s">
        <v>531</v>
      </c>
      <c r="D75" s="114" t="str">
        <f>VLOOKUP(C75,Mapping!$D$2:$H$91,5,FALSE)</f>
        <v>32 Gal Single Not Grouped</v>
      </c>
      <c r="E75" s="114"/>
      <c r="F75" s="153">
        <f>SUMIFS(Mapping!M:M,Mapping!A:A,"Commercial",Mapping!D:D,'DF Calculation'!C75)</f>
        <v>10411.334319526628</v>
      </c>
      <c r="G75" s="153">
        <f>VLOOKUP(C75,Mapping!D:L,7,FALSE)</f>
        <v>29</v>
      </c>
      <c r="H75" s="153">
        <f t="shared" si="23"/>
        <v>301928.69526627223</v>
      </c>
      <c r="I75" s="41">
        <f t="shared" si="12"/>
        <v>297800.83613544784</v>
      </c>
      <c r="J75" s="115">
        <f>(References!$D$61*I75)</f>
        <v>406.4981413248878</v>
      </c>
      <c r="K75" s="115">
        <f>J75/References!$H$64</f>
        <v>415.89742308664597</v>
      </c>
      <c r="L75" s="371">
        <v>3.7</v>
      </c>
      <c r="M75" s="380">
        <v>3.68</v>
      </c>
      <c r="N75" s="152">
        <f t="shared" si="28"/>
        <v>3.9946601494356353E-2</v>
      </c>
      <c r="O75" s="321">
        <f t="shared" si="29"/>
        <v>3.74</v>
      </c>
      <c r="P75" s="372">
        <f t="shared" si="30"/>
        <v>3.7199466014943563</v>
      </c>
      <c r="Q75" s="115">
        <f t="shared" si="31"/>
        <v>38521.936982248524</v>
      </c>
      <c r="R75" s="115">
        <f t="shared" si="32"/>
        <v>38938.390355029587</v>
      </c>
      <c r="S75" s="115">
        <f t="shared" si="33"/>
        <v>416.45337278106308</v>
      </c>
      <c r="T75" s="157">
        <f>((G75*$D$87)*(References!$D$61/References!$H$64))-N75</f>
        <v>0</v>
      </c>
      <c r="U75" s="153"/>
    </row>
    <row r="76" spans="1:21">
      <c r="A76" s="492"/>
      <c r="B76" s="149">
        <v>30</v>
      </c>
      <c r="C76" s="107" t="s">
        <v>562</v>
      </c>
      <c r="D76" s="114" t="str">
        <f>VLOOKUP(C76,Mapping!$D$2:$H$91,5,FALSE)</f>
        <v>32 Gal Can Extra</v>
      </c>
      <c r="E76" s="114"/>
      <c r="F76" s="153">
        <f>SUMIFS(Mapping!M:M,Mapping!A:A,"Commercial",Mapping!D:D,'DF Calculation'!C76)</f>
        <v>742.32032854209444</v>
      </c>
      <c r="G76" s="153">
        <f>VLOOKUP(C76,Mapping!D:L,7,FALSE)</f>
        <v>29</v>
      </c>
      <c r="H76" s="153">
        <f t="shared" si="23"/>
        <v>21527.289527720739</v>
      </c>
      <c r="I76" s="41">
        <f t="shared" si="12"/>
        <v>21232.976267563288</v>
      </c>
      <c r="J76" s="115">
        <f>(References!$D$61*I76)</f>
        <v>28.983012605223998</v>
      </c>
      <c r="K76" s="115">
        <f>J76/References!$H$64</f>
        <v>29.653174345430731</v>
      </c>
      <c r="L76" s="371">
        <v>5.32</v>
      </c>
      <c r="M76" s="380">
        <v>5.3</v>
      </c>
      <c r="N76" s="152">
        <f t="shared" si="28"/>
        <v>3.9946601494356353E-2</v>
      </c>
      <c r="O76" s="321">
        <f t="shared" si="29"/>
        <v>5.36</v>
      </c>
      <c r="P76" s="372">
        <f t="shared" si="30"/>
        <v>5.339946601494356</v>
      </c>
      <c r="Q76" s="115">
        <f t="shared" si="31"/>
        <v>3949.1441478439428</v>
      </c>
      <c r="R76" s="115">
        <f t="shared" si="32"/>
        <v>3978.8369609856263</v>
      </c>
      <c r="S76" s="115">
        <f t="shared" si="33"/>
        <v>29.692813141683473</v>
      </c>
      <c r="T76" s="157">
        <f>((G76*$D$87)*(References!$D$61/References!$H$64))-N76</f>
        <v>0</v>
      </c>
      <c r="U76" s="153"/>
    </row>
    <row r="77" spans="1:21">
      <c r="A77" s="127"/>
      <c r="B77" s="141"/>
      <c r="C77" s="141"/>
      <c r="D77" s="142" t="s">
        <v>14</v>
      </c>
      <c r="E77" s="142"/>
      <c r="F77" s="145">
        <f>SUM(F46:F76)</f>
        <v>52704.932689346089</v>
      </c>
      <c r="G77" s="144"/>
      <c r="H77" s="145">
        <f>SUM(H46:H76)</f>
        <v>8279802.1438412042</v>
      </c>
      <c r="I77" s="145">
        <f>SUM(I46:I76)</f>
        <v>8166603.705214058</v>
      </c>
      <c r="J77" s="427">
        <f>SUM(J46:J76)</f>
        <v>11147.414057617234</v>
      </c>
      <c r="K77" s="427">
        <f>SUM(K46:K76)</f>
        <v>11405.170920418692</v>
      </c>
      <c r="L77" s="143"/>
      <c r="M77" s="156"/>
      <c r="N77" s="143"/>
      <c r="O77" s="156"/>
      <c r="P77" s="156"/>
      <c r="Q77" s="427">
        <f>SUM(Q46:Q76)</f>
        <v>1360442.0431155644</v>
      </c>
      <c r="R77" s="427">
        <f>SUM(R46:R76)</f>
        <v>1371816.6405397295</v>
      </c>
      <c r="S77" s="427">
        <f>SUM(S46:S76)</f>
        <v>11374.5974241656</v>
      </c>
      <c r="T77" s="80">
        <f>S77/Q77</f>
        <v>8.3609570005029402E-3</v>
      </c>
    </row>
    <row r="78" spans="1:21">
      <c r="A78" s="127"/>
      <c r="B78" s="100"/>
      <c r="C78" s="100"/>
      <c r="D78" s="44" t="s">
        <v>1</v>
      </c>
      <c r="E78" s="44"/>
      <c r="F78" s="45">
        <f>F77+F45</f>
        <v>298339.23805990792</v>
      </c>
      <c r="G78" s="46"/>
      <c r="H78" s="150">
        <f>H77+H45</f>
        <v>19988556.259465385</v>
      </c>
      <c r="I78" s="150">
        <f>I77+I45</f>
        <v>19715280.000000004</v>
      </c>
      <c r="J78" s="428">
        <f>J77+J45</f>
        <v>26911.357200000104</v>
      </c>
      <c r="K78" s="428">
        <f>K77+K45</f>
        <v>27533.616942909863</v>
      </c>
      <c r="L78" s="45"/>
      <c r="M78" s="150"/>
      <c r="N78" s="45"/>
      <c r="O78" s="150"/>
      <c r="P78" s="150"/>
      <c r="Q78" s="150">
        <f>Q77+Q45</f>
        <v>3228133.396135889</v>
      </c>
      <c r="R78" s="150">
        <f>R77+R45</f>
        <v>3255639.7908480372</v>
      </c>
      <c r="S78" s="150">
        <f>S77+S45</f>
        <v>27506.394712148242</v>
      </c>
      <c r="T78" s="80">
        <f>S78/Q78</f>
        <v>8.5208358319621164E-3</v>
      </c>
    </row>
    <row r="79" spans="1:21" ht="18.75" customHeight="1">
      <c r="E79" s="390" t="s">
        <v>872</v>
      </c>
      <c r="F79" s="391">
        <f>Mapping!M92-'DF Calculation'!F78</f>
        <v>0</v>
      </c>
      <c r="H79" s="61"/>
      <c r="J79" s="47"/>
      <c r="K79" s="36"/>
    </row>
    <row r="80" spans="1:21">
      <c r="F80" s="63"/>
      <c r="J80" s="47"/>
      <c r="Q80" s="36"/>
      <c r="R80" s="36"/>
    </row>
    <row r="81" spans="1:22">
      <c r="A81" s="128"/>
      <c r="B81" s="42"/>
      <c r="C81" s="42"/>
      <c r="D81" s="59"/>
      <c r="E81" s="155"/>
      <c r="F81" s="61"/>
      <c r="G81" s="60"/>
      <c r="H81" s="60"/>
      <c r="I81" s="41"/>
      <c r="J81" s="112"/>
      <c r="K81" s="112"/>
      <c r="L81" s="112"/>
      <c r="M81" s="152"/>
      <c r="N81" s="112"/>
      <c r="O81" s="152"/>
      <c r="P81" s="152"/>
      <c r="Q81" s="113"/>
      <c r="R81" s="113"/>
      <c r="S81" s="101"/>
    </row>
    <row r="82" spans="1:22" ht="15" customHeight="1">
      <c r="B82" s="488" t="s">
        <v>80</v>
      </c>
      <c r="C82" s="489"/>
      <c r="D82" s="490"/>
      <c r="E82" s="310"/>
      <c r="F82" s="55"/>
      <c r="H82" s="77"/>
      <c r="I82" s="99"/>
      <c r="J82" s="488" t="s">
        <v>150</v>
      </c>
      <c r="K82" s="489"/>
      <c r="L82" s="490"/>
      <c r="M82" s="310"/>
      <c r="Q82" s="112"/>
      <c r="R82" s="112"/>
      <c r="S82" s="62"/>
      <c r="T82" s="113"/>
      <c r="V82" s="151" t="s">
        <v>797</v>
      </c>
    </row>
    <row r="83" spans="1:22" s="165" customFormat="1" ht="25.5" customHeight="1">
      <c r="A83" s="163"/>
      <c r="B83" s="164"/>
      <c r="C83" s="164"/>
      <c r="D83" s="124" t="s">
        <v>14</v>
      </c>
      <c r="E83" s="311"/>
      <c r="F83" s="163"/>
      <c r="G83" s="164"/>
      <c r="I83" s="166"/>
      <c r="J83" s="170" t="s">
        <v>151</v>
      </c>
      <c r="K83" s="169" t="s">
        <v>8</v>
      </c>
      <c r="L83" s="169" t="s">
        <v>99</v>
      </c>
      <c r="M83" s="373"/>
      <c r="N83" s="164"/>
      <c r="Q83" s="167"/>
      <c r="R83" s="167"/>
      <c r="S83" s="168"/>
      <c r="U83" s="322" t="s">
        <v>107</v>
      </c>
      <c r="V83" s="165">
        <f>ROUNDDOWN('Grays Harbor Reg Price Out'!AG115,-2)</f>
        <v>7000</v>
      </c>
    </row>
    <row r="84" spans="1:22">
      <c r="B84" s="98" t="s">
        <v>29</v>
      </c>
      <c r="C84" s="98"/>
      <c r="D84" s="381">
        <f>+Disposal!$F$49</f>
        <v>9857.64</v>
      </c>
      <c r="E84" s="324" t="s">
        <v>798</v>
      </c>
      <c r="G84" s="38"/>
      <c r="H84" s="56"/>
      <c r="I84" s="132" t="s">
        <v>107</v>
      </c>
      <c r="J84" s="115">
        <f>Q45</f>
        <v>1867691.3530203248</v>
      </c>
      <c r="K84" s="131">
        <f>(L84-J84)/J84</f>
        <v>8.6372929134654348E-3</v>
      </c>
      <c r="L84" s="115">
        <f>R45</f>
        <v>1883823.150308308</v>
      </c>
      <c r="M84" s="115"/>
      <c r="Q84" s="112"/>
      <c r="R84" s="112"/>
      <c r="S84" s="62"/>
      <c r="T84" s="113"/>
      <c r="U84" s="322" t="s">
        <v>152</v>
      </c>
      <c r="V84" s="165">
        <f>ROUNDDOWN('Grays Harbor Reg Price Out'!AG252,-2)</f>
        <v>1200</v>
      </c>
    </row>
    <row r="85" spans="1:22">
      <c r="B85" s="98" t="s">
        <v>30</v>
      </c>
      <c r="C85" s="98"/>
      <c r="D85" s="32">
        <f>D84*References!$H$20</f>
        <v>19715280</v>
      </c>
      <c r="E85" s="32"/>
      <c r="F85" s="32"/>
      <c r="G85" s="32"/>
      <c r="H85" s="78"/>
      <c r="I85" s="132"/>
      <c r="J85" s="115"/>
      <c r="K85" s="131"/>
      <c r="L85" s="115"/>
      <c r="M85" s="115"/>
      <c r="Q85" s="112"/>
      <c r="R85" s="112"/>
      <c r="S85" s="62"/>
      <c r="T85" s="113"/>
      <c r="U85" s="322" t="s">
        <v>796</v>
      </c>
      <c r="V85" s="165">
        <f>ROUNDDOWN('Grays Harbor Reg Price Out'!AG308,-1)</f>
        <v>50</v>
      </c>
    </row>
    <row r="86" spans="1:22">
      <c r="B86" s="98" t="s">
        <v>3</v>
      </c>
      <c r="C86" s="98"/>
      <c r="D86" s="132">
        <f>F78</f>
        <v>298339.23805990792</v>
      </c>
      <c r="E86" s="132"/>
      <c r="F86" s="48"/>
      <c r="G86" s="48"/>
      <c r="H86" s="79"/>
      <c r="I86" s="132" t="s">
        <v>152</v>
      </c>
      <c r="J86" s="115">
        <f>Q77</f>
        <v>1360442.0431155644</v>
      </c>
      <c r="K86" s="131">
        <f t="shared" ref="K86" si="40">(L86-J86)/J86</f>
        <v>8.3609570005025811E-3</v>
      </c>
      <c r="L86" s="115">
        <f>R77</f>
        <v>1371816.6405397295</v>
      </c>
      <c r="M86" s="115"/>
      <c r="Q86" s="112"/>
      <c r="R86" s="112"/>
      <c r="S86" s="62"/>
      <c r="T86" s="113"/>
      <c r="U86" s="322"/>
      <c r="V86" s="323" t="s">
        <v>852</v>
      </c>
    </row>
    <row r="87" spans="1:22">
      <c r="B87" s="102" t="s">
        <v>10</v>
      </c>
      <c r="C87" s="102"/>
      <c r="D87" s="134">
        <f>D85/$H$78</f>
        <v>0.98632836429414561</v>
      </c>
      <c r="E87" s="134"/>
      <c r="F87" s="31"/>
      <c r="G87" s="31"/>
      <c r="H87" s="80"/>
      <c r="I87" s="132" t="s">
        <v>14</v>
      </c>
      <c r="J87" s="133">
        <f>SUM(J84:J86)</f>
        <v>3228133.396135889</v>
      </c>
      <c r="K87" s="80">
        <f>(L87-J87)/J87</f>
        <v>8.5208358319621147E-3</v>
      </c>
      <c r="L87" s="133">
        <f>SUM(L84:L86)</f>
        <v>3255639.7908480372</v>
      </c>
      <c r="M87" s="153"/>
      <c r="N87" s="313">
        <f>L87-J87</f>
        <v>27506.394712148234</v>
      </c>
      <c r="O87" s="147"/>
      <c r="P87" s="147"/>
      <c r="Q87" s="112"/>
      <c r="R87" s="112"/>
      <c r="S87" s="62"/>
      <c r="T87" s="113"/>
    </row>
    <row r="88" spans="1:22">
      <c r="G88" s="37"/>
      <c r="H88" s="28"/>
      <c r="I88" s="99"/>
      <c r="J88" s="103"/>
      <c r="L88" s="36"/>
      <c r="M88" s="36"/>
      <c r="O88" s="115"/>
      <c r="P88" s="115"/>
      <c r="Q88" s="112"/>
      <c r="R88" s="112"/>
      <c r="S88" s="62"/>
      <c r="T88" s="113"/>
    </row>
    <row r="89" spans="1:22" ht="15" customHeight="1">
      <c r="F89" s="30"/>
      <c r="G89" s="37"/>
      <c r="H89" s="28"/>
      <c r="I89" s="132" t="s">
        <v>101</v>
      </c>
      <c r="J89" s="382">
        <f>423939/Disposal!H55</f>
        <v>3970.5816240517001</v>
      </c>
      <c r="K89" s="325" t="s">
        <v>798</v>
      </c>
      <c r="Q89" s="112"/>
      <c r="R89" s="112"/>
      <c r="S89" s="62"/>
      <c r="T89" s="113"/>
    </row>
    <row r="90" spans="1:22">
      <c r="F90" s="30"/>
      <c r="G90" s="37"/>
      <c r="H90" s="29"/>
      <c r="J90" s="35"/>
      <c r="L90" s="36"/>
      <c r="M90" s="36"/>
      <c r="O90" s="115"/>
      <c r="P90" s="115"/>
      <c r="Q90" s="112"/>
      <c r="R90" s="112"/>
      <c r="S90" s="62"/>
      <c r="T90" s="113"/>
    </row>
    <row r="91" spans="1:22">
      <c r="F91" s="98"/>
      <c r="I91" s="132" t="s">
        <v>155</v>
      </c>
      <c r="J91" s="160">
        <f>J89*References!C61</f>
        <v>10839.687833661157</v>
      </c>
      <c r="Q91" s="112"/>
      <c r="R91" s="112"/>
      <c r="S91" s="62"/>
      <c r="T91" s="113"/>
    </row>
    <row r="92" spans="1:22" ht="15.75">
      <c r="B92" s="176" t="s">
        <v>158</v>
      </c>
      <c r="F92" s="98"/>
      <c r="I92" s="98"/>
      <c r="Q92" s="112"/>
      <c r="R92" s="112"/>
      <c r="S92" s="62"/>
      <c r="T92" s="113"/>
    </row>
    <row r="93" spans="1:22" ht="60.75" thickBot="1">
      <c r="A93" s="159"/>
      <c r="B93" s="116" t="s">
        <v>13</v>
      </c>
      <c r="C93" s="116" t="s">
        <v>106</v>
      </c>
      <c r="D93" s="116" t="s">
        <v>129</v>
      </c>
      <c r="E93" s="116" t="s">
        <v>791</v>
      </c>
      <c r="F93" s="116" t="s">
        <v>130</v>
      </c>
      <c r="G93" s="116" t="s">
        <v>9</v>
      </c>
      <c r="H93" s="116" t="s">
        <v>31</v>
      </c>
      <c r="I93" s="117" t="s">
        <v>32</v>
      </c>
      <c r="J93" s="116" t="s">
        <v>8</v>
      </c>
      <c r="K93" s="116" t="s">
        <v>0</v>
      </c>
      <c r="L93" s="370" t="s">
        <v>887</v>
      </c>
      <c r="M93" s="162" t="s">
        <v>885</v>
      </c>
      <c r="N93" s="116" t="s">
        <v>34</v>
      </c>
      <c r="O93" s="370" t="s">
        <v>888</v>
      </c>
      <c r="P93" s="162" t="s">
        <v>886</v>
      </c>
      <c r="Q93" s="116" t="s">
        <v>33</v>
      </c>
      <c r="R93" s="116" t="s">
        <v>99</v>
      </c>
      <c r="S93" s="118" t="s">
        <v>35</v>
      </c>
      <c r="T93" s="113"/>
    </row>
    <row r="94" spans="1:22">
      <c r="A94" s="493" t="s">
        <v>107</v>
      </c>
      <c r="B94" s="460">
        <v>20</v>
      </c>
      <c r="C94" s="107" t="s">
        <v>221</v>
      </c>
      <c r="D94" s="114" t="s">
        <v>876</v>
      </c>
      <c r="E94" s="114"/>
      <c r="F94" s="153">
        <f>References!$C$11*12</f>
        <v>52</v>
      </c>
      <c r="G94" s="153">
        <f>References!$C$21</f>
        <v>97</v>
      </c>
      <c r="H94" s="153">
        <f>F94*G94</f>
        <v>5044</v>
      </c>
      <c r="I94" s="41">
        <f>$D$87*H94</f>
        <v>4975.0402694996701</v>
      </c>
      <c r="J94" s="115">
        <f>(References!$D$61*I94)</f>
        <v>6.7909299678670747</v>
      </c>
      <c r="K94" s="115">
        <f>J94/References!$H$64</f>
        <v>6.9479537219839109</v>
      </c>
      <c r="L94" s="371">
        <v>48.42</v>
      </c>
      <c r="M94" s="380">
        <v>48.23</v>
      </c>
      <c r="N94" s="152">
        <f>IFERROR((K94/F94),0)*References!$C$11</f>
        <v>0.57899614349865924</v>
      </c>
      <c r="O94" s="321">
        <f>N94+L94</f>
        <v>48.998996143498658</v>
      </c>
      <c r="P94" s="372">
        <f>M94+N94</f>
        <v>48.808996143498653</v>
      </c>
      <c r="Q94" s="115"/>
      <c r="R94" s="115"/>
      <c r="S94" s="153"/>
      <c r="T94" s="157">
        <f>(((G94*$D$87)*(References!$D$61/References!$H$64))*References!$C$11)-N94</f>
        <v>0</v>
      </c>
      <c r="U94" s="153"/>
    </row>
    <row r="95" spans="1:22">
      <c r="A95" s="491"/>
      <c r="B95" s="460">
        <v>20</v>
      </c>
      <c r="C95" s="107" t="s">
        <v>924</v>
      </c>
      <c r="D95" s="114" t="s">
        <v>853</v>
      </c>
      <c r="E95" s="114"/>
      <c r="F95" s="153">
        <f>References!$C$11*12</f>
        <v>52</v>
      </c>
      <c r="G95" s="153">
        <f>References!$C$22</f>
        <v>117</v>
      </c>
      <c r="H95" s="153">
        <f t="shared" ref="H95:H101" si="41">F95*G95</f>
        <v>6084</v>
      </c>
      <c r="I95" s="41">
        <f t="shared" ref="I95:I101" si="42">$D$87*H95</f>
        <v>6000.8217683655821</v>
      </c>
      <c r="J95" s="115">
        <f>(References!$D$61*I95)</f>
        <v>8.1911217138190509</v>
      </c>
      <c r="K95" s="115">
        <f>J95/References!$H$64</f>
        <v>8.3805214997125539</v>
      </c>
      <c r="L95" s="371">
        <v>60.28</v>
      </c>
      <c r="M95" s="380">
        <v>60.05</v>
      </c>
      <c r="N95" s="152">
        <f>IFERROR((K95/F95),0)*References!$C$11</f>
        <v>0.69837679164271271</v>
      </c>
      <c r="O95" s="321">
        <f t="shared" ref="O95:O101" si="43">N95+L95</f>
        <v>60.978376791642717</v>
      </c>
      <c r="P95" s="372">
        <f t="shared" ref="P95:P113" si="44">M95+N95</f>
        <v>60.748376791642713</v>
      </c>
      <c r="Q95" s="115"/>
      <c r="R95" s="115"/>
      <c r="S95" s="153"/>
      <c r="T95" s="157">
        <f>(((G95*$D$87)*(References!$D$61/References!$H$64))*References!$C$11)-N95</f>
        <v>0</v>
      </c>
      <c r="U95" s="153"/>
    </row>
    <row r="96" spans="1:22">
      <c r="A96" s="491"/>
      <c r="B96" s="460">
        <v>20</v>
      </c>
      <c r="C96" s="107" t="s">
        <v>925</v>
      </c>
      <c r="D96" s="114" t="s">
        <v>854</v>
      </c>
      <c r="E96" s="114"/>
      <c r="F96" s="153">
        <f>References!$C$11*12</f>
        <v>52</v>
      </c>
      <c r="G96" s="153">
        <f>References!$C$22</f>
        <v>117</v>
      </c>
      <c r="H96" s="153">
        <f t="shared" si="41"/>
        <v>6084</v>
      </c>
      <c r="I96" s="41">
        <f t="shared" si="42"/>
        <v>6000.8217683655821</v>
      </c>
      <c r="J96" s="115">
        <f>(References!$D$61*I96)</f>
        <v>8.1911217138190509</v>
      </c>
      <c r="K96" s="115">
        <f>J96/References!$H$64</f>
        <v>8.3805214997125539</v>
      </c>
      <c r="L96" s="371">
        <v>58.28</v>
      </c>
      <c r="M96" s="380">
        <v>58.05</v>
      </c>
      <c r="N96" s="152">
        <f>IFERROR((K96/F96),0)*References!$C$11</f>
        <v>0.69837679164271271</v>
      </c>
      <c r="O96" s="321">
        <f t="shared" si="43"/>
        <v>58.978376791642717</v>
      </c>
      <c r="P96" s="372">
        <f t="shared" si="44"/>
        <v>58.748376791642713</v>
      </c>
      <c r="Q96" s="115"/>
      <c r="R96" s="115"/>
      <c r="S96" s="153"/>
      <c r="T96" s="157">
        <f>(((G96*$D$87)*(References!$D$61/References!$H$64))*References!$C$11)-N96</f>
        <v>0</v>
      </c>
      <c r="U96" s="153"/>
    </row>
    <row r="97" spans="1:21">
      <c r="A97" s="491"/>
      <c r="B97" s="460">
        <v>21</v>
      </c>
      <c r="C97" s="459" t="s">
        <v>859</v>
      </c>
      <c r="D97" s="114" t="s">
        <v>859</v>
      </c>
      <c r="E97" s="114"/>
      <c r="F97" s="153">
        <f>References!$C$14*12</f>
        <v>12</v>
      </c>
      <c r="G97" s="153">
        <f>References!$C$18</f>
        <v>34</v>
      </c>
      <c r="H97" s="153">
        <f t="shared" si="41"/>
        <v>408</v>
      </c>
      <c r="I97" s="41">
        <f t="shared" si="42"/>
        <v>402.42197263201143</v>
      </c>
      <c r="J97" s="115">
        <f>(References!$D$61*I97)</f>
        <v>0.54930599264269764</v>
      </c>
      <c r="K97" s="115">
        <f>J97/References!$H$64</f>
        <v>0.56200735895508247</v>
      </c>
      <c r="L97" s="371">
        <v>5.78</v>
      </c>
      <c r="M97" s="380">
        <v>5.75</v>
      </c>
      <c r="N97" s="152">
        <f>IFERROR((K97/F97),0)*References!$C$14</f>
        <v>4.6833946579590204E-2</v>
      </c>
      <c r="O97" s="321">
        <f t="shared" si="43"/>
        <v>5.8268339465795904</v>
      </c>
      <c r="P97" s="372">
        <f t="shared" si="44"/>
        <v>5.7968339465795902</v>
      </c>
      <c r="Q97" s="115"/>
      <c r="R97" s="115"/>
      <c r="S97" s="153"/>
      <c r="T97" s="157">
        <f>(((G97*$D$87)*(References!$D$61/References!$H$64))*References!$C$14)-N97</f>
        <v>0</v>
      </c>
      <c r="U97" s="153"/>
    </row>
    <row r="98" spans="1:21">
      <c r="A98" s="491"/>
      <c r="B98" s="460">
        <v>22</v>
      </c>
      <c r="C98" s="459" t="s">
        <v>862</v>
      </c>
      <c r="D98" s="114" t="s">
        <v>862</v>
      </c>
      <c r="E98" s="114"/>
      <c r="F98" s="153">
        <f>References!$C$14*12</f>
        <v>12</v>
      </c>
      <c r="G98" s="153">
        <f>References!$C$31</f>
        <v>125</v>
      </c>
      <c r="H98" s="153">
        <f t="shared" si="41"/>
        <v>1500</v>
      </c>
      <c r="I98" s="41">
        <f t="shared" si="42"/>
        <v>1479.4925464412183</v>
      </c>
      <c r="J98" s="115">
        <f>(References!$D$61*I98)</f>
        <v>2.0195073258922704</v>
      </c>
      <c r="K98" s="115">
        <f>J98/References!$H$64</f>
        <v>2.0662035255701561</v>
      </c>
      <c r="L98" s="371">
        <v>10.86</v>
      </c>
      <c r="M98" s="380">
        <v>10.81</v>
      </c>
      <c r="N98" s="152">
        <f>IFERROR((K98/F98),0)*References!$C$14</f>
        <v>0.17218362713084634</v>
      </c>
      <c r="O98" s="321">
        <f t="shared" si="43"/>
        <v>11.032183627130845</v>
      </c>
      <c r="P98" s="372">
        <f t="shared" si="44"/>
        <v>10.982183627130848</v>
      </c>
      <c r="Q98" s="115"/>
      <c r="R98" s="115"/>
      <c r="S98" s="153"/>
      <c r="T98" s="157">
        <f>(((G98*$D$87)*(References!$D$61/References!$H$64))*References!$C$14)-N98</f>
        <v>0</v>
      </c>
      <c r="U98" s="153"/>
    </row>
    <row r="99" spans="1:21">
      <c r="A99" s="491"/>
      <c r="B99" s="460">
        <v>22</v>
      </c>
      <c r="C99" s="459" t="s">
        <v>863</v>
      </c>
      <c r="D99" s="114" t="s">
        <v>863</v>
      </c>
      <c r="E99" s="114"/>
      <c r="F99" s="153">
        <f>References!$C$14*12</f>
        <v>12</v>
      </c>
      <c r="G99" s="153">
        <f>References!$C$31</f>
        <v>125</v>
      </c>
      <c r="H99" s="153">
        <f t="shared" si="41"/>
        <v>1500</v>
      </c>
      <c r="I99" s="41">
        <f t="shared" si="42"/>
        <v>1479.4925464412183</v>
      </c>
      <c r="J99" s="115">
        <f>(References!$D$61*I99)</f>
        <v>2.0195073258922704</v>
      </c>
      <c r="K99" s="115">
        <f>J99/References!$H$64</f>
        <v>2.0662035255701561</v>
      </c>
      <c r="L99" s="371">
        <v>15.25</v>
      </c>
      <c r="M99" s="380">
        <v>15.19</v>
      </c>
      <c r="N99" s="152">
        <f>IFERROR((K99/F99),0)*References!$C$14</f>
        <v>0.17218362713084634</v>
      </c>
      <c r="O99" s="321">
        <f t="shared" si="43"/>
        <v>15.422183627130845</v>
      </c>
      <c r="P99" s="372">
        <f t="shared" si="44"/>
        <v>15.362183627130847</v>
      </c>
      <c r="Q99" s="115"/>
      <c r="R99" s="115"/>
      <c r="S99" s="153"/>
      <c r="T99" s="157">
        <f>(((G99*$D$87)*(References!$D$61/References!$H$64))*References!$C$14)-N99</f>
        <v>0</v>
      </c>
      <c r="U99" s="153"/>
    </row>
    <row r="100" spans="1:21">
      <c r="A100" s="491"/>
      <c r="B100" s="460">
        <v>22</v>
      </c>
      <c r="C100" s="459" t="s">
        <v>864</v>
      </c>
      <c r="D100" s="114" t="s">
        <v>864</v>
      </c>
      <c r="E100" s="114"/>
      <c r="F100" s="153">
        <f>References!$C$14*12</f>
        <v>12</v>
      </c>
      <c r="G100" s="153">
        <f>References!$C$31</f>
        <v>125</v>
      </c>
      <c r="H100" s="153">
        <f t="shared" si="41"/>
        <v>1500</v>
      </c>
      <c r="I100" s="41">
        <f t="shared" si="42"/>
        <v>1479.4925464412183</v>
      </c>
      <c r="J100" s="115">
        <f>(References!$D$61*I100)</f>
        <v>2.0195073258922704</v>
      </c>
      <c r="K100" s="115">
        <f>J100/References!$H$64</f>
        <v>2.0662035255701561</v>
      </c>
      <c r="L100" s="371">
        <v>20</v>
      </c>
      <c r="M100" s="380">
        <v>19.920000000000002</v>
      </c>
      <c r="N100" s="152">
        <f>IFERROR((K100/F100),0)*References!$C$14</f>
        <v>0.17218362713084634</v>
      </c>
      <c r="O100" s="321">
        <f t="shared" si="43"/>
        <v>20.172183627130845</v>
      </c>
      <c r="P100" s="372">
        <f t="shared" si="44"/>
        <v>20.092183627130847</v>
      </c>
      <c r="Q100" s="115"/>
      <c r="R100" s="115"/>
      <c r="S100" s="153"/>
      <c r="T100" s="157">
        <f>(((G100*$D$87)*(References!$D$61/References!$H$64))*References!$C$14)-N100</f>
        <v>0</v>
      </c>
      <c r="U100" s="153"/>
    </row>
    <row r="101" spans="1:21">
      <c r="A101" s="491"/>
      <c r="B101" s="460">
        <v>22</v>
      </c>
      <c r="C101" s="459" t="s">
        <v>865</v>
      </c>
      <c r="D101" s="114" t="s">
        <v>865</v>
      </c>
      <c r="E101" s="114"/>
      <c r="F101" s="153">
        <f>References!$C$14*12</f>
        <v>12</v>
      </c>
      <c r="G101" s="153">
        <f>References!$C$31</f>
        <v>125</v>
      </c>
      <c r="H101" s="153">
        <f t="shared" si="41"/>
        <v>1500</v>
      </c>
      <c r="I101" s="41">
        <f t="shared" si="42"/>
        <v>1479.4925464412183</v>
      </c>
      <c r="J101" s="115">
        <f>(References!$D$61*I101)</f>
        <v>2.0195073258922704</v>
      </c>
      <c r="K101" s="115">
        <f>J101/References!$H$64</f>
        <v>2.0662035255701561</v>
      </c>
      <c r="L101" s="371">
        <v>27.32</v>
      </c>
      <c r="M101" s="380">
        <v>27.21</v>
      </c>
      <c r="N101" s="152">
        <f>IFERROR((K101/F101),0)*References!$C$14</f>
        <v>0.17218362713084634</v>
      </c>
      <c r="O101" s="321">
        <f t="shared" si="43"/>
        <v>27.492183627130846</v>
      </c>
      <c r="P101" s="372">
        <f t="shared" si="44"/>
        <v>27.382183627130846</v>
      </c>
      <c r="Q101" s="115"/>
      <c r="R101" s="115"/>
      <c r="S101" s="153"/>
      <c r="T101" s="157">
        <f>(((G101*$D$87)*(References!$D$61/References!$H$64))*References!$C$14)-N101</f>
        <v>0</v>
      </c>
      <c r="U101" s="153"/>
    </row>
    <row r="102" spans="1:21">
      <c r="A102" s="126"/>
      <c r="B102" s="88"/>
      <c r="C102" s="104"/>
      <c r="D102" s="89" t="s">
        <v>14</v>
      </c>
      <c r="E102" s="142"/>
      <c r="F102" s="81">
        <f>SUM(F94:F101)</f>
        <v>216</v>
      </c>
      <c r="G102" s="90"/>
      <c r="H102" s="81">
        <f>SUM(H94:H101)</f>
        <v>23620</v>
      </c>
      <c r="I102" s="81">
        <f>SUM(I94:I101)</f>
        <v>23297.075964627722</v>
      </c>
      <c r="J102" s="426">
        <f>SUM(J94:J101)</f>
        <v>31.800508691716956</v>
      </c>
      <c r="K102" s="426">
        <f>SUM(K94:K101)</f>
        <v>32.535818182644725</v>
      </c>
      <c r="L102" s="179"/>
      <c r="M102" s="374"/>
      <c r="N102" s="81"/>
      <c r="O102" s="130"/>
      <c r="P102" s="145"/>
      <c r="Q102" s="81">
        <f>SUM(Q94:Q101)</f>
        <v>0</v>
      </c>
      <c r="R102" s="81">
        <f>SUM(R94:R101)</f>
        <v>0</v>
      </c>
      <c r="S102" s="81">
        <f>SUM(S94:S101)</f>
        <v>0</v>
      </c>
      <c r="T102" s="80"/>
      <c r="U102" s="153"/>
    </row>
    <row r="103" spans="1:21">
      <c r="A103" s="492" t="s">
        <v>12</v>
      </c>
      <c r="B103" s="461">
        <v>26</v>
      </c>
      <c r="C103" s="462" t="s">
        <v>922</v>
      </c>
      <c r="D103" s="462" t="s">
        <v>922</v>
      </c>
      <c r="F103" s="153">
        <f>References!$C$14*12</f>
        <v>12</v>
      </c>
      <c r="G103" s="151">
        <v>1</v>
      </c>
      <c r="H103" s="153">
        <f t="shared" ref="H103" si="45">F103*G103</f>
        <v>12</v>
      </c>
      <c r="I103" s="41">
        <f t="shared" ref="I103" si="46">$D$87*H103</f>
        <v>11.835940371529748</v>
      </c>
      <c r="J103" s="115">
        <f>(References!$D$61*I103)</f>
        <v>1.6156058607138167E-2</v>
      </c>
      <c r="K103" s="115">
        <f>J103/References!$H$64</f>
        <v>1.6529628204561251E-2</v>
      </c>
      <c r="L103" s="371">
        <v>0.13</v>
      </c>
      <c r="M103" s="380">
        <v>0.13</v>
      </c>
      <c r="N103" s="152">
        <f>IFERROR((K103/F103),0)</f>
        <v>1.377469017046771E-3</v>
      </c>
      <c r="O103" s="321">
        <f>N103+L103</f>
        <v>0.13137746901704678</v>
      </c>
      <c r="P103" s="372">
        <f>M103+N103</f>
        <v>0.13137746901704678</v>
      </c>
      <c r="Q103" s="115"/>
      <c r="R103" s="115"/>
      <c r="S103" s="115"/>
      <c r="T103" s="157">
        <f>((G104*$D$87)*(References!$D$61/References!$H$64))-N104</f>
        <v>0</v>
      </c>
      <c r="U103" s="153"/>
    </row>
    <row r="104" spans="1:21">
      <c r="A104" s="492"/>
      <c r="B104" s="460">
        <v>29</v>
      </c>
      <c r="C104" s="459" t="s">
        <v>877</v>
      </c>
      <c r="D104" s="114" t="s">
        <v>877</v>
      </c>
      <c r="E104" s="114"/>
      <c r="F104" s="153">
        <f>References!$C$14*12</f>
        <v>12</v>
      </c>
      <c r="G104" s="153">
        <f>References!$C$35</f>
        <v>473</v>
      </c>
      <c r="H104" s="153">
        <f t="shared" ref="H104" si="47">F104*G104</f>
        <v>5676</v>
      </c>
      <c r="I104" s="41">
        <f t="shared" ref="I104" si="48">$D$87*H104</f>
        <v>5598.3997957335705</v>
      </c>
      <c r="J104" s="115">
        <f>(References!$D$61*I104)</f>
        <v>7.6418157211763527</v>
      </c>
      <c r="K104" s="115">
        <f>J104/References!$H$64</f>
        <v>7.818514140757471</v>
      </c>
      <c r="L104" s="371">
        <v>82.17</v>
      </c>
      <c r="M104" s="380">
        <v>81.849999999999994</v>
      </c>
      <c r="N104" s="152">
        <f>IFERROR((K104/F104),0)</f>
        <v>0.65154284506312254</v>
      </c>
      <c r="O104" s="321">
        <f>N104+L104</f>
        <v>82.821542845063121</v>
      </c>
      <c r="P104" s="372">
        <f>M104+N104</f>
        <v>82.501542845063113</v>
      </c>
      <c r="Q104" s="115"/>
      <c r="R104" s="115"/>
      <c r="S104" s="115"/>
      <c r="T104" s="157">
        <f>((G105*$D$87)*(References!$D$61/References!$H$64))-N105</f>
        <v>0</v>
      </c>
      <c r="U104" s="153"/>
    </row>
    <row r="105" spans="1:21">
      <c r="A105" s="492"/>
      <c r="B105" s="460">
        <v>29</v>
      </c>
      <c r="C105" s="459" t="s">
        <v>878</v>
      </c>
      <c r="D105" s="114" t="s">
        <v>878</v>
      </c>
      <c r="E105" s="114"/>
      <c r="F105" s="153">
        <f>References!$C$14*12</f>
        <v>12</v>
      </c>
      <c r="G105" s="153">
        <f>References!$C$36</f>
        <v>613</v>
      </c>
      <c r="H105" s="153">
        <f>F105*G105</f>
        <v>7356</v>
      </c>
      <c r="I105" s="41">
        <f>$D$87*H105</f>
        <v>7255.4314477477355</v>
      </c>
      <c r="J105" s="115">
        <f>(References!$D$61*I105)</f>
        <v>9.903663926175696</v>
      </c>
      <c r="K105" s="115">
        <f>J105/References!$H$64</f>
        <v>10.132662089396046</v>
      </c>
      <c r="L105" s="371">
        <v>108.18</v>
      </c>
      <c r="M105" s="380">
        <v>107.75</v>
      </c>
      <c r="N105" s="152">
        <f>IFERROR((K105/F105),0)</f>
        <v>0.84438850744967053</v>
      </c>
      <c r="O105" s="321">
        <f>N105+L105</f>
        <v>109.02438850744967</v>
      </c>
      <c r="P105" s="372">
        <f>M105+N105</f>
        <v>108.59438850744966</v>
      </c>
      <c r="Q105" s="115"/>
      <c r="R105" s="115"/>
      <c r="S105" s="115"/>
      <c r="T105" s="157">
        <f>((G106*$D$87)*(References!$D$61/References!$H$64))-N106</f>
        <v>0</v>
      </c>
      <c r="U105" s="153"/>
    </row>
    <row r="106" spans="1:21">
      <c r="A106" s="492"/>
      <c r="B106" s="460">
        <v>29</v>
      </c>
      <c r="C106" s="459" t="s">
        <v>879</v>
      </c>
      <c r="D106" s="114" t="s">
        <v>879</v>
      </c>
      <c r="E106" s="114"/>
      <c r="F106" s="153">
        <f>References!$C$14*12</f>
        <v>12</v>
      </c>
      <c r="G106" s="153">
        <f>References!$C$37</f>
        <v>840</v>
      </c>
      <c r="H106" s="153">
        <f>F106*G106</f>
        <v>10080</v>
      </c>
      <c r="I106" s="41">
        <f>$D$87*H106</f>
        <v>9942.1899120849885</v>
      </c>
      <c r="J106" s="115">
        <f>(References!$D$61*I106)</f>
        <v>13.57108922999606</v>
      </c>
      <c r="K106" s="115">
        <f>J106/References!$H$64</f>
        <v>13.88488769183145</v>
      </c>
      <c r="L106" s="371">
        <v>141.03</v>
      </c>
      <c r="M106" s="380">
        <v>140.47999999999999</v>
      </c>
      <c r="N106" s="152">
        <f>IFERROR((K106/F106),0)</f>
        <v>1.1570739743192875</v>
      </c>
      <c r="O106" s="321">
        <f>N106+L106</f>
        <v>142.18707397431928</v>
      </c>
      <c r="P106" s="372">
        <f>M106+N106</f>
        <v>141.63707397431926</v>
      </c>
      <c r="Q106" s="115"/>
      <c r="R106" s="115"/>
      <c r="S106" s="115"/>
      <c r="T106" s="157">
        <f>((G107*$D$87)*(References!$D$61/References!$H$64))-N107</f>
        <v>0</v>
      </c>
      <c r="U106" s="178"/>
    </row>
    <row r="107" spans="1:21">
      <c r="A107" s="492"/>
      <c r="B107" s="460">
        <v>29</v>
      </c>
      <c r="C107" s="459" t="s">
        <v>861</v>
      </c>
      <c r="D107" s="114" t="s">
        <v>861</v>
      </c>
      <c r="E107" s="114"/>
      <c r="F107" s="153">
        <f>References!$C$14*12</f>
        <v>12</v>
      </c>
      <c r="G107" s="153">
        <f>References!$C$38</f>
        <v>980</v>
      </c>
      <c r="H107" s="153">
        <f>F107*G107</f>
        <v>11760</v>
      </c>
      <c r="I107" s="41">
        <f>$D$87*H107</f>
        <v>11599.221564099153</v>
      </c>
      <c r="J107" s="115">
        <f>(References!$D$61*I107)</f>
        <v>15.832937434995403</v>
      </c>
      <c r="K107" s="115">
        <f>J107/References!$H$64</f>
        <v>16.199035640470026</v>
      </c>
      <c r="L107" s="371">
        <v>184.86</v>
      </c>
      <c r="M107" s="380">
        <v>184.13</v>
      </c>
      <c r="N107" s="152">
        <f>IFERROR((K107/F107),0)</f>
        <v>1.3499196367058355</v>
      </c>
      <c r="O107" s="321">
        <f>N107+L107</f>
        <v>186.20991963670585</v>
      </c>
      <c r="P107" s="372">
        <f>M107+N107</f>
        <v>185.47991963670583</v>
      </c>
      <c r="Q107" s="115"/>
      <c r="R107" s="115"/>
      <c r="S107" s="115"/>
      <c r="T107" s="157">
        <f>((G108*$D$87)*(References!$D$61/References!$H$64))-N108</f>
        <v>0</v>
      </c>
      <c r="U107" s="178"/>
    </row>
    <row r="108" spans="1:21">
      <c r="A108" s="492"/>
      <c r="B108" s="460">
        <v>30</v>
      </c>
      <c r="C108" s="459" t="s">
        <v>894</v>
      </c>
      <c r="D108" s="114" t="s">
        <v>897</v>
      </c>
      <c r="E108" s="114"/>
      <c r="F108" s="153">
        <f>References!$C$14*12</f>
        <v>12</v>
      </c>
      <c r="G108" s="153">
        <f>References!$C$18</f>
        <v>34</v>
      </c>
      <c r="H108" s="153">
        <f t="shared" ref="H108:H110" si="49">F108*G108</f>
        <v>408</v>
      </c>
      <c r="I108" s="41">
        <f t="shared" ref="I108:I110" si="50">$D$87*H108</f>
        <v>402.42197263201143</v>
      </c>
      <c r="J108" s="115">
        <f>(References!$D$61*I108)</f>
        <v>0.54930599264269764</v>
      </c>
      <c r="K108" s="115">
        <f>J108/References!$H$64</f>
        <v>0.56200735895508247</v>
      </c>
      <c r="L108" s="371">
        <v>14.02</v>
      </c>
      <c r="M108" s="380">
        <v>13.96</v>
      </c>
      <c r="N108" s="152">
        <f t="shared" ref="N108:N110" si="51">IFERROR((K108/F108),0)</f>
        <v>4.6833946579590204E-2</v>
      </c>
      <c r="O108" s="321">
        <f t="shared" ref="O108:O110" si="52">N108+L108</f>
        <v>14.066833946579591</v>
      </c>
      <c r="P108" s="372">
        <f t="shared" ref="P108:P110" si="53">M108+N108</f>
        <v>14.006833946579592</v>
      </c>
      <c r="Q108" s="115"/>
      <c r="R108" s="115"/>
      <c r="S108" s="115"/>
      <c r="T108" s="157">
        <f>((G109*$D$87)*(References!$D$61/References!$H$64))-N109</f>
        <v>0</v>
      </c>
      <c r="U108" s="178"/>
    </row>
    <row r="109" spans="1:21">
      <c r="A109" s="492"/>
      <c r="B109" s="460">
        <v>30</v>
      </c>
      <c r="C109" s="459" t="s">
        <v>895</v>
      </c>
      <c r="D109" s="114" t="s">
        <v>898</v>
      </c>
      <c r="E109" s="114"/>
      <c r="F109" s="153">
        <f>References!$C$14*12</f>
        <v>12</v>
      </c>
      <c r="G109" s="153">
        <f>References!$C$25</f>
        <v>47</v>
      </c>
      <c r="H109" s="153">
        <f t="shared" si="49"/>
        <v>564</v>
      </c>
      <c r="I109" s="41">
        <f t="shared" si="50"/>
        <v>556.28919746189808</v>
      </c>
      <c r="J109" s="115">
        <f>(References!$D$61*I109)</f>
        <v>0.75933475453549371</v>
      </c>
      <c r="K109" s="115">
        <f>J109/References!$H$64</f>
        <v>0.7768925256143786</v>
      </c>
      <c r="L109" s="371">
        <v>12.84</v>
      </c>
      <c r="M109" s="380">
        <v>12.79</v>
      </c>
      <c r="N109" s="152">
        <f t="shared" si="51"/>
        <v>6.4741043801198217E-2</v>
      </c>
      <c r="O109" s="321">
        <f t="shared" si="52"/>
        <v>12.904741043801199</v>
      </c>
      <c r="P109" s="372">
        <f t="shared" si="53"/>
        <v>12.854741043801198</v>
      </c>
      <c r="Q109" s="115"/>
      <c r="R109" s="115"/>
      <c r="S109" s="115"/>
      <c r="T109" s="157">
        <f>((G110*$D$87)*(References!$D$61/References!$H$64))-N110</f>
        <v>0</v>
      </c>
      <c r="U109" s="178"/>
    </row>
    <row r="110" spans="1:21">
      <c r="A110" s="492"/>
      <c r="B110" s="460">
        <v>30</v>
      </c>
      <c r="C110" s="459" t="s">
        <v>896</v>
      </c>
      <c r="D110" s="114" t="s">
        <v>899</v>
      </c>
      <c r="E110" s="114"/>
      <c r="F110" s="153">
        <f>References!$C$14*12</f>
        <v>12</v>
      </c>
      <c r="G110" s="153">
        <f>References!$C$26</f>
        <v>68</v>
      </c>
      <c r="H110" s="153">
        <f t="shared" si="49"/>
        <v>816</v>
      </c>
      <c r="I110" s="41">
        <f t="shared" si="50"/>
        <v>804.84394526402286</v>
      </c>
      <c r="J110" s="115">
        <f>(References!$D$61*I110)</f>
        <v>1.0986119852853953</v>
      </c>
      <c r="K110" s="115">
        <f>J110/References!$H$64</f>
        <v>1.1240147179101649</v>
      </c>
      <c r="L110" s="371">
        <v>16.09</v>
      </c>
      <c r="M110" s="380">
        <v>16.02</v>
      </c>
      <c r="N110" s="152">
        <f t="shared" si="51"/>
        <v>9.3667893159180407E-2</v>
      </c>
      <c r="O110" s="321">
        <f t="shared" si="52"/>
        <v>16.183667893159182</v>
      </c>
      <c r="P110" s="372">
        <f t="shared" si="53"/>
        <v>16.113667893159182</v>
      </c>
      <c r="Q110" s="115"/>
      <c r="R110" s="115"/>
      <c r="S110" s="115"/>
      <c r="T110" s="157">
        <f>((G111*$D$87)*(References!$D$61/References!$H$64))-N111</f>
        <v>0</v>
      </c>
      <c r="U110" s="178"/>
    </row>
    <row r="111" spans="1:21">
      <c r="A111" s="492"/>
      <c r="B111" s="460">
        <v>30</v>
      </c>
      <c r="C111" s="459" t="s">
        <v>892</v>
      </c>
      <c r="D111" s="114" t="s">
        <v>892</v>
      </c>
      <c r="E111" s="114"/>
      <c r="F111" s="153">
        <f>References!$C$14*12</f>
        <v>12</v>
      </c>
      <c r="G111" s="153">
        <f>References!$C$30</f>
        <v>29</v>
      </c>
      <c r="H111" s="153">
        <f t="shared" ref="H111" si="54">F111*G111</f>
        <v>348</v>
      </c>
      <c r="I111" s="41">
        <f t="shared" ref="I111" si="55">$D$87*H111</f>
        <v>343.24227077436268</v>
      </c>
      <c r="J111" s="115">
        <f>(References!$D$61*I111)</f>
        <v>0.4685256996070068</v>
      </c>
      <c r="K111" s="115">
        <f>J111/References!$H$64</f>
        <v>0.4793592179322762</v>
      </c>
      <c r="L111" s="371">
        <v>3.46</v>
      </c>
      <c r="M111" s="380">
        <v>3.44</v>
      </c>
      <c r="N111" s="152">
        <f t="shared" ref="N111" si="56">IFERROR((K111/F111),0)</f>
        <v>3.9946601494356353E-2</v>
      </c>
      <c r="O111" s="321">
        <f t="shared" ref="O111" si="57">N111+L111</f>
        <v>3.4999466014943561</v>
      </c>
      <c r="P111" s="372">
        <f t="shared" ref="P111" si="58">M111+N111</f>
        <v>3.4799466014943561</v>
      </c>
      <c r="Q111" s="115"/>
      <c r="R111" s="115"/>
      <c r="S111" s="115"/>
      <c r="T111" s="157">
        <f>((G112*$D$87)*(References!$D$61/References!$H$64))-N112</f>
        <v>0</v>
      </c>
      <c r="U111" s="178"/>
    </row>
    <row r="112" spans="1:21">
      <c r="A112" s="492"/>
      <c r="B112" s="460">
        <v>30</v>
      </c>
      <c r="C112" s="459" t="s">
        <v>890</v>
      </c>
      <c r="D112" s="114" t="s">
        <v>890</v>
      </c>
      <c r="E112" s="114"/>
      <c r="F112" s="153">
        <f>References!$C$14*12</f>
        <v>12</v>
      </c>
      <c r="G112" s="153">
        <f>References!$C$25</f>
        <v>47</v>
      </c>
      <c r="H112" s="153">
        <f t="shared" ref="H112:H113" si="59">F112*G112</f>
        <v>564</v>
      </c>
      <c r="I112" s="41">
        <f t="shared" ref="I112:I113" si="60">$D$87*H112</f>
        <v>556.28919746189808</v>
      </c>
      <c r="J112" s="115">
        <f>(References!$D$61*I112)</f>
        <v>0.75933475453549371</v>
      </c>
      <c r="K112" s="115">
        <f>J112/References!$H$64</f>
        <v>0.7768925256143786</v>
      </c>
      <c r="L112" s="371">
        <v>7.38</v>
      </c>
      <c r="M112" s="380">
        <v>7.35</v>
      </c>
      <c r="N112" s="152">
        <f t="shared" ref="N112:N113" si="61">IFERROR((K112/F112),0)</f>
        <v>6.4741043801198217E-2</v>
      </c>
      <c r="O112" s="321">
        <f t="shared" ref="O112:O113" si="62">N112+L112</f>
        <v>7.4447410438011978</v>
      </c>
      <c r="P112" s="372">
        <f t="shared" si="44"/>
        <v>7.4147410438011976</v>
      </c>
      <c r="Q112" s="115"/>
      <c r="R112" s="115"/>
      <c r="S112" s="115"/>
      <c r="T112" s="157">
        <f>((G113*$D$87)*(References!$D$61/References!$H$64))-N113</f>
        <v>0</v>
      </c>
      <c r="U112" s="178"/>
    </row>
    <row r="113" spans="1:87">
      <c r="A113" s="492"/>
      <c r="B113" s="460">
        <v>30</v>
      </c>
      <c r="C113" s="459" t="s">
        <v>891</v>
      </c>
      <c r="D113" s="114" t="s">
        <v>891</v>
      </c>
      <c r="E113" s="114"/>
      <c r="F113" s="153">
        <f>References!$C$14*12</f>
        <v>12</v>
      </c>
      <c r="G113" s="153">
        <f>References!$C$26</f>
        <v>68</v>
      </c>
      <c r="H113" s="153">
        <f t="shared" si="59"/>
        <v>816</v>
      </c>
      <c r="I113" s="41">
        <f t="shared" si="60"/>
        <v>804.84394526402286</v>
      </c>
      <c r="J113" s="115">
        <f>(References!$D$61*I113)</f>
        <v>1.0986119852853953</v>
      </c>
      <c r="K113" s="115">
        <f>J113/References!$H$64</f>
        <v>1.1240147179101649</v>
      </c>
      <c r="L113" s="371">
        <v>10.63</v>
      </c>
      <c r="M113" s="380">
        <v>10.59</v>
      </c>
      <c r="N113" s="152">
        <f t="shared" si="61"/>
        <v>9.3667893159180407E-2</v>
      </c>
      <c r="O113" s="321">
        <f t="shared" si="62"/>
        <v>10.723667893159181</v>
      </c>
      <c r="P113" s="372">
        <f t="shared" si="44"/>
        <v>10.68366789315918</v>
      </c>
      <c r="Q113" s="115"/>
      <c r="R113" s="115"/>
      <c r="S113" s="115"/>
      <c r="T113" s="157">
        <f>((G114*$D$87)*(References!$D$61/References!$H$64))-N114</f>
        <v>0</v>
      </c>
      <c r="U113" s="178"/>
    </row>
    <row r="114" spans="1:87" s="314" customFormat="1" ht="15.75" thickBot="1">
      <c r="A114" s="492"/>
      <c r="B114" s="460">
        <v>30</v>
      </c>
      <c r="C114" s="459" t="s">
        <v>926</v>
      </c>
      <c r="D114" s="114" t="s">
        <v>926</v>
      </c>
      <c r="E114" s="114"/>
      <c r="F114" s="153">
        <f>References!$C$14*12</f>
        <v>12</v>
      </c>
      <c r="G114" s="153">
        <f>References!$C$26</f>
        <v>68</v>
      </c>
      <c r="H114" s="153">
        <f t="shared" ref="H114" si="63">F114*G114</f>
        <v>816</v>
      </c>
      <c r="I114" s="41">
        <f t="shared" ref="I114" si="64">$D$87*H114</f>
        <v>804.84394526402286</v>
      </c>
      <c r="J114" s="115">
        <f>(References!$D$61*I114)</f>
        <v>1.0986119852853953</v>
      </c>
      <c r="K114" s="115">
        <f>J114/References!$H$64</f>
        <v>1.1240147179101649</v>
      </c>
      <c r="L114" s="371">
        <v>3.7</v>
      </c>
      <c r="M114" s="380">
        <v>3.68</v>
      </c>
      <c r="N114" s="152">
        <f t="shared" ref="N114" si="65">IFERROR((K114/F114),0)</f>
        <v>9.3667893159180407E-2</v>
      </c>
      <c r="O114" s="321">
        <f t="shared" ref="O114" si="66">N114+L114</f>
        <v>3.7936678931591805</v>
      </c>
      <c r="P114" s="372">
        <f t="shared" ref="P114" si="67">M114+N114</f>
        <v>3.7736678931591805</v>
      </c>
      <c r="Q114" s="115"/>
      <c r="R114" s="115"/>
      <c r="S114" s="115"/>
      <c r="T114" s="157">
        <f>((G115*$D$87)*(References!$D$61/References!$H$64))-N115</f>
        <v>0</v>
      </c>
      <c r="U114" s="178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</row>
    <row r="115" spans="1:87">
      <c r="A115" s="161"/>
      <c r="B115" s="88"/>
      <c r="C115" s="104"/>
      <c r="D115" s="89" t="s">
        <v>14</v>
      </c>
      <c r="E115" s="142"/>
      <c r="F115" s="81">
        <f>SUM(F104:F114)</f>
        <v>132</v>
      </c>
      <c r="G115" s="90"/>
      <c r="H115" s="81">
        <f>SUM(H104:H114)</f>
        <v>39204</v>
      </c>
      <c r="I115" s="81">
        <f>SUM(I104:I114)</f>
        <v>38668.01719378768</v>
      </c>
      <c r="J115" s="426">
        <f>SUM(J104:J114)</f>
        <v>52.781843469520389</v>
      </c>
      <c r="K115" s="426">
        <f>SUM(K104:K114)</f>
        <v>54.002295344301601</v>
      </c>
      <c r="L115" s="81"/>
      <c r="M115" s="156"/>
      <c r="N115" s="81"/>
      <c r="O115" s="130"/>
      <c r="P115" s="145"/>
      <c r="Q115" s="81">
        <f>SUM(Q103:Q114)</f>
        <v>0</v>
      </c>
      <c r="R115" s="81">
        <f>SUM(R103:R114)</f>
        <v>0</v>
      </c>
      <c r="S115" s="81">
        <f>SUM(S103:S114)</f>
        <v>0</v>
      </c>
      <c r="T115" s="80"/>
      <c r="U115" s="153"/>
    </row>
    <row r="116" spans="1:87">
      <c r="D116" s="111"/>
      <c r="E116" s="111"/>
      <c r="F116" s="172"/>
      <c r="Q116" s="112"/>
      <c r="R116" s="112"/>
      <c r="S116" s="62"/>
      <c r="T116" s="113"/>
    </row>
    <row r="117" spans="1:87">
      <c r="D117" s="111"/>
      <c r="E117" s="111"/>
      <c r="F117" s="111"/>
      <c r="Q117" s="112"/>
      <c r="R117" s="112"/>
      <c r="S117" s="62"/>
      <c r="T117" s="113"/>
    </row>
    <row r="118" spans="1:87">
      <c r="D118" s="111"/>
      <c r="E118" s="111"/>
      <c r="F118" s="111"/>
      <c r="Q118" s="112"/>
      <c r="R118" s="112"/>
      <c r="S118" s="62"/>
      <c r="T118" s="113"/>
    </row>
    <row r="119" spans="1:87">
      <c r="D119" s="111"/>
      <c r="E119" s="111"/>
      <c r="F119" s="111"/>
      <c r="Q119" s="112"/>
      <c r="R119" s="112"/>
      <c r="S119" s="62"/>
      <c r="T119" s="113"/>
    </row>
    <row r="120" spans="1:87">
      <c r="D120" s="111"/>
      <c r="E120" s="111"/>
      <c r="F120" s="111"/>
      <c r="Q120" s="112"/>
      <c r="R120" s="112"/>
      <c r="S120" s="62"/>
      <c r="T120" s="113"/>
    </row>
    <row r="121" spans="1:87">
      <c r="Q121" s="112"/>
      <c r="R121" s="112"/>
      <c r="S121" s="62"/>
      <c r="T121" s="113"/>
    </row>
    <row r="122" spans="1:87">
      <c r="Q122" s="112"/>
      <c r="R122" s="112"/>
      <c r="S122" s="62"/>
      <c r="T122" s="113"/>
    </row>
    <row r="123" spans="1:87">
      <c r="R123" s="129"/>
      <c r="S123" s="62"/>
      <c r="T123" s="113"/>
    </row>
    <row r="124" spans="1:87">
      <c r="Q124" s="112"/>
      <c r="R124" s="129"/>
      <c r="S124" s="92"/>
      <c r="T124" s="113"/>
    </row>
    <row r="125" spans="1:87">
      <c r="S125" s="92"/>
      <c r="T125" s="113"/>
    </row>
    <row r="126" spans="1:87">
      <c r="Q126" s="50"/>
      <c r="S126" s="92"/>
      <c r="T126" s="113"/>
    </row>
    <row r="127" spans="1:87">
      <c r="Q127" s="50"/>
      <c r="S127" s="92"/>
      <c r="T127" s="113"/>
    </row>
    <row r="128" spans="1:87">
      <c r="S128" s="92"/>
      <c r="T128" s="113"/>
    </row>
    <row r="129" spans="17:17">
      <c r="Q129" s="50"/>
    </row>
    <row r="130" spans="17:17">
      <c r="Q130" s="34"/>
    </row>
    <row r="131" spans="17:17">
      <c r="Q131" s="52"/>
    </row>
    <row r="132" spans="17:17">
      <c r="Q132" s="52"/>
    </row>
    <row r="133" spans="17:17">
      <c r="Q133" s="52"/>
    </row>
  </sheetData>
  <autoFilter ref="A6:T79"/>
  <mergeCells count="6">
    <mergeCell ref="J82:L82"/>
    <mergeCell ref="A7:A44"/>
    <mergeCell ref="A46:A76"/>
    <mergeCell ref="A103:A114"/>
    <mergeCell ref="A94:A101"/>
    <mergeCell ref="B82:D82"/>
  </mergeCells>
  <pageMargins left="0.25" right="0.25" top="0.75" bottom="0.75" header="0.3" footer="0.3"/>
  <pageSetup scale="44" fitToHeight="4" pageOrder="overThenDown" orientation="landscape" r:id="rId1"/>
  <headerFooter>
    <oddFooter>&amp;L&amp;F - &amp;A&amp;R&amp;P of &amp;N</oddFooter>
  </headerFooter>
  <rowBreaks count="1" manualBreakCount="1">
    <brk id="92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93"/>
  <sheetViews>
    <sheetView view="pageBreakPreview" zoomScale="60" zoomScaleNormal="100" workbookViewId="0">
      <selection activeCell="R1" sqref="A1:R92"/>
    </sheetView>
  </sheetViews>
  <sheetFormatPr defaultRowHeight="15"/>
  <cols>
    <col min="1" max="1" width="13.140625" style="120" bestFit="1" customWidth="1"/>
    <col min="2" max="2" width="14.85546875" style="120" bestFit="1" customWidth="1"/>
    <col min="3" max="3" width="28.140625" style="120" bestFit="1" customWidth="1"/>
    <col min="4" max="4" width="28.5703125" style="120" bestFit="1" customWidth="1"/>
    <col min="5" max="5" width="20.28515625" style="120" bestFit="1" customWidth="1"/>
    <col min="6" max="6" width="13" style="96" bestFit="1" customWidth="1"/>
    <col min="7" max="7" width="23.7109375" style="120" bestFit="1" customWidth="1"/>
    <col min="8" max="8" width="28.140625" style="120" bestFit="1" customWidth="1"/>
    <col min="9" max="9" width="9.140625" style="97" bestFit="1" customWidth="1"/>
    <col min="10" max="10" width="12.85546875" style="97" bestFit="1" customWidth="1"/>
    <col min="11" max="11" width="16.28515625" style="97" bestFit="1" customWidth="1"/>
    <col min="12" max="12" width="29.140625" style="121" bestFit="1" customWidth="1"/>
    <col min="13" max="13" width="25.7109375" style="121" customWidth="1"/>
    <col min="14" max="14" width="8.5703125" style="121" customWidth="1"/>
    <col min="15" max="15" width="15.7109375" style="109" customWidth="1"/>
    <col min="16" max="16" width="20.5703125" style="109" bestFit="1" customWidth="1"/>
    <col min="17" max="17" width="15.42578125" style="109" bestFit="1" customWidth="1"/>
    <col min="18" max="18" width="11" style="109" customWidth="1"/>
    <col min="19" max="19" width="12.42578125" style="109" bestFit="1" customWidth="1"/>
    <col min="20" max="16384" width="9.140625" style="109"/>
  </cols>
  <sheetData>
    <row r="1" spans="1:20" s="125" customFormat="1" ht="35.25" customHeight="1">
      <c r="A1" s="119" t="s">
        <v>109</v>
      </c>
      <c r="B1" s="119" t="s">
        <v>108</v>
      </c>
      <c r="C1" s="119" t="s">
        <v>110</v>
      </c>
      <c r="D1" s="119" t="s">
        <v>125</v>
      </c>
      <c r="E1" s="119" t="s">
        <v>111</v>
      </c>
      <c r="F1" s="122" t="s">
        <v>112</v>
      </c>
      <c r="G1" s="119" t="s">
        <v>126</v>
      </c>
      <c r="H1" s="119" t="s">
        <v>159</v>
      </c>
      <c r="I1" s="123" t="s">
        <v>115</v>
      </c>
      <c r="J1" s="119" t="s">
        <v>114</v>
      </c>
      <c r="K1" s="119" t="s">
        <v>113</v>
      </c>
      <c r="L1" s="124" t="s">
        <v>127</v>
      </c>
      <c r="M1" s="124" t="s">
        <v>128</v>
      </c>
      <c r="N1" s="158"/>
      <c r="P1" s="138"/>
      <c r="Q1" s="476"/>
      <c r="R1" s="138"/>
      <c r="S1" s="140"/>
      <c r="T1" s="139"/>
    </row>
    <row r="2" spans="1:20" s="440" customFormat="1">
      <c r="A2" s="433" t="s">
        <v>91</v>
      </c>
      <c r="B2" s="433" t="s">
        <v>767</v>
      </c>
      <c r="C2" s="433" t="s">
        <v>191</v>
      </c>
      <c r="D2" s="433" t="s">
        <v>191</v>
      </c>
      <c r="E2" s="433" t="s">
        <v>770</v>
      </c>
      <c r="F2" s="434" t="s">
        <v>100</v>
      </c>
      <c r="G2" s="434" t="s">
        <v>100</v>
      </c>
      <c r="H2" s="435" t="str">
        <f>CONCATENATE(E2," ",G2)</f>
        <v>Mini Can WG</v>
      </c>
      <c r="I2" s="436" t="s">
        <v>116</v>
      </c>
      <c r="J2" s="436">
        <f>References!$C$17</f>
        <v>20</v>
      </c>
      <c r="K2" s="437">
        <f>References!$C$11</f>
        <v>4.333333333333333</v>
      </c>
      <c r="L2" s="438">
        <f>SUMIF('Grays Harbor Reg Price Out'!$B$12:$B$327,Mapping!C2,'Grays Harbor Reg Price Out'!$AF$12:$AF$328)</f>
        <v>974.04034720353752</v>
      </c>
      <c r="M2" s="438">
        <f t="shared" ref="M2:M55" si="0">IF(L2=0,K2*12,K2*L2)</f>
        <v>4220.8415045486627</v>
      </c>
      <c r="N2" s="439" t="s">
        <v>884</v>
      </c>
      <c r="Q2" s="441" t="s">
        <v>156</v>
      </c>
      <c r="R2" s="441" t="s">
        <v>157</v>
      </c>
    </row>
    <row r="3" spans="1:20" s="440" customFormat="1">
      <c r="A3" s="433" t="s">
        <v>91</v>
      </c>
      <c r="B3" s="433" t="s">
        <v>767</v>
      </c>
      <c r="C3" s="433" t="s">
        <v>193</v>
      </c>
      <c r="D3" s="433" t="s">
        <v>193</v>
      </c>
      <c r="E3" s="433" t="s">
        <v>770</v>
      </c>
      <c r="F3" s="434" t="s">
        <v>772</v>
      </c>
      <c r="G3" s="434" t="s">
        <v>772</v>
      </c>
      <c r="H3" s="435" t="str">
        <f t="shared" ref="H3:H41" si="1">CONCATENATE(E3," ",G3)</f>
        <v>Mini Can WG-NR</v>
      </c>
      <c r="I3" s="436" t="s">
        <v>116</v>
      </c>
      <c r="J3" s="436">
        <f>References!$C$17</f>
        <v>20</v>
      </c>
      <c r="K3" s="437">
        <f>References!$C$11</f>
        <v>4.333333333333333</v>
      </c>
      <c r="L3" s="438">
        <f>SUMIF('Grays Harbor Reg Price Out'!$B$12:$B$327,Mapping!C3,'Grays Harbor Reg Price Out'!$AF$12:$AF$328)</f>
        <v>84.076754385964918</v>
      </c>
      <c r="M3" s="438">
        <f t="shared" si="0"/>
        <v>364.33260233918128</v>
      </c>
      <c r="N3" s="439" t="s">
        <v>884</v>
      </c>
      <c r="O3" s="433"/>
      <c r="P3" s="442" t="s">
        <v>91</v>
      </c>
      <c r="Q3" s="443">
        <f>SUMIF(A:A,P3,L:L)</f>
        <v>88615.526226428978</v>
      </c>
      <c r="R3" s="443">
        <f t="shared" ref="R3" si="2">Q3/12</f>
        <v>7384.6271855357481</v>
      </c>
    </row>
    <row r="4" spans="1:20" s="440" customFormat="1">
      <c r="A4" s="433" t="s">
        <v>91</v>
      </c>
      <c r="B4" s="433" t="s">
        <v>767</v>
      </c>
      <c r="C4" s="433" t="s">
        <v>196</v>
      </c>
      <c r="D4" s="433" t="s">
        <v>191</v>
      </c>
      <c r="E4" s="433" t="s">
        <v>770</v>
      </c>
      <c r="F4" s="434" t="s">
        <v>100</v>
      </c>
      <c r="G4" s="434" t="s">
        <v>100</v>
      </c>
      <c r="H4" s="435" t="str">
        <f t="shared" si="1"/>
        <v>Mini Can WG</v>
      </c>
      <c r="I4" s="436" t="s">
        <v>116</v>
      </c>
      <c r="J4" s="436">
        <f>References!$C$17</f>
        <v>20</v>
      </c>
      <c r="K4" s="437">
        <f>References!$C$11</f>
        <v>4.333333333333333</v>
      </c>
      <c r="L4" s="438">
        <f>SUMIF('Grays Harbor Reg Price Out'!$B$12:$B$327,Mapping!C4,'Grays Harbor Reg Price Out'!$AF$12:$AF$328)</f>
        <v>41.579623287671239</v>
      </c>
      <c r="M4" s="438">
        <f t="shared" si="0"/>
        <v>180.1783675799087</v>
      </c>
      <c r="N4" s="439" t="s">
        <v>884</v>
      </c>
      <c r="O4" s="444"/>
      <c r="P4" s="445" t="s">
        <v>97</v>
      </c>
      <c r="Q4" s="443">
        <f>SUMIF(A:A,P4,L:L)</f>
        <v>23454.399758443738</v>
      </c>
      <c r="R4" s="443">
        <f t="shared" ref="R4" si="3">Q4/12</f>
        <v>1954.5333132036449</v>
      </c>
    </row>
    <row r="5" spans="1:20" s="440" customFormat="1">
      <c r="A5" s="433" t="s">
        <v>91</v>
      </c>
      <c r="B5" s="433" t="s">
        <v>767</v>
      </c>
      <c r="C5" s="433" t="s">
        <v>203</v>
      </c>
      <c r="D5" s="433" t="s">
        <v>203</v>
      </c>
      <c r="E5" s="433" t="s">
        <v>774</v>
      </c>
      <c r="F5" s="434" t="s">
        <v>771</v>
      </c>
      <c r="G5" s="434" t="s">
        <v>771</v>
      </c>
      <c r="H5" s="435" t="str">
        <f t="shared" si="1"/>
        <v>32 Gal Can -1 MG-NR</v>
      </c>
      <c r="I5" s="436" t="s">
        <v>762</v>
      </c>
      <c r="J5" s="436">
        <f>References!$C$18</f>
        <v>34</v>
      </c>
      <c r="K5" s="437">
        <f>References!$C$13</f>
        <v>1</v>
      </c>
      <c r="L5" s="438">
        <f>SUMIF('Grays Harbor Reg Price Out'!$B$12:$B$327,Mapping!C5,'Grays Harbor Reg Price Out'!$AF$12:$AF$328)</f>
        <v>18.014018691588785</v>
      </c>
      <c r="M5" s="438">
        <f t="shared" si="0"/>
        <v>18.014018691588785</v>
      </c>
      <c r="N5" s="439" t="s">
        <v>884</v>
      </c>
      <c r="Q5" s="446"/>
      <c r="R5" s="446"/>
    </row>
    <row r="6" spans="1:20" s="440" customFormat="1">
      <c r="A6" s="433" t="s">
        <v>91</v>
      </c>
      <c r="B6" s="433" t="s">
        <v>767</v>
      </c>
      <c r="C6" s="433" t="s">
        <v>205</v>
      </c>
      <c r="D6" s="433" t="s">
        <v>200</v>
      </c>
      <c r="E6" s="433" t="s">
        <v>774</v>
      </c>
      <c r="F6" s="434" t="s">
        <v>83</v>
      </c>
      <c r="G6" s="434" t="s">
        <v>83</v>
      </c>
      <c r="H6" s="435" t="str">
        <f t="shared" si="1"/>
        <v>32 Gal Can -1 MG</v>
      </c>
      <c r="I6" s="436" t="s">
        <v>762</v>
      </c>
      <c r="J6" s="436">
        <f>References!$C$18</f>
        <v>34</v>
      </c>
      <c r="K6" s="437">
        <f>References!$C$13</f>
        <v>1</v>
      </c>
      <c r="L6" s="438">
        <f>SUMIF('Grays Harbor Reg Price Out'!$B$12:$B$327,Mapping!C6,'Grays Harbor Reg Price Out'!$AF$12:$AF$328)</f>
        <v>497.09303877233299</v>
      </c>
      <c r="M6" s="438">
        <f t="shared" si="0"/>
        <v>497.09303877233299</v>
      </c>
      <c r="N6" s="439" t="s">
        <v>884</v>
      </c>
      <c r="Q6" s="446"/>
      <c r="R6" s="446"/>
    </row>
    <row r="7" spans="1:20" s="440" customFormat="1">
      <c r="A7" s="433" t="s">
        <v>91</v>
      </c>
      <c r="B7" s="433" t="s">
        <v>767</v>
      </c>
      <c r="C7" s="433" t="s">
        <v>207</v>
      </c>
      <c r="D7" s="433" t="s">
        <v>207</v>
      </c>
      <c r="E7" s="433" t="s">
        <v>774</v>
      </c>
      <c r="F7" s="434" t="s">
        <v>772</v>
      </c>
      <c r="G7" s="434" t="s">
        <v>772</v>
      </c>
      <c r="H7" s="435" t="str">
        <f t="shared" si="1"/>
        <v>32 Gal Can -1 WG-NR</v>
      </c>
      <c r="I7" s="436" t="s">
        <v>762</v>
      </c>
      <c r="J7" s="436">
        <f>References!$C$18</f>
        <v>34</v>
      </c>
      <c r="K7" s="437">
        <f>References!$C$11</f>
        <v>4.333333333333333</v>
      </c>
      <c r="L7" s="438">
        <f>SUMIF('Grays Harbor Reg Price Out'!$B$12:$B$327,Mapping!C7,'Grays Harbor Reg Price Out'!$AF$12:$AF$328)</f>
        <v>1842.319814217899</v>
      </c>
      <c r="M7" s="438">
        <f t="shared" si="0"/>
        <v>7983.3858616108946</v>
      </c>
      <c r="N7" s="439" t="s">
        <v>884</v>
      </c>
      <c r="P7" s="441" t="s">
        <v>936</v>
      </c>
      <c r="Q7" s="441" t="s">
        <v>934</v>
      </c>
      <c r="R7" s="441" t="s">
        <v>935</v>
      </c>
    </row>
    <row r="8" spans="1:20" s="440" customFormat="1">
      <c r="A8" s="433" t="s">
        <v>91</v>
      </c>
      <c r="B8" s="433" t="s">
        <v>767</v>
      </c>
      <c r="C8" s="433" t="s">
        <v>209</v>
      </c>
      <c r="D8" s="433" t="s">
        <v>209</v>
      </c>
      <c r="E8" s="433" t="s">
        <v>775</v>
      </c>
      <c r="F8" s="434" t="s">
        <v>772</v>
      </c>
      <c r="G8" s="434" t="s">
        <v>772</v>
      </c>
      <c r="H8" s="435" t="str">
        <f t="shared" si="1"/>
        <v>32 Gal Can -2 WG-NR</v>
      </c>
      <c r="I8" s="436" t="s">
        <v>762</v>
      </c>
      <c r="J8" s="436">
        <f>References!C19</f>
        <v>51</v>
      </c>
      <c r="K8" s="437">
        <f>References!$C$11</f>
        <v>4.333333333333333</v>
      </c>
      <c r="L8" s="438">
        <f>SUMIF('Grays Harbor Reg Price Out'!$B$12:$B$327,Mapping!C8,'Grays Harbor Reg Price Out'!$AF$12:$AF$328)</f>
        <v>137.90821562091668</v>
      </c>
      <c r="M8" s="438">
        <f t="shared" si="0"/>
        <v>597.60226769063888</v>
      </c>
      <c r="N8" s="439" t="s">
        <v>884</v>
      </c>
      <c r="P8" s="472" t="s">
        <v>107</v>
      </c>
      <c r="Q8" s="473">
        <f>SUM('Grays Harbor Reg Price Out'!AF12:AF66,'Grays Harbor Reg Price Out'!AF71:AF72,'Grays Harbor Reg Price Out'!AF81,'Grays Harbor Reg Price Out'!AF87,'Grays Harbor Reg Price Out'!AF89,'Grays Harbor Reg Price Out'!AF97:AF102)</f>
        <v>88615.526226428978</v>
      </c>
      <c r="R8" s="473">
        <f>Q3</f>
        <v>88615.526226428978</v>
      </c>
      <c r="S8" s="474">
        <f>Q8-R8</f>
        <v>0</v>
      </c>
    </row>
    <row r="9" spans="1:20" s="440" customFormat="1">
      <c r="A9" s="433" t="s">
        <v>91</v>
      </c>
      <c r="B9" s="433" t="s">
        <v>767</v>
      </c>
      <c r="C9" s="433" t="s">
        <v>211</v>
      </c>
      <c r="D9" s="433" t="s">
        <v>211</v>
      </c>
      <c r="E9" s="433" t="s">
        <v>776</v>
      </c>
      <c r="F9" s="434" t="s">
        <v>772</v>
      </c>
      <c r="G9" s="434" t="s">
        <v>772</v>
      </c>
      <c r="H9" s="435" t="str">
        <f t="shared" si="1"/>
        <v>32 Gal Can -3 WG-NR</v>
      </c>
      <c r="I9" s="436" t="s">
        <v>762</v>
      </c>
      <c r="J9" s="436">
        <f>References!C20</f>
        <v>77</v>
      </c>
      <c r="K9" s="437">
        <f>References!$C$11</f>
        <v>4.333333333333333</v>
      </c>
      <c r="L9" s="438">
        <f>SUMIF('Grays Harbor Reg Price Out'!$B$12:$B$327,Mapping!C9,'Grays Harbor Reg Price Out'!$AF$12:$AF$328)</f>
        <v>22.774926203662485</v>
      </c>
      <c r="M9" s="438">
        <f t="shared" si="0"/>
        <v>98.691346882537431</v>
      </c>
      <c r="N9" s="439" t="s">
        <v>884</v>
      </c>
      <c r="P9" s="472" t="s">
        <v>152</v>
      </c>
      <c r="Q9" s="473">
        <f>SUM('Grays Harbor Reg Price Out'!AF127:AF193,'Grays Harbor Reg Price Out'!AF198:AF199,'Grays Harbor Reg Price Out'!AF215:AF216,'Grays Harbor Reg Price Out'!AF239:AF245)</f>
        <v>23454.399758443738</v>
      </c>
      <c r="R9" s="473">
        <f>Q4</f>
        <v>23454.399758443738</v>
      </c>
      <c r="S9" s="474">
        <f>Q9-R9</f>
        <v>0</v>
      </c>
    </row>
    <row r="10" spans="1:20" s="440" customFormat="1">
      <c r="A10" s="433" t="s">
        <v>91</v>
      </c>
      <c r="B10" s="433" t="s">
        <v>767</v>
      </c>
      <c r="C10" s="433" t="s">
        <v>213</v>
      </c>
      <c r="D10" s="433" t="s">
        <v>213</v>
      </c>
      <c r="E10" s="433" t="s">
        <v>777</v>
      </c>
      <c r="F10" s="434" t="s">
        <v>772</v>
      </c>
      <c r="G10" s="434" t="s">
        <v>772</v>
      </c>
      <c r="H10" s="435" t="str">
        <f t="shared" si="1"/>
        <v>32 Gal Can -4 WG-NR</v>
      </c>
      <c r="I10" s="436" t="s">
        <v>762</v>
      </c>
      <c r="J10" s="436">
        <f>References!C21</f>
        <v>97</v>
      </c>
      <c r="K10" s="437">
        <f>References!$C$11</f>
        <v>4.333333333333333</v>
      </c>
      <c r="L10" s="438">
        <f>SUMIF('Grays Harbor Reg Price Out'!$B$12:$B$327,Mapping!C10,'Grays Harbor Reg Price Out'!$AF$12:$AF$328)</f>
        <v>12.034341252699784</v>
      </c>
      <c r="M10" s="438">
        <f t="shared" si="0"/>
        <v>52.148812095032397</v>
      </c>
      <c r="N10" s="439" t="s">
        <v>884</v>
      </c>
      <c r="Q10" s="446"/>
      <c r="R10" s="446"/>
    </row>
    <row r="11" spans="1:20" s="440" customFormat="1">
      <c r="A11" s="433" t="s">
        <v>91</v>
      </c>
      <c r="B11" s="433" t="s">
        <v>767</v>
      </c>
      <c r="C11" s="433" t="s">
        <v>215</v>
      </c>
      <c r="D11" s="433" t="s">
        <v>215</v>
      </c>
      <c r="E11" s="433" t="s">
        <v>774</v>
      </c>
      <c r="F11" s="434" t="s">
        <v>100</v>
      </c>
      <c r="G11" s="434" t="s">
        <v>100</v>
      </c>
      <c r="H11" s="435" t="str">
        <f t="shared" si="1"/>
        <v>32 Gal Can -1 WG</v>
      </c>
      <c r="I11" s="436" t="s">
        <v>762</v>
      </c>
      <c r="J11" s="436">
        <f>References!$C$18</f>
        <v>34</v>
      </c>
      <c r="K11" s="437">
        <f>References!$C$11</f>
        <v>4.333333333333333</v>
      </c>
      <c r="L11" s="438">
        <f>SUMIF('Grays Harbor Reg Price Out'!$B$12:$B$327,Mapping!C11,'Grays Harbor Reg Price Out'!$AF$12:$AF$328)</f>
        <v>3513.0850639923433</v>
      </c>
      <c r="M11" s="438">
        <f t="shared" si="0"/>
        <v>15223.368610633486</v>
      </c>
      <c r="N11" s="439"/>
      <c r="Q11" s="446"/>
      <c r="R11" s="446"/>
    </row>
    <row r="12" spans="1:20" s="440" customFormat="1">
      <c r="A12" s="433" t="s">
        <v>91</v>
      </c>
      <c r="B12" s="433" t="s">
        <v>767</v>
      </c>
      <c r="C12" s="433" t="s">
        <v>217</v>
      </c>
      <c r="D12" s="433" t="s">
        <v>217</v>
      </c>
      <c r="E12" s="433" t="s">
        <v>775</v>
      </c>
      <c r="F12" s="434" t="s">
        <v>100</v>
      </c>
      <c r="G12" s="434" t="s">
        <v>100</v>
      </c>
      <c r="H12" s="435" t="str">
        <f t="shared" si="1"/>
        <v>32 Gal Can -2 WG</v>
      </c>
      <c r="I12" s="436" t="s">
        <v>762</v>
      </c>
      <c r="J12" s="436">
        <f>References!C19</f>
        <v>51</v>
      </c>
      <c r="K12" s="437">
        <f>References!$C$11</f>
        <v>4.333333333333333</v>
      </c>
      <c r="L12" s="438">
        <f>SUMIF('Grays Harbor Reg Price Out'!$B$12:$B$327,Mapping!C12,'Grays Harbor Reg Price Out'!$AF$12:$AF$328)</f>
        <v>121.6968217253491</v>
      </c>
      <c r="M12" s="438">
        <f t="shared" si="0"/>
        <v>527.35289414317936</v>
      </c>
      <c r="N12" s="439"/>
      <c r="Q12" s="446"/>
      <c r="R12" s="446"/>
    </row>
    <row r="13" spans="1:20" s="440" customFormat="1">
      <c r="A13" s="433" t="s">
        <v>91</v>
      </c>
      <c r="B13" s="433" t="s">
        <v>767</v>
      </c>
      <c r="C13" s="433" t="s">
        <v>219</v>
      </c>
      <c r="D13" s="433" t="s">
        <v>219</v>
      </c>
      <c r="E13" s="433" t="s">
        <v>776</v>
      </c>
      <c r="F13" s="434" t="s">
        <v>100</v>
      </c>
      <c r="G13" s="434" t="s">
        <v>100</v>
      </c>
      <c r="H13" s="435" t="str">
        <f t="shared" si="1"/>
        <v>32 Gal Can -3 WG</v>
      </c>
      <c r="I13" s="436" t="s">
        <v>762</v>
      </c>
      <c r="J13" s="436">
        <f>References!C20</f>
        <v>77</v>
      </c>
      <c r="K13" s="437">
        <f>References!$C$11</f>
        <v>4.333333333333333</v>
      </c>
      <c r="L13" s="438">
        <f>SUMIF('Grays Harbor Reg Price Out'!$B$12:$B$327,Mapping!C13,'Grays Harbor Reg Price Out'!$AF$12:$AF$328)</f>
        <v>24.022656471254603</v>
      </c>
      <c r="M13" s="438">
        <f t="shared" si="0"/>
        <v>104.09817804210327</v>
      </c>
      <c r="N13" s="439"/>
      <c r="Q13" s="446"/>
      <c r="R13" s="475"/>
    </row>
    <row r="14" spans="1:20" s="440" customFormat="1">
      <c r="A14" s="433" t="s">
        <v>91</v>
      </c>
      <c r="B14" s="433" t="s">
        <v>767</v>
      </c>
      <c r="C14" s="433" t="s">
        <v>223</v>
      </c>
      <c r="D14" s="433" t="s">
        <v>223</v>
      </c>
      <c r="E14" s="433" t="s">
        <v>774</v>
      </c>
      <c r="F14" s="434" t="s">
        <v>773</v>
      </c>
      <c r="G14" s="434" t="s">
        <v>773</v>
      </c>
      <c r="H14" s="435" t="str">
        <f t="shared" si="1"/>
        <v>32 Gal Can -1 EOW-NR</v>
      </c>
      <c r="I14" s="436" t="s">
        <v>762</v>
      </c>
      <c r="J14" s="436">
        <f>References!$C$18</f>
        <v>34</v>
      </c>
      <c r="K14" s="437">
        <f>References!$C$12</f>
        <v>2.1666666666666665</v>
      </c>
      <c r="L14" s="438">
        <f>SUMIF('Grays Harbor Reg Price Out'!$B$12:$B$327,Mapping!C14,'Grays Harbor Reg Price Out'!$AF$12:$AF$328)</f>
        <v>215.72763063707944</v>
      </c>
      <c r="M14" s="438">
        <f t="shared" si="0"/>
        <v>467.40986638033877</v>
      </c>
      <c r="N14" s="439"/>
      <c r="Q14" s="446"/>
      <c r="R14" s="446"/>
    </row>
    <row r="15" spans="1:20" s="440" customFormat="1">
      <c r="A15" s="433" t="s">
        <v>91</v>
      </c>
      <c r="B15" s="433" t="s">
        <v>767</v>
      </c>
      <c r="C15" s="433" t="s">
        <v>225</v>
      </c>
      <c r="D15" s="433" t="s">
        <v>225</v>
      </c>
      <c r="E15" s="433" t="s">
        <v>774</v>
      </c>
      <c r="F15" s="434" t="s">
        <v>763</v>
      </c>
      <c r="G15" s="434" t="s">
        <v>763</v>
      </c>
      <c r="H15" s="435" t="str">
        <f t="shared" si="1"/>
        <v>32 Gal Can -1 EOW</v>
      </c>
      <c r="I15" s="436" t="s">
        <v>762</v>
      </c>
      <c r="J15" s="436">
        <f>References!$C$18</f>
        <v>34</v>
      </c>
      <c r="K15" s="437">
        <f>References!$C$12</f>
        <v>2.1666666666666665</v>
      </c>
      <c r="L15" s="438">
        <f>SUMIF('Grays Harbor Reg Price Out'!$B$12:$B$327,Mapping!C15,'Grays Harbor Reg Price Out'!$AF$12:$AF$328)</f>
        <v>945.73580096073499</v>
      </c>
      <c r="M15" s="438">
        <f t="shared" si="0"/>
        <v>2049.0942354149256</v>
      </c>
      <c r="N15" s="439"/>
      <c r="Q15" s="446"/>
      <c r="R15" s="446"/>
    </row>
    <row r="16" spans="1:20" s="440" customFormat="1">
      <c r="A16" s="433" t="s">
        <v>91</v>
      </c>
      <c r="B16" s="433" t="s">
        <v>767</v>
      </c>
      <c r="C16" s="433" t="s">
        <v>227</v>
      </c>
      <c r="D16" s="433" t="s">
        <v>227</v>
      </c>
      <c r="E16" s="433" t="s">
        <v>778</v>
      </c>
      <c r="F16" s="434" t="s">
        <v>771</v>
      </c>
      <c r="G16" s="434" t="s">
        <v>771</v>
      </c>
      <c r="H16" s="435" t="str">
        <f t="shared" si="1"/>
        <v>35 Gal Cart MG-NR</v>
      </c>
      <c r="I16" s="436" t="s">
        <v>117</v>
      </c>
      <c r="J16" s="436">
        <f>References!$C$18</f>
        <v>34</v>
      </c>
      <c r="K16" s="437">
        <f>References!$C$13</f>
        <v>1</v>
      </c>
      <c r="L16" s="438">
        <f>SUMIF('Grays Harbor Reg Price Out'!$B$12:$B$327,Mapping!C16,'Grays Harbor Reg Price Out'!$AF$12:$AF$328)</f>
        <v>12.006514657980457</v>
      </c>
      <c r="M16" s="438">
        <f t="shared" si="0"/>
        <v>12.006514657980457</v>
      </c>
      <c r="N16" s="439"/>
      <c r="Q16" s="446"/>
      <c r="R16" s="446"/>
    </row>
    <row r="17" spans="1:18" s="440" customFormat="1">
      <c r="A17" s="433" t="s">
        <v>91</v>
      </c>
      <c r="B17" s="433" t="s">
        <v>767</v>
      </c>
      <c r="C17" s="433" t="s">
        <v>229</v>
      </c>
      <c r="D17" s="433" t="s">
        <v>229</v>
      </c>
      <c r="E17" s="433" t="s">
        <v>778</v>
      </c>
      <c r="F17" s="434" t="s">
        <v>83</v>
      </c>
      <c r="G17" s="434" t="s">
        <v>83</v>
      </c>
      <c r="H17" s="435" t="str">
        <f t="shared" si="1"/>
        <v>35 Gal Cart MG</v>
      </c>
      <c r="I17" s="436" t="s">
        <v>117</v>
      </c>
      <c r="J17" s="436">
        <f>References!$C$18</f>
        <v>34</v>
      </c>
      <c r="K17" s="437">
        <f>References!$C$13</f>
        <v>1</v>
      </c>
      <c r="L17" s="438">
        <f>SUMIF('Grays Harbor Reg Price Out'!$B$12:$B$327,Mapping!C17,'Grays Harbor Reg Price Out'!$AF$12:$AF$328)</f>
        <v>263.33292856279604</v>
      </c>
      <c r="M17" s="438">
        <f t="shared" si="0"/>
        <v>263.33292856279604</v>
      </c>
      <c r="N17" s="439"/>
      <c r="Q17" s="446"/>
      <c r="R17" s="446"/>
    </row>
    <row r="18" spans="1:18" s="440" customFormat="1">
      <c r="A18" s="433" t="s">
        <v>91</v>
      </c>
      <c r="B18" s="433" t="s">
        <v>767</v>
      </c>
      <c r="C18" s="433" t="s">
        <v>231</v>
      </c>
      <c r="D18" s="433" t="s">
        <v>231</v>
      </c>
      <c r="E18" s="433" t="s">
        <v>778</v>
      </c>
      <c r="F18" s="434" t="s">
        <v>772</v>
      </c>
      <c r="G18" s="434" t="s">
        <v>772</v>
      </c>
      <c r="H18" s="435" t="str">
        <f t="shared" si="1"/>
        <v>35 Gal Cart WG-NR</v>
      </c>
      <c r="I18" s="436" t="s">
        <v>117</v>
      </c>
      <c r="J18" s="436">
        <f>References!$C$18</f>
        <v>34</v>
      </c>
      <c r="K18" s="437">
        <f>References!$C$11</f>
        <v>4.333333333333333</v>
      </c>
      <c r="L18" s="438">
        <f>SUMIF('Grays Harbor Reg Price Out'!$B$12:$B$327,Mapping!C18,'Grays Harbor Reg Price Out'!$AF$12:$AF$328)</f>
        <v>187.74738055000003</v>
      </c>
      <c r="M18" s="438">
        <f t="shared" si="0"/>
        <v>813.57198238333342</v>
      </c>
      <c r="N18" s="439"/>
      <c r="Q18" s="446"/>
      <c r="R18" s="446"/>
    </row>
    <row r="19" spans="1:18" s="440" customFormat="1">
      <c r="A19" s="433" t="s">
        <v>91</v>
      </c>
      <c r="B19" s="433" t="s">
        <v>767</v>
      </c>
      <c r="C19" s="433" t="s">
        <v>233</v>
      </c>
      <c r="D19" s="433" t="s">
        <v>233</v>
      </c>
      <c r="E19" s="433" t="s">
        <v>778</v>
      </c>
      <c r="F19" s="434" t="s">
        <v>100</v>
      </c>
      <c r="G19" s="434" t="s">
        <v>100</v>
      </c>
      <c r="H19" s="435" t="str">
        <f t="shared" si="1"/>
        <v>35 Gal Cart WG</v>
      </c>
      <c r="I19" s="436" t="s">
        <v>117</v>
      </c>
      <c r="J19" s="436">
        <f>References!$C$18</f>
        <v>34</v>
      </c>
      <c r="K19" s="437">
        <f>References!$C$11</f>
        <v>4.333333333333333</v>
      </c>
      <c r="L19" s="438">
        <f>SUMIF('Grays Harbor Reg Price Out'!$B$12:$B$327,Mapping!C19,'Grays Harbor Reg Price Out'!$AF$12:$AF$328)</f>
        <v>1054.3748997988625</v>
      </c>
      <c r="M19" s="438">
        <f t="shared" si="0"/>
        <v>4568.9578991284043</v>
      </c>
      <c r="N19" s="439"/>
      <c r="Q19" s="446"/>
      <c r="R19" s="446"/>
    </row>
    <row r="20" spans="1:18" s="440" customFormat="1">
      <c r="A20" s="433" t="s">
        <v>91</v>
      </c>
      <c r="B20" s="433" t="s">
        <v>767</v>
      </c>
      <c r="C20" s="433" t="s">
        <v>235</v>
      </c>
      <c r="D20" s="433" t="s">
        <v>235</v>
      </c>
      <c r="E20" s="433" t="s">
        <v>778</v>
      </c>
      <c r="F20" s="434" t="s">
        <v>773</v>
      </c>
      <c r="G20" s="434" t="s">
        <v>773</v>
      </c>
      <c r="H20" s="435" t="str">
        <f t="shared" si="1"/>
        <v>35 Gal Cart EOW-NR</v>
      </c>
      <c r="I20" s="436" t="s">
        <v>117</v>
      </c>
      <c r="J20" s="436">
        <f>References!$C$18</f>
        <v>34</v>
      </c>
      <c r="K20" s="437">
        <f>References!$C$12</f>
        <v>2.1666666666666665</v>
      </c>
      <c r="L20" s="438">
        <f>SUMIF('Grays Harbor Reg Price Out'!$B$12:$B$327,Mapping!C20,'Grays Harbor Reg Price Out'!$AF$12:$AF$328)</f>
        <v>67.059588116137746</v>
      </c>
      <c r="M20" s="438">
        <f t="shared" si="0"/>
        <v>145.29577425163177</v>
      </c>
      <c r="N20" s="439"/>
      <c r="Q20" s="446"/>
      <c r="R20" s="446"/>
    </row>
    <row r="21" spans="1:18" s="440" customFormat="1">
      <c r="A21" s="433" t="s">
        <v>91</v>
      </c>
      <c r="B21" s="433" t="s">
        <v>767</v>
      </c>
      <c r="C21" s="433" t="s">
        <v>237</v>
      </c>
      <c r="D21" s="433" t="s">
        <v>237</v>
      </c>
      <c r="E21" s="433" t="s">
        <v>778</v>
      </c>
      <c r="F21" s="434" t="s">
        <v>763</v>
      </c>
      <c r="G21" s="434" t="s">
        <v>763</v>
      </c>
      <c r="H21" s="435" t="str">
        <f t="shared" si="1"/>
        <v>35 Gal Cart EOW</v>
      </c>
      <c r="I21" s="436" t="s">
        <v>117</v>
      </c>
      <c r="J21" s="436">
        <f>References!$C$18</f>
        <v>34</v>
      </c>
      <c r="K21" s="437">
        <f>References!$C$12</f>
        <v>2.1666666666666665</v>
      </c>
      <c r="L21" s="438">
        <f>SUMIF('Grays Harbor Reg Price Out'!$B$12:$B$327,Mapping!C21,'Grays Harbor Reg Price Out'!$AF$12:$AF$328)</f>
        <v>645.47923551985537</v>
      </c>
      <c r="M21" s="438">
        <f t="shared" si="0"/>
        <v>1398.5383436263533</v>
      </c>
      <c r="N21" s="439"/>
      <c r="Q21" s="446"/>
      <c r="R21" s="446"/>
    </row>
    <row r="22" spans="1:18" s="440" customFormat="1">
      <c r="A22" s="433" t="s">
        <v>91</v>
      </c>
      <c r="B22" s="433" t="s">
        <v>767</v>
      </c>
      <c r="C22" s="433" t="s">
        <v>239</v>
      </c>
      <c r="D22" s="433" t="s">
        <v>239</v>
      </c>
      <c r="E22" s="433" t="s">
        <v>779</v>
      </c>
      <c r="F22" s="434" t="s">
        <v>83</v>
      </c>
      <c r="G22" s="434" t="s">
        <v>83</v>
      </c>
      <c r="H22" s="435" t="str">
        <f t="shared" si="1"/>
        <v>65 Gal Cart MG</v>
      </c>
      <c r="I22" s="436" t="s">
        <v>118</v>
      </c>
      <c r="J22" s="436">
        <f>References!$C$25</f>
        <v>47</v>
      </c>
      <c r="K22" s="437">
        <f>References!$C$13</f>
        <v>1</v>
      </c>
      <c r="L22" s="438">
        <f>SUMIF('Grays Harbor Reg Price Out'!$B$12:$B$327,Mapping!C22,'Grays Harbor Reg Price Out'!$AF$12:$AF$328)</f>
        <v>20.070193285859613</v>
      </c>
      <c r="M22" s="438">
        <f t="shared" si="0"/>
        <v>20.070193285859613</v>
      </c>
      <c r="N22" s="439"/>
      <c r="Q22" s="446"/>
      <c r="R22" s="446"/>
    </row>
    <row r="23" spans="1:18" s="440" customFormat="1">
      <c r="A23" s="433" t="s">
        <v>91</v>
      </c>
      <c r="B23" s="433" t="s">
        <v>767</v>
      </c>
      <c r="C23" s="433" t="s">
        <v>241</v>
      </c>
      <c r="D23" s="433" t="s">
        <v>241</v>
      </c>
      <c r="E23" s="433" t="s">
        <v>779</v>
      </c>
      <c r="F23" s="434" t="s">
        <v>771</v>
      </c>
      <c r="G23" s="434" t="s">
        <v>771</v>
      </c>
      <c r="H23" s="435" t="str">
        <f t="shared" si="1"/>
        <v>65 Gal Cart MG-NR</v>
      </c>
      <c r="I23" s="436" t="s">
        <v>118</v>
      </c>
      <c r="J23" s="436">
        <f>References!$C$25</f>
        <v>47</v>
      </c>
      <c r="K23" s="437">
        <f>References!$C$13</f>
        <v>1</v>
      </c>
      <c r="L23" s="438">
        <f>SUMIF('Grays Harbor Reg Price Out'!$B$12:$B$327,Mapping!C23,'Grays Harbor Reg Price Out'!$AF$12:$AF$328)</f>
        <v>614.15638528678483</v>
      </c>
      <c r="M23" s="438">
        <f t="shared" si="0"/>
        <v>614.15638528678483</v>
      </c>
      <c r="N23" s="439"/>
      <c r="Q23" s="446"/>
      <c r="R23" s="446"/>
    </row>
    <row r="24" spans="1:18" s="440" customFormat="1">
      <c r="A24" s="433" t="s">
        <v>91</v>
      </c>
      <c r="B24" s="433" t="s">
        <v>767</v>
      </c>
      <c r="C24" s="433" t="s">
        <v>245</v>
      </c>
      <c r="D24" s="433" t="s">
        <v>239</v>
      </c>
      <c r="E24" s="433" t="s">
        <v>779</v>
      </c>
      <c r="F24" s="434" t="s">
        <v>83</v>
      </c>
      <c r="G24" s="434" t="s">
        <v>83</v>
      </c>
      <c r="H24" s="435" t="str">
        <f t="shared" si="1"/>
        <v>65 Gal Cart MG</v>
      </c>
      <c r="I24" s="436" t="s">
        <v>118</v>
      </c>
      <c r="J24" s="436">
        <f>References!$C$25</f>
        <v>47</v>
      </c>
      <c r="K24" s="437">
        <f>References!$C$13</f>
        <v>1</v>
      </c>
      <c r="L24" s="438">
        <f>SUMIF('Grays Harbor Reg Price Out'!$B$12:$B$327,Mapping!C24,'Grays Harbor Reg Price Out'!$AF$12:$AF$328)</f>
        <v>6488.0427077766235</v>
      </c>
      <c r="M24" s="438">
        <f t="shared" si="0"/>
        <v>6488.0427077766235</v>
      </c>
      <c r="N24" s="439"/>
      <c r="Q24" s="446"/>
      <c r="R24" s="446"/>
    </row>
    <row r="25" spans="1:18" s="440" customFormat="1">
      <c r="A25" s="433" t="s">
        <v>91</v>
      </c>
      <c r="B25" s="433" t="s">
        <v>767</v>
      </c>
      <c r="C25" s="433" t="s">
        <v>249</v>
      </c>
      <c r="D25" s="433" t="s">
        <v>249</v>
      </c>
      <c r="E25" s="433" t="s">
        <v>779</v>
      </c>
      <c r="F25" s="434" t="s">
        <v>100</v>
      </c>
      <c r="G25" s="434" t="s">
        <v>100</v>
      </c>
      <c r="H25" s="435" t="str">
        <f t="shared" si="1"/>
        <v>65 Gal Cart WG</v>
      </c>
      <c r="I25" s="436" t="s">
        <v>118</v>
      </c>
      <c r="J25" s="436">
        <f>References!$C$25</f>
        <v>47</v>
      </c>
      <c r="K25" s="437">
        <f>References!$C$11</f>
        <v>4.333333333333333</v>
      </c>
      <c r="L25" s="438">
        <f>SUMIF('Grays Harbor Reg Price Out'!$B$12:$B$327,Mapping!C25,'Grays Harbor Reg Price Out'!$AF$12:$AF$328)</f>
        <v>108.23909816786968</v>
      </c>
      <c r="M25" s="438">
        <f t="shared" si="0"/>
        <v>469.03609206076862</v>
      </c>
      <c r="N25" s="439"/>
      <c r="Q25" s="446"/>
      <c r="R25" s="446"/>
    </row>
    <row r="26" spans="1:18" s="440" customFormat="1">
      <c r="A26" s="433" t="s">
        <v>91</v>
      </c>
      <c r="B26" s="433" t="s">
        <v>767</v>
      </c>
      <c r="C26" s="433" t="s">
        <v>253</v>
      </c>
      <c r="D26" s="433" t="s">
        <v>253</v>
      </c>
      <c r="E26" s="433" t="s">
        <v>779</v>
      </c>
      <c r="F26" s="434" t="s">
        <v>772</v>
      </c>
      <c r="G26" s="434" t="s">
        <v>772</v>
      </c>
      <c r="H26" s="435" t="str">
        <f t="shared" si="1"/>
        <v>65 Gal Cart WG-NR</v>
      </c>
      <c r="I26" s="436" t="s">
        <v>118</v>
      </c>
      <c r="J26" s="436">
        <f>References!$C$25</f>
        <v>47</v>
      </c>
      <c r="K26" s="437">
        <f>References!$C$11</f>
        <v>4.333333333333333</v>
      </c>
      <c r="L26" s="438">
        <f>SUMIF('Grays Harbor Reg Price Out'!$B$12:$B$327,Mapping!C26,'Grays Harbor Reg Price Out'!$AF$12:$AF$328)</f>
        <v>1717.0635353650061</v>
      </c>
      <c r="M26" s="438">
        <f t="shared" si="0"/>
        <v>7440.6086532483596</v>
      </c>
      <c r="N26" s="439"/>
    </row>
    <row r="27" spans="1:18" s="440" customFormat="1">
      <c r="A27" s="433" t="s">
        <v>91</v>
      </c>
      <c r="B27" s="433" t="s">
        <v>767</v>
      </c>
      <c r="C27" s="433" t="s">
        <v>255</v>
      </c>
      <c r="D27" s="433" t="s">
        <v>249</v>
      </c>
      <c r="E27" s="433" t="s">
        <v>779</v>
      </c>
      <c r="F27" s="434" t="s">
        <v>100</v>
      </c>
      <c r="G27" s="434" t="s">
        <v>100</v>
      </c>
      <c r="H27" s="435" t="str">
        <f t="shared" si="1"/>
        <v>65 Gal Cart WG</v>
      </c>
      <c r="I27" s="436" t="s">
        <v>118</v>
      </c>
      <c r="J27" s="436">
        <f>References!$C$25</f>
        <v>47</v>
      </c>
      <c r="K27" s="437">
        <f>References!$C$11</f>
        <v>4.333333333333333</v>
      </c>
      <c r="L27" s="438">
        <f>SUMIF('Grays Harbor Reg Price Out'!$B$12:$B$327,Mapping!C27,'Grays Harbor Reg Price Out'!$AF$12:$AF$328)</f>
        <v>16829.295311696958</v>
      </c>
      <c r="M27" s="438">
        <f t="shared" si="0"/>
        <v>72926.94635068682</v>
      </c>
      <c r="N27" s="439"/>
    </row>
    <row r="28" spans="1:18" s="440" customFormat="1">
      <c r="A28" s="433" t="s">
        <v>91</v>
      </c>
      <c r="B28" s="433" t="s">
        <v>767</v>
      </c>
      <c r="C28" s="433" t="s">
        <v>259</v>
      </c>
      <c r="D28" s="433" t="s">
        <v>259</v>
      </c>
      <c r="E28" s="433" t="s">
        <v>779</v>
      </c>
      <c r="F28" s="434" t="s">
        <v>763</v>
      </c>
      <c r="G28" s="434" t="s">
        <v>763</v>
      </c>
      <c r="H28" s="435" t="str">
        <f t="shared" si="1"/>
        <v>65 Gal Cart EOW</v>
      </c>
      <c r="I28" s="436" t="s">
        <v>118</v>
      </c>
      <c r="J28" s="436">
        <f>References!$C$25</f>
        <v>47</v>
      </c>
      <c r="K28" s="437">
        <f>References!$C$12</f>
        <v>2.1666666666666665</v>
      </c>
      <c r="L28" s="438">
        <f>SUMIF('Grays Harbor Reg Price Out'!$B$12:$B$327,Mapping!C28,'Grays Harbor Reg Price Out'!$AF$12:$AF$328)</f>
        <v>175.4740296705192</v>
      </c>
      <c r="M28" s="438">
        <f t="shared" si="0"/>
        <v>380.19373095279155</v>
      </c>
      <c r="N28" s="439"/>
      <c r="Q28" s="446"/>
      <c r="R28" s="446"/>
    </row>
    <row r="29" spans="1:18" s="440" customFormat="1">
      <c r="A29" s="433" t="s">
        <v>91</v>
      </c>
      <c r="B29" s="433" t="s">
        <v>767</v>
      </c>
      <c r="C29" s="433" t="s">
        <v>261</v>
      </c>
      <c r="D29" s="433" t="s">
        <v>261</v>
      </c>
      <c r="E29" s="433" t="s">
        <v>779</v>
      </c>
      <c r="F29" s="434" t="s">
        <v>773</v>
      </c>
      <c r="G29" s="434" t="s">
        <v>773</v>
      </c>
      <c r="H29" s="435" t="str">
        <f t="shared" si="1"/>
        <v>65 Gal Cart EOW-NR</v>
      </c>
      <c r="I29" s="436" t="s">
        <v>118</v>
      </c>
      <c r="J29" s="436">
        <f>References!$C$25</f>
        <v>47</v>
      </c>
      <c r="K29" s="437">
        <f>References!$C$12</f>
        <v>2.1666666666666665</v>
      </c>
      <c r="L29" s="438">
        <f>SUMIF('Grays Harbor Reg Price Out'!$B$12:$B$327,Mapping!C29,'Grays Harbor Reg Price Out'!$AF$12:$AF$328)</f>
        <v>2305.2806727448542</v>
      </c>
      <c r="M29" s="438">
        <f t="shared" si="0"/>
        <v>4994.7747909471836</v>
      </c>
      <c r="N29" s="439"/>
      <c r="Q29" s="446"/>
      <c r="R29" s="446"/>
    </row>
    <row r="30" spans="1:18" s="440" customFormat="1">
      <c r="A30" s="433" t="s">
        <v>91</v>
      </c>
      <c r="B30" s="433" t="s">
        <v>767</v>
      </c>
      <c r="C30" s="433" t="s">
        <v>267</v>
      </c>
      <c r="D30" s="433" t="s">
        <v>259</v>
      </c>
      <c r="E30" s="433" t="s">
        <v>779</v>
      </c>
      <c r="F30" s="434" t="s">
        <v>763</v>
      </c>
      <c r="G30" s="434" t="s">
        <v>763</v>
      </c>
      <c r="H30" s="435" t="str">
        <f t="shared" si="1"/>
        <v>65 Gal Cart EOW</v>
      </c>
      <c r="I30" s="436" t="s">
        <v>118</v>
      </c>
      <c r="J30" s="436">
        <f>References!$C$25</f>
        <v>47</v>
      </c>
      <c r="K30" s="437">
        <f>References!$C$12</f>
        <v>2.1666666666666665</v>
      </c>
      <c r="L30" s="438">
        <f>SUMIF('Grays Harbor Reg Price Out'!$B$12:$B$327,Mapping!C30,'Grays Harbor Reg Price Out'!$AF$12:$AF$328)</f>
        <v>33613.783063653609</v>
      </c>
      <c r="M30" s="438">
        <f t="shared" si="0"/>
        <v>72829.863304582817</v>
      </c>
      <c r="N30" s="439"/>
      <c r="Q30" s="446"/>
      <c r="R30" s="446"/>
    </row>
    <row r="31" spans="1:18" s="440" customFormat="1">
      <c r="A31" s="433" t="s">
        <v>91</v>
      </c>
      <c r="B31" s="433" t="s">
        <v>767</v>
      </c>
      <c r="C31" s="433" t="s">
        <v>271</v>
      </c>
      <c r="D31" s="433" t="s">
        <v>271</v>
      </c>
      <c r="E31" s="433" t="s">
        <v>780</v>
      </c>
      <c r="F31" s="434" t="s">
        <v>83</v>
      </c>
      <c r="G31" s="434" t="s">
        <v>83</v>
      </c>
      <c r="H31" s="435" t="str">
        <f t="shared" si="1"/>
        <v>95 Gal Cart MG</v>
      </c>
      <c r="I31" s="436" t="s">
        <v>119</v>
      </c>
      <c r="J31" s="436">
        <f>References!$C$26</f>
        <v>68</v>
      </c>
      <c r="K31" s="437">
        <f>References!$C$13</f>
        <v>1</v>
      </c>
      <c r="L31" s="438">
        <f>SUMIF('Grays Harbor Reg Price Out'!$B$12:$B$327,Mapping!C31,'Grays Harbor Reg Price Out'!$AF$12:$AF$328)</f>
        <v>4</v>
      </c>
      <c r="M31" s="438">
        <f t="shared" si="0"/>
        <v>4</v>
      </c>
      <c r="N31" s="439"/>
      <c r="Q31" s="446"/>
      <c r="R31" s="446"/>
    </row>
    <row r="32" spans="1:18" s="440" customFormat="1">
      <c r="A32" s="433" t="s">
        <v>91</v>
      </c>
      <c r="B32" s="433" t="s">
        <v>767</v>
      </c>
      <c r="C32" s="433" t="s">
        <v>273</v>
      </c>
      <c r="D32" s="433" t="s">
        <v>273</v>
      </c>
      <c r="E32" s="433" t="s">
        <v>780</v>
      </c>
      <c r="F32" s="434" t="s">
        <v>771</v>
      </c>
      <c r="G32" s="434" t="s">
        <v>771</v>
      </c>
      <c r="H32" s="435" t="str">
        <f t="shared" si="1"/>
        <v>95 Gal Cart MG-NR</v>
      </c>
      <c r="I32" s="436" t="s">
        <v>119</v>
      </c>
      <c r="J32" s="436">
        <f>References!$C$26</f>
        <v>68</v>
      </c>
      <c r="K32" s="437">
        <f>References!$C$13</f>
        <v>1</v>
      </c>
      <c r="L32" s="438">
        <f>SUMIF('Grays Harbor Reg Price Out'!$B$12:$B$327,Mapping!C32,'Grays Harbor Reg Price Out'!$AF$12:$AF$328)</f>
        <v>74.090372864879882</v>
      </c>
      <c r="M32" s="438">
        <f t="shared" si="0"/>
        <v>74.090372864879882</v>
      </c>
      <c r="N32" s="439"/>
      <c r="Q32" s="446"/>
      <c r="R32" s="446"/>
    </row>
    <row r="33" spans="1:18" s="440" customFormat="1" ht="15.75" customHeight="1">
      <c r="A33" s="433" t="s">
        <v>91</v>
      </c>
      <c r="B33" s="433" t="s">
        <v>767</v>
      </c>
      <c r="C33" s="433" t="s">
        <v>277</v>
      </c>
      <c r="D33" s="433" t="s">
        <v>271</v>
      </c>
      <c r="E33" s="433" t="s">
        <v>780</v>
      </c>
      <c r="F33" s="434" t="s">
        <v>83</v>
      </c>
      <c r="G33" s="434" t="s">
        <v>83</v>
      </c>
      <c r="H33" s="435" t="str">
        <f t="shared" si="1"/>
        <v>95 Gal Cart MG</v>
      </c>
      <c r="I33" s="436" t="s">
        <v>119</v>
      </c>
      <c r="J33" s="436">
        <f>References!$C$26</f>
        <v>68</v>
      </c>
      <c r="K33" s="437">
        <f>References!$C$13</f>
        <v>1</v>
      </c>
      <c r="L33" s="438">
        <f>SUMIF('Grays Harbor Reg Price Out'!$B$12:$B$327,Mapping!C33,'Grays Harbor Reg Price Out'!$AF$12:$AF$328)</f>
        <v>962.64819010776455</v>
      </c>
      <c r="M33" s="438">
        <f t="shared" si="0"/>
        <v>962.64819010776455</v>
      </c>
      <c r="N33" s="439"/>
      <c r="Q33" s="446"/>
      <c r="R33" s="446"/>
    </row>
    <row r="34" spans="1:18" s="440" customFormat="1">
      <c r="A34" s="433" t="s">
        <v>91</v>
      </c>
      <c r="B34" s="433" t="s">
        <v>767</v>
      </c>
      <c r="C34" s="433" t="s">
        <v>281</v>
      </c>
      <c r="D34" s="433" t="s">
        <v>281</v>
      </c>
      <c r="E34" s="433" t="s">
        <v>780</v>
      </c>
      <c r="F34" s="434" t="s">
        <v>100</v>
      </c>
      <c r="G34" s="434" t="s">
        <v>100</v>
      </c>
      <c r="H34" s="435" t="str">
        <f t="shared" si="1"/>
        <v>95 Gal Cart WG</v>
      </c>
      <c r="I34" s="436" t="s">
        <v>119</v>
      </c>
      <c r="J34" s="436">
        <f>References!$C$26</f>
        <v>68</v>
      </c>
      <c r="K34" s="437">
        <f>References!$C$11</f>
        <v>4.333333333333333</v>
      </c>
      <c r="L34" s="438">
        <f>SUMIF('Grays Harbor Reg Price Out'!$B$12:$B$327,Mapping!C34,'Grays Harbor Reg Price Out'!$AF$12:$AF$328)</f>
        <v>29.1359033733901</v>
      </c>
      <c r="M34" s="438">
        <f t="shared" si="0"/>
        <v>126.25558128469042</v>
      </c>
      <c r="N34" s="439"/>
      <c r="Q34" s="446"/>
      <c r="R34" s="446"/>
    </row>
    <row r="35" spans="1:18" s="440" customFormat="1">
      <c r="A35" s="433" t="s">
        <v>91</v>
      </c>
      <c r="B35" s="433" t="s">
        <v>767</v>
      </c>
      <c r="C35" s="433" t="s">
        <v>283</v>
      </c>
      <c r="D35" s="433" t="s">
        <v>283</v>
      </c>
      <c r="E35" s="433" t="s">
        <v>780</v>
      </c>
      <c r="F35" s="434" t="s">
        <v>772</v>
      </c>
      <c r="G35" s="434" t="s">
        <v>772</v>
      </c>
      <c r="H35" s="435" t="str">
        <f t="shared" si="1"/>
        <v>95 Gal Cart WG-NR</v>
      </c>
      <c r="I35" s="436" t="s">
        <v>119</v>
      </c>
      <c r="J35" s="436">
        <f>References!$C$26</f>
        <v>68</v>
      </c>
      <c r="K35" s="437">
        <f>References!$C$11</f>
        <v>4.333333333333333</v>
      </c>
      <c r="L35" s="438">
        <f>SUMIF('Grays Harbor Reg Price Out'!$B$12:$B$327,Mapping!C35,'Grays Harbor Reg Price Out'!$AF$12:$AF$328)</f>
        <v>301.89611927413569</v>
      </c>
      <c r="M35" s="438">
        <f t="shared" si="0"/>
        <v>1308.2165168545878</v>
      </c>
      <c r="N35" s="439"/>
      <c r="Q35" s="446"/>
      <c r="R35" s="446"/>
    </row>
    <row r="36" spans="1:18" s="440" customFormat="1">
      <c r="A36" s="433" t="s">
        <v>91</v>
      </c>
      <c r="B36" s="433" t="s">
        <v>767</v>
      </c>
      <c r="C36" s="433" t="s">
        <v>287</v>
      </c>
      <c r="D36" s="433" t="s">
        <v>281</v>
      </c>
      <c r="E36" s="433" t="s">
        <v>780</v>
      </c>
      <c r="F36" s="434" t="s">
        <v>100</v>
      </c>
      <c r="G36" s="434" t="s">
        <v>100</v>
      </c>
      <c r="H36" s="435" t="str">
        <f t="shared" si="1"/>
        <v>95 Gal Cart WG</v>
      </c>
      <c r="I36" s="436" t="s">
        <v>119</v>
      </c>
      <c r="J36" s="436">
        <f>References!$C$26</f>
        <v>68</v>
      </c>
      <c r="K36" s="437">
        <f>References!$C$11</f>
        <v>4.333333333333333</v>
      </c>
      <c r="L36" s="438">
        <f>SUMIF('Grays Harbor Reg Price Out'!$B$12:$B$327,Mapping!C36,'Grays Harbor Reg Price Out'!$AF$12:$AF$328)</f>
        <v>4803.3461091127592</v>
      </c>
      <c r="M36" s="438">
        <f t="shared" ref="M36:M50" si="4">IF(L36=0,K36*12,K36*L36)</f>
        <v>20814.499806155287</v>
      </c>
      <c r="N36" s="439"/>
      <c r="Q36" s="446"/>
      <c r="R36" s="446"/>
    </row>
    <row r="37" spans="1:18" s="440" customFormat="1">
      <c r="A37" s="433" t="s">
        <v>91</v>
      </c>
      <c r="B37" s="433" t="s">
        <v>767</v>
      </c>
      <c r="C37" s="433" t="s">
        <v>291</v>
      </c>
      <c r="D37" s="433" t="s">
        <v>291</v>
      </c>
      <c r="E37" s="433" t="s">
        <v>780</v>
      </c>
      <c r="F37" s="434" t="s">
        <v>763</v>
      </c>
      <c r="G37" s="434" t="s">
        <v>763</v>
      </c>
      <c r="H37" s="435" t="str">
        <f t="shared" si="1"/>
        <v>95 Gal Cart EOW</v>
      </c>
      <c r="I37" s="436" t="s">
        <v>119</v>
      </c>
      <c r="J37" s="436">
        <f>References!$C$26</f>
        <v>68</v>
      </c>
      <c r="K37" s="437">
        <f>References!$C$12</f>
        <v>2.1666666666666665</v>
      </c>
      <c r="L37" s="438">
        <f>SUMIF('Grays Harbor Reg Price Out'!$B$12:$B$327,Mapping!C37,'Grays Harbor Reg Price Out'!$AF$12:$AF$328)</f>
        <v>6.2988713318284422</v>
      </c>
      <c r="M37" s="438">
        <f t="shared" si="4"/>
        <v>13.647554552294958</v>
      </c>
      <c r="N37" s="439"/>
      <c r="Q37" s="446"/>
      <c r="R37" s="446"/>
    </row>
    <row r="38" spans="1:18" s="440" customFormat="1">
      <c r="A38" s="433" t="s">
        <v>91</v>
      </c>
      <c r="B38" s="433" t="s">
        <v>767</v>
      </c>
      <c r="C38" s="433" t="s">
        <v>293</v>
      </c>
      <c r="D38" s="433" t="s">
        <v>293</v>
      </c>
      <c r="E38" s="433" t="s">
        <v>780</v>
      </c>
      <c r="F38" s="434" t="s">
        <v>773</v>
      </c>
      <c r="G38" s="434" t="s">
        <v>773</v>
      </c>
      <c r="H38" s="435" t="str">
        <f t="shared" si="1"/>
        <v>95 Gal Cart EOW-NR</v>
      </c>
      <c r="I38" s="436" t="s">
        <v>119</v>
      </c>
      <c r="J38" s="436">
        <f>References!$C$26</f>
        <v>68</v>
      </c>
      <c r="K38" s="437">
        <f>References!$C$12</f>
        <v>2.1666666666666665</v>
      </c>
      <c r="L38" s="438">
        <f>SUMIF('Grays Harbor Reg Price Out'!$B$12:$B$327,Mapping!C38,'Grays Harbor Reg Price Out'!$AF$12:$AF$328)</f>
        <v>259.42381439834162</v>
      </c>
      <c r="M38" s="438">
        <f t="shared" si="4"/>
        <v>562.08493119640684</v>
      </c>
      <c r="N38" s="439"/>
      <c r="Q38" s="446"/>
      <c r="R38" s="446"/>
    </row>
    <row r="39" spans="1:18" s="440" customFormat="1">
      <c r="A39" s="433" t="s">
        <v>91</v>
      </c>
      <c r="B39" s="433" t="s">
        <v>767</v>
      </c>
      <c r="C39" s="433" t="s">
        <v>295</v>
      </c>
      <c r="D39" s="433" t="s">
        <v>291</v>
      </c>
      <c r="E39" s="433" t="s">
        <v>780</v>
      </c>
      <c r="F39" s="434" t="s">
        <v>763</v>
      </c>
      <c r="G39" s="434" t="s">
        <v>763</v>
      </c>
      <c r="H39" s="435" t="str">
        <f t="shared" si="1"/>
        <v>95 Gal Cart EOW</v>
      </c>
      <c r="I39" s="436" t="s">
        <v>119</v>
      </c>
      <c r="J39" s="436">
        <f>References!$C$26</f>
        <v>68</v>
      </c>
      <c r="K39" s="437">
        <f>References!$C$12</f>
        <v>2.1666666666666665</v>
      </c>
      <c r="L39" s="438">
        <f>SUMIF('Grays Harbor Reg Price Out'!$B$12:$B$327,Mapping!C39,'Grays Harbor Reg Price Out'!$AF$12:$AF$328)</f>
        <v>5482.8710687943831</v>
      </c>
      <c r="M39" s="438">
        <f t="shared" si="4"/>
        <v>11879.55398238783</v>
      </c>
      <c r="N39" s="439"/>
      <c r="Q39" s="446"/>
      <c r="R39" s="446"/>
    </row>
    <row r="40" spans="1:18" s="440" customFormat="1">
      <c r="A40" s="433" t="s">
        <v>91</v>
      </c>
      <c r="B40" s="433" t="s">
        <v>782</v>
      </c>
      <c r="C40" s="433" t="s">
        <v>307</v>
      </c>
      <c r="D40" s="433" t="s">
        <v>845</v>
      </c>
      <c r="E40" s="433" t="s">
        <v>845</v>
      </c>
      <c r="F40" s="434" t="s">
        <v>846</v>
      </c>
      <c r="G40" s="434" t="s">
        <v>844</v>
      </c>
      <c r="H40" s="435" t="str">
        <f t="shared" si="1"/>
        <v>APPLIANCE REMOVAL EXTRA</v>
      </c>
      <c r="I40" s="436" t="s">
        <v>847</v>
      </c>
      <c r="J40" s="436">
        <f>+References!$C$31</f>
        <v>125</v>
      </c>
      <c r="K40" s="437">
        <f>+References!$C$14</f>
        <v>1</v>
      </c>
      <c r="L40" s="438">
        <f>SUMIF('Grays Harbor Reg Price Out'!$B$12:$B$327,Mapping!C40,'Grays Harbor Reg Price Out'!$AF$12:$AF$328)</f>
        <v>4</v>
      </c>
      <c r="M40" s="438">
        <f t="shared" si="4"/>
        <v>4</v>
      </c>
      <c r="N40" s="439"/>
      <c r="Q40" s="446"/>
      <c r="R40" s="446"/>
    </row>
    <row r="41" spans="1:18" s="440" customFormat="1">
      <c r="A41" s="433" t="s">
        <v>91</v>
      </c>
      <c r="B41" s="433" t="s">
        <v>781</v>
      </c>
      <c r="C41" s="433" t="s">
        <v>309</v>
      </c>
      <c r="D41" s="433" t="s">
        <v>309</v>
      </c>
      <c r="E41" s="433" t="s">
        <v>867</v>
      </c>
      <c r="F41" s="434" t="s">
        <v>846</v>
      </c>
      <c r="G41" s="434" t="s">
        <v>866</v>
      </c>
      <c r="H41" s="435" t="str">
        <f t="shared" si="1"/>
        <v>1 - 4 Cubic Yards BULKY</v>
      </c>
      <c r="I41" s="436" t="s">
        <v>848</v>
      </c>
      <c r="J41" s="436">
        <f>+References!$C$31</f>
        <v>125</v>
      </c>
      <c r="K41" s="437">
        <f>+References!$C$14</f>
        <v>1</v>
      </c>
      <c r="L41" s="438">
        <f>SUMIF('Grays Harbor Reg Price Out'!$B$12:$B$327,Mapping!C41,'Grays Harbor Reg Price Out'!$AF$12:$AF$328)</f>
        <v>39.87531800748615</v>
      </c>
      <c r="M41" s="438">
        <f t="shared" si="4"/>
        <v>39.87531800748615</v>
      </c>
      <c r="N41" s="439"/>
      <c r="Q41" s="446"/>
      <c r="R41" s="446"/>
    </row>
    <row r="42" spans="1:18" s="440" customFormat="1">
      <c r="A42" s="433" t="s">
        <v>91</v>
      </c>
      <c r="B42" s="433" t="s">
        <v>783</v>
      </c>
      <c r="C42" s="433" t="s">
        <v>327</v>
      </c>
      <c r="D42" s="467" t="s">
        <v>358</v>
      </c>
      <c r="E42" s="433" t="s">
        <v>868</v>
      </c>
      <c r="F42" s="434" t="s">
        <v>846</v>
      </c>
      <c r="G42" s="434" t="s">
        <v>844</v>
      </c>
      <c r="H42" s="435" t="str">
        <f t="shared" ref="H42:H50" si="5">CONCATENATE(E42," ",G42)</f>
        <v>32 Gal Can EXTRA</v>
      </c>
      <c r="I42" s="436" t="s">
        <v>762</v>
      </c>
      <c r="J42" s="436">
        <f>References!C28</f>
        <v>34</v>
      </c>
      <c r="K42" s="437">
        <f>+References!$C$14</f>
        <v>1</v>
      </c>
      <c r="L42" s="438">
        <f>SUMIF('Grays Harbor Reg Price Out'!$B$12:$B$327,Mapping!C42,'Grays Harbor Reg Price Out'!$AF$12:$AF$328)</f>
        <v>3084.6005773928491</v>
      </c>
      <c r="M42" s="438">
        <f t="shared" si="4"/>
        <v>3084.6005773928491</v>
      </c>
      <c r="N42" s="439"/>
      <c r="Q42" s="446"/>
      <c r="R42" s="446"/>
    </row>
    <row r="43" spans="1:18" s="440" customFormat="1">
      <c r="A43" s="433" t="s">
        <v>91</v>
      </c>
      <c r="B43" s="433" t="s">
        <v>783</v>
      </c>
      <c r="C43" s="433" t="s">
        <v>338</v>
      </c>
      <c r="D43" s="433" t="s">
        <v>338</v>
      </c>
      <c r="E43" s="433" t="s">
        <v>849</v>
      </c>
      <c r="F43" s="434" t="s">
        <v>846</v>
      </c>
      <c r="G43" s="434" t="s">
        <v>870</v>
      </c>
      <c r="H43" s="435" t="str">
        <f t="shared" si="5"/>
        <v>CAN ON CALL</v>
      </c>
      <c r="I43" s="436" t="s">
        <v>762</v>
      </c>
      <c r="J43" s="436">
        <f>References!$C$28</f>
        <v>34</v>
      </c>
      <c r="K43" s="437">
        <f>+References!$C$14</f>
        <v>1</v>
      </c>
      <c r="L43" s="438">
        <f>SUMIF('Grays Harbor Reg Price Out'!$B$12:$B$327,Mapping!C43,'Grays Harbor Reg Price Out'!$AF$12:$AF$328)</f>
        <v>213.10597426229364</v>
      </c>
      <c r="M43" s="438">
        <f t="shared" ref="M43" si="6">IF(L43=0,K43*12,K43*L43)</f>
        <v>213.10597426229364</v>
      </c>
      <c r="N43" s="439"/>
      <c r="Q43" s="446"/>
      <c r="R43" s="446"/>
    </row>
    <row r="44" spans="1:18" s="440" customFormat="1">
      <c r="A44" s="433" t="s">
        <v>91</v>
      </c>
      <c r="B44" s="433" t="s">
        <v>784</v>
      </c>
      <c r="C44" s="433" t="s">
        <v>342</v>
      </c>
      <c r="D44" s="433" t="s">
        <v>340</v>
      </c>
      <c r="E44" s="433" t="s">
        <v>849</v>
      </c>
      <c r="F44" s="434" t="s">
        <v>846</v>
      </c>
      <c r="G44" s="434" t="s">
        <v>869</v>
      </c>
      <c r="H44" s="435" t="str">
        <f t="shared" ref="H44" si="7">CONCATENATE(E44," ",G44)</f>
        <v>CAN OVERWEIGHT/OVERFILL</v>
      </c>
      <c r="I44" s="436" t="s">
        <v>762</v>
      </c>
      <c r="J44" s="436">
        <f>References!$C$28</f>
        <v>34</v>
      </c>
      <c r="K44" s="437">
        <f>+References!$C$14</f>
        <v>1</v>
      </c>
      <c r="L44" s="438">
        <f>SUMIF('Grays Harbor Reg Price Out'!$B$12:$B$327,Mapping!C44,'Grays Harbor Reg Price Out'!$AF$12:$AF$328)</f>
        <v>1.0028530670470757</v>
      </c>
      <c r="M44" s="438">
        <f t="shared" ref="M44" si="8">IF(L44=0,K44*12,K44*L44)</f>
        <v>1.0028530670470757</v>
      </c>
      <c r="N44" s="439"/>
      <c r="Q44" s="446"/>
      <c r="R44" s="446"/>
    </row>
    <row r="45" spans="1:18" s="440" customFormat="1">
      <c r="A45" s="433" t="s">
        <v>91</v>
      </c>
      <c r="B45" s="433" t="s">
        <v>783</v>
      </c>
      <c r="C45" s="433" t="s">
        <v>358</v>
      </c>
      <c r="D45" s="433" t="s">
        <v>358</v>
      </c>
      <c r="E45" s="433" t="s">
        <v>789</v>
      </c>
      <c r="F45" s="434" t="s">
        <v>846</v>
      </c>
      <c r="G45" s="434" t="s">
        <v>851</v>
      </c>
      <c r="H45" s="435" t="str">
        <f t="shared" si="5"/>
        <v>32 Gal Can or Unit SPECIAL</v>
      </c>
      <c r="I45" s="436" t="s">
        <v>762</v>
      </c>
      <c r="J45" s="436">
        <f>References!$C$28</f>
        <v>34</v>
      </c>
      <c r="K45" s="437">
        <f>References!$C$14</f>
        <v>1</v>
      </c>
      <c r="L45" s="438">
        <f>SUMIF('Grays Harbor Reg Price Out'!$B$12:$B$327,Mapping!C45,'Grays Harbor Reg Price Out'!$AF$12:$AF$328)</f>
        <v>1</v>
      </c>
      <c r="M45" s="438">
        <f t="shared" si="4"/>
        <v>1</v>
      </c>
      <c r="N45" s="439"/>
      <c r="Q45" s="446"/>
      <c r="R45" s="446"/>
    </row>
    <row r="46" spans="1:18" s="440" customFormat="1">
      <c r="A46" s="433" t="s">
        <v>91</v>
      </c>
      <c r="B46" s="433" t="s">
        <v>783</v>
      </c>
      <c r="C46" s="433" t="s">
        <v>360</v>
      </c>
      <c r="D46" s="433" t="s">
        <v>360</v>
      </c>
      <c r="E46" s="433" t="s">
        <v>788</v>
      </c>
      <c r="F46" s="434" t="s">
        <v>846</v>
      </c>
      <c r="G46" s="434" t="s">
        <v>851</v>
      </c>
      <c r="H46" s="435" t="str">
        <f t="shared" si="5"/>
        <v>95 Gal Toter SPECIAL</v>
      </c>
      <c r="I46" s="436" t="s">
        <v>119</v>
      </c>
      <c r="J46" s="436">
        <f>References!$C$26</f>
        <v>68</v>
      </c>
      <c r="K46" s="437">
        <f>References!$C$14</f>
        <v>1</v>
      </c>
      <c r="L46" s="438">
        <f>SUMIF('Grays Harbor Reg Price Out'!$B$12:$B$327,Mapping!C46,'Grays Harbor Reg Price Out'!$AF$12:$AF$328)</f>
        <v>3</v>
      </c>
      <c r="M46" s="438">
        <f t="shared" si="4"/>
        <v>3</v>
      </c>
      <c r="N46" s="439"/>
      <c r="Q46" s="446"/>
      <c r="R46" s="446"/>
    </row>
    <row r="47" spans="1:18" s="440" customFormat="1">
      <c r="A47" s="433" t="s">
        <v>91</v>
      </c>
      <c r="B47" s="433" t="s">
        <v>783</v>
      </c>
      <c r="C47" s="433" t="s">
        <v>362</v>
      </c>
      <c r="D47" s="433" t="s">
        <v>358</v>
      </c>
      <c r="E47" s="433" t="s">
        <v>789</v>
      </c>
      <c r="F47" s="434" t="s">
        <v>846</v>
      </c>
      <c r="G47" s="434" t="s">
        <v>851</v>
      </c>
      <c r="H47" s="435" t="str">
        <f t="shared" si="5"/>
        <v>32 Gal Can or Unit SPECIAL</v>
      </c>
      <c r="I47" s="436" t="s">
        <v>762</v>
      </c>
      <c r="J47" s="436">
        <f>References!$C$28</f>
        <v>34</v>
      </c>
      <c r="K47" s="437">
        <f>References!$C$14</f>
        <v>1</v>
      </c>
      <c r="L47" s="438">
        <f>SUMIF('Grays Harbor Reg Price Out'!$B$12:$B$327,Mapping!C47,'Grays Harbor Reg Price Out'!$AF$12:$AF$328)</f>
        <v>9</v>
      </c>
      <c r="M47" s="438">
        <f t="shared" si="4"/>
        <v>9</v>
      </c>
      <c r="N47" s="439"/>
      <c r="Q47" s="446"/>
      <c r="R47" s="446"/>
    </row>
    <row r="48" spans="1:18" s="440" customFormat="1">
      <c r="A48" s="433" t="s">
        <v>91</v>
      </c>
      <c r="B48" s="433" t="s">
        <v>783</v>
      </c>
      <c r="C48" s="433" t="s">
        <v>364</v>
      </c>
      <c r="D48" s="433" t="s">
        <v>364</v>
      </c>
      <c r="E48" s="433" t="s">
        <v>790</v>
      </c>
      <c r="F48" s="434" t="s">
        <v>846</v>
      </c>
      <c r="G48" s="434" t="s">
        <v>851</v>
      </c>
      <c r="H48" s="435" t="str">
        <f t="shared" si="5"/>
        <v>65 Gal Toter SPECIAL</v>
      </c>
      <c r="I48" s="436" t="s">
        <v>118</v>
      </c>
      <c r="J48" s="436">
        <f>References!$C$25</f>
        <v>47</v>
      </c>
      <c r="K48" s="437">
        <f>References!$C$14</f>
        <v>1</v>
      </c>
      <c r="L48" s="438">
        <f>SUMIF('Grays Harbor Reg Price Out'!$B$12:$B$327,Mapping!C48,'Grays Harbor Reg Price Out'!$AF$12:$AF$328)</f>
        <v>631.22870400367867</v>
      </c>
      <c r="M48" s="438">
        <f t="shared" si="4"/>
        <v>631.22870400367867</v>
      </c>
      <c r="N48" s="439"/>
      <c r="Q48" s="446"/>
      <c r="R48" s="446"/>
    </row>
    <row r="49" spans="1:18" s="440" customFormat="1">
      <c r="A49" s="433" t="s">
        <v>91</v>
      </c>
      <c r="B49" s="433" t="s">
        <v>783</v>
      </c>
      <c r="C49" s="433" t="s">
        <v>366</v>
      </c>
      <c r="D49" s="433" t="s">
        <v>360</v>
      </c>
      <c r="E49" s="433" t="s">
        <v>788</v>
      </c>
      <c r="F49" s="434" t="s">
        <v>846</v>
      </c>
      <c r="G49" s="434" t="s">
        <v>851</v>
      </c>
      <c r="H49" s="435" t="str">
        <f t="shared" si="5"/>
        <v>95 Gal Toter SPECIAL</v>
      </c>
      <c r="I49" s="436" t="s">
        <v>119</v>
      </c>
      <c r="J49" s="436">
        <f>References!$C$26</f>
        <v>68</v>
      </c>
      <c r="K49" s="437">
        <f>References!$C$14</f>
        <v>1</v>
      </c>
      <c r="L49" s="438">
        <f>SUMIF('Grays Harbor Reg Price Out'!$B$12:$B$327,Mapping!C49,'Grays Harbor Reg Price Out'!$AF$12:$AF$328)</f>
        <v>147.4877521613833</v>
      </c>
      <c r="M49" s="438">
        <f t="shared" si="4"/>
        <v>147.4877521613833</v>
      </c>
      <c r="N49" s="439"/>
      <c r="Q49" s="446"/>
      <c r="R49" s="446"/>
    </row>
    <row r="50" spans="1:18" s="440" customFormat="1">
      <c r="A50" s="433" t="s">
        <v>91</v>
      </c>
      <c r="B50" s="433" t="s">
        <v>783</v>
      </c>
      <c r="C50" s="433" t="s">
        <v>368</v>
      </c>
      <c r="D50" s="433" t="s">
        <v>338</v>
      </c>
      <c r="E50" s="433" t="s">
        <v>849</v>
      </c>
      <c r="F50" s="434" t="s">
        <v>846</v>
      </c>
      <c r="G50" s="434" t="s">
        <v>870</v>
      </c>
      <c r="H50" s="435" t="str">
        <f t="shared" si="5"/>
        <v>CAN ON CALL</v>
      </c>
      <c r="I50" s="436" t="s">
        <v>117</v>
      </c>
      <c r="J50" s="436">
        <f>References!$C$28</f>
        <v>34</v>
      </c>
      <c r="K50" s="437">
        <f>References!$C$14</f>
        <v>1</v>
      </c>
      <c r="L50" s="438">
        <f>SUMIF('Grays Harbor Reg Price Out'!$B$12:$B$327,Mapping!C50,'Grays Harbor Reg Price Out'!$AF$12:$AF$328)</f>
        <v>6</v>
      </c>
      <c r="M50" s="438">
        <f t="shared" si="4"/>
        <v>6</v>
      </c>
      <c r="N50" s="439"/>
      <c r="Q50" s="446"/>
      <c r="R50" s="446"/>
    </row>
    <row r="51" spans="1:18" s="440" customFormat="1">
      <c r="A51" s="447" t="s">
        <v>97</v>
      </c>
      <c r="B51" s="447" t="s">
        <v>769</v>
      </c>
      <c r="C51" s="447" t="s">
        <v>397</v>
      </c>
      <c r="D51" s="447" t="s">
        <v>397</v>
      </c>
      <c r="E51" s="447" t="s">
        <v>85</v>
      </c>
      <c r="F51" s="448" t="s">
        <v>846</v>
      </c>
      <c r="G51" s="444" t="s">
        <v>793</v>
      </c>
      <c r="H51" s="447" t="str">
        <f t="shared" ref="H51:H54" si="9">CONCATENATE(E51," ",G51)</f>
        <v>1 yard Permanent</v>
      </c>
      <c r="I51" s="444" t="s">
        <v>120</v>
      </c>
      <c r="J51" s="444">
        <f>References!$C$32</f>
        <v>175</v>
      </c>
      <c r="K51" s="449">
        <f>References!$C$11</f>
        <v>4.333333333333333</v>
      </c>
      <c r="L51" s="450">
        <f>SUMIF('Grays Harbor Reg Price Out'!$B$12:$B$327,Mapping!C51,'Grays Harbor Reg Price Out'!$AF$12:$AF$328)</f>
        <v>1181.1981483774894</v>
      </c>
      <c r="M51" s="450">
        <f t="shared" si="0"/>
        <v>5118.5253096357865</v>
      </c>
      <c r="N51" s="439"/>
    </row>
    <row r="52" spans="1:18" s="440" customFormat="1">
      <c r="A52" s="447" t="s">
        <v>97</v>
      </c>
      <c r="B52" s="447" t="s">
        <v>769</v>
      </c>
      <c r="C52" s="447" t="s">
        <v>403</v>
      </c>
      <c r="D52" s="447" t="s">
        <v>397</v>
      </c>
      <c r="E52" s="447" t="s">
        <v>85</v>
      </c>
      <c r="F52" s="448" t="s">
        <v>846</v>
      </c>
      <c r="G52" s="444" t="s">
        <v>793</v>
      </c>
      <c r="H52" s="447" t="str">
        <f t="shared" si="9"/>
        <v>1 yard Permanent</v>
      </c>
      <c r="I52" s="444" t="s">
        <v>120</v>
      </c>
      <c r="J52" s="444">
        <f>References!$C$32</f>
        <v>175</v>
      </c>
      <c r="K52" s="449">
        <f>References!$C$12</f>
        <v>2.1666666666666665</v>
      </c>
      <c r="L52" s="450">
        <f>SUMIF('Grays Harbor Reg Price Out'!$B$12:$B$327,Mapping!C52,'Grays Harbor Reg Price Out'!$AF$12:$AF$328)</f>
        <v>1930.6176905574516</v>
      </c>
      <c r="M52" s="450">
        <f>IF(L52=0,K52*12,K52*L52)</f>
        <v>4183.0049962078119</v>
      </c>
      <c r="N52" s="439"/>
      <c r="R52" s="451"/>
    </row>
    <row r="53" spans="1:18" s="440" customFormat="1">
      <c r="A53" s="447" t="s">
        <v>97</v>
      </c>
      <c r="B53" s="447" t="s">
        <v>769</v>
      </c>
      <c r="C53" s="447" t="s">
        <v>406</v>
      </c>
      <c r="D53" s="447" t="s">
        <v>406</v>
      </c>
      <c r="E53" s="447" t="s">
        <v>85</v>
      </c>
      <c r="F53" s="448" t="s">
        <v>846</v>
      </c>
      <c r="G53" s="444" t="s">
        <v>860</v>
      </c>
      <c r="H53" s="447" t="str">
        <f t="shared" si="9"/>
        <v>1 yard Temp Pickup</v>
      </c>
      <c r="I53" s="444" t="s">
        <v>120</v>
      </c>
      <c r="J53" s="444">
        <f>References!$C$32</f>
        <v>175</v>
      </c>
      <c r="K53" s="449">
        <f>References!$C$14</f>
        <v>1</v>
      </c>
      <c r="L53" s="450">
        <f>SUMIF('Grays Harbor Reg Price Out'!$B$12:$B$327,Mapping!C53,'Grays Harbor Reg Price Out'!$AF$12:$AF$328)</f>
        <v>7</v>
      </c>
      <c r="M53" s="450">
        <f t="shared" si="0"/>
        <v>7</v>
      </c>
      <c r="N53" s="439"/>
      <c r="R53" s="451"/>
    </row>
    <row r="54" spans="1:18" s="440" customFormat="1">
      <c r="A54" s="447" t="s">
        <v>97</v>
      </c>
      <c r="B54" s="447" t="s">
        <v>769</v>
      </c>
      <c r="C54" s="447" t="s">
        <v>408</v>
      </c>
      <c r="D54" s="447" t="s">
        <v>410</v>
      </c>
      <c r="E54" s="447" t="s">
        <v>86</v>
      </c>
      <c r="F54" s="448" t="s">
        <v>846</v>
      </c>
      <c r="G54" s="444" t="s">
        <v>793</v>
      </c>
      <c r="H54" s="447" t="str">
        <f t="shared" si="9"/>
        <v>1.5 yard Permanent</v>
      </c>
      <c r="I54" s="444" t="s">
        <v>765</v>
      </c>
      <c r="J54" s="444">
        <f>References!$C$33</f>
        <v>250</v>
      </c>
      <c r="K54" s="449">
        <f>References!C13</f>
        <v>1</v>
      </c>
      <c r="L54" s="450">
        <f>SUMIF('Grays Harbor Reg Price Out'!$B$12:$B$327,Mapping!C54,'Grays Harbor Reg Price Out'!$AF$12:$AF$328)</f>
        <v>6.8103406017873889</v>
      </c>
      <c r="M54" s="450">
        <f t="shared" si="0"/>
        <v>6.8103406017873889</v>
      </c>
      <c r="N54" s="439"/>
      <c r="R54" s="451"/>
    </row>
    <row r="55" spans="1:18" s="440" customFormat="1">
      <c r="A55" s="447" t="s">
        <v>97</v>
      </c>
      <c r="B55" s="447" t="s">
        <v>769</v>
      </c>
      <c r="C55" s="447" t="s">
        <v>410</v>
      </c>
      <c r="D55" s="447" t="s">
        <v>410</v>
      </c>
      <c r="E55" s="447" t="s">
        <v>86</v>
      </c>
      <c r="F55" s="448" t="s">
        <v>846</v>
      </c>
      <c r="G55" s="444" t="s">
        <v>793</v>
      </c>
      <c r="H55" s="447" t="str">
        <f t="shared" ref="H55:H84" si="10">CONCATENATE(E55," ",G55)</f>
        <v>1.5 yard Permanent</v>
      </c>
      <c r="I55" s="444" t="s">
        <v>765</v>
      </c>
      <c r="J55" s="444">
        <f>References!$C$33</f>
        <v>250</v>
      </c>
      <c r="K55" s="449">
        <f>References!$C$11</f>
        <v>4.333333333333333</v>
      </c>
      <c r="L55" s="450">
        <f>SUMIF('Grays Harbor Reg Price Out'!$B$12:$B$327,Mapping!C55,'Grays Harbor Reg Price Out'!$AF$12:$AF$328)</f>
        <v>570.33415031472555</v>
      </c>
      <c r="M55" s="450">
        <f t="shared" si="0"/>
        <v>2471.447984697144</v>
      </c>
      <c r="N55" s="439"/>
      <c r="R55" s="451"/>
    </row>
    <row r="56" spans="1:18" s="440" customFormat="1">
      <c r="A56" s="447" t="s">
        <v>97</v>
      </c>
      <c r="B56" s="447" t="s">
        <v>769</v>
      </c>
      <c r="C56" s="447" t="s">
        <v>413</v>
      </c>
      <c r="D56" s="447" t="s">
        <v>410</v>
      </c>
      <c r="E56" s="447" t="s">
        <v>86</v>
      </c>
      <c r="F56" s="448" t="s">
        <v>846</v>
      </c>
      <c r="G56" s="444" t="s">
        <v>793</v>
      </c>
      <c r="H56" s="447" t="str">
        <f t="shared" si="10"/>
        <v>1.5 yard Permanent</v>
      </c>
      <c r="I56" s="444" t="s">
        <v>765</v>
      </c>
      <c r="J56" s="444">
        <f>References!$C$33</f>
        <v>250</v>
      </c>
      <c r="K56" s="449">
        <f>References!$C$10</f>
        <v>8.6666666666666661</v>
      </c>
      <c r="L56" s="450">
        <f>SUMIF('Grays Harbor Reg Price Out'!$B$12:$B$327,Mapping!C56,'Grays Harbor Reg Price Out'!$AF$12:$AF$328)</f>
        <v>32.711416444064703</v>
      </c>
      <c r="M56" s="450">
        <f t="shared" ref="M56:M80" si="11">IF(L56=0,K56*12,K56*L56)</f>
        <v>283.49894251522738</v>
      </c>
      <c r="N56" s="439"/>
      <c r="R56" s="451"/>
    </row>
    <row r="57" spans="1:18" s="440" customFormat="1">
      <c r="A57" s="447" t="s">
        <v>97</v>
      </c>
      <c r="B57" s="447" t="s">
        <v>769</v>
      </c>
      <c r="C57" s="447" t="s">
        <v>416</v>
      </c>
      <c r="D57" s="447" t="s">
        <v>410</v>
      </c>
      <c r="E57" s="447" t="s">
        <v>86</v>
      </c>
      <c r="F57" s="448" t="s">
        <v>846</v>
      </c>
      <c r="G57" s="444" t="s">
        <v>793</v>
      </c>
      <c r="H57" s="447" t="str">
        <f t="shared" si="10"/>
        <v>1.5 yard Permanent</v>
      </c>
      <c r="I57" s="444" t="s">
        <v>765</v>
      </c>
      <c r="J57" s="444">
        <f>References!$C$33</f>
        <v>250</v>
      </c>
      <c r="K57" s="449">
        <f>References!$C$12</f>
        <v>2.1666666666666665</v>
      </c>
      <c r="L57" s="450">
        <f>SUMIF('Grays Harbor Reg Price Out'!$B$12:$B$327,Mapping!C57,'Grays Harbor Reg Price Out'!$AF$12:$AF$328)</f>
        <v>629.87697941004217</v>
      </c>
      <c r="M57" s="450">
        <f t="shared" si="11"/>
        <v>1364.7334553884245</v>
      </c>
      <c r="N57" s="439"/>
      <c r="R57" s="451"/>
    </row>
    <row r="58" spans="1:18" s="440" customFormat="1">
      <c r="A58" s="447" t="s">
        <v>97</v>
      </c>
      <c r="B58" s="447" t="s">
        <v>769</v>
      </c>
      <c r="C58" s="447" t="s">
        <v>419</v>
      </c>
      <c r="D58" s="447" t="s">
        <v>419</v>
      </c>
      <c r="E58" s="447" t="s">
        <v>86</v>
      </c>
      <c r="F58" s="448" t="s">
        <v>846</v>
      </c>
      <c r="G58" s="444" t="s">
        <v>860</v>
      </c>
      <c r="H58" s="447" t="str">
        <f t="shared" si="10"/>
        <v>1.5 yard Temp Pickup</v>
      </c>
      <c r="I58" s="444" t="s">
        <v>765</v>
      </c>
      <c r="J58" s="444">
        <f>References!$C$33</f>
        <v>250</v>
      </c>
      <c r="K58" s="449">
        <f>References!$C$14</f>
        <v>1</v>
      </c>
      <c r="L58" s="450">
        <f>SUMIF('Grays Harbor Reg Price Out'!$B$12:$B$327,Mapping!C58,'Grays Harbor Reg Price Out'!$AF$12:$AF$328)</f>
        <v>27.005546536243251</v>
      </c>
      <c r="M58" s="450">
        <f t="shared" si="11"/>
        <v>27.005546536243251</v>
      </c>
      <c r="N58" s="439"/>
      <c r="R58" s="451"/>
    </row>
    <row r="59" spans="1:18" s="440" customFormat="1">
      <c r="A59" s="447" t="s">
        <v>97</v>
      </c>
      <c r="B59" s="447" t="s">
        <v>769</v>
      </c>
      <c r="C59" s="447" t="s">
        <v>421</v>
      </c>
      <c r="D59" s="447" t="s">
        <v>421</v>
      </c>
      <c r="E59" s="447" t="s">
        <v>87</v>
      </c>
      <c r="F59" s="448" t="s">
        <v>846</v>
      </c>
      <c r="G59" s="444" t="s">
        <v>793</v>
      </c>
      <c r="H59" s="447" t="str">
        <f t="shared" si="10"/>
        <v>2 yard Permanent</v>
      </c>
      <c r="I59" s="444" t="s">
        <v>124</v>
      </c>
      <c r="J59" s="444">
        <f>References!$C$34</f>
        <v>324</v>
      </c>
      <c r="K59" s="449">
        <f>References!$C$11</f>
        <v>4.333333333333333</v>
      </c>
      <c r="L59" s="450">
        <f>SUMIF('Grays Harbor Reg Price Out'!$B$12:$B$327,Mapping!C59,'Grays Harbor Reg Price Out'!$AF$12:$AF$328)</f>
        <v>773.01653063038702</v>
      </c>
      <c r="M59" s="450">
        <f t="shared" si="11"/>
        <v>3349.7382993983433</v>
      </c>
      <c r="N59" s="439"/>
      <c r="R59" s="451"/>
    </row>
    <row r="60" spans="1:18" s="440" customFormat="1">
      <c r="A60" s="447" t="s">
        <v>97</v>
      </c>
      <c r="B60" s="447" t="s">
        <v>769</v>
      </c>
      <c r="C60" s="447" t="s">
        <v>424</v>
      </c>
      <c r="D60" s="447" t="s">
        <v>421</v>
      </c>
      <c r="E60" s="447" t="s">
        <v>87</v>
      </c>
      <c r="F60" s="448" t="s">
        <v>846</v>
      </c>
      <c r="G60" s="444" t="s">
        <v>793</v>
      </c>
      <c r="H60" s="447" t="str">
        <f t="shared" si="10"/>
        <v>2 yard Permanent</v>
      </c>
      <c r="I60" s="444" t="s">
        <v>124</v>
      </c>
      <c r="J60" s="444">
        <f>References!$C$34</f>
        <v>324</v>
      </c>
      <c r="K60" s="449">
        <f>References!$C$10</f>
        <v>8.6666666666666661</v>
      </c>
      <c r="L60" s="450">
        <f>SUMIF('Grays Harbor Reg Price Out'!$B$12:$B$327,Mapping!C60,'Grays Harbor Reg Price Out'!$AF$12:$AF$328)</f>
        <v>40.145888160970884</v>
      </c>
      <c r="M60" s="450">
        <f t="shared" si="11"/>
        <v>347.93103072841433</v>
      </c>
      <c r="N60" s="439"/>
      <c r="R60" s="451"/>
    </row>
    <row r="61" spans="1:18" s="440" customFormat="1">
      <c r="A61" s="447" t="s">
        <v>97</v>
      </c>
      <c r="B61" s="447" t="s">
        <v>769</v>
      </c>
      <c r="C61" s="447" t="s">
        <v>427</v>
      </c>
      <c r="D61" s="447" t="s">
        <v>421</v>
      </c>
      <c r="E61" s="447" t="s">
        <v>87</v>
      </c>
      <c r="F61" s="448" t="s">
        <v>846</v>
      </c>
      <c r="G61" s="444" t="s">
        <v>793</v>
      </c>
      <c r="H61" s="447" t="str">
        <f t="shared" si="10"/>
        <v>2 yard Permanent</v>
      </c>
      <c r="I61" s="444" t="s">
        <v>124</v>
      </c>
      <c r="J61" s="444">
        <f>References!$C$34</f>
        <v>324</v>
      </c>
      <c r="K61" s="449">
        <f>References!$C$12</f>
        <v>2.1666666666666665</v>
      </c>
      <c r="L61" s="450">
        <f>SUMIF('Grays Harbor Reg Price Out'!$B$12:$B$327,Mapping!C61,'Grays Harbor Reg Price Out'!$AF$12:$AF$328)</f>
        <v>367.7140557851186</v>
      </c>
      <c r="M61" s="450">
        <f t="shared" si="11"/>
        <v>796.71378753442355</v>
      </c>
      <c r="N61" s="439"/>
      <c r="R61" s="451"/>
    </row>
    <row r="62" spans="1:18" s="440" customFormat="1">
      <c r="A62" s="447" t="s">
        <v>97</v>
      </c>
      <c r="B62" s="447" t="s">
        <v>769</v>
      </c>
      <c r="C62" s="447" t="s">
        <v>430</v>
      </c>
      <c r="D62" s="447" t="s">
        <v>430</v>
      </c>
      <c r="E62" s="447" t="s">
        <v>87</v>
      </c>
      <c r="F62" s="448" t="s">
        <v>846</v>
      </c>
      <c r="G62" s="444" t="s">
        <v>860</v>
      </c>
      <c r="H62" s="447" t="str">
        <f t="shared" si="10"/>
        <v>2 yard Temp Pickup</v>
      </c>
      <c r="I62" s="444" t="s">
        <v>124</v>
      </c>
      <c r="J62" s="444">
        <f>References!$C$34</f>
        <v>324</v>
      </c>
      <c r="K62" s="449">
        <f>References!$C$14</f>
        <v>1</v>
      </c>
      <c r="L62" s="450">
        <f>SUMIF('Grays Harbor Reg Price Out'!$B$12:$B$327,Mapping!C62,'Grays Harbor Reg Price Out'!$AF$12:$AF$328)</f>
        <v>284.0538572932515</v>
      </c>
      <c r="M62" s="450">
        <f t="shared" si="11"/>
        <v>284.0538572932515</v>
      </c>
      <c r="N62" s="439"/>
      <c r="R62" s="451"/>
    </row>
    <row r="63" spans="1:18" s="440" customFormat="1">
      <c r="A63" s="447" t="s">
        <v>97</v>
      </c>
      <c r="B63" s="447" t="s">
        <v>769</v>
      </c>
      <c r="C63" s="447" t="s">
        <v>434</v>
      </c>
      <c r="D63" s="447" t="s">
        <v>434</v>
      </c>
      <c r="E63" s="447" t="s">
        <v>90</v>
      </c>
      <c r="F63" s="448" t="s">
        <v>846</v>
      </c>
      <c r="G63" s="444" t="s">
        <v>793</v>
      </c>
      <c r="H63" s="447" t="str">
        <f t="shared" si="10"/>
        <v>3 yard Permanent</v>
      </c>
      <c r="I63" s="444" t="s">
        <v>123</v>
      </c>
      <c r="J63" s="444">
        <f>References!$C$35</f>
        <v>473</v>
      </c>
      <c r="K63" s="449">
        <f>References!$C$11</f>
        <v>4.333333333333333</v>
      </c>
      <c r="L63" s="450">
        <f>SUMIF('Grays Harbor Reg Price Out'!$B$12:$B$327,Mapping!C63,'Grays Harbor Reg Price Out'!$AF$12:$AF$328)</f>
        <v>277.6098406685656</v>
      </c>
      <c r="M63" s="450">
        <f t="shared" si="11"/>
        <v>1202.9759762304509</v>
      </c>
      <c r="N63" s="439"/>
    </row>
    <row r="64" spans="1:18" s="440" customFormat="1">
      <c r="A64" s="447" t="s">
        <v>97</v>
      </c>
      <c r="B64" s="447" t="s">
        <v>769</v>
      </c>
      <c r="C64" s="447" t="s">
        <v>438</v>
      </c>
      <c r="D64" s="447" t="s">
        <v>434</v>
      </c>
      <c r="E64" s="447" t="s">
        <v>90</v>
      </c>
      <c r="F64" s="448" t="s">
        <v>846</v>
      </c>
      <c r="G64" s="444" t="s">
        <v>793</v>
      </c>
      <c r="H64" s="447" t="str">
        <f t="shared" si="10"/>
        <v>3 yard Permanent</v>
      </c>
      <c r="I64" s="444" t="s">
        <v>123</v>
      </c>
      <c r="J64" s="444">
        <f>References!$C$35</f>
        <v>473</v>
      </c>
      <c r="K64" s="449">
        <f>References!$C$12</f>
        <v>2.1666666666666665</v>
      </c>
      <c r="L64" s="450">
        <f>SUMIF('Grays Harbor Reg Price Out'!$B$12:$B$327,Mapping!C64,'Grays Harbor Reg Price Out'!$AF$12:$AF$328)</f>
        <v>27.70087403491722</v>
      </c>
      <c r="M64" s="450">
        <f t="shared" si="11"/>
        <v>60.018560408987305</v>
      </c>
      <c r="N64" s="439"/>
    </row>
    <row r="65" spans="1:14" s="440" customFormat="1">
      <c r="A65" s="447" t="s">
        <v>97</v>
      </c>
      <c r="B65" s="447" t="s">
        <v>768</v>
      </c>
      <c r="C65" s="447" t="s">
        <v>442</v>
      </c>
      <c r="D65" s="447" t="s">
        <v>442</v>
      </c>
      <c r="E65" s="447" t="s">
        <v>868</v>
      </c>
      <c r="F65" s="448" t="s">
        <v>871</v>
      </c>
      <c r="G65" s="444" t="s">
        <v>882</v>
      </c>
      <c r="H65" s="447" t="str">
        <f t="shared" si="10"/>
        <v>32 Gal Can Monthly Minimum</v>
      </c>
      <c r="I65" s="444" t="s">
        <v>762</v>
      </c>
      <c r="J65" s="444">
        <f>References!$C$30</f>
        <v>29</v>
      </c>
      <c r="K65" s="449">
        <f>References!$C$11</f>
        <v>4.333333333333333</v>
      </c>
      <c r="L65" s="450">
        <f>SUMIF('Grays Harbor Reg Price Out'!$B$12:$B$327,Mapping!C65,'Grays Harbor Reg Price Out'!$AF$12:$AF$328)</f>
        <v>2379.1393067364288</v>
      </c>
      <c r="M65" s="450">
        <f t="shared" si="11"/>
        <v>10309.603662524523</v>
      </c>
      <c r="N65" s="439"/>
    </row>
    <row r="66" spans="1:14" s="440" customFormat="1">
      <c r="A66" s="447" t="s">
        <v>97</v>
      </c>
      <c r="B66" s="447" t="s">
        <v>768</v>
      </c>
      <c r="C66" s="447" t="s">
        <v>450</v>
      </c>
      <c r="D66" s="447" t="s">
        <v>442</v>
      </c>
      <c r="E66" s="447" t="s">
        <v>868</v>
      </c>
      <c r="F66" s="448" t="s">
        <v>871</v>
      </c>
      <c r="G66" s="444" t="s">
        <v>882</v>
      </c>
      <c r="H66" s="447" t="str">
        <f t="shared" si="10"/>
        <v>32 Gal Can Monthly Minimum</v>
      </c>
      <c r="I66" s="444" t="s">
        <v>762</v>
      </c>
      <c r="J66" s="444">
        <f>References!$C$30</f>
        <v>29</v>
      </c>
      <c r="K66" s="449">
        <f>References!$C$11</f>
        <v>4.333333333333333</v>
      </c>
      <c r="L66" s="450">
        <f>SUMIF('Grays Harbor Reg Price Out'!$B$12:$B$327,Mapping!C66,'Grays Harbor Reg Price Out'!$AF$12:$AF$328)</f>
        <v>1</v>
      </c>
      <c r="M66" s="450">
        <f t="shared" si="11"/>
        <v>4.333333333333333</v>
      </c>
      <c r="N66" s="439"/>
    </row>
    <row r="67" spans="1:14" s="440" customFormat="1">
      <c r="A67" s="447" t="s">
        <v>97</v>
      </c>
      <c r="B67" s="447" t="s">
        <v>768</v>
      </c>
      <c r="C67" s="447" t="s">
        <v>452</v>
      </c>
      <c r="D67" s="447" t="s">
        <v>442</v>
      </c>
      <c r="E67" s="447" t="s">
        <v>868</v>
      </c>
      <c r="F67" s="448" t="s">
        <v>871</v>
      </c>
      <c r="G67" s="444" t="s">
        <v>882</v>
      </c>
      <c r="H67" s="447" t="str">
        <f t="shared" si="10"/>
        <v>32 Gal Can Monthly Minimum</v>
      </c>
      <c r="I67" s="444" t="s">
        <v>762</v>
      </c>
      <c r="J67" s="444">
        <f>References!$C$30</f>
        <v>29</v>
      </c>
      <c r="K67" s="449">
        <f>References!$C$11</f>
        <v>4.333333333333333</v>
      </c>
      <c r="L67" s="450">
        <f>SUMIF('Grays Harbor Reg Price Out'!$B$12:$B$327,Mapping!C67,'Grays Harbor Reg Price Out'!$AF$12:$AF$328)</f>
        <v>156.13603662524525</v>
      </c>
      <c r="M67" s="450">
        <f t="shared" si="11"/>
        <v>676.58949204272938</v>
      </c>
      <c r="N67" s="439"/>
    </row>
    <row r="68" spans="1:14" s="440" customFormat="1">
      <c r="A68" s="447" t="s">
        <v>97</v>
      </c>
      <c r="B68" s="447" t="s">
        <v>769</v>
      </c>
      <c r="C68" s="447" t="s">
        <v>462</v>
      </c>
      <c r="D68" s="447" t="s">
        <v>462</v>
      </c>
      <c r="E68" s="447" t="s">
        <v>88</v>
      </c>
      <c r="F68" s="448" t="s">
        <v>846</v>
      </c>
      <c r="G68" s="444" t="s">
        <v>793</v>
      </c>
      <c r="H68" s="447" t="str">
        <f t="shared" si="10"/>
        <v>4 yard Permanent</v>
      </c>
      <c r="I68" s="444" t="s">
        <v>121</v>
      </c>
      <c r="J68" s="444">
        <f>References!$C$36</f>
        <v>613</v>
      </c>
      <c r="K68" s="449">
        <f>References!$C$11</f>
        <v>4.333333333333333</v>
      </c>
      <c r="L68" s="450">
        <f>SUMIF('Grays Harbor Reg Price Out'!$B$12:$B$327,Mapping!C68,'Grays Harbor Reg Price Out'!$AF$12:$AF$328)</f>
        <v>314.68200238064674</v>
      </c>
      <c r="M68" s="450">
        <f t="shared" si="11"/>
        <v>1363.6220103161359</v>
      </c>
      <c r="N68" s="439"/>
    </row>
    <row r="69" spans="1:14" s="440" customFormat="1">
      <c r="A69" s="447" t="s">
        <v>97</v>
      </c>
      <c r="B69" s="447" t="s">
        <v>769</v>
      </c>
      <c r="C69" s="447" t="s">
        <v>464</v>
      </c>
      <c r="D69" s="447" t="s">
        <v>462</v>
      </c>
      <c r="E69" s="447" t="s">
        <v>88</v>
      </c>
      <c r="F69" s="448" t="s">
        <v>846</v>
      </c>
      <c r="G69" s="444" t="s">
        <v>793</v>
      </c>
      <c r="H69" s="447" t="str">
        <f t="shared" ref="H69" si="12">CONCATENATE(E69," ",G69)</f>
        <v>4 yard Permanent</v>
      </c>
      <c r="I69" s="444" t="s">
        <v>121</v>
      </c>
      <c r="J69" s="444">
        <f>References!$C$36</f>
        <v>613</v>
      </c>
      <c r="K69" s="449">
        <f>+References!$C$10</f>
        <v>8.6666666666666661</v>
      </c>
      <c r="L69" s="450">
        <f>SUMIF('Grays Harbor Reg Price Out'!$B$12:$B$327,Mapping!C69,'Grays Harbor Reg Price Out'!$AF$12:$AF$328)</f>
        <v>16.290813215125141</v>
      </c>
      <c r="M69" s="450">
        <f t="shared" ref="M69" si="13">IF(L69=0,K69*12,K69*L69)</f>
        <v>141.18704786441788</v>
      </c>
      <c r="N69" s="439"/>
    </row>
    <row r="70" spans="1:14" s="440" customFormat="1">
      <c r="A70" s="447" t="s">
        <v>97</v>
      </c>
      <c r="B70" s="447" t="s">
        <v>769</v>
      </c>
      <c r="C70" s="447" t="s">
        <v>466</v>
      </c>
      <c r="D70" s="447" t="s">
        <v>462</v>
      </c>
      <c r="E70" s="447" t="s">
        <v>88</v>
      </c>
      <c r="F70" s="448" t="s">
        <v>846</v>
      </c>
      <c r="G70" s="444" t="s">
        <v>793</v>
      </c>
      <c r="H70" s="447" t="str">
        <f t="shared" si="10"/>
        <v>4 yard Permanent</v>
      </c>
      <c r="I70" s="444" t="s">
        <v>121</v>
      </c>
      <c r="J70" s="444">
        <f>References!$C$36</f>
        <v>613</v>
      </c>
      <c r="K70" s="449">
        <f>References!$C$12</f>
        <v>2.1666666666666665</v>
      </c>
      <c r="L70" s="450">
        <f>SUMIF('Grays Harbor Reg Price Out'!$B$12:$B$327,Mapping!C70,'Grays Harbor Reg Price Out'!$AF$12:$AF$328)</f>
        <v>74.38817516721376</v>
      </c>
      <c r="M70" s="450">
        <f t="shared" si="11"/>
        <v>161.17437952896313</v>
      </c>
      <c r="N70" s="439"/>
    </row>
    <row r="71" spans="1:14" s="440" customFormat="1">
      <c r="A71" s="447" t="s">
        <v>97</v>
      </c>
      <c r="B71" s="447" t="s">
        <v>769</v>
      </c>
      <c r="C71" s="447" t="s">
        <v>472</v>
      </c>
      <c r="D71" s="447" t="s">
        <v>472</v>
      </c>
      <c r="E71" s="447" t="s">
        <v>89</v>
      </c>
      <c r="F71" s="448" t="s">
        <v>846</v>
      </c>
      <c r="G71" s="444" t="s">
        <v>793</v>
      </c>
      <c r="H71" s="447" t="str">
        <f t="shared" si="10"/>
        <v>6 yard Permanent</v>
      </c>
      <c r="I71" s="444" t="s">
        <v>122</v>
      </c>
      <c r="J71" s="444">
        <f>References!$C$37</f>
        <v>840</v>
      </c>
      <c r="K71" s="449">
        <f>References!$C$11</f>
        <v>4.333333333333333</v>
      </c>
      <c r="L71" s="450">
        <f>SUMIF('Grays Harbor Reg Price Out'!$B$12:$B$327,Mapping!C71,'Grays Harbor Reg Price Out'!$AF$12:$AF$328)</f>
        <v>178.94304963494423</v>
      </c>
      <c r="M71" s="450">
        <f t="shared" si="11"/>
        <v>775.4198817514249</v>
      </c>
      <c r="N71" s="439"/>
    </row>
    <row r="72" spans="1:14" s="440" customFormat="1">
      <c r="A72" s="447" t="s">
        <v>97</v>
      </c>
      <c r="B72" s="447" t="s">
        <v>769</v>
      </c>
      <c r="C72" s="447" t="s">
        <v>474</v>
      </c>
      <c r="D72" s="447" t="s">
        <v>472</v>
      </c>
      <c r="E72" s="447" t="s">
        <v>89</v>
      </c>
      <c r="F72" s="448" t="s">
        <v>846</v>
      </c>
      <c r="G72" s="444" t="s">
        <v>793</v>
      </c>
      <c r="H72" s="447" t="str">
        <f t="shared" si="10"/>
        <v>6 yard Permanent</v>
      </c>
      <c r="I72" s="444" t="s">
        <v>122</v>
      </c>
      <c r="J72" s="444">
        <f>References!$C$37</f>
        <v>840</v>
      </c>
      <c r="K72" s="449">
        <f>References!$C$10</f>
        <v>8.6666666666666661</v>
      </c>
      <c r="L72" s="450">
        <f>SUMIF('Grays Harbor Reg Price Out'!$B$12:$B$327,Mapping!C72,'Grays Harbor Reg Price Out'!$AF$12:$AF$328)</f>
        <v>18.003015848509641</v>
      </c>
      <c r="M72" s="450">
        <f t="shared" si="11"/>
        <v>156.02613735375022</v>
      </c>
      <c r="N72" s="439"/>
    </row>
    <row r="73" spans="1:14" s="440" customFormat="1">
      <c r="A73" s="447" t="s">
        <v>97</v>
      </c>
      <c r="B73" s="447" t="s">
        <v>769</v>
      </c>
      <c r="C73" s="447" t="s">
        <v>476</v>
      </c>
      <c r="D73" s="447" t="s">
        <v>472</v>
      </c>
      <c r="E73" s="447" t="s">
        <v>89</v>
      </c>
      <c r="F73" s="448" t="s">
        <v>846</v>
      </c>
      <c r="G73" s="444" t="s">
        <v>793</v>
      </c>
      <c r="H73" s="447" t="str">
        <f t="shared" si="10"/>
        <v>6 yard Permanent</v>
      </c>
      <c r="I73" s="444" t="s">
        <v>122</v>
      </c>
      <c r="J73" s="444">
        <f>References!$C$37</f>
        <v>840</v>
      </c>
      <c r="K73" s="449">
        <f>References!$C$12</f>
        <v>2.1666666666666665</v>
      </c>
      <c r="L73" s="450">
        <f>SUMIF('Grays Harbor Reg Price Out'!$B$12:$B$327,Mapping!C73,'Grays Harbor Reg Price Out'!$AF$12:$AF$328)</f>
        <v>43.975449034152959</v>
      </c>
      <c r="M73" s="450">
        <f t="shared" si="11"/>
        <v>95.280139573998071</v>
      </c>
      <c r="N73" s="439"/>
    </row>
    <row r="74" spans="1:14" s="440" customFormat="1">
      <c r="A74" s="447" t="s">
        <v>97</v>
      </c>
      <c r="B74" s="447" t="s">
        <v>768</v>
      </c>
      <c r="C74" s="447" t="s">
        <v>480</v>
      </c>
      <c r="D74" s="447" t="s">
        <v>480</v>
      </c>
      <c r="E74" s="447" t="s">
        <v>779</v>
      </c>
      <c r="F74" s="448" t="s">
        <v>846</v>
      </c>
      <c r="G74" s="444" t="s">
        <v>881</v>
      </c>
      <c r="H74" s="447" t="str">
        <f t="shared" si="10"/>
        <v>65 Gal Cart per PU</v>
      </c>
      <c r="I74" s="444" t="s">
        <v>118</v>
      </c>
      <c r="J74" s="444">
        <f>References!$C$25</f>
        <v>47</v>
      </c>
      <c r="K74" s="449">
        <f>References!$C$11</f>
        <v>4.333333333333333</v>
      </c>
      <c r="L74" s="450">
        <f>SUMIF('Grays Harbor Reg Price Out'!$B$12:$B$327,Mapping!C74,'Grays Harbor Reg Price Out'!$AF$12:$AF$328)</f>
        <v>566.05018085423217</v>
      </c>
      <c r="M74" s="450">
        <f t="shared" si="11"/>
        <v>2452.8841170350061</v>
      </c>
      <c r="N74" s="439"/>
    </row>
    <row r="75" spans="1:14" s="440" customFormat="1">
      <c r="A75" s="447" t="s">
        <v>97</v>
      </c>
      <c r="B75" s="447" t="s">
        <v>768</v>
      </c>
      <c r="C75" s="447" t="s">
        <v>490</v>
      </c>
      <c r="D75" s="447" t="s">
        <v>480</v>
      </c>
      <c r="E75" s="447" t="s">
        <v>779</v>
      </c>
      <c r="F75" s="448" t="s">
        <v>846</v>
      </c>
      <c r="G75" s="444" t="s">
        <v>881</v>
      </c>
      <c r="H75" s="447" t="str">
        <f t="shared" si="10"/>
        <v>65 Gal Cart per PU</v>
      </c>
      <c r="I75" s="444" t="s">
        <v>118</v>
      </c>
      <c r="J75" s="444">
        <f>References!$C$25</f>
        <v>47</v>
      </c>
      <c r="K75" s="449">
        <f>References!$C$12</f>
        <v>2.1666666666666665</v>
      </c>
      <c r="L75" s="450">
        <f>SUMIF('Grays Harbor Reg Price Out'!$B$12:$B$327,Mapping!C75,'Grays Harbor Reg Price Out'!$AF$12:$AF$328)</f>
        <v>1560.0977088948787</v>
      </c>
      <c r="M75" s="450">
        <f t="shared" si="11"/>
        <v>3380.2117026055703</v>
      </c>
      <c r="N75" s="439"/>
    </row>
    <row r="76" spans="1:14" s="440" customFormat="1">
      <c r="A76" s="447" t="s">
        <v>97</v>
      </c>
      <c r="B76" s="447" t="s">
        <v>769</v>
      </c>
      <c r="C76" s="447" t="s">
        <v>498</v>
      </c>
      <c r="D76" s="447" t="s">
        <v>498</v>
      </c>
      <c r="E76" s="447" t="s">
        <v>764</v>
      </c>
      <c r="F76" s="448" t="s">
        <v>846</v>
      </c>
      <c r="G76" s="444" t="s">
        <v>793</v>
      </c>
      <c r="H76" s="447" t="str">
        <f t="shared" si="10"/>
        <v>8 yard Permanent</v>
      </c>
      <c r="I76" s="444" t="s">
        <v>766</v>
      </c>
      <c r="J76" s="444">
        <f>References!$C$38</f>
        <v>980</v>
      </c>
      <c r="K76" s="449">
        <f>References!$C$11</f>
        <v>4.333333333333333</v>
      </c>
      <c r="L76" s="450">
        <f>SUMIF('Grays Harbor Reg Price Out'!$B$12:$B$327,Mapping!C76,'Grays Harbor Reg Price Out'!$AF$12:$AF$328)</f>
        <v>97.042871998490853</v>
      </c>
      <c r="M76" s="450">
        <f t="shared" si="11"/>
        <v>420.51911199346034</v>
      </c>
      <c r="N76" s="439"/>
    </row>
    <row r="77" spans="1:14" s="440" customFormat="1">
      <c r="A77" s="447" t="s">
        <v>97</v>
      </c>
      <c r="B77" s="447" t="s">
        <v>769</v>
      </c>
      <c r="C77" s="447" t="s">
        <v>501</v>
      </c>
      <c r="D77" s="447" t="s">
        <v>498</v>
      </c>
      <c r="E77" s="447" t="s">
        <v>764</v>
      </c>
      <c r="F77" s="448" t="s">
        <v>846</v>
      </c>
      <c r="G77" s="444" t="s">
        <v>793</v>
      </c>
      <c r="H77" s="447" t="str">
        <f t="shared" si="10"/>
        <v>8 yard Permanent</v>
      </c>
      <c r="I77" s="444" t="s">
        <v>766</v>
      </c>
      <c r="J77" s="444">
        <f>References!$C$38</f>
        <v>980</v>
      </c>
      <c r="K77" s="449">
        <f>References!$C$12</f>
        <v>2.1666666666666665</v>
      </c>
      <c r="L77" s="450">
        <f>SUMIF('Grays Harbor Reg Price Out'!$B$12:$B$327,Mapping!C77,'Grays Harbor Reg Price Out'!$AF$12:$AF$328)</f>
        <v>28.429635018419344</v>
      </c>
      <c r="M77" s="450">
        <f t="shared" si="11"/>
        <v>61.597542539908574</v>
      </c>
      <c r="N77" s="439"/>
    </row>
    <row r="78" spans="1:14" s="440" customFormat="1">
      <c r="A78" s="447" t="s">
        <v>97</v>
      </c>
      <c r="B78" s="447" t="s">
        <v>768</v>
      </c>
      <c r="C78" s="447" t="s">
        <v>503</v>
      </c>
      <c r="D78" s="447" t="s">
        <v>503</v>
      </c>
      <c r="E78" s="447" t="s">
        <v>780</v>
      </c>
      <c r="F78" s="448" t="s">
        <v>846</v>
      </c>
      <c r="G78" s="444" t="s">
        <v>881</v>
      </c>
      <c r="H78" s="447" t="str">
        <f t="shared" si="10"/>
        <v>95 Gal Cart per PU</v>
      </c>
      <c r="I78" s="444" t="s">
        <v>119</v>
      </c>
      <c r="J78" s="444">
        <f>References!$C$26</f>
        <v>68</v>
      </c>
      <c r="K78" s="449">
        <f>References!$C$11</f>
        <v>4.333333333333333</v>
      </c>
      <c r="L78" s="450">
        <f>SUMIF('Grays Harbor Reg Price Out'!$B$12:$B$327,Mapping!C78,'Grays Harbor Reg Price Out'!$AF$12:$AF$328)</f>
        <v>361.99195765351453</v>
      </c>
      <c r="M78" s="450">
        <f t="shared" si="11"/>
        <v>1568.6318164985628</v>
      </c>
      <c r="N78" s="439"/>
    </row>
    <row r="79" spans="1:14" s="440" customFormat="1">
      <c r="A79" s="447" t="s">
        <v>97</v>
      </c>
      <c r="B79" s="447" t="s">
        <v>768</v>
      </c>
      <c r="C79" s="447" t="s">
        <v>517</v>
      </c>
      <c r="D79" s="447" t="s">
        <v>503</v>
      </c>
      <c r="E79" s="447" t="s">
        <v>780</v>
      </c>
      <c r="F79" s="448" t="s">
        <v>846</v>
      </c>
      <c r="G79" s="444" t="s">
        <v>881</v>
      </c>
      <c r="H79" s="447" t="str">
        <f t="shared" si="10"/>
        <v>95 Gal Cart per PU</v>
      </c>
      <c r="I79" s="444" t="s">
        <v>119</v>
      </c>
      <c r="J79" s="444">
        <f>References!$C$26</f>
        <v>68</v>
      </c>
      <c r="K79" s="449">
        <f>References!$C$12</f>
        <v>2.1666666666666665</v>
      </c>
      <c r="L79" s="450">
        <f>SUMIF('Grays Harbor Reg Price Out'!$B$12:$B$327,Mapping!C79,'Grays Harbor Reg Price Out'!$AF$12:$AF$328)</f>
        <v>65.555919513336448</v>
      </c>
      <c r="M79" s="450">
        <f t="shared" si="11"/>
        <v>142.03782561222897</v>
      </c>
      <c r="N79" s="439"/>
    </row>
    <row r="80" spans="1:14" s="440" customFormat="1">
      <c r="A80" s="447" t="s">
        <v>97</v>
      </c>
      <c r="B80" s="447" t="s">
        <v>768</v>
      </c>
      <c r="C80" s="447" t="s">
        <v>519</v>
      </c>
      <c r="D80" s="447" t="s">
        <v>503</v>
      </c>
      <c r="E80" s="447" t="s">
        <v>780</v>
      </c>
      <c r="F80" s="448" t="s">
        <v>846</v>
      </c>
      <c r="G80" s="444" t="s">
        <v>881</v>
      </c>
      <c r="H80" s="447" t="str">
        <f t="shared" si="10"/>
        <v>95 Gal Cart per PU</v>
      </c>
      <c r="I80" s="444" t="s">
        <v>119</v>
      </c>
      <c r="J80" s="444">
        <f>References!$C$26</f>
        <v>68</v>
      </c>
      <c r="K80" s="449">
        <f>References!$C$12</f>
        <v>2.1666666666666665</v>
      </c>
      <c r="L80" s="450">
        <f>SUMIF('Grays Harbor Reg Price Out'!$B$12:$B$327,Mapping!C80,'Grays Harbor Reg Price Out'!$AF$12:$AF$328)</f>
        <v>47.552643893308378</v>
      </c>
      <c r="M80" s="450">
        <f t="shared" si="11"/>
        <v>103.03072843550147</v>
      </c>
      <c r="N80" s="439"/>
    </row>
    <row r="81" spans="1:20" s="453" customFormat="1">
      <c r="A81" s="447" t="s">
        <v>97</v>
      </c>
      <c r="B81" s="447" t="s">
        <v>782</v>
      </c>
      <c r="C81" s="447" t="s">
        <v>529</v>
      </c>
      <c r="D81" s="447" t="s">
        <v>845</v>
      </c>
      <c r="E81" s="447" t="s">
        <v>845</v>
      </c>
      <c r="F81" s="448" t="s">
        <v>846</v>
      </c>
      <c r="G81" s="444" t="s">
        <v>844</v>
      </c>
      <c r="H81" s="452" t="str">
        <f t="shared" si="10"/>
        <v>APPLIANCE REMOVAL EXTRA</v>
      </c>
      <c r="I81" s="444" t="s">
        <v>847</v>
      </c>
      <c r="J81" s="444">
        <v>125</v>
      </c>
      <c r="K81" s="449">
        <f>References!$C$14</f>
        <v>1</v>
      </c>
      <c r="L81" s="450">
        <f>SUMIF('Grays Harbor Reg Price Out'!$B$12:$B$327,Mapping!C81,'Grays Harbor Reg Price Out'!$AF$12:$AF$328)</f>
        <v>23.073405535499397</v>
      </c>
      <c r="M81" s="450">
        <f t="shared" ref="M81" si="14">IF(L81=0,K81*12,K81*L81)</f>
        <v>23.073405535499397</v>
      </c>
      <c r="N81" s="439"/>
      <c r="O81" s="440"/>
      <c r="P81" s="440"/>
      <c r="Q81" s="440"/>
      <c r="R81" s="440"/>
      <c r="S81" s="440"/>
      <c r="T81" s="440"/>
    </row>
    <row r="82" spans="1:20" s="454" customFormat="1">
      <c r="A82" s="447" t="s">
        <v>97</v>
      </c>
      <c r="B82" s="447" t="s">
        <v>768</v>
      </c>
      <c r="C82" s="447" t="s">
        <v>531</v>
      </c>
      <c r="D82" s="447" t="s">
        <v>531</v>
      </c>
      <c r="E82" s="447" t="s">
        <v>762</v>
      </c>
      <c r="F82" s="448" t="s">
        <v>846</v>
      </c>
      <c r="G82" s="444" t="s">
        <v>893</v>
      </c>
      <c r="H82" s="447" t="str">
        <f t="shared" si="10"/>
        <v>32 Gal Single Not Grouped</v>
      </c>
      <c r="I82" s="444" t="s">
        <v>762</v>
      </c>
      <c r="J82" s="444">
        <f>References!$C$30</f>
        <v>29</v>
      </c>
      <c r="K82" s="449">
        <f>References!$C$14</f>
        <v>1</v>
      </c>
      <c r="L82" s="450">
        <f>SUMIF('Grays Harbor Reg Price Out'!$B$12:$B$327,Mapping!C82,'Grays Harbor Reg Price Out'!$AF$12:$AF$328)</f>
        <v>10411.334319526628</v>
      </c>
      <c r="M82" s="450">
        <f t="shared" ref="M82:M86" si="15">IF(L82=0,K82*12,K82*L82)</f>
        <v>10411.334319526628</v>
      </c>
      <c r="N82" s="439"/>
      <c r="O82" s="440"/>
      <c r="P82" s="440"/>
      <c r="Q82" s="440"/>
      <c r="R82" s="440"/>
      <c r="S82" s="440"/>
      <c r="T82" s="440"/>
    </row>
    <row r="83" spans="1:20" s="440" customFormat="1">
      <c r="A83" s="447" t="s">
        <v>97</v>
      </c>
      <c r="B83" s="447" t="s">
        <v>768</v>
      </c>
      <c r="C83" s="447" t="s">
        <v>562</v>
      </c>
      <c r="D83" s="447" t="s">
        <v>562</v>
      </c>
      <c r="E83" s="447" t="s">
        <v>868</v>
      </c>
      <c r="F83" s="448" t="s">
        <v>846</v>
      </c>
      <c r="G83" s="444" t="s">
        <v>883</v>
      </c>
      <c r="H83" s="447" t="str">
        <f t="shared" si="10"/>
        <v>32 Gal Can Extra</v>
      </c>
      <c r="I83" s="444" t="s">
        <v>762</v>
      </c>
      <c r="J83" s="444">
        <f>References!$C$30</f>
        <v>29</v>
      </c>
      <c r="K83" s="449">
        <f>References!$C$14</f>
        <v>1</v>
      </c>
      <c r="L83" s="450">
        <f>SUMIF('Grays Harbor Reg Price Out'!$B$12:$B$327,Mapping!C83,'Grays Harbor Reg Price Out'!$AF$12:$AF$328)</f>
        <v>742.32032854209444</v>
      </c>
      <c r="M83" s="450">
        <f t="shared" si="15"/>
        <v>742.32032854209444</v>
      </c>
      <c r="N83" s="439"/>
    </row>
    <row r="84" spans="1:20" s="440" customFormat="1">
      <c r="A84" s="447" t="s">
        <v>97</v>
      </c>
      <c r="B84" s="447" t="s">
        <v>769</v>
      </c>
      <c r="C84" s="447" t="s">
        <v>564</v>
      </c>
      <c r="D84" s="447" t="s">
        <v>564</v>
      </c>
      <c r="E84" s="447" t="s">
        <v>867</v>
      </c>
      <c r="F84" s="448" t="s">
        <v>846</v>
      </c>
      <c r="G84" s="444" t="s">
        <v>880</v>
      </c>
      <c r="H84" s="447" t="str">
        <f t="shared" si="10"/>
        <v>1 - 4 Cubic Yards Loose</v>
      </c>
      <c r="I84" s="444" t="s">
        <v>850</v>
      </c>
      <c r="J84" s="444">
        <f>References!$C$31</f>
        <v>125</v>
      </c>
      <c r="K84" s="449">
        <f>References!$C$14</f>
        <v>1</v>
      </c>
      <c r="L84" s="450">
        <f>SUMIF('Grays Harbor Reg Price Out'!$B$12:$B$327,Mapping!C84,'Grays Harbor Reg Price Out'!$AF$12:$AF$328)</f>
        <v>58.531012404961984</v>
      </c>
      <c r="M84" s="450">
        <f t="shared" si="15"/>
        <v>58.531012404961984</v>
      </c>
      <c r="N84" s="439"/>
    </row>
    <row r="85" spans="1:20" s="440" customFormat="1">
      <c r="A85" s="447" t="s">
        <v>97</v>
      </c>
      <c r="B85" s="447" t="s">
        <v>769</v>
      </c>
      <c r="C85" s="447" t="s">
        <v>609</v>
      </c>
      <c r="D85" s="447" t="s">
        <v>609</v>
      </c>
      <c r="E85" s="447" t="s">
        <v>85</v>
      </c>
      <c r="F85" s="448" t="s">
        <v>846</v>
      </c>
      <c r="G85" s="444" t="s">
        <v>792</v>
      </c>
      <c r="H85" s="447" t="str">
        <f t="shared" ref="H85:H91" si="16">CONCATENATE(E85," ",G85)</f>
        <v>1 yard Special</v>
      </c>
      <c r="I85" s="444" t="s">
        <v>120</v>
      </c>
      <c r="J85" s="444">
        <f>References!C32</f>
        <v>175</v>
      </c>
      <c r="K85" s="449">
        <f>References!$C$14</f>
        <v>1</v>
      </c>
      <c r="L85" s="450">
        <f>SUMIF('Grays Harbor Reg Price Out'!$B$12:$B$327,Mapping!C85,'Grays Harbor Reg Price Out'!$AF$12:$AF$328)</f>
        <v>35.018325443543851</v>
      </c>
      <c r="M85" s="450">
        <f t="shared" si="15"/>
        <v>35.018325443543851</v>
      </c>
      <c r="N85" s="439"/>
    </row>
    <row r="86" spans="1:20" s="440" customFormat="1">
      <c r="A86" s="447" t="s">
        <v>97</v>
      </c>
      <c r="B86" s="447" t="s">
        <v>769</v>
      </c>
      <c r="C86" s="447" t="s">
        <v>611</v>
      </c>
      <c r="D86" s="447" t="s">
        <v>611</v>
      </c>
      <c r="E86" s="447" t="s">
        <v>86</v>
      </c>
      <c r="F86" s="448" t="s">
        <v>846</v>
      </c>
      <c r="G86" s="444" t="s">
        <v>792</v>
      </c>
      <c r="H86" s="447" t="str">
        <f t="shared" si="16"/>
        <v>1.5 yard Special</v>
      </c>
      <c r="I86" s="444" t="s">
        <v>765</v>
      </c>
      <c r="J86" s="444">
        <f>References!C33</f>
        <v>250</v>
      </c>
      <c r="K86" s="449">
        <f>References!$C$14</f>
        <v>1</v>
      </c>
      <c r="L86" s="450">
        <f>SUMIF('Grays Harbor Reg Price Out'!$B$12:$B$327,Mapping!C86,'Grays Harbor Reg Price Out'!$AF$12:$AF$328)</f>
        <v>21</v>
      </c>
      <c r="M86" s="450">
        <f t="shared" si="15"/>
        <v>21</v>
      </c>
      <c r="N86" s="439"/>
    </row>
    <row r="87" spans="1:20" s="440" customFormat="1">
      <c r="A87" s="447" t="s">
        <v>97</v>
      </c>
      <c r="B87" s="447" t="s">
        <v>769</v>
      </c>
      <c r="C87" s="447" t="s">
        <v>613</v>
      </c>
      <c r="D87" s="447" t="s">
        <v>613</v>
      </c>
      <c r="E87" s="447" t="s">
        <v>87</v>
      </c>
      <c r="F87" s="448" t="s">
        <v>846</v>
      </c>
      <c r="G87" s="444" t="s">
        <v>792</v>
      </c>
      <c r="H87" s="447" t="str">
        <f t="shared" si="16"/>
        <v>2 yard Special</v>
      </c>
      <c r="I87" s="444" t="s">
        <v>124</v>
      </c>
      <c r="J87" s="444">
        <f>References!C34</f>
        <v>324</v>
      </c>
      <c r="K87" s="449">
        <f>References!$C$14</f>
        <v>1</v>
      </c>
      <c r="L87" s="450">
        <f>SUMIF('Grays Harbor Reg Price Out'!$B$12:$B$327,Mapping!C87,'Grays Harbor Reg Price Out'!$AF$12:$AF$328)</f>
        <v>28.024206562668102</v>
      </c>
      <c r="M87" s="450">
        <f t="shared" ref="M87:M91" si="17">IF(L87=0,K87*12,K87*L87)</f>
        <v>28.024206562668102</v>
      </c>
      <c r="N87" s="439"/>
    </row>
    <row r="88" spans="1:20" s="440" customFormat="1">
      <c r="A88" s="447" t="s">
        <v>97</v>
      </c>
      <c r="B88" s="447" t="s">
        <v>769</v>
      </c>
      <c r="C88" s="447" t="s">
        <v>615</v>
      </c>
      <c r="D88" s="447" t="s">
        <v>615</v>
      </c>
      <c r="E88" s="447" t="s">
        <v>90</v>
      </c>
      <c r="F88" s="448" t="s">
        <v>846</v>
      </c>
      <c r="G88" s="444" t="s">
        <v>792</v>
      </c>
      <c r="H88" s="447" t="str">
        <f t="shared" si="16"/>
        <v>3 yard Special</v>
      </c>
      <c r="I88" s="444" t="s">
        <v>123</v>
      </c>
      <c r="J88" s="444">
        <f>References!C35</f>
        <v>473</v>
      </c>
      <c r="K88" s="449">
        <f>References!$C$14</f>
        <v>1</v>
      </c>
      <c r="L88" s="450">
        <f>SUMIF('Grays Harbor Reg Price Out'!$B$12:$B$327,Mapping!C88,'Grays Harbor Reg Price Out'!$AF$12:$AF$328)</f>
        <v>42.018619497273576</v>
      </c>
      <c r="M88" s="450">
        <f t="shared" si="17"/>
        <v>42.018619497273576</v>
      </c>
      <c r="N88" s="439"/>
    </row>
    <row r="89" spans="1:20" s="440" customFormat="1">
      <c r="A89" s="447" t="s">
        <v>97</v>
      </c>
      <c r="B89" s="447" t="s">
        <v>769</v>
      </c>
      <c r="C89" s="447" t="s">
        <v>617</v>
      </c>
      <c r="D89" s="447" t="s">
        <v>617</v>
      </c>
      <c r="E89" s="447" t="s">
        <v>88</v>
      </c>
      <c r="F89" s="448" t="s">
        <v>846</v>
      </c>
      <c r="G89" s="444" t="s">
        <v>792</v>
      </c>
      <c r="H89" s="447" t="str">
        <f t="shared" si="16"/>
        <v>4 yard Special</v>
      </c>
      <c r="I89" s="444" t="s">
        <v>121</v>
      </c>
      <c r="J89" s="444">
        <f>References!C36</f>
        <v>613</v>
      </c>
      <c r="K89" s="449">
        <f>References!$C$14</f>
        <v>1</v>
      </c>
      <c r="L89" s="450">
        <f>SUMIF('Grays Harbor Reg Price Out'!$B$12:$B$327,Mapping!C89,'Grays Harbor Reg Price Out'!$AF$12:$AF$328)</f>
        <v>16.005455647605576</v>
      </c>
      <c r="M89" s="450">
        <f t="shared" si="17"/>
        <v>16.005455647605576</v>
      </c>
      <c r="N89" s="439"/>
    </row>
    <row r="90" spans="1:20" s="440" customFormat="1">
      <c r="A90" s="447" t="s">
        <v>97</v>
      </c>
      <c r="B90" s="447" t="s">
        <v>769</v>
      </c>
      <c r="C90" s="447" t="s">
        <v>619</v>
      </c>
      <c r="D90" s="447" t="s">
        <v>619</v>
      </c>
      <c r="E90" s="447" t="s">
        <v>89</v>
      </c>
      <c r="F90" s="448" t="s">
        <v>846</v>
      </c>
      <c r="G90" s="444" t="s">
        <v>792</v>
      </c>
      <c r="H90" s="447" t="str">
        <f t="shared" si="16"/>
        <v>6 yard Special</v>
      </c>
      <c r="I90" s="444" t="s">
        <v>122</v>
      </c>
      <c r="J90" s="444">
        <f>References!C37</f>
        <v>840</v>
      </c>
      <c r="K90" s="449">
        <f>References!$C$14</f>
        <v>1</v>
      </c>
      <c r="L90" s="450">
        <f>SUMIF('Grays Harbor Reg Price Out'!$B$12:$B$327,Mapping!C90,'Grays Harbor Reg Price Out'!$AF$12:$AF$328)</f>
        <v>8</v>
      </c>
      <c r="M90" s="450">
        <f t="shared" si="17"/>
        <v>8</v>
      </c>
      <c r="N90" s="439"/>
    </row>
    <row r="91" spans="1:20" s="440" customFormat="1">
      <c r="A91" s="447" t="s">
        <v>97</v>
      </c>
      <c r="B91" s="447" t="s">
        <v>769</v>
      </c>
      <c r="C91" s="447" t="s">
        <v>621</v>
      </c>
      <c r="D91" s="447" t="s">
        <v>621</v>
      </c>
      <c r="E91" s="447" t="s">
        <v>764</v>
      </c>
      <c r="F91" s="448" t="s">
        <v>846</v>
      </c>
      <c r="G91" s="444" t="s">
        <v>792</v>
      </c>
      <c r="H91" s="447" t="str">
        <f t="shared" si="16"/>
        <v>8 yard Special</v>
      </c>
      <c r="I91" s="444" t="s">
        <v>766</v>
      </c>
      <c r="J91" s="444">
        <f>References!C38</f>
        <v>980</v>
      </c>
      <c r="K91" s="449">
        <f>References!$C$14</f>
        <v>1</v>
      </c>
      <c r="L91" s="450">
        <f>SUMIF('Grays Harbor Reg Price Out'!$B$12:$B$327,Mapping!C91,'Grays Harbor Reg Price Out'!$AF$12:$AF$328)</f>
        <v>4</v>
      </c>
      <c r="M91" s="450">
        <f t="shared" si="17"/>
        <v>4</v>
      </c>
      <c r="N91" s="439"/>
    </row>
    <row r="92" spans="1:20" ht="15.75" thickBot="1">
      <c r="K92" s="387"/>
      <c r="L92" s="388" t="s">
        <v>873</v>
      </c>
      <c r="M92" s="389">
        <f>SUM(M2:M91)</f>
        <v>298339.23805990786</v>
      </c>
    </row>
    <row r="93" spans="1:20" ht="15.75" thickTop="1"/>
  </sheetData>
  <autoFilter ref="A1:M91"/>
  <pageMargins left="0.2" right="0.2" top="0.25" bottom="0.25" header="0.3" footer="0.3"/>
  <pageSetup scale="40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AL57"/>
  <sheetViews>
    <sheetView view="pageBreakPreview" zoomScale="60" zoomScaleNormal="100" workbookViewId="0">
      <selection activeCell="Y47" sqref="Y47"/>
    </sheetView>
  </sheetViews>
  <sheetFormatPr defaultRowHeight="15"/>
  <cols>
    <col min="1" max="1" width="5" bestFit="1" customWidth="1"/>
    <col min="2" max="2" width="7.5703125" bestFit="1" customWidth="1"/>
    <col min="3" max="3" width="7.42578125" bestFit="1" customWidth="1"/>
    <col min="4" max="4" width="7" bestFit="1" customWidth="1"/>
    <col min="5" max="5" width="14.42578125" style="326" bestFit="1" customWidth="1"/>
    <col min="6" max="6" width="12.85546875" bestFit="1" customWidth="1"/>
    <col min="7" max="8" width="9.5703125" bestFit="1" customWidth="1"/>
    <col min="9" max="9" width="10.5703125" bestFit="1" customWidth="1"/>
    <col min="10" max="10" width="12.85546875" bestFit="1" customWidth="1"/>
    <col min="11" max="11" width="9.42578125" bestFit="1" customWidth="1"/>
    <col min="12" max="12" width="9.5703125" customWidth="1"/>
    <col min="13" max="13" width="9.5703125" style="1" bestFit="1" customWidth="1"/>
    <col min="14" max="14" width="10.7109375" bestFit="1" customWidth="1"/>
    <col min="15" max="15" width="10.5703125" style="23" bestFit="1" customWidth="1"/>
    <col min="16" max="16" width="13.28515625" bestFit="1" customWidth="1"/>
    <col min="17" max="17" width="13.28515625" style="1" customWidth="1"/>
    <col min="18" max="18" width="13.28515625" customWidth="1"/>
    <col min="19" max="19" width="14.28515625" bestFit="1" customWidth="1"/>
    <col min="20" max="20" width="14.28515625" customWidth="1"/>
    <col min="21" max="22" width="14.28515625" bestFit="1" customWidth="1"/>
    <col min="23" max="23" width="11.5703125" bestFit="1" customWidth="1"/>
    <col min="24" max="24" width="15.85546875" bestFit="1" customWidth="1"/>
    <col min="25" max="25" width="12" bestFit="1" customWidth="1"/>
    <col min="26" max="26" width="12.5703125" bestFit="1" customWidth="1"/>
    <col min="27" max="28" width="13.28515625" customWidth="1"/>
    <col min="30" max="30" width="15.5703125" bestFit="1" customWidth="1"/>
    <col min="31" max="32" width="9" bestFit="1" customWidth="1"/>
    <col min="49" max="57" width="9.140625" customWidth="1"/>
    <col min="58" max="58" width="9.5703125" bestFit="1" customWidth="1"/>
  </cols>
  <sheetData>
    <row r="3" spans="1:38">
      <c r="A3" s="368" t="s">
        <v>843</v>
      </c>
      <c r="Q3" s="494" t="s">
        <v>842</v>
      </c>
      <c r="R3" s="494"/>
      <c r="S3" s="494"/>
      <c r="T3" s="494"/>
      <c r="U3" s="494"/>
      <c r="V3" s="494"/>
      <c r="X3" s="495" t="s">
        <v>841</v>
      </c>
      <c r="Y3" s="495"/>
      <c r="Z3" s="495"/>
      <c r="AA3" s="495"/>
      <c r="AB3" s="495"/>
    </row>
    <row r="4" spans="1:38" ht="45" customHeight="1">
      <c r="D4" s="320"/>
      <c r="E4" s="367" t="s">
        <v>840</v>
      </c>
      <c r="F4" s="365" t="s">
        <v>839</v>
      </c>
      <c r="G4" s="365" t="s">
        <v>838</v>
      </c>
      <c r="H4" s="365" t="s">
        <v>837</v>
      </c>
      <c r="I4" s="365" t="s">
        <v>836</v>
      </c>
      <c r="J4" s="365" t="s">
        <v>835</v>
      </c>
      <c r="K4" s="365" t="s">
        <v>834</v>
      </c>
      <c r="L4" s="365" t="s">
        <v>833</v>
      </c>
      <c r="M4" s="366" t="s">
        <v>832</v>
      </c>
      <c r="N4" s="365" t="s">
        <v>831</v>
      </c>
      <c r="O4" s="320" t="s">
        <v>830</v>
      </c>
      <c r="Q4" s="364" t="s">
        <v>826</v>
      </c>
      <c r="R4" s="364" t="s">
        <v>825</v>
      </c>
      <c r="S4" s="364" t="s">
        <v>829</v>
      </c>
      <c r="T4" s="364" t="s">
        <v>828</v>
      </c>
      <c r="U4" s="364" t="s">
        <v>827</v>
      </c>
      <c r="V4" s="364" t="s">
        <v>760</v>
      </c>
      <c r="X4" s="364" t="s">
        <v>826</v>
      </c>
      <c r="Y4" s="364" t="s">
        <v>825</v>
      </c>
      <c r="Z4" s="364" t="s">
        <v>824</v>
      </c>
      <c r="AA4" s="337" t="s">
        <v>823</v>
      </c>
      <c r="AB4" s="337" t="s">
        <v>760</v>
      </c>
    </row>
    <row r="5" spans="1:38">
      <c r="A5" s="334">
        <v>2020</v>
      </c>
      <c r="B5" s="23" t="s">
        <v>822</v>
      </c>
      <c r="C5" s="23" t="s">
        <v>165</v>
      </c>
      <c r="D5" s="355" t="s">
        <v>810</v>
      </c>
      <c r="E5" s="326">
        <v>386.13</v>
      </c>
      <c r="F5" s="363">
        <v>32.71</v>
      </c>
      <c r="G5" s="363">
        <v>62.6</v>
      </c>
      <c r="H5" s="363">
        <v>609.11</v>
      </c>
      <c r="I5" s="363">
        <v>41.46</v>
      </c>
      <c r="J5" s="363">
        <v>74.290000000000006</v>
      </c>
      <c r="K5" s="363">
        <v>14.09</v>
      </c>
      <c r="L5" s="363">
        <v>180.68</v>
      </c>
      <c r="M5" s="27">
        <v>76.590091180505112</v>
      </c>
      <c r="N5" s="363">
        <v>51.78</v>
      </c>
      <c r="O5" s="345">
        <f>SUM(E5:N5)</f>
        <v>1529.4400911805051</v>
      </c>
      <c r="Q5" s="1">
        <f>+SUM(E5:L5,N5)</f>
        <v>1452.85</v>
      </c>
      <c r="R5" s="347">
        <f>+$G$55</f>
        <v>106.77</v>
      </c>
      <c r="S5" s="347">
        <f>+Q5*R5</f>
        <v>155120.79449999999</v>
      </c>
      <c r="T5" s="347">
        <f>+'[16]PT Disposal per Price Out'!B23</f>
        <v>54661.38</v>
      </c>
      <c r="U5" s="347">
        <f>'[16]40139 JE Query'!D48</f>
        <v>281757.58</v>
      </c>
      <c r="V5" s="347">
        <f>SUM(S5:T6)-U5</f>
        <v>-584.71270000003278</v>
      </c>
      <c r="X5" s="180">
        <f>+M5</f>
        <v>76.590091180505112</v>
      </c>
      <c r="Y5" s="347">
        <f>+$G$56</f>
        <v>123.93</v>
      </c>
      <c r="Z5" s="347">
        <f>+X5*Y5</f>
        <v>9491.81</v>
      </c>
      <c r="AA5" s="347">
        <f>+'[16]40101 JE Query'!D69</f>
        <v>9491.81</v>
      </c>
      <c r="AB5" s="347">
        <f>SUM(Z5:Z6)-AA5</f>
        <v>0</v>
      </c>
    </row>
    <row r="6" spans="1:38">
      <c r="C6" s="23" t="s">
        <v>165</v>
      </c>
      <c r="D6" s="354" t="s">
        <v>809</v>
      </c>
      <c r="E6" s="326">
        <v>266.02</v>
      </c>
      <c r="F6" s="363">
        <v>2.72</v>
      </c>
      <c r="G6" s="363">
        <v>56.77</v>
      </c>
      <c r="H6" s="363">
        <v>166.55</v>
      </c>
      <c r="I6" s="363">
        <v>17.579999999999998</v>
      </c>
      <c r="J6" s="363">
        <v>9.4</v>
      </c>
      <c r="K6" s="363">
        <v>0.83</v>
      </c>
      <c r="L6" s="363">
        <v>88.5</v>
      </c>
      <c r="M6" s="27"/>
      <c r="N6" s="363">
        <v>60.27</v>
      </c>
      <c r="O6" s="345">
        <f>SUM(E6:N6)</f>
        <v>668.64</v>
      </c>
      <c r="Q6" s="1">
        <f>+SUM(E6:L6,N6)</f>
        <v>668.64</v>
      </c>
      <c r="R6" s="347">
        <f>+$G$55</f>
        <v>106.77</v>
      </c>
      <c r="S6" s="347">
        <f>+Q6*R6</f>
        <v>71390.69279999999</v>
      </c>
      <c r="T6" s="347"/>
      <c r="U6" s="347"/>
      <c r="V6" s="347"/>
      <c r="X6" s="180">
        <f>+M6</f>
        <v>0</v>
      </c>
      <c r="Y6" s="347">
        <f>+$G$56</f>
        <v>123.93</v>
      </c>
      <c r="Z6" s="347">
        <f>+X6*Y6</f>
        <v>0</v>
      </c>
      <c r="AA6" s="347"/>
      <c r="AB6" s="347">
        <f>Z6-AA6</f>
        <v>0</v>
      </c>
    </row>
    <row r="7" spans="1:38">
      <c r="O7" s="345"/>
    </row>
    <row r="8" spans="1:38">
      <c r="B8" s="23" t="s">
        <v>821</v>
      </c>
      <c r="C8" s="23" t="s">
        <v>165</v>
      </c>
      <c r="D8" s="355" t="s">
        <v>810</v>
      </c>
      <c r="E8" s="353">
        <v>381.01000000000005</v>
      </c>
      <c r="F8" s="361">
        <v>43.8</v>
      </c>
      <c r="G8" s="361">
        <v>63.379999999999995</v>
      </c>
      <c r="H8" s="361">
        <v>570.30999999999995</v>
      </c>
      <c r="I8" s="361">
        <v>45.84</v>
      </c>
      <c r="J8" s="361">
        <v>110.07</v>
      </c>
      <c r="K8" s="361">
        <v>14.98</v>
      </c>
      <c r="L8" s="361">
        <v>179.32</v>
      </c>
      <c r="M8" s="1">
        <v>92.008069071249892</v>
      </c>
      <c r="N8" s="361">
        <v>40.760000000000005</v>
      </c>
      <c r="O8" s="345">
        <f>SUM(E8:N8)</f>
        <v>1541.4780690712496</v>
      </c>
      <c r="Q8" s="1">
        <f>+SUM(E8:L8,N8)</f>
        <v>1449.4699999999998</v>
      </c>
      <c r="R8" s="347">
        <f>+$G$55</f>
        <v>106.77</v>
      </c>
      <c r="S8" s="347">
        <f>+Q8*R8</f>
        <v>154759.91189999998</v>
      </c>
      <c r="T8" s="347">
        <f>+'[16]PT Disposal per Price Out'!C23</f>
        <v>66912.239999999991</v>
      </c>
      <c r="U8" s="347">
        <f>'[16]40139 JE Query'!D50</f>
        <v>304007.58</v>
      </c>
      <c r="V8" s="347">
        <f>SUM(S8:T9)-U8</f>
        <v>-6303.4434000000474</v>
      </c>
      <c r="X8" s="180">
        <f>+M8</f>
        <v>92.008069071249892</v>
      </c>
      <c r="Y8" s="347">
        <f>+$G$56</f>
        <v>123.93</v>
      </c>
      <c r="Z8" s="347">
        <f>+X8*Y8</f>
        <v>11402.56</v>
      </c>
      <c r="AA8" s="347">
        <f>+'[16]40101 JE Query'!D71</f>
        <v>11402.56</v>
      </c>
      <c r="AB8" s="347">
        <f>SUM(Z8:Z9)-AA8</f>
        <v>0</v>
      </c>
    </row>
    <row r="9" spans="1:38">
      <c r="C9" s="23" t="s">
        <v>165</v>
      </c>
      <c r="D9" s="354" t="s">
        <v>809</v>
      </c>
      <c r="E9" s="353">
        <v>277.52000000000004</v>
      </c>
      <c r="F9" s="361">
        <v>2.8600000000000003</v>
      </c>
      <c r="G9" s="361">
        <v>50.499999999999993</v>
      </c>
      <c r="H9" s="361">
        <v>167.45</v>
      </c>
      <c r="I9" s="361">
        <v>15.84</v>
      </c>
      <c r="J9" s="361">
        <v>10.55</v>
      </c>
      <c r="K9" s="361">
        <v>0.82000000000000006</v>
      </c>
      <c r="L9" s="361">
        <v>120.61</v>
      </c>
      <c r="N9" s="361">
        <v>65.959999999999994</v>
      </c>
      <c r="O9" s="345">
        <f>SUM(E9:N9)</f>
        <v>712.11000000000013</v>
      </c>
      <c r="Q9" s="1">
        <f>+SUM(E9:L9,N9)</f>
        <v>712.11000000000013</v>
      </c>
      <c r="R9" s="347">
        <f>+$G$55</f>
        <v>106.77</v>
      </c>
      <c r="S9" s="347">
        <f>+Q9*R9</f>
        <v>76031.984700000015</v>
      </c>
      <c r="T9" s="347"/>
      <c r="U9" s="347"/>
      <c r="V9" s="347"/>
      <c r="X9" s="180">
        <f>+M9</f>
        <v>0</v>
      </c>
      <c r="Y9" s="347">
        <f>+$G$56</f>
        <v>123.93</v>
      </c>
      <c r="Z9" s="347">
        <f>+X9*Y9</f>
        <v>0</v>
      </c>
      <c r="AA9" s="347"/>
      <c r="AB9" s="347">
        <f>Z9-AA9</f>
        <v>0</v>
      </c>
    </row>
    <row r="11" spans="1:38">
      <c r="B11" s="23" t="s">
        <v>820</v>
      </c>
      <c r="C11" s="23" t="s">
        <v>165</v>
      </c>
      <c r="D11" s="355" t="s">
        <v>810</v>
      </c>
      <c r="E11" s="353">
        <v>406.63</v>
      </c>
      <c r="F11" s="361">
        <v>48.27</v>
      </c>
      <c r="G11" s="361">
        <v>79.69</v>
      </c>
      <c r="H11" s="361">
        <v>617.54</v>
      </c>
      <c r="I11" s="361">
        <v>45.69</v>
      </c>
      <c r="J11" s="361">
        <v>84.76</v>
      </c>
      <c r="K11" s="361">
        <v>14.73</v>
      </c>
      <c r="L11" s="361">
        <v>181.91</v>
      </c>
      <c r="M11" s="1">
        <v>116.91011054627612</v>
      </c>
      <c r="N11" s="361">
        <v>54.67</v>
      </c>
      <c r="O11" s="345">
        <f>SUM(E11:N11)</f>
        <v>1650.8001105462763</v>
      </c>
      <c r="Q11" s="1">
        <f>+SUM(E11:L11,N11)</f>
        <v>1533.89</v>
      </c>
      <c r="R11" s="347">
        <f>+$G$55</f>
        <v>106.77</v>
      </c>
      <c r="S11" s="347">
        <f>+Q11*R11</f>
        <v>163773.43530000001</v>
      </c>
      <c r="T11" s="347">
        <f>+'[16]PT Disposal per Price Out'!D23</f>
        <v>73726.48</v>
      </c>
      <c r="U11" s="347">
        <f>'[16]40139 JE Query'!D53</f>
        <v>339280.78</v>
      </c>
      <c r="V11" s="347">
        <f>SUM(S11:T12)-U11</f>
        <v>-3541.7877000000444</v>
      </c>
      <c r="X11" s="180">
        <f>+M11</f>
        <v>116.91011054627612</v>
      </c>
      <c r="Y11" s="347">
        <f>+$G$56</f>
        <v>123.93</v>
      </c>
      <c r="Z11" s="347">
        <f>+X11*Y11</f>
        <v>14488.67</v>
      </c>
      <c r="AA11" s="347">
        <f>+'[16]40101 JE Query'!D73</f>
        <v>14488.67</v>
      </c>
      <c r="AB11" s="347">
        <f>SUM(Z11:Z12)-AA11</f>
        <v>0</v>
      </c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C12" s="23" t="s">
        <v>165</v>
      </c>
      <c r="D12" s="354" t="s">
        <v>809</v>
      </c>
      <c r="E12" s="353">
        <v>357.05</v>
      </c>
      <c r="F12" s="361">
        <v>7.11</v>
      </c>
      <c r="G12" s="361">
        <v>50.99</v>
      </c>
      <c r="H12" s="361">
        <v>188.7</v>
      </c>
      <c r="I12" s="361">
        <v>15.37</v>
      </c>
      <c r="J12" s="361">
        <v>8.2200000000000006</v>
      </c>
      <c r="K12" s="361">
        <v>1.23</v>
      </c>
      <c r="L12" s="361">
        <v>180.39</v>
      </c>
      <c r="N12" s="361">
        <v>111.04</v>
      </c>
      <c r="O12" s="345">
        <f>SUM(E12:N12)</f>
        <v>920.1</v>
      </c>
      <c r="Q12" s="1">
        <f>+SUM(E12:L12,N12)</f>
        <v>920.1</v>
      </c>
      <c r="R12" s="347">
        <f>+$G$55</f>
        <v>106.77</v>
      </c>
      <c r="S12" s="347">
        <f>+Q12*R12</f>
        <v>98239.077000000005</v>
      </c>
      <c r="T12" s="347"/>
      <c r="U12" s="347"/>
      <c r="V12" s="347"/>
      <c r="X12" s="180">
        <f>+M12</f>
        <v>0</v>
      </c>
      <c r="Y12" s="347">
        <f>+$G$56</f>
        <v>123.93</v>
      </c>
      <c r="Z12" s="347">
        <f>+X12*Y12</f>
        <v>0</v>
      </c>
      <c r="AA12" s="347"/>
      <c r="AB12" s="347">
        <f>Z12-AA12</f>
        <v>0</v>
      </c>
    </row>
    <row r="14" spans="1:38">
      <c r="B14" s="23" t="s">
        <v>819</v>
      </c>
      <c r="C14" s="23" t="s">
        <v>165</v>
      </c>
      <c r="D14" s="355" t="s">
        <v>810</v>
      </c>
      <c r="E14" s="353">
        <v>410.78</v>
      </c>
      <c r="F14" s="361">
        <v>47.02</v>
      </c>
      <c r="G14" s="361">
        <v>95.1</v>
      </c>
      <c r="H14" s="361">
        <v>628.52</v>
      </c>
      <c r="I14" s="361">
        <v>55.49</v>
      </c>
      <c r="J14" s="361">
        <v>92.1</v>
      </c>
      <c r="K14" s="361">
        <v>17.010000000000002</v>
      </c>
      <c r="L14" s="361">
        <v>217.09</v>
      </c>
      <c r="M14" s="1">
        <v>96.589768417655122</v>
      </c>
      <c r="N14" s="361">
        <v>65.319999999999993</v>
      </c>
      <c r="O14" s="345">
        <f>SUM(E14:N14)</f>
        <v>1725.0197684176549</v>
      </c>
      <c r="Q14" s="1">
        <f>+SUM(E14:L14,N14)</f>
        <v>1628.4299999999998</v>
      </c>
      <c r="R14" s="347">
        <f>+$G$55</f>
        <v>106.77</v>
      </c>
      <c r="S14" s="347">
        <f>+Q14*R14</f>
        <v>173867.47109999997</v>
      </c>
      <c r="T14" s="347">
        <f>+'[16]PT Disposal per Price Out'!E23</f>
        <v>90979.839999999997</v>
      </c>
      <c r="U14" s="347">
        <f>'[16]40139 JE Query'!D55</f>
        <v>377395.12</v>
      </c>
      <c r="V14" s="347">
        <f>SUM(S14:T15)-U14</f>
        <v>-5.8227000000770204</v>
      </c>
      <c r="X14" s="180">
        <f>+M14</f>
        <v>96.589768417655122</v>
      </c>
      <c r="Y14" s="347">
        <f>+$G$56</f>
        <v>123.93</v>
      </c>
      <c r="Z14" s="347">
        <f>+X14*Y14</f>
        <v>11970.37</v>
      </c>
      <c r="AA14" s="347">
        <f>+'[16]40101 JE Query'!D75</f>
        <v>11970.37</v>
      </c>
      <c r="AB14" s="347">
        <f>SUM(Z14:Z15)-AA14</f>
        <v>0</v>
      </c>
    </row>
    <row r="15" spans="1:38">
      <c r="C15" s="23" t="s">
        <v>165</v>
      </c>
      <c r="D15" s="354" t="s">
        <v>809</v>
      </c>
      <c r="E15" s="353">
        <v>361.99</v>
      </c>
      <c r="F15" s="361">
        <v>3.29</v>
      </c>
      <c r="G15" s="361">
        <v>58.62</v>
      </c>
      <c r="H15" s="361">
        <v>237.34</v>
      </c>
      <c r="I15" s="361">
        <v>20.73</v>
      </c>
      <c r="J15" s="361">
        <v>8.24</v>
      </c>
      <c r="K15" s="361">
        <v>1.31</v>
      </c>
      <c r="L15" s="361">
        <v>244.48</v>
      </c>
      <c r="N15" s="361">
        <v>118.06</v>
      </c>
      <c r="O15" s="345">
        <f>SUM(E15:N15)</f>
        <v>1054.06</v>
      </c>
      <c r="Q15" s="1">
        <f>+SUM(E15:L15,N15)</f>
        <v>1054.06</v>
      </c>
      <c r="R15" s="347">
        <f>+$G$55</f>
        <v>106.77</v>
      </c>
      <c r="S15" s="347">
        <f>+Q15*R15</f>
        <v>112541.98619999998</v>
      </c>
      <c r="T15" s="347"/>
      <c r="U15" s="347"/>
      <c r="V15" s="347"/>
      <c r="X15" s="180">
        <f>+M15</f>
        <v>0</v>
      </c>
      <c r="Y15" s="347">
        <f>+$G$56</f>
        <v>123.93</v>
      </c>
      <c r="Z15" s="347">
        <f>+X15*Y15</f>
        <v>0</v>
      </c>
      <c r="AA15" s="347"/>
      <c r="AB15" s="347">
        <f>Z15-AA15</f>
        <v>0</v>
      </c>
    </row>
    <row r="17" spans="1:28">
      <c r="B17" s="23" t="s">
        <v>818</v>
      </c>
      <c r="C17" s="23" t="s">
        <v>165</v>
      </c>
      <c r="D17" s="355" t="s">
        <v>810</v>
      </c>
      <c r="E17" s="353">
        <v>372.84</v>
      </c>
      <c r="F17" s="361">
        <v>34.9</v>
      </c>
      <c r="G17" s="361">
        <v>63.48</v>
      </c>
      <c r="H17" s="361">
        <v>601.39</v>
      </c>
      <c r="I17" s="361">
        <v>42.87</v>
      </c>
      <c r="J17" s="361">
        <v>95.93</v>
      </c>
      <c r="K17" s="361">
        <v>13.95</v>
      </c>
      <c r="L17" s="361">
        <v>212.96</v>
      </c>
      <c r="M17" s="1">
        <v>91.231098200597103</v>
      </c>
      <c r="N17" s="361">
        <v>58.41</v>
      </c>
      <c r="O17" s="345">
        <f>SUM(E17:N17)</f>
        <v>1587.9610982005972</v>
      </c>
      <c r="Q17" s="1">
        <f>+SUM(E17:L17,N17)</f>
        <v>1496.73</v>
      </c>
      <c r="R17" s="347">
        <f>+$G$55</f>
        <v>106.77</v>
      </c>
      <c r="S17" s="347">
        <f>+Q17*R17</f>
        <v>159805.8621</v>
      </c>
      <c r="T17" s="347">
        <f>+'[16]PT Disposal per Price Out'!F23</f>
        <v>79508.28</v>
      </c>
      <c r="U17" s="347">
        <f>'[16]40139 JE Query'!D57</f>
        <v>346858.02</v>
      </c>
      <c r="V17" s="347">
        <f>SUM(S17:T18)-U17</f>
        <v>-1123.015800000052</v>
      </c>
      <c r="X17" s="180">
        <f>+M17</f>
        <v>91.231098200597103</v>
      </c>
      <c r="Y17" s="347">
        <f>+$G$56</f>
        <v>123.93</v>
      </c>
      <c r="Z17" s="347">
        <f>+X17*Y17</f>
        <v>11306.27</v>
      </c>
      <c r="AA17" s="347">
        <f>+'[16]40101 JE Query'!D77</f>
        <v>11306.269999999999</v>
      </c>
      <c r="AB17" s="347">
        <f>SUM(Z17:Z18)-AA17</f>
        <v>0</v>
      </c>
    </row>
    <row r="18" spans="1:28">
      <c r="C18" s="23" t="s">
        <v>165</v>
      </c>
      <c r="D18" s="354" t="s">
        <v>809</v>
      </c>
      <c r="E18" s="353">
        <v>324.99</v>
      </c>
      <c r="F18" s="361">
        <v>3.59</v>
      </c>
      <c r="G18" s="361">
        <v>48.27</v>
      </c>
      <c r="H18" s="361">
        <v>233.95</v>
      </c>
      <c r="I18" s="361">
        <v>16.3</v>
      </c>
      <c r="J18" s="361">
        <v>10.86</v>
      </c>
      <c r="K18" s="361">
        <v>1.21</v>
      </c>
      <c r="L18" s="361">
        <v>238.7</v>
      </c>
      <c r="N18" s="361">
        <v>118.86</v>
      </c>
      <c r="O18" s="345">
        <f>SUM(E18:N18)</f>
        <v>996.7299999999999</v>
      </c>
      <c r="Q18" s="1">
        <f>+SUM(E18:L18,N18)</f>
        <v>996.7299999999999</v>
      </c>
      <c r="R18" s="347">
        <f>+$G$55</f>
        <v>106.77</v>
      </c>
      <c r="S18" s="347">
        <f>+Q18*R18</f>
        <v>106420.86209999998</v>
      </c>
      <c r="T18" s="347"/>
      <c r="U18" s="347"/>
      <c r="V18" s="347"/>
      <c r="X18" s="180">
        <f>+M18</f>
        <v>0</v>
      </c>
      <c r="Y18" s="347">
        <f>+$G$56</f>
        <v>123.93</v>
      </c>
      <c r="Z18" s="347">
        <f>+X18*Y18</f>
        <v>0</v>
      </c>
      <c r="AA18" s="347"/>
      <c r="AB18" s="347">
        <f>Z18-AA18</f>
        <v>0</v>
      </c>
    </row>
    <row r="20" spans="1:28">
      <c r="B20" s="23" t="s">
        <v>817</v>
      </c>
      <c r="C20" s="23" t="s">
        <v>165</v>
      </c>
      <c r="D20" s="355" t="s">
        <v>810</v>
      </c>
      <c r="E20" s="362">
        <f>396.64+451.95</f>
        <v>848.58999999999992</v>
      </c>
      <c r="F20" s="361">
        <v>43.57</v>
      </c>
      <c r="G20" s="361">
        <v>80.489999999999995</v>
      </c>
      <c r="H20" s="361">
        <v>674.81</v>
      </c>
      <c r="I20" s="361">
        <v>43.22</v>
      </c>
      <c r="J20" s="361">
        <v>86.39</v>
      </c>
      <c r="K20" s="361">
        <v>16.989999999999998</v>
      </c>
      <c r="L20" s="361">
        <v>199.59</v>
      </c>
      <c r="M20" s="1">
        <v>98.192124586460096</v>
      </c>
      <c r="N20" s="361">
        <v>71.569999999999993</v>
      </c>
      <c r="O20" s="345">
        <f>SUM(E20:N20)</f>
        <v>2163.4121245864603</v>
      </c>
      <c r="Q20" s="1">
        <f>+SUM(E20:L20,N20)</f>
        <v>2065.2200000000003</v>
      </c>
      <c r="R20" s="347">
        <f>+$G$55</f>
        <v>106.77</v>
      </c>
      <c r="S20" s="347">
        <f>+Q20*R20</f>
        <v>220503.53940000001</v>
      </c>
      <c r="T20" s="347">
        <f>+'[16]PT Disposal per Price Out'!G23</f>
        <v>83910.739999999991</v>
      </c>
      <c r="U20" s="347">
        <f>'[16]40139 JE Query'!D59</f>
        <v>417354.08</v>
      </c>
      <c r="V20" s="347">
        <f>SUM(S20:T21)-U20</f>
        <v>-4965.4349999999977</v>
      </c>
      <c r="X20" s="180">
        <f>+M20</f>
        <v>98.192124586460096</v>
      </c>
      <c r="Y20" s="347">
        <f>+$G$56</f>
        <v>123.93</v>
      </c>
      <c r="Z20" s="347">
        <f>+X20*Y20</f>
        <v>12168.95</v>
      </c>
      <c r="AA20" s="347">
        <f>+'[16]40101 JE Query'!D83</f>
        <v>12168.95</v>
      </c>
      <c r="AB20" s="347">
        <f>SUM(Z20:Z21)-AA20</f>
        <v>0</v>
      </c>
    </row>
    <row r="21" spans="1:28">
      <c r="C21" s="23" t="s">
        <v>165</v>
      </c>
      <c r="D21" s="354" t="s">
        <v>809</v>
      </c>
      <c r="E21" s="353">
        <v>368.46</v>
      </c>
      <c r="F21" s="361">
        <v>3.7</v>
      </c>
      <c r="G21" s="361">
        <v>47.68</v>
      </c>
      <c r="H21" s="361">
        <v>233.2</v>
      </c>
      <c r="I21" s="361">
        <v>17.14</v>
      </c>
      <c r="J21" s="361">
        <v>7.65</v>
      </c>
      <c r="K21" s="361">
        <v>1.31</v>
      </c>
      <c r="L21" s="361">
        <v>203.08</v>
      </c>
      <c r="N21" s="361">
        <v>129.06</v>
      </c>
      <c r="O21" s="345">
        <f>SUM(E21:N21)</f>
        <v>1011.28</v>
      </c>
      <c r="Q21" s="1">
        <f>+SUM(E21:L21,N21)</f>
        <v>1011.28</v>
      </c>
      <c r="R21" s="347">
        <f>+$G$55</f>
        <v>106.77</v>
      </c>
      <c r="S21" s="347">
        <f>+Q21*R21</f>
        <v>107974.36559999999</v>
      </c>
      <c r="T21" s="347"/>
      <c r="U21" s="347"/>
      <c r="V21" s="347"/>
      <c r="X21" s="180">
        <f>+M21</f>
        <v>0</v>
      </c>
      <c r="Y21" s="347">
        <f>+$G$56</f>
        <v>123.93</v>
      </c>
      <c r="Z21" s="347">
        <f>+X21*Y21</f>
        <v>0</v>
      </c>
      <c r="AA21" s="347"/>
      <c r="AB21" s="347">
        <f>Z21-AA21</f>
        <v>0</v>
      </c>
    </row>
    <row r="23" spans="1:28">
      <c r="B23" s="23" t="s">
        <v>816</v>
      </c>
      <c r="C23" s="23" t="s">
        <v>165</v>
      </c>
      <c r="D23" s="355" t="s">
        <v>810</v>
      </c>
      <c r="E23" s="353">
        <v>373.49</v>
      </c>
      <c r="F23" s="361">
        <v>45.14</v>
      </c>
      <c r="G23" s="361">
        <v>16.66</v>
      </c>
      <c r="H23" s="361">
        <v>612.62</v>
      </c>
      <c r="I23" s="361">
        <v>54.32</v>
      </c>
      <c r="J23" s="361">
        <v>105.2</v>
      </c>
      <c r="K23" s="361">
        <v>17.41</v>
      </c>
      <c r="L23" s="361">
        <v>189.37</v>
      </c>
      <c r="M23" s="1">
        <v>97.097393689986276</v>
      </c>
      <c r="N23" s="361">
        <v>56.28</v>
      </c>
      <c r="O23" s="345">
        <f>SUM(E23:N23)</f>
        <v>1567.5873936899864</v>
      </c>
      <c r="P23" s="361"/>
      <c r="Q23" s="1">
        <f>+SUM(E23:L23,N23)</f>
        <v>1470.49</v>
      </c>
      <c r="R23" s="347">
        <f>+$G$55</f>
        <v>106.77</v>
      </c>
      <c r="S23" s="347">
        <f>+Q23*R23</f>
        <v>157004.21729999999</v>
      </c>
      <c r="T23" s="347">
        <f>+'[16]PT Disposal per Price Out'!H23</f>
        <v>83353.55</v>
      </c>
      <c r="U23" s="347">
        <f>'[16]40139 JE Query'!D61</f>
        <v>352098.03</v>
      </c>
      <c r="V23" s="347">
        <f>SUM(S23:T24)-U23</f>
        <v>-8889.7894000000088</v>
      </c>
      <c r="X23" s="180">
        <f>+M23</f>
        <v>97.097393689986276</v>
      </c>
      <c r="Y23" s="347">
        <f>+$G$56</f>
        <v>123.93</v>
      </c>
      <c r="Z23" s="347">
        <f>+X23*Y23</f>
        <v>12033.28</v>
      </c>
      <c r="AA23" s="347">
        <f>+'[16]40101 JE Query'!D88</f>
        <v>12033.28</v>
      </c>
      <c r="AB23" s="347">
        <f>SUM(Z23:Z24)-AA23</f>
        <v>0</v>
      </c>
    </row>
    <row r="24" spans="1:28">
      <c r="C24" s="23" t="s">
        <v>165</v>
      </c>
      <c r="D24" s="354" t="s">
        <v>809</v>
      </c>
      <c r="E24" s="353">
        <v>368.37</v>
      </c>
      <c r="F24" s="361">
        <v>2.66</v>
      </c>
      <c r="G24" s="361">
        <v>60.96</v>
      </c>
      <c r="H24" s="361">
        <v>220.7</v>
      </c>
      <c r="I24" s="361">
        <v>22.65</v>
      </c>
      <c r="J24" s="361">
        <v>5.55</v>
      </c>
      <c r="K24" s="361">
        <v>1.48</v>
      </c>
      <c r="L24" s="361">
        <v>179.19</v>
      </c>
      <c r="N24" s="361">
        <v>101.73</v>
      </c>
      <c r="O24" s="345">
        <f>SUM(E24:N24)</f>
        <v>963.29</v>
      </c>
      <c r="P24" s="180"/>
      <c r="Q24" s="1">
        <f>+SUM(E24:L24,N24)</f>
        <v>963.29</v>
      </c>
      <c r="R24" s="347">
        <f>+$G$55</f>
        <v>106.77</v>
      </c>
      <c r="S24" s="347">
        <f>+Q24*R24</f>
        <v>102850.4733</v>
      </c>
      <c r="T24" s="347"/>
      <c r="U24" s="347"/>
      <c r="V24" s="347"/>
      <c r="X24" s="180">
        <f>+M24</f>
        <v>0</v>
      </c>
      <c r="Y24" s="347">
        <f>+$G$56</f>
        <v>123.93</v>
      </c>
      <c r="Z24" s="347">
        <f>+X24*Y24</f>
        <v>0</v>
      </c>
      <c r="AA24" s="347"/>
      <c r="AB24" s="347">
        <f>Z24-AA24</f>
        <v>0</v>
      </c>
    </row>
    <row r="26" spans="1:28">
      <c r="B26" s="23" t="s">
        <v>815</v>
      </c>
      <c r="C26" s="23" t="s">
        <v>165</v>
      </c>
      <c r="D26" s="355" t="s">
        <v>810</v>
      </c>
      <c r="E26" s="353">
        <v>374.87</v>
      </c>
      <c r="F26" s="361">
        <v>47.26</v>
      </c>
      <c r="G26" s="361">
        <v>61.57</v>
      </c>
      <c r="H26" s="361">
        <v>592.38</v>
      </c>
      <c r="I26" s="361">
        <v>57.82</v>
      </c>
      <c r="J26" s="361">
        <v>79.3</v>
      </c>
      <c r="K26" s="361">
        <v>14.71</v>
      </c>
      <c r="L26" s="361">
        <v>194.71</v>
      </c>
      <c r="M26" s="1">
        <v>87.359719196320498</v>
      </c>
      <c r="N26" s="361">
        <v>54.47</v>
      </c>
      <c r="O26" s="345">
        <f>SUM(E26:N26)</f>
        <v>1564.4497191963203</v>
      </c>
      <c r="Q26" s="1">
        <f>+SUM(E26:L26,N26)</f>
        <v>1477.09</v>
      </c>
      <c r="R26" s="347">
        <f>+$G$55</f>
        <v>106.77</v>
      </c>
      <c r="S26" s="347">
        <f>+Q26*R26</f>
        <v>157708.89929999999</v>
      </c>
      <c r="T26" s="347">
        <f>+'[16]PT Disposal per Price Out'!I23</f>
        <v>58498.7</v>
      </c>
      <c r="U26" s="347">
        <f>'[16]40139 JE Query'!D63</f>
        <v>310216.67</v>
      </c>
      <c r="V26" s="347">
        <f>SUM(S26:T27)-U26</f>
        <v>-982.50510000000941</v>
      </c>
      <c r="X26" s="180">
        <f>+M26</f>
        <v>87.359719196320498</v>
      </c>
      <c r="Y26" s="347">
        <f>+$G$56</f>
        <v>123.93</v>
      </c>
      <c r="Z26" s="347">
        <f>+X26*Y26</f>
        <v>10826.49</v>
      </c>
      <c r="AA26" s="347">
        <f>+'[16]40101 JE Query'!D92</f>
        <v>10826.49</v>
      </c>
      <c r="AB26" s="347">
        <f>SUM(Z26:Z27)-AA26</f>
        <v>0</v>
      </c>
    </row>
    <row r="27" spans="1:28">
      <c r="C27" s="23" t="s">
        <v>165</v>
      </c>
      <c r="D27" s="354" t="s">
        <v>809</v>
      </c>
      <c r="E27" s="353">
        <v>343.95</v>
      </c>
      <c r="F27" s="361">
        <v>3.59</v>
      </c>
      <c r="G27" s="361">
        <v>46.82</v>
      </c>
      <c r="H27" s="361">
        <v>205.68</v>
      </c>
      <c r="I27" s="361">
        <v>15.93</v>
      </c>
      <c r="J27" s="361">
        <v>8.84</v>
      </c>
      <c r="K27" s="361">
        <v>1.68</v>
      </c>
      <c r="L27" s="361">
        <v>156.63</v>
      </c>
      <c r="N27" s="361">
        <v>88.16</v>
      </c>
      <c r="O27" s="345">
        <f>SUM(E27:N27)</f>
        <v>871.27999999999986</v>
      </c>
      <c r="Q27" s="1">
        <f>+SUM(E27:L27,N27)</f>
        <v>871.27999999999986</v>
      </c>
      <c r="R27" s="347">
        <f>+$G$55</f>
        <v>106.77</v>
      </c>
      <c r="S27" s="347">
        <f>+Q27*R27</f>
        <v>93026.565599999987</v>
      </c>
      <c r="T27" s="347"/>
      <c r="U27" s="347"/>
      <c r="V27" s="347"/>
      <c r="X27" s="180">
        <f>+M27</f>
        <v>0</v>
      </c>
      <c r="Y27" s="347">
        <f>+$G$56</f>
        <v>123.93</v>
      </c>
      <c r="Z27" s="347">
        <f>+X27*Y27</f>
        <v>0</v>
      </c>
      <c r="AA27" s="347"/>
      <c r="AB27" s="347">
        <f>Z27-AA27</f>
        <v>0</v>
      </c>
    </row>
    <row r="29" spans="1:28">
      <c r="B29" s="23" t="s">
        <v>814</v>
      </c>
      <c r="C29" s="23" t="s">
        <v>165</v>
      </c>
      <c r="D29" s="355" t="s">
        <v>810</v>
      </c>
      <c r="E29" s="353">
        <f>[36]Monday!$D$3+[36]Tuesday!$D$3+[36]Wednesday!$D$3+[36]Thursday!$D$3+[36]Friday!$D$3</f>
        <v>421.86999999999995</v>
      </c>
      <c r="F29" s="361">
        <f>[36]Monday!$E$3+[36]Tuesday!$E$3+[36]Wednesday!$E$3+[36]Thursday!$E$3+[36]Friday!$E$3</f>
        <v>36.54</v>
      </c>
      <c r="G29" s="361">
        <f>[36]Monday!$F$3+[36]Tuesday!$F$3+[36]Wednesday!$F$3+[36]Thursday!$F$3+[36]Friday!$F$3</f>
        <v>77.97</v>
      </c>
      <c r="H29" s="361">
        <f>[36]Monday!$G$3+[36]Tuesday!$G$3+[36]Wednesday!$G$3+[36]Thursday!$G$3+[36]Friday!$G$3</f>
        <v>683</v>
      </c>
      <c r="I29" s="361">
        <f>[36]Monday!$H$3+[36]Tuesday!$H$3+[36]Wednesday!$H$3+[36]Thursday!$H$3+[36]Friday!$H$3</f>
        <v>42.26</v>
      </c>
      <c r="J29" s="361">
        <f>[36]Monday!$I$3+[36]Tuesday!$I$3+[36]Wednesday!$I$3+[36]Thursday!$I$3+[36]Friday!$I$3</f>
        <v>92.660000000000011</v>
      </c>
      <c r="K29" s="361">
        <f>[36]Monday!$J$3+[36]Tuesday!$J$3+[36]Wednesday!$J$3+[36]Thursday!$J$3+[36]Friday!$J$3</f>
        <v>14.209999999999999</v>
      </c>
      <c r="L29" s="361">
        <f>[36]Monday!$K$3+[36]Tuesday!$K$3+[36]Wednesday!$K$3+[36]Thursday!$K$3+[36]Friday!$K$3</f>
        <v>197.76</v>
      </c>
      <c r="M29" s="1">
        <v>91.715242475591054</v>
      </c>
      <c r="N29" s="361">
        <f>[36]Monday!$L$3+[36]Tuesday!$L$3+[36]Wednesday!$L$3+[36]Thursday!$L$3+[36]Friday!$L$3</f>
        <v>64.55</v>
      </c>
      <c r="O29" s="345">
        <f>SUM(E29:N29)</f>
        <v>1722.5352424755913</v>
      </c>
      <c r="Q29" s="1">
        <f>+SUM(E29:L29,N29)</f>
        <v>1630.8200000000002</v>
      </c>
      <c r="R29" s="347">
        <f>+$G$55</f>
        <v>106.77</v>
      </c>
      <c r="S29" s="347">
        <f>+Q29*R29</f>
        <v>174122.6514</v>
      </c>
      <c r="T29" s="347">
        <f>+'[16]PT Disposal per Price Out'!J23</f>
        <v>83523.53</v>
      </c>
      <c r="U29" s="347">
        <f>'[16]40139 JE Query'!D65</f>
        <v>349628.21</v>
      </c>
      <c r="V29" s="347">
        <f>SUM(S29:T30)-U29</f>
        <v>541.65029999997932</v>
      </c>
      <c r="X29" s="180">
        <f>+M29</f>
        <v>91.715242475591054</v>
      </c>
      <c r="Y29" s="347">
        <f>+$G$56</f>
        <v>123.93</v>
      </c>
      <c r="Z29" s="347">
        <f>+X29*Y29</f>
        <v>11366.27</v>
      </c>
      <c r="AA29" s="347">
        <f>+'[16]40101 JE Query'!D95</f>
        <v>11366.27</v>
      </c>
      <c r="AB29" s="347">
        <f>SUM(Z29:Z30)-AA29</f>
        <v>0</v>
      </c>
    </row>
    <row r="30" spans="1:28">
      <c r="C30" s="23" t="s">
        <v>165</v>
      </c>
      <c r="D30" s="354" t="s">
        <v>809</v>
      </c>
      <c r="E30" s="353">
        <f>[36]Monday!$D$5+[36]Tuesday!$D$5+[36]Wednesday!$D$5+[36]Thursday!$D$5+[36]Friday!$D$5</f>
        <v>353.63999999999993</v>
      </c>
      <c r="F30" s="361">
        <f>[36]Monday!$E$5+[36]Tuesday!$E$5+[36]Wednesday!$E$5+[36]Thursday!$E$5+[36]Friday!$E$5</f>
        <v>2.73</v>
      </c>
      <c r="G30" s="361">
        <f>[36]Monday!$F$5+[36]Tuesday!$F$5+[36]Wednesday!$F$5+[36]Thursday!$F$5+[36]Friday!$F$5</f>
        <v>56.98</v>
      </c>
      <c r="H30" s="361">
        <f>[36]Monday!$G$5+[36]Tuesday!$G$5+[36]Wednesday!$G$5+[36]Thursday!$G$5+[36]Friday!$G$5</f>
        <v>201.69</v>
      </c>
      <c r="I30" s="361">
        <f>[36]Monday!$H$5+[36]Tuesday!$H$5+[36]Wednesday!$H$5+[36]Thursday!$H$5+[36]Friday!$H$5</f>
        <v>17.95</v>
      </c>
      <c r="J30" s="361">
        <f>[36]Monday!$I$5+[36]Tuesday!$I$5+[36]Wednesday!$I$5+[36]Thursday!$I$5+[36]Friday!$I$5</f>
        <v>5.9599999999999991</v>
      </c>
      <c r="K30" s="361">
        <f>[36]Monday!$J$5+[36]Tuesday!$J$5+[36]Wednesday!$J$5+[36]Thursday!$J$5+[36]Friday!$J$5</f>
        <v>1.6700000000000002</v>
      </c>
      <c r="L30" s="361">
        <f>[36]Monday!$K$5+[36]Tuesday!$K$5+[36]Wednesday!$K$5+[36]Thursday!$K$5+[36]Friday!$K$5</f>
        <v>143.49</v>
      </c>
      <c r="N30" s="361">
        <f>[36]Monday!$L$5+[36]Tuesday!$L$5+[36]Wednesday!$L$5+[36]Thursday!$L$5+[36]Friday!$L$5</f>
        <v>82.45999999999998</v>
      </c>
      <c r="O30" s="345">
        <f>SUM(E30:N30)</f>
        <v>866.56999999999994</v>
      </c>
      <c r="Q30" s="1">
        <f>+SUM(E30:L30,N30)</f>
        <v>866.56999999999994</v>
      </c>
      <c r="R30" s="347">
        <f>+$G$55</f>
        <v>106.77</v>
      </c>
      <c r="S30" s="347">
        <f>+Q30*R30</f>
        <v>92523.678899999984</v>
      </c>
      <c r="T30" s="347"/>
      <c r="U30" s="347"/>
      <c r="V30" s="347"/>
      <c r="X30" s="180">
        <f>+M30</f>
        <v>0</v>
      </c>
      <c r="Y30" s="347">
        <f>+$G$56</f>
        <v>123.93</v>
      </c>
      <c r="Z30" s="347">
        <f>+X30*Y30</f>
        <v>0</v>
      </c>
      <c r="AA30" s="347"/>
      <c r="AB30" s="347">
        <f>Z30-AA30</f>
        <v>0</v>
      </c>
    </row>
    <row r="31" spans="1:28" s="109" customFormat="1">
      <c r="D31" s="219"/>
      <c r="E31" s="360"/>
      <c r="F31" s="358"/>
      <c r="G31" s="358"/>
      <c r="H31" s="358"/>
      <c r="I31" s="358"/>
      <c r="J31" s="358"/>
      <c r="K31" s="358"/>
      <c r="L31" s="358"/>
      <c r="M31" s="359"/>
      <c r="N31" s="358"/>
      <c r="O31" s="219"/>
      <c r="Q31" s="338"/>
      <c r="T31"/>
      <c r="V31"/>
    </row>
    <row r="32" spans="1:28">
      <c r="A32" s="334">
        <v>2021</v>
      </c>
      <c r="B32" s="357" t="s">
        <v>813</v>
      </c>
      <c r="C32" s="23" t="s">
        <v>165</v>
      </c>
      <c r="D32" s="355" t="s">
        <v>810</v>
      </c>
      <c r="E32" s="353">
        <v>384.98</v>
      </c>
      <c r="F32" s="352">
        <v>39.32</v>
      </c>
      <c r="G32" s="352">
        <v>63.73</v>
      </c>
      <c r="H32" s="352">
        <v>600.53</v>
      </c>
      <c r="I32" s="352">
        <v>42.7</v>
      </c>
      <c r="J32" s="352">
        <v>104.73</v>
      </c>
      <c r="K32" s="352">
        <v>17.77</v>
      </c>
      <c r="L32" s="352">
        <v>181.23</v>
      </c>
      <c r="M32" s="1">
        <v>99.120028578232905</v>
      </c>
      <c r="N32" s="352">
        <v>61.54</v>
      </c>
      <c r="O32" s="345">
        <f>SUM(E32:N32)</f>
        <v>1595.6500285782329</v>
      </c>
      <c r="Q32" s="1">
        <f>+SUM(E32:L32,N32)</f>
        <v>1496.53</v>
      </c>
      <c r="R32" s="347">
        <f>+$G$55</f>
        <v>106.77</v>
      </c>
      <c r="S32" s="347">
        <f>+Q32*R32</f>
        <v>159784.50809999998</v>
      </c>
      <c r="T32" s="347">
        <f>+'[16]PT Disposal per Price Out'!K23</f>
        <v>67808.439999999988</v>
      </c>
      <c r="U32" s="347">
        <f>'[16]40139 JE Query'!D42</f>
        <v>319267.02</v>
      </c>
      <c r="V32" s="347">
        <f>SUM(S32:T33)-U32</f>
        <v>4245.9606999999378</v>
      </c>
      <c r="X32" s="180">
        <f>+M32</f>
        <v>99.120028578232905</v>
      </c>
      <c r="Y32" s="347">
        <f>+$H$56</f>
        <v>125.97</v>
      </c>
      <c r="Z32" s="347">
        <f>+X32*Y32</f>
        <v>12486.15</v>
      </c>
      <c r="AA32" s="347">
        <f>+'[16]40101 JE Query'!D60</f>
        <v>12486.149999999998</v>
      </c>
      <c r="AB32" s="347">
        <f>SUM(Z32:Z33)-AA32</f>
        <v>0</v>
      </c>
    </row>
    <row r="33" spans="1:28" ht="14.45" customHeight="1">
      <c r="B33" s="23"/>
      <c r="C33" s="23" t="s">
        <v>165</v>
      </c>
      <c r="D33" s="354" t="s">
        <v>809</v>
      </c>
      <c r="E33" s="353">
        <v>344.15</v>
      </c>
      <c r="F33" s="352">
        <v>0.71</v>
      </c>
      <c r="G33" s="352">
        <v>44.8</v>
      </c>
      <c r="H33" s="352">
        <v>259.05</v>
      </c>
      <c r="I33" s="352">
        <v>18.559999999999999</v>
      </c>
      <c r="J33" s="352">
        <v>5.42</v>
      </c>
      <c r="K33" s="352">
        <v>1.64</v>
      </c>
      <c r="L33" s="352">
        <v>134.59</v>
      </c>
      <c r="N33" s="352">
        <v>89.46</v>
      </c>
      <c r="O33" s="345">
        <f>SUM(E33:N33)</f>
        <v>898.38</v>
      </c>
      <c r="Q33" s="1">
        <f>+SUM(E33:L33,N33)</f>
        <v>898.38</v>
      </c>
      <c r="R33" s="347">
        <f>+$G$55</f>
        <v>106.77</v>
      </c>
      <c r="S33" s="347">
        <f>+Q33*R33</f>
        <v>95920.032599999991</v>
      </c>
      <c r="T33" s="347"/>
      <c r="U33" s="347"/>
      <c r="V33" s="347"/>
      <c r="X33" s="180">
        <f>+M33</f>
        <v>0</v>
      </c>
      <c r="Y33" s="347">
        <f>+$H$56</f>
        <v>125.97</v>
      </c>
      <c r="Z33" s="347">
        <f>+X33*Y33</f>
        <v>0</v>
      </c>
      <c r="AA33" s="347"/>
      <c r="AB33" s="347">
        <f>Z33-AA33</f>
        <v>0</v>
      </c>
    </row>
    <row r="34" spans="1:28" ht="14.45" customHeight="1">
      <c r="B34" s="23"/>
      <c r="C34" s="23"/>
      <c r="D34" s="356"/>
      <c r="E34" s="353"/>
      <c r="F34" s="352"/>
      <c r="G34" s="352"/>
      <c r="H34" s="352"/>
      <c r="I34" s="352"/>
      <c r="J34" s="352"/>
      <c r="K34" s="352"/>
      <c r="L34" s="352"/>
      <c r="M34" s="27"/>
      <c r="N34" s="352"/>
      <c r="O34" s="345"/>
    </row>
    <row r="35" spans="1:28">
      <c r="B35" s="23" t="s">
        <v>812</v>
      </c>
      <c r="C35" s="23" t="s">
        <v>165</v>
      </c>
      <c r="D35" s="355" t="s">
        <v>810</v>
      </c>
      <c r="E35" s="353">
        <v>344.1</v>
      </c>
      <c r="F35" s="352">
        <v>36.58</v>
      </c>
      <c r="G35" s="352">
        <v>56.99</v>
      </c>
      <c r="H35" s="352">
        <v>533.91999999999996</v>
      </c>
      <c r="I35" s="352">
        <v>40.06</v>
      </c>
      <c r="J35" s="352">
        <v>83.1</v>
      </c>
      <c r="K35" s="352">
        <v>13.21</v>
      </c>
      <c r="L35" s="352">
        <v>168.76</v>
      </c>
      <c r="M35" s="27">
        <v>82.174962292609351</v>
      </c>
      <c r="N35" s="352">
        <v>50.17</v>
      </c>
      <c r="O35" s="345">
        <f>SUM(E35:N35)</f>
        <v>1409.0649622926092</v>
      </c>
      <c r="Q35" s="1">
        <f>+SUM(E35:L35,N35)</f>
        <v>1326.8899999999999</v>
      </c>
      <c r="R35" s="347">
        <f>+$G$55</f>
        <v>106.77</v>
      </c>
      <c r="S35" s="347">
        <f>+Q35*R35</f>
        <v>141672.04529999997</v>
      </c>
      <c r="T35" s="347">
        <f>+'[16]PT Disposal per Price Out'!L23</f>
        <v>74616.77</v>
      </c>
      <c r="U35" s="347">
        <f>'[16]40139 JE Query'!D44</f>
        <v>297146.68</v>
      </c>
      <c r="V35" s="347">
        <f>SUM(S35:T36)-U35</f>
        <v>1593.132399999944</v>
      </c>
      <c r="X35" s="180">
        <f>+M35</f>
        <v>82.174962292609351</v>
      </c>
      <c r="Y35" s="347">
        <f>+$H$56</f>
        <v>125.97</v>
      </c>
      <c r="Z35" s="347">
        <f>+X35*Y35</f>
        <v>10351.58</v>
      </c>
      <c r="AA35" s="347">
        <f>+'[16]40101 JE Query'!D64</f>
        <v>10351.58</v>
      </c>
      <c r="AB35" s="347">
        <f>SUM(Z35:Z36)-AA35</f>
        <v>0</v>
      </c>
    </row>
    <row r="36" spans="1:28" ht="14.45" customHeight="1">
      <c r="B36" s="23"/>
      <c r="C36" s="23" t="s">
        <v>165</v>
      </c>
      <c r="D36" s="354" t="s">
        <v>809</v>
      </c>
      <c r="E36" s="353">
        <v>327.58</v>
      </c>
      <c r="F36" s="352">
        <v>1.04</v>
      </c>
      <c r="G36" s="352">
        <v>43.27</v>
      </c>
      <c r="H36" s="352">
        <v>154.93</v>
      </c>
      <c r="I36" s="352">
        <v>16.09</v>
      </c>
      <c r="J36" s="352">
        <v>7.28</v>
      </c>
      <c r="K36" s="352">
        <v>1.1000000000000001</v>
      </c>
      <c r="L36" s="352">
        <v>141.47</v>
      </c>
      <c r="M36" s="27"/>
      <c r="N36" s="352">
        <v>79.47</v>
      </c>
      <c r="O36" s="345">
        <f>SUM(E36:N36)</f>
        <v>772.23</v>
      </c>
      <c r="Q36" s="1">
        <f>+SUM(E36:L36,N36)</f>
        <v>772.23</v>
      </c>
      <c r="R36" s="347">
        <f>+$G$55</f>
        <v>106.77</v>
      </c>
      <c r="S36" s="347">
        <f>+Q36*R36</f>
        <v>82450.997099999993</v>
      </c>
      <c r="T36" s="347"/>
      <c r="U36" s="347"/>
      <c r="V36" s="347"/>
      <c r="X36" s="180">
        <f>+M36</f>
        <v>0</v>
      </c>
      <c r="Y36" s="347">
        <f>+$H$56</f>
        <v>125.97</v>
      </c>
      <c r="Z36" s="347">
        <f>+X36*Y36</f>
        <v>0</v>
      </c>
      <c r="AA36" s="347"/>
      <c r="AB36" s="347">
        <f>Z36-AA36</f>
        <v>0</v>
      </c>
    </row>
    <row r="37" spans="1:28" ht="15" customHeight="1"/>
    <row r="38" spans="1:28" ht="15" customHeight="1">
      <c r="B38" s="23" t="s">
        <v>811</v>
      </c>
      <c r="C38" s="23" t="s">
        <v>165</v>
      </c>
      <c r="D38" s="355" t="s">
        <v>810</v>
      </c>
      <c r="E38" s="353">
        <v>401.34</v>
      </c>
      <c r="F38" s="352">
        <v>39.31</v>
      </c>
      <c r="G38" s="352">
        <v>74.510000000000005</v>
      </c>
      <c r="H38" s="352">
        <v>641.29</v>
      </c>
      <c r="I38" s="352">
        <v>43.17</v>
      </c>
      <c r="J38" s="352">
        <v>92.17</v>
      </c>
      <c r="K38" s="352">
        <v>14.9</v>
      </c>
      <c r="L38" s="352">
        <v>202.78</v>
      </c>
      <c r="M38" s="27">
        <v>104.82503770739065</v>
      </c>
      <c r="N38" s="352">
        <v>58.16</v>
      </c>
      <c r="O38" s="345">
        <f>SUM(E38:N38)</f>
        <v>1672.4550377073908</v>
      </c>
      <c r="Q38" s="1">
        <f>+SUM(E38:L38,N38)</f>
        <v>1567.63</v>
      </c>
      <c r="R38" s="347">
        <f>+$G$55</f>
        <v>106.77</v>
      </c>
      <c r="S38" s="347">
        <f>+Q38*R38</f>
        <v>167375.85510000002</v>
      </c>
      <c r="T38" s="347">
        <f>+'[16]PT Disposal per Price Out'!M23</f>
        <v>97187.180000000008</v>
      </c>
      <c r="U38" s="347">
        <f>'[16]40139 JE Query'!D46</f>
        <v>367671.03999999998</v>
      </c>
      <c r="V38" s="347">
        <f>SUM(S38:T39)-U38</f>
        <v>892.3813000000664</v>
      </c>
      <c r="X38" s="180">
        <f>+M38</f>
        <v>104.82503770739065</v>
      </c>
      <c r="Y38" s="347">
        <f>+$H$56</f>
        <v>125.97</v>
      </c>
      <c r="Z38" s="347">
        <f>+X38*Y38</f>
        <v>13204.81</v>
      </c>
      <c r="AA38" s="347">
        <f>+'[16]40101 JE Query'!D66</f>
        <v>13204.81</v>
      </c>
      <c r="AB38" s="347">
        <f>SUM(Z38:Z39)-AA38</f>
        <v>0</v>
      </c>
    </row>
    <row r="39" spans="1:28" ht="15" customHeight="1">
      <c r="C39" s="23" t="s">
        <v>165</v>
      </c>
      <c r="D39" s="354" t="s">
        <v>809</v>
      </c>
      <c r="E39" s="353">
        <v>394.55</v>
      </c>
      <c r="F39" s="352">
        <v>0.94</v>
      </c>
      <c r="G39" s="352">
        <v>44.72</v>
      </c>
      <c r="H39" s="352">
        <v>222.98</v>
      </c>
      <c r="I39" s="352">
        <v>12.17</v>
      </c>
      <c r="J39" s="352">
        <v>9.56</v>
      </c>
      <c r="K39" s="352">
        <v>1.1299999999999999</v>
      </c>
      <c r="L39" s="352">
        <v>193.44</v>
      </c>
      <c r="M39" s="27"/>
      <c r="N39" s="352">
        <v>94.57</v>
      </c>
      <c r="O39" s="345">
        <f>SUM(E39:N39)</f>
        <v>974.06</v>
      </c>
      <c r="Q39" s="1">
        <f>+SUM(E39:L39,N39)</f>
        <v>974.06</v>
      </c>
      <c r="R39" s="347">
        <f>+$G$55</f>
        <v>106.77</v>
      </c>
      <c r="S39" s="347">
        <f>+Q39*R39</f>
        <v>104000.38619999999</v>
      </c>
      <c r="T39" s="347"/>
      <c r="U39" s="347"/>
      <c r="V39" s="347"/>
      <c r="X39" s="180">
        <f>+M39</f>
        <v>0</v>
      </c>
      <c r="Y39" s="347">
        <f>+$H$56</f>
        <v>125.97</v>
      </c>
      <c r="Z39" s="347">
        <f>+X39*Y39</f>
        <v>0</v>
      </c>
      <c r="AA39" s="347"/>
      <c r="AB39" s="347">
        <f>Z39-AA39</f>
        <v>0</v>
      </c>
    </row>
    <row r="40" spans="1:28" ht="15" customHeight="1">
      <c r="O40" s="345"/>
    </row>
    <row r="41" spans="1:28" ht="15" customHeight="1"/>
    <row r="42" spans="1:28">
      <c r="A42" s="334" t="s">
        <v>14</v>
      </c>
      <c r="B42" s="334"/>
      <c r="C42" s="23" t="s">
        <v>165</v>
      </c>
      <c r="D42" s="320" t="s">
        <v>810</v>
      </c>
      <c r="E42" s="346">
        <f t="shared" ref="E42:O42" si="0">+E5+E8+E11+E14+E17+E20+E23+E26+E29+E32+E35+E38</f>
        <v>5106.6299999999992</v>
      </c>
      <c r="F42" s="1">
        <f t="shared" si="0"/>
        <v>494.42</v>
      </c>
      <c r="G42" s="1">
        <f t="shared" si="0"/>
        <v>796.17000000000007</v>
      </c>
      <c r="H42" s="1">
        <f t="shared" si="0"/>
        <v>7365.42</v>
      </c>
      <c r="I42" s="1">
        <f t="shared" si="0"/>
        <v>554.9</v>
      </c>
      <c r="J42" s="1">
        <f t="shared" si="0"/>
        <v>1100.7</v>
      </c>
      <c r="K42" s="1">
        <f t="shared" si="0"/>
        <v>183.96000000000004</v>
      </c>
      <c r="L42" s="1">
        <f t="shared" si="0"/>
        <v>2306.1600000000003</v>
      </c>
      <c r="M42" s="1">
        <f t="shared" si="0"/>
        <v>1133.8136459428742</v>
      </c>
      <c r="N42" s="1">
        <f t="shared" si="0"/>
        <v>687.67999999999984</v>
      </c>
      <c r="O42" s="345">
        <f t="shared" si="0"/>
        <v>19729.853645942872</v>
      </c>
      <c r="Q42" s="1">
        <f>+SUM(E42:L42,N42)</f>
        <v>18596.04</v>
      </c>
      <c r="R42" s="347">
        <f>+$G$55</f>
        <v>106.77</v>
      </c>
      <c r="S42" s="347">
        <f>+Q42*R42</f>
        <v>1985499.1908</v>
      </c>
      <c r="T42" s="347">
        <f>+T5+T8+T11+T14+T17+T20+T23+T26+T29+T32+T35+T38</f>
        <v>914687.13</v>
      </c>
      <c r="U42" s="347">
        <f>'[16]40139 JE Query'!D67</f>
        <v>4062377.58</v>
      </c>
      <c r="V42" s="347">
        <f>SUM(S42:T43)-U42</f>
        <v>-18820.157100000419</v>
      </c>
      <c r="X42" s="347">
        <f>+SUM(X5:X41)</f>
        <v>1133.8136459428742</v>
      </c>
      <c r="Y42" s="347"/>
      <c r="Z42" s="347">
        <f>+SUM(Z5:Z41)</f>
        <v>141097.21000000002</v>
      </c>
      <c r="AA42" s="347">
        <f>+'[16]40101 JE Query'!D98</f>
        <v>141097.20999999996</v>
      </c>
      <c r="AB42" s="347">
        <f>SUM(Z42:Z43)-AA42</f>
        <v>0</v>
      </c>
    </row>
    <row r="43" spans="1:28">
      <c r="C43" s="23" t="s">
        <v>165</v>
      </c>
      <c r="D43" s="308" t="s">
        <v>809</v>
      </c>
      <c r="E43" s="351">
        <f t="shared" ref="E43:O43" si="1">+E6+E9+E12+E15+E18+E21+E24+E27+E30+E33+E36+E39</f>
        <v>4088.27</v>
      </c>
      <c r="F43" s="350">
        <f t="shared" si="1"/>
        <v>34.94</v>
      </c>
      <c r="G43" s="350">
        <f t="shared" si="1"/>
        <v>610.38</v>
      </c>
      <c r="H43" s="350">
        <f t="shared" si="1"/>
        <v>2492.2200000000003</v>
      </c>
      <c r="I43" s="350">
        <f t="shared" si="1"/>
        <v>206.30999999999997</v>
      </c>
      <c r="J43" s="350">
        <f t="shared" si="1"/>
        <v>97.53</v>
      </c>
      <c r="K43" s="350">
        <f t="shared" si="1"/>
        <v>15.41</v>
      </c>
      <c r="L43" s="350">
        <f t="shared" si="1"/>
        <v>2024.57</v>
      </c>
      <c r="M43" s="350">
        <f t="shared" si="1"/>
        <v>0</v>
      </c>
      <c r="N43" s="350">
        <f t="shared" si="1"/>
        <v>1139.0999999999999</v>
      </c>
      <c r="O43" s="349">
        <f t="shared" si="1"/>
        <v>10708.729999999998</v>
      </c>
      <c r="Q43" s="1">
        <f>+SUM(E43:L43,N43)</f>
        <v>10708.730000000001</v>
      </c>
      <c r="R43" s="347">
        <f>+$G$55</f>
        <v>106.77</v>
      </c>
      <c r="S43" s="347">
        <f>+Q43*R43</f>
        <v>1143371.1021</v>
      </c>
      <c r="T43" s="347"/>
      <c r="U43" s="347"/>
      <c r="V43" s="348">
        <f>+V42/U42</f>
        <v>-4.6327936607016276E-3</v>
      </c>
      <c r="X43" s="180">
        <f>+M43</f>
        <v>0</v>
      </c>
      <c r="Y43" s="347"/>
      <c r="Z43" s="347">
        <f>+X43*Y43</f>
        <v>0</v>
      </c>
      <c r="AA43" s="347"/>
      <c r="AB43" s="347">
        <f>Z43-AA43</f>
        <v>0</v>
      </c>
    </row>
    <row r="44" spans="1:28">
      <c r="C44" s="334" t="s">
        <v>14</v>
      </c>
      <c r="D44" s="219"/>
      <c r="E44" s="346">
        <f t="shared" ref="E44:O44" si="2">SUM(E42:E43)</f>
        <v>9194.9</v>
      </c>
      <c r="F44" s="1">
        <f t="shared" si="2"/>
        <v>529.36</v>
      </c>
      <c r="G44" s="1">
        <f t="shared" si="2"/>
        <v>1406.5500000000002</v>
      </c>
      <c r="H44" s="1">
        <f t="shared" si="2"/>
        <v>9857.64</v>
      </c>
      <c r="I44" s="1">
        <f t="shared" si="2"/>
        <v>761.20999999999992</v>
      </c>
      <c r="J44" s="1">
        <f t="shared" si="2"/>
        <v>1198.23</v>
      </c>
      <c r="K44" s="1">
        <f t="shared" si="2"/>
        <v>199.37000000000003</v>
      </c>
      <c r="L44" s="1">
        <f t="shared" si="2"/>
        <v>4330.7300000000005</v>
      </c>
      <c r="M44" s="1">
        <f t="shared" si="2"/>
        <v>1133.8136459428742</v>
      </c>
      <c r="N44" s="1">
        <f t="shared" si="2"/>
        <v>1826.7799999999997</v>
      </c>
      <c r="O44" s="345">
        <f t="shared" si="2"/>
        <v>30438.583645942868</v>
      </c>
      <c r="P44" s="1"/>
      <c r="R44" s="1"/>
      <c r="S44" s="1"/>
      <c r="T44" s="109"/>
      <c r="U44" s="1"/>
      <c r="V44" s="1"/>
      <c r="X44" s="1"/>
      <c r="Y44" s="1"/>
      <c r="Z44" s="1"/>
      <c r="AA44" s="1"/>
      <c r="AB44" s="1"/>
    </row>
    <row r="45" spans="1:28" s="109" customFormat="1">
      <c r="C45" s="344" t="s">
        <v>808</v>
      </c>
      <c r="D45" s="219"/>
      <c r="E45" s="343">
        <f t="shared" ref="E45:O45" si="3">+E44/$O$44</f>
        <v>0.3020804156643333</v>
      </c>
      <c r="F45" s="342">
        <f t="shared" si="3"/>
        <v>1.7391085148949034E-2</v>
      </c>
      <c r="G45" s="342">
        <f t="shared" si="3"/>
        <v>4.6209443131808726E-2</v>
      </c>
      <c r="H45" s="342">
        <f t="shared" si="3"/>
        <v>0.3238534392619124</v>
      </c>
      <c r="I45" s="342">
        <f t="shared" si="3"/>
        <v>2.5008062426763438E-2</v>
      </c>
      <c r="J45" s="342">
        <f t="shared" si="3"/>
        <v>3.9365497880507035E-2</v>
      </c>
      <c r="K45" s="342">
        <f t="shared" si="3"/>
        <v>6.5499105450845738E-3</v>
      </c>
      <c r="L45" s="342">
        <f t="shared" si="3"/>
        <v>0.14227764505649854</v>
      </c>
      <c r="M45" s="342">
        <f t="shared" si="3"/>
        <v>3.7249224836846152E-2</v>
      </c>
      <c r="N45" s="342">
        <f t="shared" si="3"/>
        <v>6.001527604729695E-2</v>
      </c>
      <c r="O45" s="341">
        <f t="shared" si="3"/>
        <v>1</v>
      </c>
      <c r="Q45" s="338"/>
      <c r="T45"/>
      <c r="V45"/>
    </row>
    <row r="46" spans="1:28" s="109" customFormat="1">
      <c r="C46" s="340"/>
      <c r="D46" s="219"/>
      <c r="E46" s="96"/>
      <c r="F46" s="338"/>
      <c r="G46" s="338"/>
      <c r="H46" s="338"/>
      <c r="I46" s="338"/>
      <c r="J46" s="338"/>
      <c r="K46" s="338"/>
      <c r="L46" s="338"/>
      <c r="M46" s="338"/>
      <c r="N46" s="338"/>
      <c r="O46" s="339"/>
      <c r="Q46" s="338"/>
    </row>
    <row r="48" spans="1:28">
      <c r="E48"/>
      <c r="F48" s="337" t="s">
        <v>807</v>
      </c>
      <c r="L48" s="1"/>
    </row>
    <row r="49" spans="5:12">
      <c r="E49" s="326" t="s">
        <v>806</v>
      </c>
      <c r="F49" s="336">
        <f>+H44</f>
        <v>9857.64</v>
      </c>
      <c r="G49" s="327"/>
      <c r="H49" s="333">
        <f>+F49/$F$51</f>
        <v>0.33638346248750628</v>
      </c>
      <c r="L49" s="1"/>
    </row>
    <row r="50" spans="5:12">
      <c r="E50" s="326" t="s">
        <v>805</v>
      </c>
      <c r="F50" s="335">
        <f>+SUM(E44:G44,I44:L44,N44)</f>
        <v>19447.13</v>
      </c>
      <c r="G50" s="334" t="s">
        <v>804</v>
      </c>
      <c r="H50" s="333">
        <f>+F50/$F$51</f>
        <v>0.66361653751249372</v>
      </c>
      <c r="L50" s="1"/>
    </row>
    <row r="51" spans="5:12">
      <c r="E51"/>
      <c r="F51" s="180">
        <f>+F49+F50</f>
        <v>29304.77</v>
      </c>
      <c r="L51" s="1"/>
    </row>
    <row r="52" spans="5:12">
      <c r="E52" s="332" t="s">
        <v>804</v>
      </c>
      <c r="F52" t="s">
        <v>803</v>
      </c>
      <c r="L52" s="1"/>
    </row>
    <row r="53" spans="5:12">
      <c r="E53"/>
      <c r="L53" s="1"/>
    </row>
    <row r="54" spans="5:12">
      <c r="E54"/>
      <c r="F54" s="331" t="s">
        <v>802</v>
      </c>
      <c r="G54" s="330">
        <v>2020</v>
      </c>
      <c r="H54" s="330">
        <v>2021</v>
      </c>
      <c r="L54" s="1"/>
    </row>
    <row r="55" spans="5:12">
      <c r="E55"/>
      <c r="F55" s="329" t="s">
        <v>801</v>
      </c>
      <c r="G55" s="328">
        <v>106.77</v>
      </c>
      <c r="H55" s="328">
        <v>106.77</v>
      </c>
      <c r="L55" s="1"/>
    </row>
    <row r="56" spans="5:12">
      <c r="E56"/>
      <c r="F56" s="329" t="s">
        <v>800</v>
      </c>
      <c r="G56" s="328">
        <v>123.93</v>
      </c>
      <c r="H56" s="328">
        <v>125.97</v>
      </c>
      <c r="I56" s="327" t="s">
        <v>799</v>
      </c>
      <c r="L56" s="1"/>
    </row>
    <row r="57" spans="5:12">
      <c r="E57"/>
    </row>
  </sheetData>
  <mergeCells count="2">
    <mergeCell ref="Q3:V3"/>
    <mergeCell ref="X3:AB3"/>
  </mergeCells>
  <pageMargins left="0.25" right="0.25" top="0.75" bottom="0.75" header="0.3" footer="0.3"/>
  <pageSetup scale="41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A471"/>
  <sheetViews>
    <sheetView tabSelected="1" view="pageBreakPreview" topLeftCell="A85" zoomScale="60" zoomScaleNormal="100" workbookViewId="0">
      <selection activeCell="AO79" sqref="AO79"/>
    </sheetView>
  </sheetViews>
  <sheetFormatPr defaultRowHeight="12.75" outlineLevelCol="1"/>
  <cols>
    <col min="1" max="1" width="22.7109375" style="188" customWidth="1"/>
    <col min="2" max="2" width="29.140625" style="188" bestFit="1" customWidth="1"/>
    <col min="3" max="4" width="15" style="188" customWidth="1"/>
    <col min="5" max="5" width="2" style="185" customWidth="1"/>
    <col min="6" max="17" width="12.28515625" style="185" hidden="1" customWidth="1" outlineLevel="1"/>
    <col min="18" max="18" width="13.85546875" style="185" bestFit="1" customWidth="1" collapsed="1"/>
    <col min="19" max="19" width="9.140625" style="185"/>
    <col min="20" max="31" width="9.42578125" style="185" hidden="1" customWidth="1" outlineLevel="1"/>
    <col min="32" max="32" width="10.28515625" style="185" bestFit="1" customWidth="1" collapsed="1"/>
    <col min="33" max="33" width="9.28515625" style="185" bestFit="1" customWidth="1"/>
    <col min="34" max="34" width="9.140625" style="185"/>
    <col min="35" max="35" width="13.5703125" style="185" customWidth="1"/>
    <col min="36" max="36" width="12.7109375" style="185" customWidth="1"/>
    <col min="37" max="37" width="15.28515625" style="186" bestFit="1" customWidth="1"/>
    <col min="38" max="38" width="9.42578125" style="185" bestFit="1" customWidth="1"/>
    <col min="39" max="39" width="7.7109375" style="185" bestFit="1" customWidth="1"/>
    <col min="40" max="40" width="13.85546875" style="185" bestFit="1" customWidth="1"/>
    <col min="41" max="41" width="18.42578125" style="185" bestFit="1" customWidth="1"/>
    <col min="42" max="42" width="9.5703125" style="188" bestFit="1" customWidth="1"/>
    <col min="43" max="43" width="16.7109375" style="185" bestFit="1" customWidth="1"/>
    <col min="44" max="44" width="14.85546875" style="185" customWidth="1"/>
    <col min="45" max="45" width="14.7109375" style="185" bestFit="1" customWidth="1"/>
    <col min="46" max="46" width="11.28515625" style="185" bestFit="1" customWidth="1"/>
    <col min="47" max="48" width="9.140625" style="185"/>
    <col min="49" max="49" width="25.85546875" style="185" customWidth="1"/>
    <col min="50" max="50" width="13.85546875" style="185" bestFit="1" customWidth="1"/>
    <col min="51" max="51" width="12.5703125" style="185" customWidth="1"/>
    <col min="52" max="16384" width="9.140625" style="185"/>
  </cols>
  <sheetData>
    <row r="1" spans="1:53" ht="12" customHeight="1">
      <c r="A1" s="181" t="s">
        <v>161</v>
      </c>
      <c r="B1" s="182"/>
      <c r="C1" s="368" t="s">
        <v>843</v>
      </c>
      <c r="D1" s="183"/>
      <c r="E1" s="182"/>
      <c r="F1" s="182"/>
      <c r="G1" s="182"/>
      <c r="H1" s="182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N1" s="187" t="s">
        <v>162</v>
      </c>
      <c r="AO1" s="188" t="s">
        <v>163</v>
      </c>
      <c r="AQ1" s="189" t="s">
        <v>164</v>
      </c>
      <c r="AR1" s="190" t="s">
        <v>165</v>
      </c>
      <c r="AS1" s="191">
        <f>'[34]LG BRG Public - MSW'!K22</f>
        <v>7.8185393865515262E-2</v>
      </c>
      <c r="AT1" s="191">
        <v>7.4999999999999997E-3</v>
      </c>
      <c r="AU1" s="192">
        <f>AS1+AT1</f>
        <v>8.5685393865515269E-2</v>
      </c>
      <c r="AW1" s="193" t="s">
        <v>166</v>
      </c>
      <c r="AX1" s="194">
        <f>R115+R122+R252+R308+R318</f>
        <v>4562891.1100000003</v>
      </c>
    </row>
    <row r="2" spans="1:53" ht="12" customHeight="1">
      <c r="A2" s="181" t="s">
        <v>167</v>
      </c>
      <c r="B2" s="182"/>
      <c r="D2" s="183"/>
      <c r="E2" s="182"/>
      <c r="F2" s="182"/>
      <c r="G2" s="182"/>
      <c r="H2" s="182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I2" s="496" t="s">
        <v>168</v>
      </c>
      <c r="AJ2" s="496"/>
      <c r="AQ2" s="195"/>
      <c r="AR2" s="190" t="s">
        <v>169</v>
      </c>
      <c r="AS2" s="191">
        <f>'[34]LG BRG Public - Recycle'!K22</f>
        <v>-4.1215216251492715E-2</v>
      </c>
      <c r="AT2" s="191">
        <v>0</v>
      </c>
      <c r="AU2" s="192">
        <f>AS2+AT2</f>
        <v>-4.1215216251492715E-2</v>
      </c>
      <c r="AW2" s="193" t="s">
        <v>170</v>
      </c>
      <c r="AX2" s="196">
        <f>'[34]COVID EXPENSES JE Query'!H561</f>
        <v>35325.345000123409</v>
      </c>
    </row>
    <row r="3" spans="1:53" ht="12" customHeight="1">
      <c r="A3" s="197" t="s">
        <v>171</v>
      </c>
      <c r="B3" s="198" t="s">
        <v>172</v>
      </c>
      <c r="C3" s="183"/>
      <c r="D3" s="183"/>
      <c r="E3" s="182"/>
      <c r="F3" s="182"/>
      <c r="G3" s="182"/>
      <c r="H3" s="182"/>
      <c r="I3" s="199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Q3" s="188"/>
      <c r="AR3" s="181"/>
      <c r="AS3" s="200"/>
      <c r="AT3" s="201"/>
      <c r="AW3" s="193" t="s">
        <v>173</v>
      </c>
      <c r="AX3" s="194">
        <f>(AX2/2)/(1-(BA3+BA4))</f>
        <v>18071.078882813283</v>
      </c>
      <c r="AY3" s="202">
        <f>+AY329-AX3</f>
        <v>-618.92871661683603</v>
      </c>
      <c r="AZ3" s="193" t="s">
        <v>174</v>
      </c>
      <c r="BA3" s="203">
        <v>1.7500000000000002E-2</v>
      </c>
    </row>
    <row r="4" spans="1:53" ht="12" customHeight="1">
      <c r="A4" s="182"/>
      <c r="B4" s="204"/>
      <c r="C4" s="205" t="s">
        <v>175</v>
      </c>
      <c r="D4" s="205" t="s">
        <v>176</v>
      </c>
      <c r="E4" s="182"/>
      <c r="F4" s="206">
        <v>43922</v>
      </c>
      <c r="G4" s="206">
        <f t="shared" ref="G4:Q4" si="0">EDATE(F4,1)</f>
        <v>43952</v>
      </c>
      <c r="H4" s="206">
        <f t="shared" si="0"/>
        <v>43983</v>
      </c>
      <c r="I4" s="206">
        <f t="shared" si="0"/>
        <v>44013</v>
      </c>
      <c r="J4" s="206">
        <f t="shared" si="0"/>
        <v>44044</v>
      </c>
      <c r="K4" s="206">
        <f t="shared" si="0"/>
        <v>44075</v>
      </c>
      <c r="L4" s="206">
        <f t="shared" si="0"/>
        <v>44105</v>
      </c>
      <c r="M4" s="206">
        <f t="shared" si="0"/>
        <v>44136</v>
      </c>
      <c r="N4" s="206">
        <f t="shared" si="0"/>
        <v>44166</v>
      </c>
      <c r="O4" s="206">
        <f t="shared" si="0"/>
        <v>44197</v>
      </c>
      <c r="P4" s="206">
        <f t="shared" si="0"/>
        <v>44228</v>
      </c>
      <c r="Q4" s="206">
        <f t="shared" si="0"/>
        <v>44256</v>
      </c>
      <c r="R4" s="207" t="s">
        <v>14</v>
      </c>
      <c r="S4" s="184"/>
      <c r="T4" s="208">
        <f t="shared" ref="T4:AE4" si="1">+F4</f>
        <v>43922</v>
      </c>
      <c r="U4" s="208">
        <f t="shared" si="1"/>
        <v>43952</v>
      </c>
      <c r="V4" s="208">
        <f t="shared" si="1"/>
        <v>43983</v>
      </c>
      <c r="W4" s="208">
        <f t="shared" si="1"/>
        <v>44013</v>
      </c>
      <c r="X4" s="208">
        <f t="shared" si="1"/>
        <v>44044</v>
      </c>
      <c r="Y4" s="208">
        <f t="shared" si="1"/>
        <v>44075</v>
      </c>
      <c r="Z4" s="208">
        <f t="shared" si="1"/>
        <v>44105</v>
      </c>
      <c r="AA4" s="208">
        <f t="shared" si="1"/>
        <v>44136</v>
      </c>
      <c r="AB4" s="208">
        <f t="shared" si="1"/>
        <v>44166</v>
      </c>
      <c r="AC4" s="208">
        <f t="shared" si="1"/>
        <v>44197</v>
      </c>
      <c r="AD4" s="208">
        <f t="shared" si="1"/>
        <v>44228</v>
      </c>
      <c r="AE4" s="208">
        <f t="shared" si="1"/>
        <v>44256</v>
      </c>
      <c r="AF4" s="208" t="s">
        <v>14</v>
      </c>
      <c r="AG4" s="208" t="s">
        <v>177</v>
      </c>
      <c r="AI4" s="497" t="s">
        <v>178</v>
      </c>
      <c r="AJ4" s="497"/>
      <c r="AK4" s="497"/>
      <c r="AL4" s="497"/>
      <c r="AM4" s="497"/>
      <c r="AP4" s="185"/>
      <c r="AV4" s="201"/>
      <c r="AW4" s="193" t="s">
        <v>179</v>
      </c>
      <c r="AX4" s="209">
        <f>AX3/AX1</f>
        <v>3.9604449124829725E-3</v>
      </c>
      <c r="AZ4" s="193" t="s">
        <v>180</v>
      </c>
      <c r="BA4" s="203">
        <v>5.1000000000000004E-3</v>
      </c>
    </row>
    <row r="5" spans="1:53" ht="12" customHeight="1">
      <c r="A5" s="210" t="s">
        <v>106</v>
      </c>
      <c r="B5" s="204" t="s">
        <v>132</v>
      </c>
      <c r="C5" s="211"/>
      <c r="D5" s="211"/>
      <c r="E5" s="204"/>
      <c r="F5" s="207" t="s">
        <v>131</v>
      </c>
      <c r="G5" s="207" t="s">
        <v>131</v>
      </c>
      <c r="H5" s="207" t="s">
        <v>131</v>
      </c>
      <c r="I5" s="207" t="s">
        <v>131</v>
      </c>
      <c r="J5" s="207" t="s">
        <v>131</v>
      </c>
      <c r="K5" s="207" t="s">
        <v>131</v>
      </c>
      <c r="L5" s="207" t="s">
        <v>131</v>
      </c>
      <c r="M5" s="207" t="s">
        <v>131</v>
      </c>
      <c r="N5" s="207" t="s">
        <v>131</v>
      </c>
      <c r="O5" s="207" t="s">
        <v>131</v>
      </c>
      <c r="P5" s="207" t="s">
        <v>131</v>
      </c>
      <c r="Q5" s="207" t="s">
        <v>131</v>
      </c>
      <c r="R5" s="207" t="s">
        <v>131</v>
      </c>
      <c r="S5" s="184"/>
      <c r="T5" s="212" t="s">
        <v>156</v>
      </c>
      <c r="U5" s="212" t="s">
        <v>156</v>
      </c>
      <c r="V5" s="212" t="s">
        <v>156</v>
      </c>
      <c r="W5" s="212" t="s">
        <v>156</v>
      </c>
      <c r="X5" s="212" t="s">
        <v>156</v>
      </c>
      <c r="Y5" s="212" t="s">
        <v>156</v>
      </c>
      <c r="Z5" s="212" t="s">
        <v>156</v>
      </c>
      <c r="AA5" s="212" t="s">
        <v>156</v>
      </c>
      <c r="AB5" s="212" t="s">
        <v>156</v>
      </c>
      <c r="AC5" s="212" t="s">
        <v>156</v>
      </c>
      <c r="AD5" s="212" t="s">
        <v>156</v>
      </c>
      <c r="AE5" s="212" t="s">
        <v>156</v>
      </c>
      <c r="AF5" s="212" t="s">
        <v>156</v>
      </c>
      <c r="AG5" s="212" t="s">
        <v>156</v>
      </c>
      <c r="AI5" s="213" t="s">
        <v>181</v>
      </c>
      <c r="AJ5" s="213" t="s">
        <v>182</v>
      </c>
      <c r="AK5" s="214" t="s">
        <v>183</v>
      </c>
      <c r="AL5" s="213" t="s">
        <v>184</v>
      </c>
      <c r="AM5" s="213" t="s">
        <v>185</v>
      </c>
    </row>
    <row r="6" spans="1:53" ht="12" customHeight="1"/>
    <row r="7" spans="1:53" s="184" customFormat="1" ht="12" customHeight="1">
      <c r="B7" s="307" t="s">
        <v>761</v>
      </c>
      <c r="C7" s="183"/>
      <c r="D7" s="183"/>
      <c r="E7" s="182"/>
      <c r="F7" s="182"/>
      <c r="G7" s="182"/>
      <c r="H7" s="182"/>
      <c r="AF7" s="185"/>
      <c r="AK7" s="215"/>
      <c r="AP7" s="182"/>
      <c r="AW7" s="498" t="s">
        <v>186</v>
      </c>
      <c r="AX7" s="498"/>
      <c r="AY7" s="498"/>
    </row>
    <row r="8" spans="1:53" s="184" customFormat="1" ht="12" customHeight="1">
      <c r="C8" s="183"/>
      <c r="D8" s="183"/>
      <c r="E8" s="216"/>
      <c r="F8" s="216"/>
      <c r="G8" s="182"/>
      <c r="H8" s="182"/>
      <c r="AF8" s="185"/>
      <c r="AK8" s="215"/>
      <c r="AP8" s="182"/>
      <c r="AQ8" s="499" t="s">
        <v>187</v>
      </c>
      <c r="AR8" s="499" t="s">
        <v>188</v>
      </c>
      <c r="AS8" s="499" t="s">
        <v>189</v>
      </c>
      <c r="AW8" s="500" t="s">
        <v>187</v>
      </c>
      <c r="AX8" s="500" t="s">
        <v>188</v>
      </c>
      <c r="AY8" s="500" t="s">
        <v>189</v>
      </c>
    </row>
    <row r="9" spans="1:53" s="184" customFormat="1" ht="12" customHeight="1">
      <c r="A9" s="217" t="s">
        <v>133</v>
      </c>
      <c r="B9" s="217" t="s">
        <v>133</v>
      </c>
      <c r="C9" s="183"/>
      <c r="D9" s="183"/>
      <c r="E9" s="216"/>
      <c r="F9" s="216"/>
      <c r="G9" s="182"/>
      <c r="H9" s="182"/>
      <c r="AF9" s="185"/>
      <c r="AK9" s="215"/>
      <c r="AP9" s="182"/>
      <c r="AQ9" s="499"/>
      <c r="AR9" s="499"/>
      <c r="AS9" s="499"/>
      <c r="AW9" s="500"/>
      <c r="AX9" s="500"/>
      <c r="AY9" s="500"/>
    </row>
    <row r="10" spans="1:53" s="184" customFormat="1" ht="12" customHeight="1">
      <c r="A10" s="217"/>
      <c r="B10" s="217"/>
      <c r="C10" s="183"/>
      <c r="D10" s="183"/>
      <c r="E10" s="216"/>
      <c r="F10" s="216"/>
      <c r="G10" s="182"/>
      <c r="H10" s="182"/>
      <c r="AF10" s="185"/>
      <c r="AK10" s="215"/>
      <c r="AO10" s="218"/>
      <c r="AP10" s="219"/>
      <c r="AQ10" s="219"/>
      <c r="AR10" s="182"/>
    </row>
    <row r="11" spans="1:53" s="184" customFormat="1" ht="12" customHeight="1">
      <c r="A11" s="220" t="s">
        <v>134</v>
      </c>
      <c r="B11" s="220" t="s">
        <v>134</v>
      </c>
      <c r="C11" s="221"/>
      <c r="D11" s="221"/>
      <c r="E11" s="221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185"/>
      <c r="AK11" s="215"/>
      <c r="AO11" s="218"/>
      <c r="AP11" s="225"/>
      <c r="AQ11" s="225"/>
      <c r="AR11" s="182"/>
    </row>
    <row r="12" spans="1:53" s="411" customFormat="1" ht="12" customHeight="1">
      <c r="A12" s="408" t="s">
        <v>190</v>
      </c>
      <c r="B12" s="408" t="s">
        <v>191</v>
      </c>
      <c r="C12" s="272">
        <v>11.68</v>
      </c>
      <c r="D12" s="272">
        <v>11.71</v>
      </c>
      <c r="E12" s="409"/>
      <c r="F12" s="274">
        <v>932.56999999999994</v>
      </c>
      <c r="G12" s="274">
        <v>935.33500000000004</v>
      </c>
      <c r="H12" s="274">
        <v>908.98500000000001</v>
      </c>
      <c r="I12" s="274">
        <v>913.08</v>
      </c>
      <c r="J12" s="274">
        <v>978.27499999999998</v>
      </c>
      <c r="K12" s="274">
        <v>976.68999999999994</v>
      </c>
      <c r="L12" s="274">
        <v>979.17499999999995</v>
      </c>
      <c r="M12" s="274">
        <v>970.9</v>
      </c>
      <c r="N12" s="274">
        <v>944.03</v>
      </c>
      <c r="O12" s="274">
        <v>953.05500000000006</v>
      </c>
      <c r="P12" s="274">
        <v>948.84</v>
      </c>
      <c r="Q12" s="274">
        <v>943.14499999999998</v>
      </c>
      <c r="R12" s="410">
        <f t="shared" ref="R12:R43" si="2">+SUM(F12:Q12)</f>
        <v>11384.08</v>
      </c>
      <c r="T12" s="274">
        <f t="shared" ref="T12:AB40" si="3">IFERROR(F12/$C12,0)</f>
        <v>79.843321917808211</v>
      </c>
      <c r="U12" s="274">
        <f t="shared" si="3"/>
        <v>80.080051369863014</v>
      </c>
      <c r="V12" s="274">
        <f t="shared" si="3"/>
        <v>77.824058219178085</v>
      </c>
      <c r="W12" s="274">
        <f t="shared" si="3"/>
        <v>78.174657534246577</v>
      </c>
      <c r="X12" s="274">
        <f t="shared" si="3"/>
        <v>83.756421232876718</v>
      </c>
      <c r="Y12" s="274">
        <f t="shared" si="3"/>
        <v>83.620719178082183</v>
      </c>
      <c r="Z12" s="274">
        <f t="shared" si="3"/>
        <v>83.833476027397253</v>
      </c>
      <c r="AA12" s="274">
        <f t="shared" si="3"/>
        <v>83.125</v>
      </c>
      <c r="AB12" s="274">
        <f t="shared" si="3"/>
        <v>80.824486301369859</v>
      </c>
      <c r="AC12" s="274">
        <f t="shared" ref="AC12:AE43" si="4">IFERROR(O12/$D12,0)</f>
        <v>81.388129803586679</v>
      </c>
      <c r="AD12" s="274">
        <f t="shared" si="4"/>
        <v>81.028181041844576</v>
      </c>
      <c r="AE12" s="274">
        <f t="shared" si="4"/>
        <v>80.541844577284365</v>
      </c>
      <c r="AF12" s="277">
        <f t="shared" ref="AF12:AF75" si="5">+SUM(T12:AE12)</f>
        <v>974.04034720353752</v>
      </c>
      <c r="AG12" s="278">
        <f t="shared" ref="AG12:AG75" si="6">AVERAGE(T12:AE12)</f>
        <v>81.170028933628132</v>
      </c>
      <c r="AI12" s="411">
        <v>20</v>
      </c>
      <c r="AK12" s="412"/>
      <c r="AL12" s="412" t="str">
        <f t="shared" ref="AL12:AL66" si="7">RIGHT(B12,2)</f>
        <v xml:space="preserve"> 1</v>
      </c>
      <c r="AM12" s="278">
        <f t="shared" ref="AM12:AM66" si="8">AG12*AL12</f>
        <v>81.170028933628132</v>
      </c>
      <c r="AO12" s="413"/>
      <c r="AP12" s="274"/>
      <c r="AQ12" s="414">
        <f>+IFERROR(D12*(1+$AU$1),0)</f>
        <v>12.713375962165186</v>
      </c>
      <c r="AR12" s="415">
        <f>AG12*AQ12*12</f>
        <v>12383.341136316487</v>
      </c>
      <c r="AS12" s="415">
        <f>AR12-R12</f>
        <v>999.26113631648695</v>
      </c>
      <c r="AT12" s="416">
        <f>AS12/R12</f>
        <v>8.7777065543854838E-2</v>
      </c>
      <c r="AW12" s="417">
        <f t="shared" ref="AW12:AW75" si="9">IFERROR(AQ12*(1+$AX$4),0)</f>
        <v>12.763726587315027</v>
      </c>
      <c r="AX12" s="417">
        <f>AG12*AW12*12</f>
        <v>12432.384676719354</v>
      </c>
      <c r="AY12" s="418">
        <f>AX12-AR12</f>
        <v>49.043540402866711</v>
      </c>
    </row>
    <row r="13" spans="1:53" s="411" customFormat="1" ht="12" customHeight="1">
      <c r="A13" s="408" t="s">
        <v>192</v>
      </c>
      <c r="B13" s="408" t="s">
        <v>193</v>
      </c>
      <c r="C13" s="272">
        <v>13.68</v>
      </c>
      <c r="D13" s="272">
        <v>13.71</v>
      </c>
      <c r="E13" s="409"/>
      <c r="F13" s="274">
        <v>95.97</v>
      </c>
      <c r="G13" s="274">
        <v>95.97</v>
      </c>
      <c r="H13" s="274">
        <v>95.97</v>
      </c>
      <c r="I13" s="274">
        <v>95.97</v>
      </c>
      <c r="J13" s="274">
        <v>95.76</v>
      </c>
      <c r="K13" s="274">
        <v>95.76</v>
      </c>
      <c r="L13" s="274">
        <v>95.76</v>
      </c>
      <c r="M13" s="274">
        <v>95.76</v>
      </c>
      <c r="N13" s="274">
        <v>95.97</v>
      </c>
      <c r="O13" s="274">
        <v>95.97</v>
      </c>
      <c r="P13" s="274">
        <v>95.97</v>
      </c>
      <c r="Q13" s="274">
        <v>95.97</v>
      </c>
      <c r="R13" s="410">
        <f t="shared" si="2"/>
        <v>1150.8</v>
      </c>
      <c r="T13" s="274">
        <f t="shared" si="3"/>
        <v>7.0153508771929829</v>
      </c>
      <c r="U13" s="274">
        <f t="shared" si="3"/>
        <v>7.0153508771929829</v>
      </c>
      <c r="V13" s="274">
        <f t="shared" si="3"/>
        <v>7.0153508771929829</v>
      </c>
      <c r="W13" s="274">
        <f t="shared" si="3"/>
        <v>7.0153508771929829</v>
      </c>
      <c r="X13" s="274">
        <f t="shared" si="3"/>
        <v>7.0000000000000009</v>
      </c>
      <c r="Y13" s="274">
        <f t="shared" si="3"/>
        <v>7.0000000000000009</v>
      </c>
      <c r="Z13" s="274">
        <f t="shared" si="3"/>
        <v>7.0000000000000009</v>
      </c>
      <c r="AA13" s="274">
        <f t="shared" si="3"/>
        <v>7.0000000000000009</v>
      </c>
      <c r="AB13" s="274">
        <f t="shared" si="3"/>
        <v>7.0153508771929829</v>
      </c>
      <c r="AC13" s="274">
        <f t="shared" si="4"/>
        <v>6.9999999999999991</v>
      </c>
      <c r="AD13" s="274">
        <f t="shared" si="4"/>
        <v>6.9999999999999991</v>
      </c>
      <c r="AE13" s="274">
        <f t="shared" si="4"/>
        <v>6.9999999999999991</v>
      </c>
      <c r="AF13" s="277">
        <f t="shared" si="5"/>
        <v>84.076754385964918</v>
      </c>
      <c r="AG13" s="278">
        <f t="shared" si="6"/>
        <v>7.0063961988304095</v>
      </c>
      <c r="AI13" s="411">
        <v>20</v>
      </c>
      <c r="AK13" s="412"/>
      <c r="AL13" s="412" t="str">
        <f t="shared" si="7"/>
        <v xml:space="preserve"> 1</v>
      </c>
      <c r="AM13" s="278">
        <f t="shared" si="8"/>
        <v>7.0063961988304095</v>
      </c>
      <c r="AO13" s="413"/>
      <c r="AP13" s="274"/>
      <c r="AQ13" s="414">
        <f t="shared" ref="AQ13:AQ76" si="10">+IFERROR(D13*(1+$AU$1),0)</f>
        <v>14.884746749896216</v>
      </c>
      <c r="AR13" s="415">
        <f t="shared" ref="AR13:AR76" si="11">AG13*AQ13*12</f>
        <v>1251.4611965883137</v>
      </c>
      <c r="AS13" s="415">
        <f t="shared" ref="AS13:AS76" si="12">AR13-R13</f>
        <v>100.66119658831371</v>
      </c>
      <c r="AT13" s="416">
        <f t="shared" ref="AT13:AT76" si="13">AS13/R13</f>
        <v>8.7470626162942058E-2</v>
      </c>
      <c r="AW13" s="417">
        <f t="shared" si="9"/>
        <v>14.943696969435441</v>
      </c>
      <c r="AX13" s="417">
        <f t="shared" ref="AX13:AX76" si="14">AG13*AW13*12</f>
        <v>1256.4175397175118</v>
      </c>
      <c r="AY13" s="418">
        <f t="shared" ref="AY13:AY76" si="15">AX13-AR13</f>
        <v>4.9563431291981033</v>
      </c>
    </row>
    <row r="14" spans="1:53" s="411" customFormat="1" ht="12.75" customHeight="1">
      <c r="A14" s="408" t="s">
        <v>194</v>
      </c>
      <c r="B14" s="408" t="s">
        <v>193</v>
      </c>
      <c r="C14" s="272">
        <v>13.68</v>
      </c>
      <c r="D14" s="272">
        <v>13.71</v>
      </c>
      <c r="E14" s="409"/>
      <c r="F14" s="274">
        <v>0</v>
      </c>
      <c r="G14" s="274">
        <v>0</v>
      </c>
      <c r="H14" s="274">
        <v>0</v>
      </c>
      <c r="I14" s="274">
        <v>0</v>
      </c>
      <c r="J14" s="274">
        <v>0</v>
      </c>
      <c r="K14" s="274">
        <v>0</v>
      </c>
      <c r="L14" s="274">
        <v>0</v>
      </c>
      <c r="M14" s="274">
        <v>0</v>
      </c>
      <c r="N14" s="274">
        <v>0</v>
      </c>
      <c r="O14" s="274">
        <v>0</v>
      </c>
      <c r="P14" s="274">
        <v>0</v>
      </c>
      <c r="Q14" s="274">
        <v>0</v>
      </c>
      <c r="R14" s="410">
        <f t="shared" si="2"/>
        <v>0</v>
      </c>
      <c r="T14" s="274">
        <f t="shared" si="3"/>
        <v>0</v>
      </c>
      <c r="U14" s="274">
        <f t="shared" si="3"/>
        <v>0</v>
      </c>
      <c r="V14" s="274">
        <f t="shared" si="3"/>
        <v>0</v>
      </c>
      <c r="W14" s="274">
        <f t="shared" si="3"/>
        <v>0</v>
      </c>
      <c r="X14" s="274">
        <f t="shared" si="3"/>
        <v>0</v>
      </c>
      <c r="Y14" s="274">
        <f t="shared" si="3"/>
        <v>0</v>
      </c>
      <c r="Z14" s="274">
        <f t="shared" si="3"/>
        <v>0</v>
      </c>
      <c r="AA14" s="274">
        <f t="shared" si="3"/>
        <v>0</v>
      </c>
      <c r="AB14" s="274">
        <f t="shared" si="3"/>
        <v>0</v>
      </c>
      <c r="AC14" s="274">
        <f t="shared" si="4"/>
        <v>0</v>
      </c>
      <c r="AD14" s="274">
        <f t="shared" si="4"/>
        <v>0</v>
      </c>
      <c r="AE14" s="274">
        <f t="shared" si="4"/>
        <v>0</v>
      </c>
      <c r="AF14" s="277">
        <f t="shared" si="5"/>
        <v>0</v>
      </c>
      <c r="AG14" s="278">
        <f t="shared" si="6"/>
        <v>0</v>
      </c>
      <c r="AI14" s="411">
        <v>20</v>
      </c>
      <c r="AK14" s="412"/>
      <c r="AL14" s="412" t="str">
        <f t="shared" si="7"/>
        <v xml:space="preserve"> 1</v>
      </c>
      <c r="AM14" s="278">
        <f t="shared" si="8"/>
        <v>0</v>
      </c>
      <c r="AO14" s="413"/>
      <c r="AP14" s="274"/>
      <c r="AQ14" s="414">
        <f t="shared" si="10"/>
        <v>14.884746749896216</v>
      </c>
      <c r="AR14" s="415">
        <f t="shared" si="11"/>
        <v>0</v>
      </c>
      <c r="AS14" s="415">
        <f t="shared" si="12"/>
        <v>0</v>
      </c>
      <c r="AT14" s="416" t="e">
        <f t="shared" si="13"/>
        <v>#DIV/0!</v>
      </c>
      <c r="AW14" s="417">
        <f t="shared" si="9"/>
        <v>14.943696969435441</v>
      </c>
      <c r="AX14" s="417">
        <f t="shared" si="14"/>
        <v>0</v>
      </c>
      <c r="AY14" s="418">
        <f t="shared" si="15"/>
        <v>0</v>
      </c>
    </row>
    <row r="15" spans="1:53" s="411" customFormat="1" ht="12.75" customHeight="1">
      <c r="A15" s="408" t="s">
        <v>195</v>
      </c>
      <c r="B15" s="408" t="s">
        <v>196</v>
      </c>
      <c r="C15" s="272">
        <v>11.68</v>
      </c>
      <c r="D15" s="272">
        <v>11.71</v>
      </c>
      <c r="E15" s="409"/>
      <c r="F15" s="274">
        <v>35.130000000000003</v>
      </c>
      <c r="G15" s="274">
        <v>35.130000000000003</v>
      </c>
      <c r="H15" s="274">
        <v>35.130000000000003</v>
      </c>
      <c r="I15" s="274">
        <v>35.355000000000004</v>
      </c>
      <c r="J15" s="274">
        <v>44.085000000000001</v>
      </c>
      <c r="K15" s="274">
        <v>43.8</v>
      </c>
      <c r="L15" s="274">
        <v>46.72</v>
      </c>
      <c r="M15" s="274">
        <v>46.72</v>
      </c>
      <c r="N15" s="274">
        <v>46.78</v>
      </c>
      <c r="O15" s="274">
        <v>46.84</v>
      </c>
      <c r="P15" s="274">
        <v>35.130000000000003</v>
      </c>
      <c r="Q15" s="274">
        <v>35.130000000000003</v>
      </c>
      <c r="R15" s="410">
        <f t="shared" si="2"/>
        <v>485.95000000000005</v>
      </c>
      <c r="T15" s="274">
        <f t="shared" si="3"/>
        <v>3.007705479452055</v>
      </c>
      <c r="U15" s="274">
        <f t="shared" si="3"/>
        <v>3.007705479452055</v>
      </c>
      <c r="V15" s="274">
        <f t="shared" si="3"/>
        <v>3.007705479452055</v>
      </c>
      <c r="W15" s="274">
        <f t="shared" si="3"/>
        <v>3.0269691780821923</v>
      </c>
      <c r="X15" s="274">
        <f t="shared" si="3"/>
        <v>3.774400684931507</v>
      </c>
      <c r="Y15" s="274">
        <f t="shared" si="3"/>
        <v>3.75</v>
      </c>
      <c r="Z15" s="274">
        <f t="shared" si="3"/>
        <v>4</v>
      </c>
      <c r="AA15" s="274">
        <f t="shared" si="3"/>
        <v>4</v>
      </c>
      <c r="AB15" s="274">
        <f t="shared" si="3"/>
        <v>4.0051369863013697</v>
      </c>
      <c r="AC15" s="274">
        <f t="shared" si="4"/>
        <v>4</v>
      </c>
      <c r="AD15" s="274">
        <f t="shared" si="4"/>
        <v>3</v>
      </c>
      <c r="AE15" s="274">
        <f t="shared" si="4"/>
        <v>3</v>
      </c>
      <c r="AF15" s="277">
        <f t="shared" si="5"/>
        <v>41.579623287671239</v>
      </c>
      <c r="AG15" s="278">
        <f t="shared" si="6"/>
        <v>3.4649686073059365</v>
      </c>
      <c r="AI15" s="411">
        <v>20</v>
      </c>
      <c r="AK15" s="412"/>
      <c r="AL15" s="412" t="str">
        <f t="shared" si="7"/>
        <v xml:space="preserve"> 1</v>
      </c>
      <c r="AM15" s="278">
        <f t="shared" si="8"/>
        <v>3.4649686073059365</v>
      </c>
      <c r="AO15" s="413"/>
      <c r="AP15" s="274"/>
      <c r="AQ15" s="414">
        <f t="shared" si="10"/>
        <v>12.713375962165186</v>
      </c>
      <c r="AR15" s="415">
        <f t="shared" si="11"/>
        <v>528.6173832213633</v>
      </c>
      <c r="AS15" s="415">
        <f t="shared" si="12"/>
        <v>42.667383221363252</v>
      </c>
      <c r="AT15" s="416">
        <f t="shared" si="13"/>
        <v>8.7802002719134173E-2</v>
      </c>
      <c r="AW15" s="417">
        <f t="shared" si="9"/>
        <v>12.763726587315027</v>
      </c>
      <c r="AX15" s="417">
        <f t="shared" si="14"/>
        <v>530.71094324739238</v>
      </c>
      <c r="AY15" s="418">
        <f t="shared" si="15"/>
        <v>2.0935600260290812</v>
      </c>
    </row>
    <row r="16" spans="1:53" s="411" customFormat="1" ht="12" customHeight="1">
      <c r="A16" s="408" t="s">
        <v>197</v>
      </c>
      <c r="B16" s="408" t="s">
        <v>198</v>
      </c>
      <c r="C16" s="272">
        <v>35.04</v>
      </c>
      <c r="D16" s="272">
        <v>35.130000000000003</v>
      </c>
      <c r="E16" s="409"/>
      <c r="F16" s="274">
        <v>0</v>
      </c>
      <c r="G16" s="274">
        <v>0</v>
      </c>
      <c r="H16" s="274">
        <v>0</v>
      </c>
      <c r="I16" s="274">
        <v>0</v>
      </c>
      <c r="J16" s="274">
        <v>0</v>
      </c>
      <c r="K16" s="274">
        <v>0</v>
      </c>
      <c r="L16" s="274">
        <v>0</v>
      </c>
      <c r="M16" s="274">
        <v>0</v>
      </c>
      <c r="N16" s="274">
        <v>0</v>
      </c>
      <c r="O16" s="274">
        <v>0</v>
      </c>
      <c r="P16" s="274">
        <v>0</v>
      </c>
      <c r="Q16" s="274">
        <v>0</v>
      </c>
      <c r="R16" s="410">
        <f t="shared" si="2"/>
        <v>0</v>
      </c>
      <c r="T16" s="274">
        <f t="shared" si="3"/>
        <v>0</v>
      </c>
      <c r="U16" s="274">
        <f t="shared" si="3"/>
        <v>0</v>
      </c>
      <c r="V16" s="274">
        <f t="shared" si="3"/>
        <v>0</v>
      </c>
      <c r="W16" s="274">
        <f t="shared" si="3"/>
        <v>0</v>
      </c>
      <c r="X16" s="274">
        <f t="shared" si="3"/>
        <v>0</v>
      </c>
      <c r="Y16" s="274">
        <f t="shared" si="3"/>
        <v>0</v>
      </c>
      <c r="Z16" s="274">
        <f t="shared" si="3"/>
        <v>0</v>
      </c>
      <c r="AA16" s="274">
        <f t="shared" si="3"/>
        <v>0</v>
      </c>
      <c r="AB16" s="274">
        <f t="shared" si="3"/>
        <v>0</v>
      </c>
      <c r="AC16" s="274">
        <f t="shared" si="4"/>
        <v>0</v>
      </c>
      <c r="AD16" s="274">
        <f t="shared" si="4"/>
        <v>0</v>
      </c>
      <c r="AE16" s="274">
        <f t="shared" si="4"/>
        <v>0</v>
      </c>
      <c r="AF16" s="277">
        <f t="shared" si="5"/>
        <v>0</v>
      </c>
      <c r="AG16" s="278">
        <f t="shared" si="6"/>
        <v>0</v>
      </c>
      <c r="AI16" s="411">
        <v>20</v>
      </c>
      <c r="AK16" s="412"/>
      <c r="AL16" s="412" t="str">
        <f t="shared" si="7"/>
        <v xml:space="preserve"> 3</v>
      </c>
      <c r="AM16" s="278">
        <f t="shared" si="8"/>
        <v>0</v>
      </c>
      <c r="AO16" s="413"/>
      <c r="AP16" s="274"/>
      <c r="AQ16" s="414">
        <f t="shared" si="10"/>
        <v>38.140127886495556</v>
      </c>
      <c r="AR16" s="415">
        <f t="shared" si="11"/>
        <v>0</v>
      </c>
      <c r="AS16" s="415">
        <f t="shared" si="12"/>
        <v>0</v>
      </c>
      <c r="AT16" s="416" t="e">
        <f t="shared" si="13"/>
        <v>#DIV/0!</v>
      </c>
      <c r="AW16" s="417">
        <f t="shared" si="9"/>
        <v>38.291179761945081</v>
      </c>
      <c r="AX16" s="417">
        <f t="shared" si="14"/>
        <v>0</v>
      </c>
      <c r="AY16" s="418">
        <f t="shared" si="15"/>
        <v>0</v>
      </c>
    </row>
    <row r="17" spans="1:51" s="411" customFormat="1" ht="12" customHeight="1">
      <c r="A17" s="408" t="s">
        <v>199</v>
      </c>
      <c r="B17" s="408" t="s">
        <v>200</v>
      </c>
      <c r="C17" s="272">
        <v>6.56</v>
      </c>
      <c r="D17" s="272">
        <v>6.58</v>
      </c>
      <c r="E17" s="409"/>
      <c r="F17" s="274">
        <v>0</v>
      </c>
      <c r="G17" s="274">
        <v>0</v>
      </c>
      <c r="H17" s="274">
        <v>0</v>
      </c>
      <c r="I17" s="274">
        <v>0</v>
      </c>
      <c r="J17" s="274">
        <v>0</v>
      </c>
      <c r="K17" s="274">
        <v>0</v>
      </c>
      <c r="L17" s="274">
        <v>0</v>
      </c>
      <c r="M17" s="274">
        <v>0</v>
      </c>
      <c r="N17" s="274">
        <v>0</v>
      </c>
      <c r="O17" s="274">
        <v>0</v>
      </c>
      <c r="P17" s="274">
        <v>0</v>
      </c>
      <c r="Q17" s="274">
        <v>0</v>
      </c>
      <c r="R17" s="410">
        <f t="shared" si="2"/>
        <v>0</v>
      </c>
      <c r="T17" s="274">
        <f t="shared" si="3"/>
        <v>0</v>
      </c>
      <c r="U17" s="274">
        <f t="shared" si="3"/>
        <v>0</v>
      </c>
      <c r="V17" s="274">
        <f t="shared" si="3"/>
        <v>0</v>
      </c>
      <c r="W17" s="274">
        <f t="shared" si="3"/>
        <v>0</v>
      </c>
      <c r="X17" s="274">
        <f t="shared" si="3"/>
        <v>0</v>
      </c>
      <c r="Y17" s="274">
        <f t="shared" si="3"/>
        <v>0</v>
      </c>
      <c r="Z17" s="274">
        <f t="shared" si="3"/>
        <v>0</v>
      </c>
      <c r="AA17" s="274">
        <f t="shared" si="3"/>
        <v>0</v>
      </c>
      <c r="AB17" s="274">
        <f t="shared" si="3"/>
        <v>0</v>
      </c>
      <c r="AC17" s="274">
        <f t="shared" si="4"/>
        <v>0</v>
      </c>
      <c r="AD17" s="274">
        <f t="shared" si="4"/>
        <v>0</v>
      </c>
      <c r="AE17" s="274">
        <f t="shared" si="4"/>
        <v>0</v>
      </c>
      <c r="AF17" s="277">
        <f t="shared" si="5"/>
        <v>0</v>
      </c>
      <c r="AG17" s="278">
        <f t="shared" si="6"/>
        <v>0</v>
      </c>
      <c r="AJ17" s="411">
        <v>32</v>
      </c>
      <c r="AK17" s="412"/>
      <c r="AL17" s="412" t="str">
        <f t="shared" si="7"/>
        <v xml:space="preserve"> 1</v>
      </c>
      <c r="AM17" s="278">
        <f t="shared" si="8"/>
        <v>0</v>
      </c>
      <c r="AO17" s="419"/>
      <c r="AP17" s="274"/>
      <c r="AQ17" s="414">
        <f t="shared" si="10"/>
        <v>7.1438098916350912</v>
      </c>
      <c r="AR17" s="415">
        <f t="shared" si="11"/>
        <v>0</v>
      </c>
      <c r="AS17" s="415">
        <f t="shared" si="12"/>
        <v>0</v>
      </c>
      <c r="AT17" s="416" t="e">
        <f t="shared" si="13"/>
        <v>#DIV/0!</v>
      </c>
      <c r="AW17" s="417">
        <f t="shared" si="9"/>
        <v>7.1721025571761636</v>
      </c>
      <c r="AX17" s="417">
        <f t="shared" si="14"/>
        <v>0</v>
      </c>
      <c r="AY17" s="418">
        <f t="shared" si="15"/>
        <v>0</v>
      </c>
    </row>
    <row r="18" spans="1:51" s="411" customFormat="1" ht="12" customHeight="1">
      <c r="A18" s="408" t="s">
        <v>201</v>
      </c>
      <c r="B18" s="408" t="s">
        <v>200</v>
      </c>
      <c r="C18" s="272">
        <v>6.56</v>
      </c>
      <c r="D18" s="272">
        <v>6.58</v>
      </c>
      <c r="E18" s="409"/>
      <c r="F18" s="274">
        <v>0</v>
      </c>
      <c r="G18" s="274">
        <v>0</v>
      </c>
      <c r="H18" s="274">
        <v>0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74">
        <v>0</v>
      </c>
      <c r="O18" s="274">
        <v>0</v>
      </c>
      <c r="P18" s="274">
        <v>0</v>
      </c>
      <c r="Q18" s="274">
        <v>0</v>
      </c>
      <c r="R18" s="410">
        <f t="shared" si="2"/>
        <v>0</v>
      </c>
      <c r="T18" s="274">
        <f t="shared" si="3"/>
        <v>0</v>
      </c>
      <c r="U18" s="274">
        <f t="shared" si="3"/>
        <v>0</v>
      </c>
      <c r="V18" s="274">
        <f t="shared" si="3"/>
        <v>0</v>
      </c>
      <c r="W18" s="274">
        <f t="shared" si="3"/>
        <v>0</v>
      </c>
      <c r="X18" s="274">
        <f t="shared" si="3"/>
        <v>0</v>
      </c>
      <c r="Y18" s="274">
        <f t="shared" si="3"/>
        <v>0</v>
      </c>
      <c r="Z18" s="274">
        <f t="shared" si="3"/>
        <v>0</v>
      </c>
      <c r="AA18" s="274">
        <f t="shared" si="3"/>
        <v>0</v>
      </c>
      <c r="AB18" s="274">
        <f t="shared" si="3"/>
        <v>0</v>
      </c>
      <c r="AC18" s="274">
        <f t="shared" si="4"/>
        <v>0</v>
      </c>
      <c r="AD18" s="274">
        <f t="shared" si="4"/>
        <v>0</v>
      </c>
      <c r="AE18" s="274">
        <f t="shared" si="4"/>
        <v>0</v>
      </c>
      <c r="AF18" s="277">
        <f t="shared" si="5"/>
        <v>0</v>
      </c>
      <c r="AG18" s="278">
        <f t="shared" si="6"/>
        <v>0</v>
      </c>
      <c r="AJ18" s="411">
        <v>32</v>
      </c>
      <c r="AK18" s="412"/>
      <c r="AL18" s="412" t="str">
        <f t="shared" si="7"/>
        <v xml:space="preserve"> 1</v>
      </c>
      <c r="AM18" s="278">
        <f t="shared" si="8"/>
        <v>0</v>
      </c>
      <c r="AO18" s="420"/>
      <c r="AP18" s="274"/>
      <c r="AQ18" s="414">
        <f t="shared" si="10"/>
        <v>7.1438098916350912</v>
      </c>
      <c r="AR18" s="415">
        <f t="shared" si="11"/>
        <v>0</v>
      </c>
      <c r="AS18" s="415">
        <f t="shared" si="12"/>
        <v>0</v>
      </c>
      <c r="AT18" s="416" t="e">
        <f t="shared" si="13"/>
        <v>#DIV/0!</v>
      </c>
      <c r="AW18" s="417">
        <f t="shared" si="9"/>
        <v>7.1721025571761636</v>
      </c>
      <c r="AX18" s="417">
        <f t="shared" si="14"/>
        <v>0</v>
      </c>
      <c r="AY18" s="418">
        <f t="shared" si="15"/>
        <v>0</v>
      </c>
    </row>
    <row r="19" spans="1:51" s="411" customFormat="1" ht="12" customHeight="1">
      <c r="A19" s="408" t="s">
        <v>202</v>
      </c>
      <c r="B19" s="408" t="s">
        <v>203</v>
      </c>
      <c r="C19" s="272">
        <v>8.56</v>
      </c>
      <c r="D19" s="272">
        <v>8.58</v>
      </c>
      <c r="E19" s="409"/>
      <c r="F19" s="274">
        <v>8.58</v>
      </c>
      <c r="G19" s="274">
        <v>8.58</v>
      </c>
      <c r="H19" s="274">
        <v>8.58</v>
      </c>
      <c r="I19" s="274">
        <v>8.58</v>
      </c>
      <c r="J19" s="274">
        <v>17.12</v>
      </c>
      <c r="K19" s="274">
        <v>17.12</v>
      </c>
      <c r="L19" s="274">
        <v>17.12</v>
      </c>
      <c r="M19" s="274">
        <v>17.12</v>
      </c>
      <c r="N19" s="274">
        <v>17.16</v>
      </c>
      <c r="O19" s="274">
        <v>17.16</v>
      </c>
      <c r="P19" s="274">
        <v>8.58</v>
      </c>
      <c r="Q19" s="274">
        <v>8.58</v>
      </c>
      <c r="R19" s="410">
        <f t="shared" si="2"/>
        <v>154.28000000000003</v>
      </c>
      <c r="T19" s="274">
        <f t="shared" si="3"/>
        <v>1.0023364485981308</v>
      </c>
      <c r="U19" s="274">
        <f t="shared" si="3"/>
        <v>1.0023364485981308</v>
      </c>
      <c r="V19" s="274">
        <f t="shared" si="3"/>
        <v>1.0023364485981308</v>
      </c>
      <c r="W19" s="274">
        <f t="shared" si="3"/>
        <v>1.0023364485981308</v>
      </c>
      <c r="X19" s="274">
        <f t="shared" si="3"/>
        <v>2</v>
      </c>
      <c r="Y19" s="274">
        <f t="shared" si="3"/>
        <v>2</v>
      </c>
      <c r="Z19" s="274">
        <f t="shared" si="3"/>
        <v>2</v>
      </c>
      <c r="AA19" s="274">
        <f t="shared" si="3"/>
        <v>2</v>
      </c>
      <c r="AB19" s="274">
        <f t="shared" si="3"/>
        <v>2.0046728971962615</v>
      </c>
      <c r="AC19" s="274">
        <f t="shared" si="4"/>
        <v>2</v>
      </c>
      <c r="AD19" s="274">
        <f t="shared" si="4"/>
        <v>1</v>
      </c>
      <c r="AE19" s="274">
        <f t="shared" si="4"/>
        <v>1</v>
      </c>
      <c r="AF19" s="277">
        <f t="shared" si="5"/>
        <v>18.014018691588785</v>
      </c>
      <c r="AG19" s="278">
        <f t="shared" si="6"/>
        <v>1.5011682242990654</v>
      </c>
      <c r="AJ19" s="411">
        <v>32</v>
      </c>
      <c r="AK19" s="412"/>
      <c r="AL19" s="412" t="str">
        <f t="shared" si="7"/>
        <v xml:space="preserve"> 1</v>
      </c>
      <c r="AM19" s="278">
        <f t="shared" si="8"/>
        <v>1.5011682242990654</v>
      </c>
      <c r="AO19" s="419"/>
      <c r="AP19" s="274"/>
      <c r="AQ19" s="414">
        <f t="shared" si="10"/>
        <v>9.3151806793661223</v>
      </c>
      <c r="AR19" s="415">
        <f t="shared" si="11"/>
        <v>167.80383887362802</v>
      </c>
      <c r="AS19" s="415">
        <f t="shared" si="12"/>
        <v>13.523838873627994</v>
      </c>
      <c r="AT19" s="416">
        <f t="shared" si="13"/>
        <v>8.7657757801581485E-2</v>
      </c>
      <c r="AW19" s="417">
        <f t="shared" si="9"/>
        <v>9.352072939296578</v>
      </c>
      <c r="AX19" s="417">
        <f t="shared" si="14"/>
        <v>168.46841673359023</v>
      </c>
      <c r="AY19" s="418">
        <f t="shared" si="15"/>
        <v>0.66457785996220764</v>
      </c>
    </row>
    <row r="20" spans="1:51" s="411" customFormat="1" ht="12" customHeight="1">
      <c r="A20" s="408" t="s">
        <v>204</v>
      </c>
      <c r="B20" s="408" t="s">
        <v>205</v>
      </c>
      <c r="C20" s="272">
        <v>6.56</v>
      </c>
      <c r="D20" s="272">
        <v>6.58</v>
      </c>
      <c r="E20" s="409"/>
      <c r="F20" s="274">
        <v>256.62</v>
      </c>
      <c r="G20" s="274">
        <v>256.62</v>
      </c>
      <c r="H20" s="274">
        <v>256.62</v>
      </c>
      <c r="I20" s="274">
        <v>271.39999999999998</v>
      </c>
      <c r="J20" s="274">
        <v>290.52</v>
      </c>
      <c r="K20" s="274">
        <v>272.24</v>
      </c>
      <c r="L20" s="274">
        <v>278.79999999999995</v>
      </c>
      <c r="M20" s="274">
        <v>308.32</v>
      </c>
      <c r="N20" s="274">
        <v>276.14</v>
      </c>
      <c r="O20" s="274">
        <v>266.43499999999995</v>
      </c>
      <c r="P20" s="274">
        <v>263.14499999999998</v>
      </c>
      <c r="Q20" s="274">
        <v>266.49</v>
      </c>
      <c r="R20" s="410">
        <f t="shared" si="2"/>
        <v>3263.3499999999995</v>
      </c>
      <c r="T20" s="274">
        <f t="shared" si="3"/>
        <v>39.118902439024396</v>
      </c>
      <c r="U20" s="274">
        <f t="shared" si="3"/>
        <v>39.118902439024396</v>
      </c>
      <c r="V20" s="274">
        <f t="shared" si="3"/>
        <v>39.118902439024396</v>
      </c>
      <c r="W20" s="274">
        <f t="shared" si="3"/>
        <v>41.371951219512191</v>
      </c>
      <c r="X20" s="274">
        <f t="shared" si="3"/>
        <v>44.286585365853661</v>
      </c>
      <c r="Y20" s="274">
        <f t="shared" si="3"/>
        <v>41.500000000000007</v>
      </c>
      <c r="Z20" s="274">
        <f t="shared" si="3"/>
        <v>42.499999999999993</v>
      </c>
      <c r="AA20" s="274">
        <f t="shared" si="3"/>
        <v>47</v>
      </c>
      <c r="AB20" s="274">
        <f t="shared" si="3"/>
        <v>42.094512195121951</v>
      </c>
      <c r="AC20" s="274">
        <f t="shared" si="4"/>
        <v>40.491641337386007</v>
      </c>
      <c r="AD20" s="274">
        <f t="shared" si="4"/>
        <v>39.991641337386014</v>
      </c>
      <c r="AE20" s="274">
        <f t="shared" si="4"/>
        <v>40.5</v>
      </c>
      <c r="AF20" s="277">
        <f t="shared" si="5"/>
        <v>497.09303877233299</v>
      </c>
      <c r="AG20" s="278">
        <f t="shared" si="6"/>
        <v>41.424419897694413</v>
      </c>
      <c r="AJ20" s="411">
        <v>32</v>
      </c>
      <c r="AK20" s="412"/>
      <c r="AL20" s="412" t="str">
        <f t="shared" si="7"/>
        <v xml:space="preserve"> 1</v>
      </c>
      <c r="AM20" s="278">
        <f t="shared" si="8"/>
        <v>41.424419897694413</v>
      </c>
      <c r="AO20" s="419"/>
      <c r="AP20" s="274"/>
      <c r="AQ20" s="414">
        <f t="shared" si="10"/>
        <v>7.1438098916350912</v>
      </c>
      <c r="AR20" s="415">
        <f t="shared" si="11"/>
        <v>3551.1381674447384</v>
      </c>
      <c r="AS20" s="415">
        <f t="shared" si="12"/>
        <v>287.78816744473897</v>
      </c>
      <c r="AT20" s="416">
        <f t="shared" si="13"/>
        <v>8.8187956377568766E-2</v>
      </c>
      <c r="AW20" s="417">
        <f t="shared" si="9"/>
        <v>7.1721025571761636</v>
      </c>
      <c r="AX20" s="417">
        <f t="shared" si="14"/>
        <v>3565.202254533519</v>
      </c>
      <c r="AY20" s="418">
        <f t="shared" si="15"/>
        <v>14.064087088780525</v>
      </c>
    </row>
    <row r="21" spans="1:51" s="411" customFormat="1" ht="12" customHeight="1">
      <c r="A21" s="408" t="s">
        <v>206</v>
      </c>
      <c r="B21" s="408" t="s">
        <v>207</v>
      </c>
      <c r="C21" s="272">
        <v>18.87</v>
      </c>
      <c r="D21" s="272">
        <v>18.920000000000002</v>
      </c>
      <c r="E21" s="409"/>
      <c r="F21" s="274">
        <v>2841.94</v>
      </c>
      <c r="G21" s="274">
        <v>2830.9050000000002</v>
      </c>
      <c r="H21" s="274">
        <v>2833.27</v>
      </c>
      <c r="I21" s="274">
        <v>2844.4300000000003</v>
      </c>
      <c r="J21" s="274">
        <v>2968.7700000000004</v>
      </c>
      <c r="K21" s="274">
        <v>2962.59</v>
      </c>
      <c r="L21" s="274">
        <v>2948.4449999999997</v>
      </c>
      <c r="M21" s="274">
        <v>2984.0849999999996</v>
      </c>
      <c r="N21" s="274">
        <v>2935.9449999999997</v>
      </c>
      <c r="O21" s="274">
        <v>2889.5450000000001</v>
      </c>
      <c r="P21" s="274">
        <v>2865.33</v>
      </c>
      <c r="Q21" s="274">
        <v>2882.145</v>
      </c>
      <c r="R21" s="410">
        <f t="shared" si="2"/>
        <v>34787.399999999994</v>
      </c>
      <c r="T21" s="274">
        <f t="shared" si="3"/>
        <v>150.60625331213566</v>
      </c>
      <c r="U21" s="274">
        <f t="shared" si="3"/>
        <v>150.0214626391097</v>
      </c>
      <c r="V21" s="274">
        <f t="shared" si="3"/>
        <v>150.14679385267618</v>
      </c>
      <c r="W21" s="274">
        <f t="shared" si="3"/>
        <v>150.73820879703234</v>
      </c>
      <c r="X21" s="274">
        <f t="shared" si="3"/>
        <v>157.3275039745628</v>
      </c>
      <c r="Y21" s="274">
        <f t="shared" si="3"/>
        <v>157</v>
      </c>
      <c r="Z21" s="274">
        <f t="shared" si="3"/>
        <v>156.25039745627979</v>
      </c>
      <c r="AA21" s="274">
        <f t="shared" si="3"/>
        <v>158.13910969793321</v>
      </c>
      <c r="AB21" s="274">
        <f t="shared" si="3"/>
        <v>155.58797032326441</v>
      </c>
      <c r="AC21" s="274">
        <f t="shared" si="4"/>
        <v>152.72436575052853</v>
      </c>
      <c r="AD21" s="274">
        <f t="shared" si="4"/>
        <v>151.44450317124733</v>
      </c>
      <c r="AE21" s="274">
        <f t="shared" si="4"/>
        <v>152.33324524312894</v>
      </c>
      <c r="AF21" s="277">
        <f t="shared" si="5"/>
        <v>1842.319814217899</v>
      </c>
      <c r="AG21" s="278">
        <f t="shared" si="6"/>
        <v>153.52665118482491</v>
      </c>
      <c r="AJ21" s="411">
        <v>32</v>
      </c>
      <c r="AK21" s="412"/>
      <c r="AL21" s="412" t="str">
        <f t="shared" si="7"/>
        <v xml:space="preserve"> 1</v>
      </c>
      <c r="AM21" s="278">
        <f t="shared" si="8"/>
        <v>153.52665118482491</v>
      </c>
      <c r="AO21" s="419"/>
      <c r="AP21" s="274"/>
      <c r="AQ21" s="414">
        <f t="shared" si="10"/>
        <v>20.541167651935552</v>
      </c>
      <c r="AR21" s="415">
        <f t="shared" si="11"/>
        <v>37843.400172332622</v>
      </c>
      <c r="AS21" s="415">
        <f t="shared" si="12"/>
        <v>3056.0001723326277</v>
      </c>
      <c r="AT21" s="416">
        <f t="shared" si="13"/>
        <v>8.7847903905800037E-2</v>
      </c>
      <c r="AW21" s="417">
        <f t="shared" si="9"/>
        <v>20.622519814859121</v>
      </c>
      <c r="AX21" s="417">
        <f t="shared" si="14"/>
        <v>37993.276874016199</v>
      </c>
      <c r="AY21" s="418">
        <f t="shared" si="15"/>
        <v>149.87670168357727</v>
      </c>
    </row>
    <row r="22" spans="1:51" s="411" customFormat="1" ht="12" customHeight="1">
      <c r="A22" s="408" t="s">
        <v>208</v>
      </c>
      <c r="B22" s="408" t="s">
        <v>209</v>
      </c>
      <c r="C22" s="272">
        <v>27.94</v>
      </c>
      <c r="D22" s="272">
        <v>28.01</v>
      </c>
      <c r="E22" s="409"/>
      <c r="F22" s="274">
        <v>308.11</v>
      </c>
      <c r="G22" s="274">
        <v>308.11</v>
      </c>
      <c r="H22" s="274">
        <v>308.11</v>
      </c>
      <c r="I22" s="274">
        <v>307.97000000000003</v>
      </c>
      <c r="J22" s="274">
        <v>335.28</v>
      </c>
      <c r="K22" s="274">
        <v>335.28</v>
      </c>
      <c r="L22" s="274">
        <v>335.28</v>
      </c>
      <c r="M22" s="274">
        <v>335.28</v>
      </c>
      <c r="N22" s="274">
        <v>335.98</v>
      </c>
      <c r="O22" s="274">
        <v>333.01</v>
      </c>
      <c r="P22" s="274">
        <v>305</v>
      </c>
      <c r="Q22" s="274">
        <v>308.11</v>
      </c>
      <c r="R22" s="410">
        <f t="shared" si="2"/>
        <v>3855.52</v>
      </c>
      <c r="T22" s="274">
        <f t="shared" si="3"/>
        <v>11.027559055118111</v>
      </c>
      <c r="U22" s="274">
        <f t="shared" si="3"/>
        <v>11.027559055118111</v>
      </c>
      <c r="V22" s="274">
        <f t="shared" si="3"/>
        <v>11.027559055118111</v>
      </c>
      <c r="W22" s="274">
        <f t="shared" si="3"/>
        <v>11.022548317823908</v>
      </c>
      <c r="X22" s="274">
        <f t="shared" si="3"/>
        <v>11.999999999999998</v>
      </c>
      <c r="Y22" s="274">
        <f t="shared" si="3"/>
        <v>11.999999999999998</v>
      </c>
      <c r="Z22" s="274">
        <f t="shared" si="3"/>
        <v>11.999999999999998</v>
      </c>
      <c r="AA22" s="274">
        <f t="shared" si="3"/>
        <v>11.999999999999998</v>
      </c>
      <c r="AB22" s="274">
        <f t="shared" si="3"/>
        <v>12.02505368647101</v>
      </c>
      <c r="AC22" s="274">
        <f t="shared" si="4"/>
        <v>11.888968225633702</v>
      </c>
      <c r="AD22" s="274">
        <f t="shared" si="4"/>
        <v>10.888968225633702</v>
      </c>
      <c r="AE22" s="274">
        <f t="shared" si="4"/>
        <v>11</v>
      </c>
      <c r="AF22" s="277">
        <f t="shared" si="5"/>
        <v>137.90821562091668</v>
      </c>
      <c r="AG22" s="278">
        <f t="shared" si="6"/>
        <v>11.492351301743057</v>
      </c>
      <c r="AJ22" s="411">
        <v>32</v>
      </c>
      <c r="AK22" s="412"/>
      <c r="AL22" s="412" t="str">
        <f t="shared" si="7"/>
        <v xml:space="preserve"> 2</v>
      </c>
      <c r="AM22" s="278">
        <f t="shared" si="8"/>
        <v>22.984702603486113</v>
      </c>
      <c r="AO22" s="419"/>
      <c r="AP22" s="274"/>
      <c r="AQ22" s="414">
        <f t="shared" si="10"/>
        <v>30.410047882173085</v>
      </c>
      <c r="AR22" s="415">
        <f t="shared" si="11"/>
        <v>4193.7954403771264</v>
      </c>
      <c r="AS22" s="415">
        <f t="shared" si="12"/>
        <v>338.27544037712642</v>
      </c>
      <c r="AT22" s="416">
        <f t="shared" si="13"/>
        <v>8.7737955029963899E-2</v>
      </c>
      <c r="AW22" s="417">
        <f t="shared" si="9"/>
        <v>30.530485201596402</v>
      </c>
      <c r="AX22" s="417">
        <f t="shared" si="14"/>
        <v>4210.4047361929624</v>
      </c>
      <c r="AY22" s="418">
        <f t="shared" si="15"/>
        <v>16.609295815836049</v>
      </c>
    </row>
    <row r="23" spans="1:51" s="411" customFormat="1" ht="12" customHeight="1">
      <c r="A23" s="408" t="s">
        <v>210</v>
      </c>
      <c r="B23" s="408" t="s">
        <v>211</v>
      </c>
      <c r="C23" s="272">
        <v>37.31</v>
      </c>
      <c r="D23" s="272">
        <v>37.409999999999997</v>
      </c>
      <c r="E23" s="409"/>
      <c r="F23" s="274">
        <v>70.144999999999996</v>
      </c>
      <c r="G23" s="274">
        <v>65.464999999999989</v>
      </c>
      <c r="H23" s="274">
        <v>65.464999999999989</v>
      </c>
      <c r="I23" s="274">
        <v>74.819999999999993</v>
      </c>
      <c r="J23" s="274">
        <v>74.62</v>
      </c>
      <c r="K23" s="274">
        <v>65.290000000000006</v>
      </c>
      <c r="L23" s="274">
        <v>65.290000000000006</v>
      </c>
      <c r="M23" s="274">
        <v>74.62</v>
      </c>
      <c r="N23" s="274">
        <v>74.819999999999993</v>
      </c>
      <c r="O23" s="274">
        <v>74.819999999999993</v>
      </c>
      <c r="P23" s="274">
        <v>74.819999999999993</v>
      </c>
      <c r="Q23" s="274">
        <v>70.144999999999996</v>
      </c>
      <c r="R23" s="410">
        <f t="shared" si="2"/>
        <v>850.31999999999994</v>
      </c>
      <c r="T23" s="274">
        <f t="shared" si="3"/>
        <v>1.8800589654248188</v>
      </c>
      <c r="U23" s="274">
        <f t="shared" si="3"/>
        <v>1.7546234253551323</v>
      </c>
      <c r="V23" s="274">
        <f t="shared" si="3"/>
        <v>1.7546234253551323</v>
      </c>
      <c r="W23" s="274">
        <f t="shared" si="3"/>
        <v>2.0053604931653708</v>
      </c>
      <c r="X23" s="274">
        <f t="shared" si="3"/>
        <v>2</v>
      </c>
      <c r="Y23" s="274">
        <f t="shared" si="3"/>
        <v>1.7499329938354329</v>
      </c>
      <c r="Z23" s="274">
        <f t="shared" si="3"/>
        <v>1.7499329938354329</v>
      </c>
      <c r="AA23" s="274">
        <f t="shared" si="3"/>
        <v>2</v>
      </c>
      <c r="AB23" s="274">
        <f t="shared" si="3"/>
        <v>2.0053604931653708</v>
      </c>
      <c r="AC23" s="274">
        <f t="shared" si="4"/>
        <v>2</v>
      </c>
      <c r="AD23" s="274">
        <f t="shared" si="4"/>
        <v>2</v>
      </c>
      <c r="AE23" s="274">
        <f t="shared" si="4"/>
        <v>1.8750334135257953</v>
      </c>
      <c r="AF23" s="277">
        <f t="shared" si="5"/>
        <v>22.774926203662485</v>
      </c>
      <c r="AG23" s="278">
        <f t="shared" si="6"/>
        <v>1.8979105169718737</v>
      </c>
      <c r="AJ23" s="411">
        <v>32</v>
      </c>
      <c r="AK23" s="412"/>
      <c r="AL23" s="412" t="str">
        <f t="shared" si="7"/>
        <v xml:space="preserve"> 3</v>
      </c>
      <c r="AM23" s="278">
        <f t="shared" si="8"/>
        <v>5.6937315509156212</v>
      </c>
      <c r="AO23" s="419"/>
      <c r="AP23" s="274"/>
      <c r="AQ23" s="414">
        <f t="shared" si="10"/>
        <v>40.615490584508926</v>
      </c>
      <c r="AR23" s="415">
        <f t="shared" si="11"/>
        <v>925.0148007877392</v>
      </c>
      <c r="AS23" s="415">
        <f t="shared" si="12"/>
        <v>74.694800787739268</v>
      </c>
      <c r="AT23" s="416">
        <f t="shared" si="13"/>
        <v>8.7843165852548769E-2</v>
      </c>
      <c r="AW23" s="417">
        <f t="shared" si="9"/>
        <v>40.776345997562345</v>
      </c>
      <c r="AX23" s="417">
        <f t="shared" si="14"/>
        <v>928.67827094949052</v>
      </c>
      <c r="AY23" s="418">
        <f t="shared" si="15"/>
        <v>3.6634701617513201</v>
      </c>
    </row>
    <row r="24" spans="1:51" s="411" customFormat="1" ht="12" customHeight="1">
      <c r="A24" s="408" t="s">
        <v>212</v>
      </c>
      <c r="B24" s="408" t="s">
        <v>213</v>
      </c>
      <c r="C24" s="272">
        <v>46.3</v>
      </c>
      <c r="D24" s="272">
        <v>46.42</v>
      </c>
      <c r="E24" s="409"/>
      <c r="F24" s="274">
        <v>46.42</v>
      </c>
      <c r="G24" s="274">
        <v>46.42</v>
      </c>
      <c r="H24" s="274">
        <v>46.42</v>
      </c>
      <c r="I24" s="274">
        <v>46.914999999999999</v>
      </c>
      <c r="J24" s="274">
        <v>46.914999999999999</v>
      </c>
      <c r="K24" s="274">
        <v>46.3</v>
      </c>
      <c r="L24" s="274">
        <v>46.3</v>
      </c>
      <c r="M24" s="274">
        <v>46.3</v>
      </c>
      <c r="N24" s="274">
        <v>46.3</v>
      </c>
      <c r="O24" s="274">
        <v>46.42</v>
      </c>
      <c r="P24" s="274">
        <v>46.42</v>
      </c>
      <c r="Q24" s="274">
        <v>46.42</v>
      </c>
      <c r="R24" s="410">
        <f t="shared" si="2"/>
        <v>557.55000000000007</v>
      </c>
      <c r="T24" s="274">
        <f t="shared" si="3"/>
        <v>1.0025917926565875</v>
      </c>
      <c r="U24" s="274">
        <f t="shared" si="3"/>
        <v>1.0025917926565875</v>
      </c>
      <c r="V24" s="274">
        <f t="shared" si="3"/>
        <v>1.0025917926565875</v>
      </c>
      <c r="W24" s="274">
        <f t="shared" si="3"/>
        <v>1.0132829373650107</v>
      </c>
      <c r="X24" s="274">
        <f t="shared" si="3"/>
        <v>1.0132829373650107</v>
      </c>
      <c r="Y24" s="274">
        <f t="shared" si="3"/>
        <v>1</v>
      </c>
      <c r="Z24" s="274">
        <f t="shared" si="3"/>
        <v>1</v>
      </c>
      <c r="AA24" s="274">
        <f t="shared" si="3"/>
        <v>1</v>
      </c>
      <c r="AB24" s="274">
        <f t="shared" si="3"/>
        <v>1</v>
      </c>
      <c r="AC24" s="274">
        <f t="shared" si="4"/>
        <v>1</v>
      </c>
      <c r="AD24" s="274">
        <f t="shared" si="4"/>
        <v>1</v>
      </c>
      <c r="AE24" s="274">
        <f t="shared" si="4"/>
        <v>1</v>
      </c>
      <c r="AF24" s="277">
        <f t="shared" si="5"/>
        <v>12.034341252699784</v>
      </c>
      <c r="AG24" s="278">
        <f t="shared" si="6"/>
        <v>1.0028617710583154</v>
      </c>
      <c r="AJ24" s="411">
        <v>32</v>
      </c>
      <c r="AK24" s="412"/>
      <c r="AL24" s="412" t="str">
        <f t="shared" si="7"/>
        <v xml:space="preserve"> 4</v>
      </c>
      <c r="AM24" s="278">
        <f t="shared" si="8"/>
        <v>4.0114470842332617</v>
      </c>
      <c r="AO24" s="419"/>
      <c r="AP24" s="274"/>
      <c r="AQ24" s="414">
        <f t="shared" si="10"/>
        <v>50.39751598323722</v>
      </c>
      <c r="AR24" s="415">
        <f t="shared" si="11"/>
        <v>606.50090563066851</v>
      </c>
      <c r="AS24" s="415">
        <f t="shared" si="12"/>
        <v>48.950905630668444</v>
      </c>
      <c r="AT24" s="416">
        <f t="shared" si="13"/>
        <v>8.7796440912327925E-2</v>
      </c>
      <c r="AW24" s="417">
        <f t="shared" si="9"/>
        <v>50.597112569014811</v>
      </c>
      <c r="AX24" s="417">
        <f t="shared" si="14"/>
        <v>608.90291905678976</v>
      </c>
      <c r="AY24" s="418">
        <f t="shared" si="15"/>
        <v>2.4020134261212434</v>
      </c>
    </row>
    <row r="25" spans="1:51" s="411" customFormat="1" ht="12" customHeight="1">
      <c r="A25" s="408" t="s">
        <v>214</v>
      </c>
      <c r="B25" s="408" t="s">
        <v>215</v>
      </c>
      <c r="C25" s="272">
        <v>16.87</v>
      </c>
      <c r="D25" s="272">
        <v>16.920000000000002</v>
      </c>
      <c r="E25" s="409"/>
      <c r="F25" s="274">
        <v>4823.6099999999997</v>
      </c>
      <c r="G25" s="274">
        <v>4799.875</v>
      </c>
      <c r="H25" s="274">
        <v>4743.335</v>
      </c>
      <c r="I25" s="274">
        <v>4873.1549999999997</v>
      </c>
      <c r="J25" s="274">
        <v>5109.7699999999995</v>
      </c>
      <c r="K25" s="274">
        <v>5088.1899999999996</v>
      </c>
      <c r="L25" s="274">
        <v>5077.41</v>
      </c>
      <c r="M25" s="274">
        <v>4993.2849999999999</v>
      </c>
      <c r="N25" s="274">
        <v>5004.3100000000004</v>
      </c>
      <c r="O25" s="274">
        <v>4962.51</v>
      </c>
      <c r="P25" s="274">
        <v>4930.0400000000009</v>
      </c>
      <c r="Q25" s="274">
        <v>4903.9800000000005</v>
      </c>
      <c r="R25" s="410">
        <f t="shared" si="2"/>
        <v>59309.470000000008</v>
      </c>
      <c r="T25" s="274">
        <f t="shared" si="3"/>
        <v>285.92827504445756</v>
      </c>
      <c r="U25" s="274">
        <f t="shared" si="3"/>
        <v>284.52133965619441</v>
      </c>
      <c r="V25" s="274">
        <f t="shared" si="3"/>
        <v>281.16982809721395</v>
      </c>
      <c r="W25" s="274">
        <f t="shared" si="3"/>
        <v>288.86514522821574</v>
      </c>
      <c r="X25" s="274">
        <f t="shared" si="3"/>
        <v>302.89093064611734</v>
      </c>
      <c r="Y25" s="274">
        <f t="shared" si="3"/>
        <v>301.6117368109069</v>
      </c>
      <c r="Z25" s="274">
        <f t="shared" si="3"/>
        <v>300.97273266152934</v>
      </c>
      <c r="AA25" s="274">
        <f t="shared" si="3"/>
        <v>295.98606994665084</v>
      </c>
      <c r="AB25" s="274">
        <f t="shared" si="3"/>
        <v>296.63959691760522</v>
      </c>
      <c r="AC25" s="274">
        <f t="shared" si="4"/>
        <v>293.29255319148933</v>
      </c>
      <c r="AD25" s="274">
        <f t="shared" si="4"/>
        <v>291.37352245862888</v>
      </c>
      <c r="AE25" s="274">
        <f t="shared" si="4"/>
        <v>289.83333333333331</v>
      </c>
      <c r="AF25" s="277">
        <f t="shared" si="5"/>
        <v>3513.0850639923433</v>
      </c>
      <c r="AG25" s="278">
        <f t="shared" si="6"/>
        <v>292.75708866602861</v>
      </c>
      <c r="AJ25" s="411">
        <v>32</v>
      </c>
      <c r="AK25" s="412"/>
      <c r="AL25" s="412" t="str">
        <f t="shared" si="7"/>
        <v xml:space="preserve"> 1</v>
      </c>
      <c r="AM25" s="278">
        <f t="shared" si="8"/>
        <v>292.75708866602861</v>
      </c>
      <c r="AO25" s="419"/>
      <c r="AP25" s="274"/>
      <c r="AQ25" s="414">
        <f t="shared" si="10"/>
        <v>18.36979686420452</v>
      </c>
      <c r="AR25" s="415">
        <f t="shared" si="11"/>
        <v>64534.658992210287</v>
      </c>
      <c r="AS25" s="415">
        <f t="shared" si="12"/>
        <v>5225.1889922102782</v>
      </c>
      <c r="AT25" s="416">
        <f t="shared" si="13"/>
        <v>8.8100416210265875E-2</v>
      </c>
      <c r="AW25" s="417">
        <f t="shared" si="9"/>
        <v>18.442549432738705</v>
      </c>
      <c r="AX25" s="417">
        <f t="shared" si="14"/>
        <v>64790.2449540948</v>
      </c>
      <c r="AY25" s="418">
        <f t="shared" si="15"/>
        <v>255.58596188451338</v>
      </c>
    </row>
    <row r="26" spans="1:51" s="411" customFormat="1" ht="12" customHeight="1">
      <c r="A26" s="408" t="s">
        <v>216</v>
      </c>
      <c r="B26" s="408" t="s">
        <v>217</v>
      </c>
      <c r="C26" s="272">
        <v>25.94</v>
      </c>
      <c r="D26" s="272">
        <v>26.01</v>
      </c>
      <c r="E26" s="409"/>
      <c r="F26" s="274">
        <v>228.31</v>
      </c>
      <c r="G26" s="274">
        <v>208.08</v>
      </c>
      <c r="H26" s="274">
        <v>208.08</v>
      </c>
      <c r="I26" s="274">
        <v>234.35500000000002</v>
      </c>
      <c r="J26" s="274">
        <v>285.88499999999999</v>
      </c>
      <c r="K26" s="274">
        <v>285.34000000000003</v>
      </c>
      <c r="L26" s="274">
        <v>285.34000000000003</v>
      </c>
      <c r="M26" s="274">
        <v>285.34000000000003</v>
      </c>
      <c r="N26" s="274">
        <v>285.83</v>
      </c>
      <c r="O26" s="274">
        <v>286.11</v>
      </c>
      <c r="P26" s="274">
        <v>286.11</v>
      </c>
      <c r="Q26" s="274">
        <v>280.33</v>
      </c>
      <c r="R26" s="410">
        <f t="shared" si="2"/>
        <v>3159.1100000000006</v>
      </c>
      <c r="T26" s="274">
        <f t="shared" si="3"/>
        <v>8.8014649190439478</v>
      </c>
      <c r="U26" s="274">
        <f t="shared" si="3"/>
        <v>8.0215882806476486</v>
      </c>
      <c r="V26" s="274">
        <f t="shared" si="3"/>
        <v>8.0215882806476486</v>
      </c>
      <c r="W26" s="274">
        <f t="shared" si="3"/>
        <v>9.034502698535082</v>
      </c>
      <c r="X26" s="274">
        <f t="shared" si="3"/>
        <v>11.0210100231303</v>
      </c>
      <c r="Y26" s="274">
        <f t="shared" si="3"/>
        <v>11</v>
      </c>
      <c r="Z26" s="274">
        <f t="shared" si="3"/>
        <v>11</v>
      </c>
      <c r="AA26" s="274">
        <f t="shared" si="3"/>
        <v>11</v>
      </c>
      <c r="AB26" s="274">
        <f t="shared" si="3"/>
        <v>11.018889745566691</v>
      </c>
      <c r="AC26" s="274">
        <f t="shared" si="4"/>
        <v>11</v>
      </c>
      <c r="AD26" s="274">
        <f t="shared" si="4"/>
        <v>11</v>
      </c>
      <c r="AE26" s="274">
        <f t="shared" si="4"/>
        <v>10.777777777777777</v>
      </c>
      <c r="AF26" s="277">
        <f t="shared" si="5"/>
        <v>121.6968217253491</v>
      </c>
      <c r="AG26" s="278">
        <f t="shared" si="6"/>
        <v>10.141401810445759</v>
      </c>
      <c r="AJ26" s="411">
        <v>32</v>
      </c>
      <c r="AK26" s="412"/>
      <c r="AL26" s="412" t="str">
        <f t="shared" si="7"/>
        <v xml:space="preserve"> 2</v>
      </c>
      <c r="AM26" s="278">
        <f t="shared" si="8"/>
        <v>20.282803620891517</v>
      </c>
      <c r="AO26" s="413"/>
      <c r="AP26" s="274"/>
      <c r="AQ26" s="414">
        <f t="shared" si="10"/>
        <v>28.238677094442057</v>
      </c>
      <c r="AR26" s="415">
        <f t="shared" si="11"/>
        <v>3436.5572521220147</v>
      </c>
      <c r="AS26" s="415">
        <f t="shared" si="12"/>
        <v>277.44725212201411</v>
      </c>
      <c r="AT26" s="416">
        <f t="shared" si="13"/>
        <v>8.7824498710717278E-2</v>
      </c>
      <c r="AW26" s="417">
        <f t="shared" si="9"/>
        <v>28.35051481947599</v>
      </c>
      <c r="AX26" s="417">
        <f t="shared" si="14"/>
        <v>3450.1675478076377</v>
      </c>
      <c r="AY26" s="418">
        <f t="shared" si="15"/>
        <v>13.610295685622987</v>
      </c>
    </row>
    <row r="27" spans="1:51" s="411" customFormat="1" ht="12" customHeight="1">
      <c r="A27" s="408" t="s">
        <v>218</v>
      </c>
      <c r="B27" s="408" t="s">
        <v>219</v>
      </c>
      <c r="C27" s="272">
        <v>35.31</v>
      </c>
      <c r="D27" s="272">
        <v>35.409999999999997</v>
      </c>
      <c r="E27" s="409"/>
      <c r="F27" s="274">
        <v>70.819999999999993</v>
      </c>
      <c r="G27" s="274">
        <v>70.819999999999993</v>
      </c>
      <c r="H27" s="274">
        <v>70.819999999999993</v>
      </c>
      <c r="I27" s="274">
        <v>70.72</v>
      </c>
      <c r="J27" s="274">
        <v>70.62</v>
      </c>
      <c r="K27" s="274">
        <v>70.62</v>
      </c>
      <c r="L27" s="274">
        <v>70.62</v>
      </c>
      <c r="M27" s="274">
        <v>70.62</v>
      </c>
      <c r="N27" s="274">
        <v>70.72</v>
      </c>
      <c r="O27" s="274">
        <v>70.819999999999993</v>
      </c>
      <c r="P27" s="274">
        <v>70.819999999999993</v>
      </c>
      <c r="Q27" s="274">
        <v>70.819999999999993</v>
      </c>
      <c r="R27" s="410">
        <f t="shared" si="2"/>
        <v>848.83999999999992</v>
      </c>
      <c r="T27" s="274">
        <f t="shared" si="3"/>
        <v>2.0056641178136503</v>
      </c>
      <c r="U27" s="274">
        <f t="shared" si="3"/>
        <v>2.0056641178136503</v>
      </c>
      <c r="V27" s="274">
        <f t="shared" si="3"/>
        <v>2.0056641178136503</v>
      </c>
      <c r="W27" s="274">
        <f t="shared" si="3"/>
        <v>2.0028320589068249</v>
      </c>
      <c r="X27" s="274">
        <f t="shared" si="3"/>
        <v>2</v>
      </c>
      <c r="Y27" s="274">
        <f t="shared" si="3"/>
        <v>2</v>
      </c>
      <c r="Z27" s="274">
        <f t="shared" si="3"/>
        <v>2</v>
      </c>
      <c r="AA27" s="274">
        <f t="shared" si="3"/>
        <v>2</v>
      </c>
      <c r="AB27" s="274">
        <f t="shared" si="3"/>
        <v>2.0028320589068249</v>
      </c>
      <c r="AC27" s="274">
        <f t="shared" si="4"/>
        <v>2</v>
      </c>
      <c r="AD27" s="274">
        <f t="shared" si="4"/>
        <v>2</v>
      </c>
      <c r="AE27" s="274">
        <f t="shared" si="4"/>
        <v>2</v>
      </c>
      <c r="AF27" s="277">
        <f t="shared" si="5"/>
        <v>24.022656471254603</v>
      </c>
      <c r="AG27" s="278">
        <f t="shared" si="6"/>
        <v>2.0018880392712171</v>
      </c>
      <c r="AJ27" s="411">
        <v>32</v>
      </c>
      <c r="AK27" s="412"/>
      <c r="AL27" s="412" t="str">
        <f t="shared" si="7"/>
        <v xml:space="preserve"> 3</v>
      </c>
      <c r="AM27" s="278">
        <f t="shared" si="8"/>
        <v>6.0056641178136516</v>
      </c>
      <c r="AO27" s="413"/>
      <c r="AP27" s="274"/>
      <c r="AQ27" s="414">
        <f t="shared" si="10"/>
        <v>38.44411979677789</v>
      </c>
      <c r="AR27" s="415">
        <f t="shared" si="11"/>
        <v>923.52988321775365</v>
      </c>
      <c r="AS27" s="415">
        <f t="shared" si="12"/>
        <v>74.689883217753732</v>
      </c>
      <c r="AT27" s="416">
        <f t="shared" si="13"/>
        <v>8.7990532041083994E-2</v>
      </c>
      <c r="AW27" s="417">
        <f t="shared" si="9"/>
        <v>38.596375615441929</v>
      </c>
      <c r="AX27" s="417">
        <f t="shared" si="14"/>
        <v>927.18747244526935</v>
      </c>
      <c r="AY27" s="418">
        <f t="shared" si="15"/>
        <v>3.6575892275157003</v>
      </c>
    </row>
    <row r="28" spans="1:51" s="411" customFormat="1" ht="12" customHeight="1">
      <c r="A28" s="408" t="s">
        <v>220</v>
      </c>
      <c r="B28" s="408" t="s">
        <v>221</v>
      </c>
      <c r="C28" s="272">
        <v>44.3</v>
      </c>
      <c r="D28" s="272">
        <v>44.42</v>
      </c>
      <c r="E28" s="409"/>
      <c r="F28" s="274">
        <v>0</v>
      </c>
      <c r="G28" s="274">
        <v>0</v>
      </c>
      <c r="H28" s="274">
        <v>0</v>
      </c>
      <c r="I28" s="274">
        <v>0</v>
      </c>
      <c r="J28" s="274">
        <v>0</v>
      </c>
      <c r="K28" s="274">
        <v>0</v>
      </c>
      <c r="L28" s="274">
        <v>0</v>
      </c>
      <c r="M28" s="274">
        <v>0</v>
      </c>
      <c r="N28" s="274">
        <v>0</v>
      </c>
      <c r="O28" s="274">
        <v>0</v>
      </c>
      <c r="P28" s="274">
        <v>0</v>
      </c>
      <c r="Q28" s="274">
        <v>0</v>
      </c>
      <c r="R28" s="410">
        <f t="shared" si="2"/>
        <v>0</v>
      </c>
      <c r="T28" s="274">
        <f t="shared" si="3"/>
        <v>0</v>
      </c>
      <c r="U28" s="274">
        <f t="shared" si="3"/>
        <v>0</v>
      </c>
      <c r="V28" s="274">
        <f t="shared" si="3"/>
        <v>0</v>
      </c>
      <c r="W28" s="274">
        <f t="shared" si="3"/>
        <v>0</v>
      </c>
      <c r="X28" s="274">
        <f t="shared" si="3"/>
        <v>0</v>
      </c>
      <c r="Y28" s="274">
        <f t="shared" si="3"/>
        <v>0</v>
      </c>
      <c r="Z28" s="274">
        <f t="shared" si="3"/>
        <v>0</v>
      </c>
      <c r="AA28" s="274">
        <f t="shared" si="3"/>
        <v>0</v>
      </c>
      <c r="AB28" s="274">
        <f t="shared" si="3"/>
        <v>0</v>
      </c>
      <c r="AC28" s="274">
        <f t="shared" si="4"/>
        <v>0</v>
      </c>
      <c r="AD28" s="274">
        <f t="shared" si="4"/>
        <v>0</v>
      </c>
      <c r="AE28" s="274">
        <f t="shared" si="4"/>
        <v>0</v>
      </c>
      <c r="AF28" s="277">
        <f t="shared" si="5"/>
        <v>0</v>
      </c>
      <c r="AG28" s="278">
        <f t="shared" si="6"/>
        <v>0</v>
      </c>
      <c r="AJ28" s="411">
        <v>32</v>
      </c>
      <c r="AK28" s="412"/>
      <c r="AL28" s="412" t="str">
        <f t="shared" si="7"/>
        <v xml:space="preserve"> 4</v>
      </c>
      <c r="AM28" s="278">
        <f t="shared" si="8"/>
        <v>0</v>
      </c>
      <c r="AO28" s="413"/>
      <c r="AP28" s="274"/>
      <c r="AQ28" s="414">
        <f t="shared" si="10"/>
        <v>48.226145195506191</v>
      </c>
      <c r="AR28" s="415">
        <f t="shared" si="11"/>
        <v>0</v>
      </c>
      <c r="AS28" s="415">
        <f t="shared" si="12"/>
        <v>0</v>
      </c>
      <c r="AT28" s="416" t="e">
        <f t="shared" si="13"/>
        <v>#DIV/0!</v>
      </c>
      <c r="AW28" s="417">
        <f t="shared" si="9"/>
        <v>48.417142186894402</v>
      </c>
      <c r="AX28" s="417">
        <f t="shared" si="14"/>
        <v>0</v>
      </c>
      <c r="AY28" s="418">
        <f t="shared" si="15"/>
        <v>0</v>
      </c>
    </row>
    <row r="29" spans="1:51" s="411" customFormat="1" ht="12" customHeight="1">
      <c r="A29" s="408" t="s">
        <v>222</v>
      </c>
      <c r="B29" s="408" t="s">
        <v>223</v>
      </c>
      <c r="C29" s="272">
        <v>13.97</v>
      </c>
      <c r="D29" s="272">
        <v>14</v>
      </c>
      <c r="E29" s="409"/>
      <c r="F29" s="274">
        <v>210</v>
      </c>
      <c r="G29" s="274">
        <v>231</v>
      </c>
      <c r="H29" s="274">
        <v>224</v>
      </c>
      <c r="I29" s="274">
        <v>224.34</v>
      </c>
      <c r="J29" s="274">
        <v>279.95000000000005</v>
      </c>
      <c r="K29" s="274">
        <v>279.40000000000003</v>
      </c>
      <c r="L29" s="274">
        <v>275.90500000000003</v>
      </c>
      <c r="M29" s="274">
        <v>261.935</v>
      </c>
      <c r="N29" s="274">
        <v>265.82</v>
      </c>
      <c r="O29" s="274">
        <v>266</v>
      </c>
      <c r="P29" s="274">
        <v>252</v>
      </c>
      <c r="Q29" s="274">
        <v>245</v>
      </c>
      <c r="R29" s="410">
        <f t="shared" si="2"/>
        <v>3015.35</v>
      </c>
      <c r="T29" s="274">
        <f t="shared" si="3"/>
        <v>15.032211882605583</v>
      </c>
      <c r="U29" s="274">
        <f t="shared" si="3"/>
        <v>16.535433070866141</v>
      </c>
      <c r="V29" s="274">
        <f t="shared" si="3"/>
        <v>16.034359341445956</v>
      </c>
      <c r="W29" s="274">
        <f t="shared" si="3"/>
        <v>16.058697208303506</v>
      </c>
      <c r="X29" s="274">
        <f t="shared" si="3"/>
        <v>20.039370078740159</v>
      </c>
      <c r="Y29" s="274">
        <f t="shared" si="3"/>
        <v>20</v>
      </c>
      <c r="Z29" s="274">
        <f t="shared" si="3"/>
        <v>19.749821045096638</v>
      </c>
      <c r="AA29" s="274">
        <f t="shared" si="3"/>
        <v>18.749821045096635</v>
      </c>
      <c r="AB29" s="274">
        <f t="shared" si="3"/>
        <v>19.027916964924838</v>
      </c>
      <c r="AC29" s="274">
        <f t="shared" si="4"/>
        <v>19</v>
      </c>
      <c r="AD29" s="274">
        <f t="shared" si="4"/>
        <v>18</v>
      </c>
      <c r="AE29" s="274">
        <f t="shared" si="4"/>
        <v>17.5</v>
      </c>
      <c r="AF29" s="277">
        <f t="shared" si="5"/>
        <v>215.72763063707944</v>
      </c>
      <c r="AG29" s="278">
        <f t="shared" si="6"/>
        <v>17.977302553089952</v>
      </c>
      <c r="AJ29" s="411">
        <v>32</v>
      </c>
      <c r="AK29" s="412"/>
      <c r="AL29" s="412" t="str">
        <f t="shared" si="7"/>
        <v xml:space="preserve"> 1</v>
      </c>
      <c r="AM29" s="278">
        <f t="shared" si="8"/>
        <v>17.977302553089952</v>
      </c>
      <c r="AO29" s="413"/>
      <c r="AP29" s="274"/>
      <c r="AQ29" s="414">
        <f t="shared" si="10"/>
        <v>15.199595514117215</v>
      </c>
      <c r="AR29" s="415">
        <f t="shared" si="11"/>
        <v>3278.9727269024879</v>
      </c>
      <c r="AS29" s="415">
        <f t="shared" si="12"/>
        <v>263.62272690248801</v>
      </c>
      <c r="AT29" s="416">
        <f t="shared" si="13"/>
        <v>8.7426907955125616E-2</v>
      </c>
      <c r="AW29" s="417">
        <f t="shared" si="9"/>
        <v>15.259792674842901</v>
      </c>
      <c r="AX29" s="417">
        <f t="shared" si="14"/>
        <v>3291.9589177569196</v>
      </c>
      <c r="AY29" s="418">
        <f t="shared" si="15"/>
        <v>12.986190854431698</v>
      </c>
    </row>
    <row r="30" spans="1:51" s="411" customFormat="1" ht="12" customHeight="1">
      <c r="A30" s="408" t="s">
        <v>224</v>
      </c>
      <c r="B30" s="408" t="s">
        <v>225</v>
      </c>
      <c r="C30" s="272">
        <v>11.97</v>
      </c>
      <c r="D30" s="272">
        <v>12</v>
      </c>
      <c r="E30" s="409"/>
      <c r="F30" s="274">
        <v>915</v>
      </c>
      <c r="G30" s="274">
        <v>882</v>
      </c>
      <c r="H30" s="274">
        <v>855</v>
      </c>
      <c r="I30" s="274">
        <v>871.8</v>
      </c>
      <c r="J30" s="274">
        <v>1017.0649999999999</v>
      </c>
      <c r="K30" s="274">
        <v>1010.8699999999999</v>
      </c>
      <c r="L30" s="274">
        <v>963.58500000000004</v>
      </c>
      <c r="M30" s="274">
        <v>970.17000000000007</v>
      </c>
      <c r="N30" s="274">
        <v>965.17499999999995</v>
      </c>
      <c r="O30" s="274">
        <v>971.98500000000001</v>
      </c>
      <c r="P30" s="274">
        <v>948</v>
      </c>
      <c r="Q30" s="274">
        <v>957</v>
      </c>
      <c r="R30" s="410">
        <f t="shared" si="2"/>
        <v>11327.65</v>
      </c>
      <c r="T30" s="274">
        <f t="shared" si="3"/>
        <v>76.441102756892221</v>
      </c>
      <c r="U30" s="274">
        <f t="shared" si="3"/>
        <v>73.68421052631578</v>
      </c>
      <c r="V30" s="274">
        <f t="shared" si="3"/>
        <v>71.428571428571431</v>
      </c>
      <c r="W30" s="274">
        <f t="shared" si="3"/>
        <v>72.832080200501252</v>
      </c>
      <c r="X30" s="274">
        <f t="shared" si="3"/>
        <v>84.967836257309926</v>
      </c>
      <c r="Y30" s="274">
        <f t="shared" si="3"/>
        <v>84.450292397660803</v>
      </c>
      <c r="Z30" s="274">
        <f t="shared" si="3"/>
        <v>80.5</v>
      </c>
      <c r="AA30" s="274">
        <f t="shared" si="3"/>
        <v>81.050125313283203</v>
      </c>
      <c r="AB30" s="274">
        <f t="shared" si="3"/>
        <v>80.632832080200487</v>
      </c>
      <c r="AC30" s="274">
        <f t="shared" si="4"/>
        <v>80.998750000000001</v>
      </c>
      <c r="AD30" s="274">
        <f t="shared" si="4"/>
        <v>79</v>
      </c>
      <c r="AE30" s="274">
        <f t="shared" si="4"/>
        <v>79.75</v>
      </c>
      <c r="AF30" s="277">
        <f t="shared" si="5"/>
        <v>945.73580096073499</v>
      </c>
      <c r="AG30" s="278">
        <f t="shared" si="6"/>
        <v>78.811316746727911</v>
      </c>
      <c r="AJ30" s="411">
        <v>32</v>
      </c>
      <c r="AK30" s="412"/>
      <c r="AL30" s="412" t="str">
        <f t="shared" si="7"/>
        <v xml:space="preserve"> 1</v>
      </c>
      <c r="AM30" s="278">
        <f t="shared" si="8"/>
        <v>78.811316746727911</v>
      </c>
      <c r="AO30" s="413"/>
      <c r="AP30" s="274"/>
      <c r="AQ30" s="414">
        <f t="shared" si="10"/>
        <v>13.028224726386185</v>
      </c>
      <c r="AR30" s="415">
        <f t="shared" si="11"/>
        <v>12321.258546705292</v>
      </c>
      <c r="AS30" s="415">
        <f t="shared" si="12"/>
        <v>993.60854670529261</v>
      </c>
      <c r="AT30" s="416">
        <f t="shared" si="13"/>
        <v>8.771532901398725E-2</v>
      </c>
      <c r="AW30" s="417">
        <f t="shared" si="9"/>
        <v>13.079822292722486</v>
      </c>
      <c r="AX30" s="417">
        <f t="shared" si="14"/>
        <v>12370.056212431977</v>
      </c>
      <c r="AY30" s="418">
        <f t="shared" si="15"/>
        <v>48.7976657266845</v>
      </c>
    </row>
    <row r="31" spans="1:51" s="411" customFormat="1" ht="12" customHeight="1">
      <c r="A31" s="408" t="s">
        <v>226</v>
      </c>
      <c r="B31" s="408" t="s">
        <v>227</v>
      </c>
      <c r="C31" s="272">
        <v>9.2100000000000009</v>
      </c>
      <c r="D31" s="272">
        <v>9.23</v>
      </c>
      <c r="E31" s="409"/>
      <c r="F31" s="274">
        <v>0</v>
      </c>
      <c r="G31" s="274">
        <v>0</v>
      </c>
      <c r="H31" s="274">
        <v>9.23</v>
      </c>
      <c r="I31" s="274">
        <v>9.23</v>
      </c>
      <c r="J31" s="274">
        <v>13.815</v>
      </c>
      <c r="K31" s="274">
        <v>13.815</v>
      </c>
      <c r="L31" s="274">
        <v>9.2100000000000009</v>
      </c>
      <c r="M31" s="274">
        <v>9.2100000000000009</v>
      </c>
      <c r="N31" s="274">
        <v>9.23</v>
      </c>
      <c r="O31" s="274">
        <v>9.23</v>
      </c>
      <c r="P31" s="274">
        <v>13.845000000000001</v>
      </c>
      <c r="Q31" s="274">
        <v>13.845000000000001</v>
      </c>
      <c r="R31" s="410">
        <f t="shared" si="2"/>
        <v>110.66</v>
      </c>
      <c r="T31" s="274">
        <f t="shared" si="3"/>
        <v>0</v>
      </c>
      <c r="U31" s="274">
        <f t="shared" si="3"/>
        <v>0</v>
      </c>
      <c r="V31" s="274">
        <f t="shared" si="3"/>
        <v>1.002171552660152</v>
      </c>
      <c r="W31" s="274">
        <f t="shared" si="3"/>
        <v>1.002171552660152</v>
      </c>
      <c r="X31" s="274">
        <f t="shared" si="3"/>
        <v>1.4999999999999998</v>
      </c>
      <c r="Y31" s="274">
        <f t="shared" si="3"/>
        <v>1.4999999999999998</v>
      </c>
      <c r="Z31" s="274">
        <f t="shared" si="3"/>
        <v>1</v>
      </c>
      <c r="AA31" s="274">
        <f t="shared" si="3"/>
        <v>1</v>
      </c>
      <c r="AB31" s="274">
        <f t="shared" si="3"/>
        <v>1.002171552660152</v>
      </c>
      <c r="AC31" s="274">
        <f t="shared" si="4"/>
        <v>1</v>
      </c>
      <c r="AD31" s="274">
        <f t="shared" si="4"/>
        <v>1.5</v>
      </c>
      <c r="AE31" s="274">
        <f t="shared" si="4"/>
        <v>1.5</v>
      </c>
      <c r="AF31" s="277">
        <f t="shared" si="5"/>
        <v>12.006514657980457</v>
      </c>
      <c r="AG31" s="278">
        <f t="shared" si="6"/>
        <v>1.000542888165038</v>
      </c>
      <c r="AI31" s="411">
        <v>35</v>
      </c>
      <c r="AK31" s="412"/>
      <c r="AL31" s="412" t="str">
        <f t="shared" si="7"/>
        <v xml:space="preserve"> 1</v>
      </c>
      <c r="AM31" s="278">
        <f t="shared" si="8"/>
        <v>1.000542888165038</v>
      </c>
      <c r="AO31" s="413"/>
      <c r="AP31" s="274"/>
      <c r="AQ31" s="414">
        <f t="shared" si="10"/>
        <v>10.020876185378707</v>
      </c>
      <c r="AR31" s="415">
        <f t="shared" si="11"/>
        <v>120.31579680555674</v>
      </c>
      <c r="AS31" s="415">
        <f t="shared" si="12"/>
        <v>9.6557968055567471</v>
      </c>
      <c r="AT31" s="416">
        <f t="shared" si="13"/>
        <v>8.7256432365414305E-2</v>
      </c>
      <c r="AW31" s="417">
        <f t="shared" si="9"/>
        <v>10.060563313485712</v>
      </c>
      <c r="AX31" s="417">
        <f t="shared" si="14"/>
        <v>120.79230089090663</v>
      </c>
      <c r="AY31" s="418">
        <f t="shared" si="15"/>
        <v>0.47650408534988742</v>
      </c>
    </row>
    <row r="32" spans="1:51" s="411" customFormat="1" ht="12" customHeight="1">
      <c r="A32" s="408" t="s">
        <v>228</v>
      </c>
      <c r="B32" s="408" t="s">
        <v>229</v>
      </c>
      <c r="C32" s="272">
        <v>7.21</v>
      </c>
      <c r="D32" s="272">
        <v>7.23</v>
      </c>
      <c r="E32" s="409"/>
      <c r="F32" s="274">
        <v>191.595</v>
      </c>
      <c r="G32" s="274">
        <v>184.36500000000001</v>
      </c>
      <c r="H32" s="274">
        <v>177.13499999999999</v>
      </c>
      <c r="I32" s="274">
        <v>173.61500000000001</v>
      </c>
      <c r="J32" s="274">
        <v>122.815</v>
      </c>
      <c r="K32" s="274">
        <v>129.78</v>
      </c>
      <c r="L32" s="274">
        <v>136.99</v>
      </c>
      <c r="M32" s="274">
        <v>140.595</v>
      </c>
      <c r="N32" s="274">
        <v>148.005</v>
      </c>
      <c r="O32" s="274">
        <v>140.95500000000001</v>
      </c>
      <c r="P32" s="274">
        <v>198.70500000000001</v>
      </c>
      <c r="Q32" s="274">
        <v>155.44499999999999</v>
      </c>
      <c r="R32" s="410">
        <f t="shared" si="2"/>
        <v>1899.9999999999998</v>
      </c>
      <c r="T32" s="274">
        <f t="shared" si="3"/>
        <v>26.573509015256587</v>
      </c>
      <c r="U32" s="274">
        <f t="shared" si="3"/>
        <v>25.570735090152567</v>
      </c>
      <c r="V32" s="274">
        <f t="shared" si="3"/>
        <v>24.567961165048544</v>
      </c>
      <c r="W32" s="274">
        <f t="shared" si="3"/>
        <v>24.079750346740639</v>
      </c>
      <c r="X32" s="274">
        <f t="shared" si="3"/>
        <v>17.033980582524272</v>
      </c>
      <c r="Y32" s="274">
        <f t="shared" si="3"/>
        <v>18</v>
      </c>
      <c r="Z32" s="274">
        <f t="shared" si="3"/>
        <v>19</v>
      </c>
      <c r="AA32" s="274">
        <f t="shared" si="3"/>
        <v>19.5</v>
      </c>
      <c r="AB32" s="274">
        <f t="shared" si="3"/>
        <v>20.52773925104022</v>
      </c>
      <c r="AC32" s="274">
        <f t="shared" si="4"/>
        <v>19.495850622406639</v>
      </c>
      <c r="AD32" s="274">
        <f t="shared" si="4"/>
        <v>27.483402489626556</v>
      </c>
      <c r="AE32" s="274">
        <f t="shared" si="4"/>
        <v>21.499999999999996</v>
      </c>
      <c r="AF32" s="277">
        <f t="shared" si="5"/>
        <v>263.33292856279604</v>
      </c>
      <c r="AG32" s="278">
        <f t="shared" si="6"/>
        <v>21.944410713566338</v>
      </c>
      <c r="AI32" s="411">
        <v>35</v>
      </c>
      <c r="AK32" s="412"/>
      <c r="AL32" s="412" t="str">
        <f t="shared" si="7"/>
        <v xml:space="preserve"> 1</v>
      </c>
      <c r="AM32" s="278">
        <f t="shared" si="8"/>
        <v>21.944410713566338</v>
      </c>
      <c r="AO32" s="413"/>
      <c r="AP32" s="274"/>
      <c r="AQ32" s="414">
        <f t="shared" si="10"/>
        <v>7.8495053976476763</v>
      </c>
      <c r="AR32" s="415">
        <f t="shared" si="11"/>
        <v>2067.0332441320375</v>
      </c>
      <c r="AS32" s="415">
        <f t="shared" si="12"/>
        <v>167.03324413203768</v>
      </c>
      <c r="AT32" s="416">
        <f t="shared" si="13"/>
        <v>8.791223375370405E-2</v>
      </c>
      <c r="AW32" s="417">
        <f t="shared" si="9"/>
        <v>7.8805929313652978</v>
      </c>
      <c r="AX32" s="417">
        <f t="shared" si="14"/>
        <v>2075.2196154276935</v>
      </c>
      <c r="AY32" s="418">
        <f t="shared" si="15"/>
        <v>8.1863712956560448</v>
      </c>
    </row>
    <row r="33" spans="1:51" s="411" customFormat="1" ht="12" customHeight="1">
      <c r="A33" s="408" t="s">
        <v>230</v>
      </c>
      <c r="B33" s="408" t="s">
        <v>231</v>
      </c>
      <c r="C33" s="272">
        <v>20.04</v>
      </c>
      <c r="D33" s="272">
        <v>20.09</v>
      </c>
      <c r="E33" s="409"/>
      <c r="F33" s="274">
        <v>301.35000000000002</v>
      </c>
      <c r="G33" s="274">
        <v>301.35000000000002</v>
      </c>
      <c r="H33" s="274">
        <v>301.35000000000002</v>
      </c>
      <c r="I33" s="274">
        <v>301.93</v>
      </c>
      <c r="J33" s="274">
        <v>318.86500000000001</v>
      </c>
      <c r="K33" s="274">
        <v>318.13499999999999</v>
      </c>
      <c r="L33" s="274">
        <v>335.66999999999996</v>
      </c>
      <c r="M33" s="274">
        <v>335.66999999999996</v>
      </c>
      <c r="N33" s="274">
        <v>321.29000000000002</v>
      </c>
      <c r="O33" s="274">
        <v>321.44</v>
      </c>
      <c r="P33" s="274">
        <v>303.86</v>
      </c>
      <c r="Q33" s="274">
        <v>303.86</v>
      </c>
      <c r="R33" s="410">
        <f t="shared" si="2"/>
        <v>3764.7700000000004</v>
      </c>
      <c r="T33" s="274">
        <f t="shared" si="3"/>
        <v>15.037425149700601</v>
      </c>
      <c r="U33" s="274">
        <f t="shared" si="3"/>
        <v>15.037425149700601</v>
      </c>
      <c r="V33" s="274">
        <f t="shared" si="3"/>
        <v>15.037425149700601</v>
      </c>
      <c r="W33" s="274">
        <f t="shared" si="3"/>
        <v>15.066367265469063</v>
      </c>
      <c r="X33" s="274">
        <f t="shared" si="3"/>
        <v>15.911427145708585</v>
      </c>
      <c r="Y33" s="274">
        <f t="shared" si="3"/>
        <v>15.875</v>
      </c>
      <c r="Z33" s="274">
        <f t="shared" si="3"/>
        <v>16.75</v>
      </c>
      <c r="AA33" s="274">
        <f t="shared" si="3"/>
        <v>16.75</v>
      </c>
      <c r="AB33" s="274">
        <f t="shared" si="3"/>
        <v>16.03243512974052</v>
      </c>
      <c r="AC33" s="274">
        <f t="shared" si="4"/>
        <v>16</v>
      </c>
      <c r="AD33" s="274">
        <f t="shared" si="4"/>
        <v>15.124937779990045</v>
      </c>
      <c r="AE33" s="274">
        <f t="shared" si="4"/>
        <v>15.124937779990045</v>
      </c>
      <c r="AF33" s="277">
        <f t="shared" si="5"/>
        <v>187.74738055000003</v>
      </c>
      <c r="AG33" s="278">
        <f t="shared" si="6"/>
        <v>15.645615045833337</v>
      </c>
      <c r="AI33" s="411">
        <v>35</v>
      </c>
      <c r="AK33" s="412"/>
      <c r="AL33" s="412" t="str">
        <f t="shared" si="7"/>
        <v xml:space="preserve"> 1</v>
      </c>
      <c r="AM33" s="278">
        <f t="shared" si="8"/>
        <v>15.645615045833337</v>
      </c>
      <c r="AO33" s="413"/>
      <c r="AP33" s="274"/>
      <c r="AQ33" s="414">
        <f t="shared" si="10"/>
        <v>21.811419562758203</v>
      </c>
      <c r="AR33" s="415">
        <f t="shared" si="11"/>
        <v>4095.0368889848801</v>
      </c>
      <c r="AS33" s="415">
        <f t="shared" si="12"/>
        <v>330.26688898487964</v>
      </c>
      <c r="AT33" s="416">
        <f t="shared" si="13"/>
        <v>8.7725648309160881E-2</v>
      </c>
      <c r="AW33" s="417">
        <f t="shared" si="9"/>
        <v>21.897802488399563</v>
      </c>
      <c r="AX33" s="417">
        <f t="shared" si="14"/>
        <v>4111.2550569982905</v>
      </c>
      <c r="AY33" s="418">
        <f t="shared" si="15"/>
        <v>16.218168013410377</v>
      </c>
    </row>
    <row r="34" spans="1:51" s="411" customFormat="1" ht="12" customHeight="1">
      <c r="A34" s="408" t="s">
        <v>232</v>
      </c>
      <c r="B34" s="408" t="s">
        <v>233</v>
      </c>
      <c r="C34" s="272">
        <v>18.04</v>
      </c>
      <c r="D34" s="272">
        <v>18.09</v>
      </c>
      <c r="E34" s="409"/>
      <c r="F34" s="274">
        <v>1610.01</v>
      </c>
      <c r="G34" s="274">
        <v>1623.5749999999998</v>
      </c>
      <c r="H34" s="274">
        <v>1727.1949999999999</v>
      </c>
      <c r="I34" s="274">
        <v>1723.3050000000001</v>
      </c>
      <c r="J34" s="274">
        <v>1434.845</v>
      </c>
      <c r="K34" s="274">
        <v>1378.58</v>
      </c>
      <c r="L34" s="274">
        <v>1508.8450000000003</v>
      </c>
      <c r="M34" s="274">
        <v>1535.91</v>
      </c>
      <c r="N34" s="274">
        <v>1609.0100000000002</v>
      </c>
      <c r="O34" s="274">
        <v>1621.41</v>
      </c>
      <c r="P34" s="274">
        <v>1624.585</v>
      </c>
      <c r="Q34" s="274">
        <v>1637.15</v>
      </c>
      <c r="R34" s="410">
        <f t="shared" si="2"/>
        <v>19034.420000000002</v>
      </c>
      <c r="T34" s="274">
        <f t="shared" si="3"/>
        <v>89.24667405764967</v>
      </c>
      <c r="U34" s="274">
        <f t="shared" si="3"/>
        <v>89.998614190687363</v>
      </c>
      <c r="V34" s="274">
        <f t="shared" si="3"/>
        <v>95.742516629711758</v>
      </c>
      <c r="W34" s="274">
        <f t="shared" si="3"/>
        <v>95.526884700665192</v>
      </c>
      <c r="X34" s="274">
        <f t="shared" si="3"/>
        <v>79.536862527716195</v>
      </c>
      <c r="Y34" s="274">
        <f t="shared" si="3"/>
        <v>76.4179600886918</v>
      </c>
      <c r="Z34" s="274">
        <f t="shared" si="3"/>
        <v>83.638858093126402</v>
      </c>
      <c r="AA34" s="274">
        <f t="shared" si="3"/>
        <v>85.139135254988929</v>
      </c>
      <c r="AB34" s="274">
        <f t="shared" si="3"/>
        <v>89.191241685144135</v>
      </c>
      <c r="AC34" s="274">
        <f t="shared" si="4"/>
        <v>89.630182421227204</v>
      </c>
      <c r="AD34" s="274">
        <f t="shared" si="4"/>
        <v>89.805693753454946</v>
      </c>
      <c r="AE34" s="274">
        <f t="shared" si="4"/>
        <v>90.500276395798792</v>
      </c>
      <c r="AF34" s="277">
        <f t="shared" si="5"/>
        <v>1054.3748997988625</v>
      </c>
      <c r="AG34" s="278">
        <f t="shared" si="6"/>
        <v>87.864574983238541</v>
      </c>
      <c r="AI34" s="411">
        <v>35</v>
      </c>
      <c r="AK34" s="412"/>
      <c r="AL34" s="412" t="str">
        <f t="shared" si="7"/>
        <v xml:space="preserve"> 1</v>
      </c>
      <c r="AM34" s="278">
        <f t="shared" si="8"/>
        <v>87.864574983238541</v>
      </c>
      <c r="AQ34" s="414">
        <f t="shared" si="10"/>
        <v>19.640048775027172</v>
      </c>
      <c r="AR34" s="415">
        <f t="shared" si="11"/>
        <v>20707.974459214045</v>
      </c>
      <c r="AS34" s="415">
        <f t="shared" si="12"/>
        <v>1673.5544592140432</v>
      </c>
      <c r="AT34" s="416">
        <f t="shared" si="13"/>
        <v>8.7922535029385865E-2</v>
      </c>
      <c r="AW34" s="417">
        <f t="shared" si="9"/>
        <v>19.717832106279147</v>
      </c>
      <c r="AX34" s="417">
        <f t="shared" si="14"/>
        <v>20789.98725130887</v>
      </c>
      <c r="AY34" s="418">
        <f t="shared" si="15"/>
        <v>82.012792094825272</v>
      </c>
    </row>
    <row r="35" spans="1:51" s="411" customFormat="1" ht="12" customHeight="1">
      <c r="A35" s="408" t="s">
        <v>234</v>
      </c>
      <c r="B35" s="408" t="s">
        <v>235</v>
      </c>
      <c r="C35" s="272">
        <v>14.81</v>
      </c>
      <c r="D35" s="272">
        <v>14.84</v>
      </c>
      <c r="E35" s="409"/>
      <c r="F35" s="274">
        <v>92.75</v>
      </c>
      <c r="G35" s="274">
        <v>89.04</v>
      </c>
      <c r="H35" s="274">
        <v>89.04</v>
      </c>
      <c r="I35" s="274">
        <v>89.04</v>
      </c>
      <c r="J35" s="274">
        <v>70.349999999999994</v>
      </c>
      <c r="K35" s="274">
        <v>70.349999999999994</v>
      </c>
      <c r="L35" s="274">
        <v>74.05</v>
      </c>
      <c r="M35" s="274">
        <v>81.454999999999998</v>
      </c>
      <c r="N35" s="274">
        <v>111.22500000000001</v>
      </c>
      <c r="O35" s="274">
        <v>74.2</v>
      </c>
      <c r="P35" s="274">
        <v>74.2</v>
      </c>
      <c r="Q35" s="274">
        <v>77.91</v>
      </c>
      <c r="R35" s="410">
        <f t="shared" si="2"/>
        <v>993.61000000000013</v>
      </c>
      <c r="T35" s="274">
        <f t="shared" si="3"/>
        <v>6.2626603646185011</v>
      </c>
      <c r="U35" s="274">
        <f t="shared" si="3"/>
        <v>6.0121539500337615</v>
      </c>
      <c r="V35" s="274">
        <f t="shared" si="3"/>
        <v>6.0121539500337615</v>
      </c>
      <c r="W35" s="274">
        <f t="shared" si="3"/>
        <v>6.0121539500337615</v>
      </c>
      <c r="X35" s="274">
        <f t="shared" si="3"/>
        <v>4.7501688048615796</v>
      </c>
      <c r="Y35" s="274">
        <f t="shared" si="3"/>
        <v>4.7501688048615796</v>
      </c>
      <c r="Z35" s="274">
        <f t="shared" si="3"/>
        <v>5</v>
      </c>
      <c r="AA35" s="274">
        <f t="shared" si="3"/>
        <v>5.5</v>
      </c>
      <c r="AB35" s="274">
        <f t="shared" si="3"/>
        <v>7.5101282916948016</v>
      </c>
      <c r="AC35" s="274">
        <f t="shared" si="4"/>
        <v>5</v>
      </c>
      <c r="AD35" s="274">
        <f t="shared" si="4"/>
        <v>5</v>
      </c>
      <c r="AE35" s="274">
        <f t="shared" si="4"/>
        <v>5.25</v>
      </c>
      <c r="AF35" s="277">
        <f t="shared" si="5"/>
        <v>67.059588116137746</v>
      </c>
      <c r="AG35" s="278">
        <f t="shared" si="6"/>
        <v>5.5882990096781455</v>
      </c>
      <c r="AI35" s="411">
        <v>35</v>
      </c>
      <c r="AK35" s="412"/>
      <c r="AL35" s="412" t="str">
        <f t="shared" si="7"/>
        <v xml:space="preserve"> 1</v>
      </c>
      <c r="AM35" s="278">
        <f t="shared" si="8"/>
        <v>5.5882990096781455</v>
      </c>
      <c r="AO35" s="413"/>
      <c r="AP35" s="421"/>
      <c r="AQ35" s="414">
        <f t="shared" si="10"/>
        <v>16.111571244964246</v>
      </c>
      <c r="AR35" s="415">
        <f t="shared" si="11"/>
        <v>1080.435331591111</v>
      </c>
      <c r="AS35" s="415">
        <f t="shared" si="12"/>
        <v>86.825331591110853</v>
      </c>
      <c r="AT35" s="416">
        <f t="shared" si="13"/>
        <v>8.7383713520506875E-2</v>
      </c>
      <c r="AW35" s="417">
        <f t="shared" si="9"/>
        <v>16.175380235333474</v>
      </c>
      <c r="AX35" s="417">
        <f t="shared" si="14"/>
        <v>1084.714336203378</v>
      </c>
      <c r="AY35" s="418">
        <f t="shared" si="15"/>
        <v>4.2790046122670446</v>
      </c>
    </row>
    <row r="36" spans="1:51" s="411" customFormat="1" ht="12" customHeight="1">
      <c r="A36" s="408" t="s">
        <v>236</v>
      </c>
      <c r="B36" s="408" t="s">
        <v>237</v>
      </c>
      <c r="C36" s="272">
        <v>12.81</v>
      </c>
      <c r="D36" s="272">
        <v>12.84</v>
      </c>
      <c r="E36" s="409"/>
      <c r="F36" s="274">
        <v>696.57</v>
      </c>
      <c r="G36" s="274">
        <v>744.72</v>
      </c>
      <c r="H36" s="274">
        <v>767.24500000000012</v>
      </c>
      <c r="I36" s="274">
        <v>685.72499999999991</v>
      </c>
      <c r="J36" s="274">
        <v>678.29499999999996</v>
      </c>
      <c r="K36" s="274">
        <v>664.20499999999993</v>
      </c>
      <c r="L36" s="274">
        <v>653.95500000000004</v>
      </c>
      <c r="M36" s="274">
        <v>703.41499999999996</v>
      </c>
      <c r="N36" s="274">
        <v>679.94500000000005</v>
      </c>
      <c r="O36" s="274">
        <v>684.34500000000003</v>
      </c>
      <c r="P36" s="274">
        <v>651.01</v>
      </c>
      <c r="Q36" s="274">
        <v>663.82999999999993</v>
      </c>
      <c r="R36" s="410">
        <f t="shared" si="2"/>
        <v>8273.26</v>
      </c>
      <c r="T36" s="274">
        <f t="shared" si="3"/>
        <v>54.377049180327873</v>
      </c>
      <c r="U36" s="274">
        <f t="shared" si="3"/>
        <v>58.13583138173302</v>
      </c>
      <c r="V36" s="274">
        <f t="shared" si="3"/>
        <v>59.89422326307573</v>
      </c>
      <c r="W36" s="274">
        <f t="shared" si="3"/>
        <v>53.530444964871187</v>
      </c>
      <c r="X36" s="274">
        <f t="shared" si="3"/>
        <v>52.950429352068689</v>
      </c>
      <c r="Y36" s="274">
        <f t="shared" si="3"/>
        <v>51.850507416081179</v>
      </c>
      <c r="Z36" s="274">
        <f t="shared" si="3"/>
        <v>51.050351288056206</v>
      </c>
      <c r="AA36" s="274">
        <f t="shared" si="3"/>
        <v>54.911397345823573</v>
      </c>
      <c r="AB36" s="274">
        <f t="shared" si="3"/>
        <v>53.079234972677597</v>
      </c>
      <c r="AC36" s="274">
        <f t="shared" si="4"/>
        <v>53.297897196261687</v>
      </c>
      <c r="AD36" s="274">
        <f t="shared" si="4"/>
        <v>50.701713395638627</v>
      </c>
      <c r="AE36" s="274">
        <f t="shared" si="4"/>
        <v>51.70015576323987</v>
      </c>
      <c r="AF36" s="277">
        <f t="shared" si="5"/>
        <v>645.47923551985537</v>
      </c>
      <c r="AG36" s="278">
        <f t="shared" si="6"/>
        <v>53.789936293321283</v>
      </c>
      <c r="AI36" s="411">
        <v>35</v>
      </c>
      <c r="AK36" s="412"/>
      <c r="AL36" s="412" t="str">
        <f t="shared" si="7"/>
        <v xml:space="preserve"> 1</v>
      </c>
      <c r="AM36" s="278">
        <f t="shared" si="8"/>
        <v>53.789936293321283</v>
      </c>
      <c r="AO36" s="422"/>
      <c r="AP36" s="274"/>
      <c r="AQ36" s="414">
        <f t="shared" si="10"/>
        <v>13.940200457233217</v>
      </c>
      <c r="AR36" s="415">
        <f t="shared" si="11"/>
        <v>8998.1099341284353</v>
      </c>
      <c r="AS36" s="415">
        <f t="shared" si="12"/>
        <v>724.84993412843505</v>
      </c>
      <c r="AT36" s="416">
        <f t="shared" si="13"/>
        <v>8.7613580877240055E-2</v>
      </c>
      <c r="AW36" s="417">
        <f t="shared" si="9"/>
        <v>13.99540985321306</v>
      </c>
      <c r="AX36" s="417">
        <f t="shared" si="14"/>
        <v>9033.7464528390174</v>
      </c>
      <c r="AY36" s="418">
        <f t="shared" si="15"/>
        <v>35.636518710582095</v>
      </c>
    </row>
    <row r="37" spans="1:51" s="411" customFormat="1" ht="12" customHeight="1">
      <c r="A37" s="408" t="s">
        <v>238</v>
      </c>
      <c r="B37" s="408" t="s">
        <v>239</v>
      </c>
      <c r="C37" s="272">
        <v>9.83</v>
      </c>
      <c r="D37" s="272">
        <v>9.86</v>
      </c>
      <c r="E37" s="409"/>
      <c r="F37" s="274">
        <v>9.86</v>
      </c>
      <c r="G37" s="274">
        <v>9.86</v>
      </c>
      <c r="H37" s="274">
        <v>19.72</v>
      </c>
      <c r="I37" s="274">
        <v>29.805</v>
      </c>
      <c r="J37" s="274">
        <v>29.745000000000001</v>
      </c>
      <c r="K37" s="274">
        <v>29.490000000000002</v>
      </c>
      <c r="L37" s="274">
        <v>29.490000000000002</v>
      </c>
      <c r="M37" s="274">
        <v>29.490000000000002</v>
      </c>
      <c r="N37" s="274">
        <v>9.83</v>
      </c>
      <c r="O37" s="274">
        <v>0</v>
      </c>
      <c r="P37" s="274">
        <v>0</v>
      </c>
      <c r="Q37" s="274">
        <v>0</v>
      </c>
      <c r="R37" s="410">
        <f t="shared" si="2"/>
        <v>197.29000000000005</v>
      </c>
      <c r="T37" s="274">
        <f t="shared" si="3"/>
        <v>1.0030518819938963</v>
      </c>
      <c r="U37" s="274">
        <f t="shared" si="3"/>
        <v>1.0030518819938963</v>
      </c>
      <c r="V37" s="274">
        <f t="shared" si="3"/>
        <v>2.0061037639877926</v>
      </c>
      <c r="W37" s="274">
        <f t="shared" si="3"/>
        <v>3.0320447609359102</v>
      </c>
      <c r="X37" s="274">
        <f t="shared" si="3"/>
        <v>3.0259409969481181</v>
      </c>
      <c r="Y37" s="274">
        <f t="shared" si="3"/>
        <v>3</v>
      </c>
      <c r="Z37" s="274">
        <f t="shared" si="3"/>
        <v>3</v>
      </c>
      <c r="AA37" s="274">
        <f t="shared" si="3"/>
        <v>3</v>
      </c>
      <c r="AB37" s="274">
        <f t="shared" si="3"/>
        <v>1</v>
      </c>
      <c r="AC37" s="274">
        <f t="shared" si="4"/>
        <v>0</v>
      </c>
      <c r="AD37" s="274">
        <f t="shared" si="4"/>
        <v>0</v>
      </c>
      <c r="AE37" s="274">
        <f t="shared" si="4"/>
        <v>0</v>
      </c>
      <c r="AF37" s="277">
        <f t="shared" si="5"/>
        <v>20.070193285859613</v>
      </c>
      <c r="AG37" s="278">
        <f t="shared" si="6"/>
        <v>1.6725161071549677</v>
      </c>
      <c r="AI37" s="411">
        <v>65</v>
      </c>
      <c r="AK37" s="412"/>
      <c r="AL37" s="412" t="str">
        <f t="shared" si="7"/>
        <v xml:space="preserve"> 1</v>
      </c>
      <c r="AM37" s="278">
        <f t="shared" si="8"/>
        <v>1.6725161071549677</v>
      </c>
      <c r="AQ37" s="414">
        <f t="shared" si="10"/>
        <v>10.70485798351398</v>
      </c>
      <c r="AR37" s="415">
        <f t="shared" si="11"/>
        <v>214.84856882680296</v>
      </c>
      <c r="AS37" s="415">
        <f t="shared" si="12"/>
        <v>17.558568826802912</v>
      </c>
      <c r="AT37" s="416">
        <f t="shared" si="13"/>
        <v>8.8998777570089241E-2</v>
      </c>
      <c r="AW37" s="417">
        <f t="shared" si="9"/>
        <v>10.747253983853641</v>
      </c>
      <c r="AX37" s="417">
        <f t="shared" si="14"/>
        <v>215.69946474816732</v>
      </c>
      <c r="AY37" s="418">
        <f t="shared" si="15"/>
        <v>0.85089592136435499</v>
      </c>
    </row>
    <row r="38" spans="1:51" s="411" customFormat="1" ht="12" customHeight="1">
      <c r="A38" s="408" t="s">
        <v>240</v>
      </c>
      <c r="B38" s="408" t="s">
        <v>241</v>
      </c>
      <c r="C38" s="272">
        <v>11.83</v>
      </c>
      <c r="D38" s="272">
        <v>11.86</v>
      </c>
      <c r="E38" s="409"/>
      <c r="F38" s="274">
        <v>634.51</v>
      </c>
      <c r="G38" s="274">
        <v>640.44000000000005</v>
      </c>
      <c r="H38" s="274">
        <v>628.58000000000004</v>
      </c>
      <c r="I38" s="274">
        <v>595.97</v>
      </c>
      <c r="J38" s="274">
        <v>600.98500000000001</v>
      </c>
      <c r="K38" s="274">
        <v>597.41499999999996</v>
      </c>
      <c r="L38" s="274">
        <v>591.5</v>
      </c>
      <c r="M38" s="274">
        <v>615.16000000000008</v>
      </c>
      <c r="N38" s="274">
        <v>598.255</v>
      </c>
      <c r="O38" s="274">
        <v>581.125</v>
      </c>
      <c r="P38" s="274">
        <v>581.14</v>
      </c>
      <c r="Q38" s="274">
        <v>604.86</v>
      </c>
      <c r="R38" s="410">
        <f t="shared" si="2"/>
        <v>7269.94</v>
      </c>
      <c r="T38" s="274">
        <f t="shared" si="3"/>
        <v>53.635672020287402</v>
      </c>
      <c r="U38" s="274">
        <f t="shared" si="3"/>
        <v>54.136939983093832</v>
      </c>
      <c r="V38" s="274">
        <f t="shared" si="3"/>
        <v>53.134404057480985</v>
      </c>
      <c r="W38" s="274">
        <f t="shared" si="3"/>
        <v>50.37785291631446</v>
      </c>
      <c r="X38" s="274">
        <f t="shared" si="3"/>
        <v>50.801775147928993</v>
      </c>
      <c r="Y38" s="274">
        <f t="shared" si="3"/>
        <v>50.5</v>
      </c>
      <c r="Z38" s="274">
        <f t="shared" si="3"/>
        <v>50</v>
      </c>
      <c r="AA38" s="274">
        <f t="shared" si="3"/>
        <v>52.000000000000007</v>
      </c>
      <c r="AB38" s="274">
        <f t="shared" si="3"/>
        <v>50.571005917159759</v>
      </c>
      <c r="AC38" s="274">
        <f t="shared" si="4"/>
        <v>48.998735244519395</v>
      </c>
      <c r="AD38" s="274">
        <f t="shared" si="4"/>
        <v>49</v>
      </c>
      <c r="AE38" s="274">
        <f t="shared" si="4"/>
        <v>51.000000000000007</v>
      </c>
      <c r="AF38" s="277">
        <f t="shared" si="5"/>
        <v>614.15638528678483</v>
      </c>
      <c r="AG38" s="278">
        <f t="shared" si="6"/>
        <v>51.179698773898735</v>
      </c>
      <c r="AI38" s="411">
        <v>65</v>
      </c>
      <c r="AK38" s="412"/>
      <c r="AL38" s="412" t="str">
        <f t="shared" si="7"/>
        <v xml:space="preserve"> 1</v>
      </c>
      <c r="AM38" s="278">
        <f t="shared" si="8"/>
        <v>51.179698773898735</v>
      </c>
      <c r="AO38" s="423"/>
      <c r="AP38" s="274"/>
      <c r="AQ38" s="414">
        <f t="shared" si="10"/>
        <v>12.87622877124501</v>
      </c>
      <c r="AR38" s="415">
        <f t="shared" si="11"/>
        <v>7908.0181182735341</v>
      </c>
      <c r="AS38" s="415">
        <f t="shared" si="12"/>
        <v>638.07811827353453</v>
      </c>
      <c r="AT38" s="416">
        <f t="shared" si="13"/>
        <v>8.7769378877065637E-2</v>
      </c>
      <c r="AW38" s="417">
        <f t="shared" si="9"/>
        <v>12.927224365974055</v>
      </c>
      <c r="AX38" s="417">
        <f t="shared" si="14"/>
        <v>7939.3373883978747</v>
      </c>
      <c r="AY38" s="418">
        <f t="shared" si="15"/>
        <v>31.319270124340619</v>
      </c>
    </row>
    <row r="39" spans="1:51" s="411" customFormat="1" ht="12" customHeight="1">
      <c r="A39" s="408" t="s">
        <v>242</v>
      </c>
      <c r="B39" s="408" t="s">
        <v>243</v>
      </c>
      <c r="C39" s="272">
        <v>0</v>
      </c>
      <c r="D39" s="272">
        <v>0</v>
      </c>
      <c r="E39" s="409"/>
      <c r="F39" s="274">
        <v>0</v>
      </c>
      <c r="G39" s="274">
        <v>0</v>
      </c>
      <c r="H39" s="274">
        <v>0</v>
      </c>
      <c r="I39" s="274">
        <v>0</v>
      </c>
      <c r="J39" s="274">
        <v>0</v>
      </c>
      <c r="K39" s="274">
        <v>0</v>
      </c>
      <c r="L39" s="274">
        <v>0</v>
      </c>
      <c r="M39" s="274">
        <v>0</v>
      </c>
      <c r="N39" s="274">
        <v>0</v>
      </c>
      <c r="O39" s="274">
        <v>0</v>
      </c>
      <c r="P39" s="274">
        <v>0</v>
      </c>
      <c r="Q39" s="274">
        <v>0</v>
      </c>
      <c r="R39" s="410">
        <f t="shared" si="2"/>
        <v>0</v>
      </c>
      <c r="T39" s="274">
        <f t="shared" si="3"/>
        <v>0</v>
      </c>
      <c r="U39" s="274">
        <f t="shared" si="3"/>
        <v>0</v>
      </c>
      <c r="V39" s="274">
        <f t="shared" si="3"/>
        <v>0</v>
      </c>
      <c r="W39" s="274">
        <f t="shared" si="3"/>
        <v>0</v>
      </c>
      <c r="X39" s="274">
        <f t="shared" si="3"/>
        <v>0</v>
      </c>
      <c r="Y39" s="274">
        <f t="shared" si="3"/>
        <v>0</v>
      </c>
      <c r="Z39" s="274">
        <f t="shared" si="3"/>
        <v>0</v>
      </c>
      <c r="AA39" s="274">
        <f t="shared" si="3"/>
        <v>0</v>
      </c>
      <c r="AB39" s="274">
        <f t="shared" si="3"/>
        <v>0</v>
      </c>
      <c r="AC39" s="274">
        <f t="shared" si="4"/>
        <v>0</v>
      </c>
      <c r="AD39" s="274">
        <f t="shared" si="4"/>
        <v>0</v>
      </c>
      <c r="AE39" s="274">
        <f t="shared" si="4"/>
        <v>0</v>
      </c>
      <c r="AF39" s="277">
        <f t="shared" si="5"/>
        <v>0</v>
      </c>
      <c r="AG39" s="278">
        <f t="shared" si="6"/>
        <v>0</v>
      </c>
      <c r="AI39" s="411">
        <v>65</v>
      </c>
      <c r="AK39" s="412"/>
      <c r="AL39" s="412" t="str">
        <f t="shared" si="7"/>
        <v xml:space="preserve"> 2</v>
      </c>
      <c r="AM39" s="278">
        <f t="shared" si="8"/>
        <v>0</v>
      </c>
      <c r="AQ39" s="414">
        <f t="shared" si="10"/>
        <v>0</v>
      </c>
      <c r="AR39" s="415">
        <f t="shared" si="11"/>
        <v>0</v>
      </c>
      <c r="AS39" s="415">
        <f t="shared" si="12"/>
        <v>0</v>
      </c>
      <c r="AT39" s="416" t="e">
        <f t="shared" si="13"/>
        <v>#DIV/0!</v>
      </c>
      <c r="AW39" s="417">
        <f t="shared" si="9"/>
        <v>0</v>
      </c>
      <c r="AX39" s="417">
        <f t="shared" si="14"/>
        <v>0</v>
      </c>
      <c r="AY39" s="418">
        <f t="shared" si="15"/>
        <v>0</v>
      </c>
    </row>
    <row r="40" spans="1:51" s="411" customFormat="1" ht="12" customHeight="1">
      <c r="A40" s="408" t="s">
        <v>244</v>
      </c>
      <c r="B40" s="408" t="s">
        <v>245</v>
      </c>
      <c r="C40" s="272">
        <v>9.83</v>
      </c>
      <c r="D40" s="272">
        <v>9.86</v>
      </c>
      <c r="E40" s="409"/>
      <c r="F40" s="274">
        <v>5186.3599999999997</v>
      </c>
      <c r="G40" s="274">
        <v>5171.57</v>
      </c>
      <c r="H40" s="274">
        <v>5176.5</v>
      </c>
      <c r="I40" s="274">
        <v>5422.3899999999994</v>
      </c>
      <c r="J40" s="274">
        <v>5589.5349999999999</v>
      </c>
      <c r="K40" s="274">
        <v>5499.8850000000002</v>
      </c>
      <c r="L40" s="274">
        <v>5490.0550000000003</v>
      </c>
      <c r="M40" s="274">
        <v>5401.585</v>
      </c>
      <c r="N40" s="274">
        <v>5288.46</v>
      </c>
      <c r="O40" s="274">
        <v>5274.9650000000001</v>
      </c>
      <c r="P40" s="274">
        <v>5156.9749999999995</v>
      </c>
      <c r="Q40" s="274">
        <v>5166.6399999999994</v>
      </c>
      <c r="R40" s="410">
        <f t="shared" si="2"/>
        <v>63824.919999999991</v>
      </c>
      <c r="T40" s="274">
        <f t="shared" si="3"/>
        <v>527.60528992878938</v>
      </c>
      <c r="U40" s="274">
        <f t="shared" si="3"/>
        <v>526.10071210579849</v>
      </c>
      <c r="V40" s="274">
        <f t="shared" si="3"/>
        <v>526.60223804679549</v>
      </c>
      <c r="W40" s="274">
        <f t="shared" ref="W40:AB71" si="16">IFERROR(I40/$C40,0)</f>
        <v>551.61648016276695</v>
      </c>
      <c r="X40" s="274">
        <f t="shared" si="16"/>
        <v>568.62004069175987</v>
      </c>
      <c r="Y40" s="274">
        <f t="shared" si="16"/>
        <v>559.5</v>
      </c>
      <c r="Z40" s="274">
        <f t="shared" si="16"/>
        <v>558.5</v>
      </c>
      <c r="AA40" s="274">
        <f t="shared" si="16"/>
        <v>549.5</v>
      </c>
      <c r="AB40" s="274">
        <f t="shared" si="16"/>
        <v>537.99186164801631</v>
      </c>
      <c r="AC40" s="274">
        <f t="shared" si="4"/>
        <v>534.98630831643004</v>
      </c>
      <c r="AD40" s="274">
        <f t="shared" si="4"/>
        <v>523.01977687626777</v>
      </c>
      <c r="AE40" s="274">
        <f t="shared" si="4"/>
        <v>524</v>
      </c>
      <c r="AF40" s="277">
        <f t="shared" si="5"/>
        <v>6488.0427077766235</v>
      </c>
      <c r="AG40" s="278">
        <f t="shared" si="6"/>
        <v>540.670225648052</v>
      </c>
      <c r="AI40" s="411">
        <v>65</v>
      </c>
      <c r="AK40" s="412"/>
      <c r="AL40" s="412" t="str">
        <f t="shared" si="7"/>
        <v xml:space="preserve"> 1</v>
      </c>
      <c r="AM40" s="278">
        <f t="shared" si="8"/>
        <v>540.670225648052</v>
      </c>
      <c r="AQ40" s="414">
        <f t="shared" si="10"/>
        <v>10.70485798351398</v>
      </c>
      <c r="AR40" s="415">
        <f t="shared" si="11"/>
        <v>69453.575777722246</v>
      </c>
      <c r="AS40" s="415">
        <f t="shared" si="12"/>
        <v>5628.6557777222552</v>
      </c>
      <c r="AT40" s="416">
        <f t="shared" si="13"/>
        <v>8.8188998556085238E-2</v>
      </c>
      <c r="AW40" s="417">
        <f t="shared" si="9"/>
        <v>10.747253983853641</v>
      </c>
      <c r="AX40" s="417">
        <f t="shared" si="14"/>
        <v>69728.642838564891</v>
      </c>
      <c r="AY40" s="418">
        <f t="shared" si="15"/>
        <v>275.06706084264442</v>
      </c>
    </row>
    <row r="41" spans="1:51" s="411" customFormat="1" ht="12" customHeight="1">
      <c r="A41" s="408" t="s">
        <v>246</v>
      </c>
      <c r="B41" s="408" t="s">
        <v>247</v>
      </c>
      <c r="C41" s="272">
        <v>0</v>
      </c>
      <c r="D41" s="272">
        <v>0</v>
      </c>
      <c r="E41" s="409"/>
      <c r="F41" s="274">
        <v>0</v>
      </c>
      <c r="G41" s="274">
        <v>0</v>
      </c>
      <c r="H41" s="274">
        <v>0</v>
      </c>
      <c r="I41" s="274">
        <v>0</v>
      </c>
      <c r="J41" s="274">
        <v>0</v>
      </c>
      <c r="K41" s="274">
        <v>0</v>
      </c>
      <c r="L41" s="274">
        <v>0</v>
      </c>
      <c r="M41" s="274">
        <v>0</v>
      </c>
      <c r="N41" s="274">
        <v>0</v>
      </c>
      <c r="O41" s="274">
        <v>0</v>
      </c>
      <c r="P41" s="274">
        <v>0</v>
      </c>
      <c r="Q41" s="274">
        <v>0</v>
      </c>
      <c r="R41" s="410">
        <f t="shared" si="2"/>
        <v>0</v>
      </c>
      <c r="T41" s="274">
        <f t="shared" ref="T41:AB72" si="17">IFERROR(F41/$C41,0)</f>
        <v>0</v>
      </c>
      <c r="U41" s="274">
        <f t="shared" si="17"/>
        <v>0</v>
      </c>
      <c r="V41" s="274">
        <f t="shared" si="17"/>
        <v>0</v>
      </c>
      <c r="W41" s="274">
        <f t="shared" si="16"/>
        <v>0</v>
      </c>
      <c r="X41" s="274">
        <f t="shared" si="16"/>
        <v>0</v>
      </c>
      <c r="Y41" s="274">
        <f t="shared" si="16"/>
        <v>0</v>
      </c>
      <c r="Z41" s="274">
        <f t="shared" si="16"/>
        <v>0</v>
      </c>
      <c r="AA41" s="274">
        <f t="shared" si="16"/>
        <v>0</v>
      </c>
      <c r="AB41" s="274">
        <f t="shared" si="16"/>
        <v>0</v>
      </c>
      <c r="AC41" s="274">
        <f t="shared" si="4"/>
        <v>0</v>
      </c>
      <c r="AD41" s="274">
        <f t="shared" si="4"/>
        <v>0</v>
      </c>
      <c r="AE41" s="274">
        <f t="shared" si="4"/>
        <v>0</v>
      </c>
      <c r="AF41" s="277">
        <f t="shared" si="5"/>
        <v>0</v>
      </c>
      <c r="AG41" s="278">
        <f t="shared" si="6"/>
        <v>0</v>
      </c>
      <c r="AI41" s="411">
        <v>65</v>
      </c>
      <c r="AK41" s="412"/>
      <c r="AL41" s="412" t="str">
        <f t="shared" si="7"/>
        <v xml:space="preserve"> 2</v>
      </c>
      <c r="AM41" s="278">
        <f t="shared" si="8"/>
        <v>0</v>
      </c>
      <c r="AQ41" s="414">
        <f t="shared" si="10"/>
        <v>0</v>
      </c>
      <c r="AR41" s="415">
        <f t="shared" si="11"/>
        <v>0</v>
      </c>
      <c r="AS41" s="415">
        <f t="shared" si="12"/>
        <v>0</v>
      </c>
      <c r="AT41" s="416" t="e">
        <f t="shared" si="13"/>
        <v>#DIV/0!</v>
      </c>
      <c r="AW41" s="417">
        <f t="shared" si="9"/>
        <v>0</v>
      </c>
      <c r="AX41" s="417">
        <f t="shared" si="14"/>
        <v>0</v>
      </c>
      <c r="AY41" s="418">
        <f t="shared" si="15"/>
        <v>0</v>
      </c>
    </row>
    <row r="42" spans="1:51" s="411" customFormat="1" ht="12" customHeight="1">
      <c r="A42" s="408" t="s">
        <v>248</v>
      </c>
      <c r="B42" s="408" t="s">
        <v>249</v>
      </c>
      <c r="C42" s="272">
        <v>26.49</v>
      </c>
      <c r="D42" s="272">
        <v>26.56</v>
      </c>
      <c r="E42" s="409"/>
      <c r="F42" s="274">
        <v>202.52</v>
      </c>
      <c r="G42" s="274">
        <v>212.48000000000002</v>
      </c>
      <c r="H42" s="274">
        <v>265.60000000000002</v>
      </c>
      <c r="I42" s="274">
        <v>372.15999999999997</v>
      </c>
      <c r="J42" s="274">
        <v>232.59500000000003</v>
      </c>
      <c r="K42" s="274">
        <v>222.22</v>
      </c>
      <c r="L42" s="274">
        <v>261.21999999999997</v>
      </c>
      <c r="M42" s="274">
        <v>270.42</v>
      </c>
      <c r="N42" s="274">
        <v>288.29000000000002</v>
      </c>
      <c r="O42" s="274">
        <v>139.82499999999999</v>
      </c>
      <c r="P42" s="274">
        <v>198.83</v>
      </c>
      <c r="Q42" s="274">
        <v>202.52</v>
      </c>
      <c r="R42" s="410">
        <f t="shared" si="2"/>
        <v>2868.68</v>
      </c>
      <c r="T42" s="274">
        <f t="shared" si="17"/>
        <v>7.6451491128727831</v>
      </c>
      <c r="U42" s="274">
        <f t="shared" si="17"/>
        <v>8.021140052850134</v>
      </c>
      <c r="V42" s="274">
        <f t="shared" si="17"/>
        <v>10.026425066062666</v>
      </c>
      <c r="W42" s="274">
        <f t="shared" si="16"/>
        <v>14.049075122687807</v>
      </c>
      <c r="X42" s="274">
        <f t="shared" si="16"/>
        <v>8.7804832012080052</v>
      </c>
      <c r="Y42" s="274">
        <f t="shared" si="16"/>
        <v>8.3888259720649305</v>
      </c>
      <c r="Z42" s="274">
        <f t="shared" si="16"/>
        <v>9.8610796526991304</v>
      </c>
      <c r="AA42" s="274">
        <f t="shared" si="16"/>
        <v>10.208380520951303</v>
      </c>
      <c r="AB42" s="274">
        <f t="shared" si="16"/>
        <v>10.88297470743677</v>
      </c>
      <c r="AC42" s="274">
        <f t="shared" si="4"/>
        <v>5.2644954819277103</v>
      </c>
      <c r="AD42" s="274">
        <f t="shared" si="4"/>
        <v>7.4860692771084345</v>
      </c>
      <c r="AE42" s="274">
        <f t="shared" si="4"/>
        <v>7.6250000000000009</v>
      </c>
      <c r="AF42" s="277">
        <f t="shared" si="5"/>
        <v>108.23909816786968</v>
      </c>
      <c r="AG42" s="278">
        <f t="shared" si="6"/>
        <v>9.0199248473224731</v>
      </c>
      <c r="AI42" s="411">
        <v>65</v>
      </c>
      <c r="AK42" s="412"/>
      <c r="AL42" s="412" t="str">
        <f t="shared" si="7"/>
        <v xml:space="preserve"> 1</v>
      </c>
      <c r="AM42" s="278">
        <f t="shared" si="8"/>
        <v>9.0199248473224731</v>
      </c>
      <c r="AQ42" s="414">
        <f t="shared" si="10"/>
        <v>28.835804061068085</v>
      </c>
      <c r="AR42" s="415">
        <f t="shared" si="11"/>
        <v>3121.161426515403</v>
      </c>
      <c r="AS42" s="415">
        <f t="shared" si="12"/>
        <v>252.4814265154032</v>
      </c>
      <c r="AT42" s="416">
        <f t="shared" si="13"/>
        <v>8.8013102373008911E-2</v>
      </c>
      <c r="AW42" s="417">
        <f t="shared" si="9"/>
        <v>28.950006674559098</v>
      </c>
      <c r="AX42" s="417">
        <f t="shared" si="14"/>
        <v>3133.5226144080843</v>
      </c>
      <c r="AY42" s="418">
        <f t="shared" si="15"/>
        <v>12.361187892681301</v>
      </c>
    </row>
    <row r="43" spans="1:51" s="411" customFormat="1" ht="12" customHeight="1">
      <c r="A43" s="408" t="s">
        <v>250</v>
      </c>
      <c r="B43" s="408" t="s">
        <v>251</v>
      </c>
      <c r="C43" s="272">
        <v>0</v>
      </c>
      <c r="D43" s="272">
        <v>0</v>
      </c>
      <c r="E43" s="409"/>
      <c r="F43" s="274">
        <v>0</v>
      </c>
      <c r="G43" s="274">
        <v>0</v>
      </c>
      <c r="H43" s="274">
        <v>0</v>
      </c>
      <c r="I43" s="274">
        <v>0</v>
      </c>
      <c r="J43" s="274">
        <v>0</v>
      </c>
      <c r="K43" s="274">
        <v>0</v>
      </c>
      <c r="L43" s="274">
        <v>0</v>
      </c>
      <c r="M43" s="274">
        <v>0</v>
      </c>
      <c r="N43" s="274">
        <v>0</v>
      </c>
      <c r="O43" s="274">
        <v>0</v>
      </c>
      <c r="P43" s="274">
        <v>0</v>
      </c>
      <c r="Q43" s="274">
        <v>0</v>
      </c>
      <c r="R43" s="410">
        <f t="shared" si="2"/>
        <v>0</v>
      </c>
      <c r="T43" s="274">
        <f t="shared" si="17"/>
        <v>0</v>
      </c>
      <c r="U43" s="274">
        <f t="shared" si="17"/>
        <v>0</v>
      </c>
      <c r="V43" s="274">
        <f t="shared" si="17"/>
        <v>0</v>
      </c>
      <c r="W43" s="274">
        <f t="shared" si="16"/>
        <v>0</v>
      </c>
      <c r="X43" s="274">
        <f t="shared" si="16"/>
        <v>0</v>
      </c>
      <c r="Y43" s="274">
        <f t="shared" si="16"/>
        <v>0</v>
      </c>
      <c r="Z43" s="274">
        <f t="shared" si="16"/>
        <v>0</v>
      </c>
      <c r="AA43" s="274">
        <f t="shared" si="16"/>
        <v>0</v>
      </c>
      <c r="AB43" s="274">
        <f t="shared" si="16"/>
        <v>0</v>
      </c>
      <c r="AC43" s="274">
        <f t="shared" si="4"/>
        <v>0</v>
      </c>
      <c r="AD43" s="274">
        <f t="shared" si="4"/>
        <v>0</v>
      </c>
      <c r="AE43" s="274">
        <f t="shared" si="4"/>
        <v>0</v>
      </c>
      <c r="AF43" s="277">
        <f t="shared" si="5"/>
        <v>0</v>
      </c>
      <c r="AG43" s="278">
        <f t="shared" si="6"/>
        <v>0</v>
      </c>
      <c r="AI43" s="411">
        <v>65</v>
      </c>
      <c r="AK43" s="412"/>
      <c r="AL43" s="412" t="str">
        <f t="shared" si="7"/>
        <v xml:space="preserve"> 2</v>
      </c>
      <c r="AM43" s="278">
        <f t="shared" si="8"/>
        <v>0</v>
      </c>
      <c r="AQ43" s="414">
        <f t="shared" si="10"/>
        <v>0</v>
      </c>
      <c r="AR43" s="415">
        <f t="shared" si="11"/>
        <v>0</v>
      </c>
      <c r="AS43" s="415">
        <f t="shared" si="12"/>
        <v>0</v>
      </c>
      <c r="AT43" s="416" t="e">
        <f t="shared" si="13"/>
        <v>#DIV/0!</v>
      </c>
      <c r="AW43" s="417">
        <f t="shared" si="9"/>
        <v>0</v>
      </c>
      <c r="AX43" s="417">
        <f t="shared" si="14"/>
        <v>0</v>
      </c>
      <c r="AY43" s="418">
        <f t="shared" si="15"/>
        <v>0</v>
      </c>
    </row>
    <row r="44" spans="1:51" s="411" customFormat="1" ht="12" customHeight="1">
      <c r="A44" s="408" t="s">
        <v>252</v>
      </c>
      <c r="B44" s="408" t="s">
        <v>253</v>
      </c>
      <c r="C44" s="272">
        <v>28.49</v>
      </c>
      <c r="D44" s="272">
        <v>28.56</v>
      </c>
      <c r="E44" s="409"/>
      <c r="F44" s="274">
        <v>3973.41</v>
      </c>
      <c r="G44" s="274">
        <v>3905.58</v>
      </c>
      <c r="H44" s="274">
        <v>3891.6150000000002</v>
      </c>
      <c r="I44" s="274">
        <v>3946.0650000000001</v>
      </c>
      <c r="J44" s="274">
        <v>4288.3449999999993</v>
      </c>
      <c r="K44" s="274">
        <v>4286.9549999999999</v>
      </c>
      <c r="L44" s="274">
        <v>4233.54</v>
      </c>
      <c r="M44" s="274">
        <v>4256.8850000000002</v>
      </c>
      <c r="N44" s="274">
        <v>4097.7350000000006</v>
      </c>
      <c r="O44" s="274">
        <v>4097.1750000000002</v>
      </c>
      <c r="P44" s="274">
        <v>4003.9549999999999</v>
      </c>
      <c r="Q44" s="274">
        <v>3967.46</v>
      </c>
      <c r="R44" s="410">
        <f t="shared" ref="R44:R75" si="18">+SUM(F44:Q44)</f>
        <v>48948.720000000008</v>
      </c>
      <c r="T44" s="274">
        <f t="shared" si="17"/>
        <v>139.46683046683046</v>
      </c>
      <c r="U44" s="274">
        <f t="shared" si="17"/>
        <v>137.08599508599508</v>
      </c>
      <c r="V44" s="274">
        <f t="shared" si="17"/>
        <v>136.59582309582311</v>
      </c>
      <c r="W44" s="274">
        <f t="shared" si="16"/>
        <v>138.50702000702</v>
      </c>
      <c r="X44" s="274">
        <f t="shared" si="16"/>
        <v>150.52106002106001</v>
      </c>
      <c r="Y44" s="274">
        <f t="shared" si="16"/>
        <v>150.47227097227099</v>
      </c>
      <c r="Z44" s="274">
        <f t="shared" si="16"/>
        <v>148.59740259740261</v>
      </c>
      <c r="AA44" s="274">
        <f t="shared" si="16"/>
        <v>149.41681291681294</v>
      </c>
      <c r="AB44" s="274">
        <f t="shared" si="16"/>
        <v>143.83064233064235</v>
      </c>
      <c r="AC44" s="274">
        <f t="shared" ref="AC44:AE75" si="19">IFERROR(O44/$D44,0)</f>
        <v>143.45850840336135</v>
      </c>
      <c r="AD44" s="274">
        <f t="shared" si="19"/>
        <v>140.19450280112045</v>
      </c>
      <c r="AE44" s="274">
        <f t="shared" si="19"/>
        <v>138.91666666666669</v>
      </c>
      <c r="AF44" s="277">
        <f t="shared" si="5"/>
        <v>1717.0635353650061</v>
      </c>
      <c r="AG44" s="278">
        <f t="shared" si="6"/>
        <v>143.08862794708384</v>
      </c>
      <c r="AI44" s="411">
        <v>65</v>
      </c>
      <c r="AK44" s="412"/>
      <c r="AL44" s="412" t="str">
        <f t="shared" si="7"/>
        <v xml:space="preserve"> 1</v>
      </c>
      <c r="AM44" s="278">
        <f t="shared" si="8"/>
        <v>143.08862794708384</v>
      </c>
      <c r="AQ44" s="414">
        <f t="shared" si="10"/>
        <v>31.007174848799117</v>
      </c>
      <c r="AR44" s="415">
        <f t="shared" si="11"/>
        <v>53241.2892675599</v>
      </c>
      <c r="AS44" s="415">
        <f t="shared" si="12"/>
        <v>4292.5692675598912</v>
      </c>
      <c r="AT44" s="416">
        <f t="shared" si="13"/>
        <v>8.7695230182932071E-2</v>
      </c>
      <c r="AW44" s="417">
        <f t="shared" si="9"/>
        <v>31.129977056679515</v>
      </c>
      <c r="AX44" s="417">
        <f t="shared" si="14"/>
        <v>53452.148460773649</v>
      </c>
      <c r="AY44" s="418">
        <f t="shared" si="15"/>
        <v>210.85919321374968</v>
      </c>
    </row>
    <row r="45" spans="1:51" s="411" customFormat="1" ht="12" customHeight="1">
      <c r="A45" s="408" t="s">
        <v>254</v>
      </c>
      <c r="B45" s="408" t="s">
        <v>255</v>
      </c>
      <c r="C45" s="272">
        <v>26.49</v>
      </c>
      <c r="D45" s="272">
        <v>26.56</v>
      </c>
      <c r="E45" s="409"/>
      <c r="F45" s="274">
        <v>38536.200000000004</v>
      </c>
      <c r="G45" s="274">
        <v>39062.015000000007</v>
      </c>
      <c r="H45" s="274">
        <v>39154.859999999993</v>
      </c>
      <c r="I45" s="274">
        <v>36520.07</v>
      </c>
      <c r="J45" s="274">
        <v>34780.960000000006</v>
      </c>
      <c r="K45" s="274">
        <v>35065.284999999996</v>
      </c>
      <c r="L45" s="274">
        <v>35816.995000000003</v>
      </c>
      <c r="M45" s="274">
        <v>36278.350000000006</v>
      </c>
      <c r="N45" s="274">
        <v>36925.769999999997</v>
      </c>
      <c r="O45" s="274">
        <v>37713.85</v>
      </c>
      <c r="P45" s="274">
        <v>37913.014999999999</v>
      </c>
      <c r="Q45" s="274">
        <v>38341.030000000006</v>
      </c>
      <c r="R45" s="410">
        <f t="shared" si="18"/>
        <v>446108.40000000008</v>
      </c>
      <c r="T45" s="274">
        <f t="shared" si="17"/>
        <v>1454.7451868629673</v>
      </c>
      <c r="U45" s="274">
        <f t="shared" si="17"/>
        <v>1474.5947527368821</v>
      </c>
      <c r="V45" s="274">
        <f t="shared" si="17"/>
        <v>1478.0996602491505</v>
      </c>
      <c r="W45" s="274">
        <f t="shared" si="16"/>
        <v>1378.6360890902229</v>
      </c>
      <c r="X45" s="274">
        <f t="shared" si="16"/>
        <v>1312.9845224613064</v>
      </c>
      <c r="Y45" s="274">
        <f t="shared" si="16"/>
        <v>1323.7178180445451</v>
      </c>
      <c r="Z45" s="274">
        <f t="shared" si="16"/>
        <v>1352.0949414873539</v>
      </c>
      <c r="AA45" s="274">
        <f t="shared" si="16"/>
        <v>1369.5111362778409</v>
      </c>
      <c r="AB45" s="274">
        <f t="shared" si="16"/>
        <v>1393.9513023782558</v>
      </c>
      <c r="AC45" s="274">
        <f t="shared" si="19"/>
        <v>1419.9491716867469</v>
      </c>
      <c r="AD45" s="274">
        <f t="shared" si="19"/>
        <v>1427.4478539156628</v>
      </c>
      <c r="AE45" s="274">
        <f t="shared" si="19"/>
        <v>1443.5628765060244</v>
      </c>
      <c r="AF45" s="277">
        <f t="shared" si="5"/>
        <v>16829.295311696958</v>
      </c>
      <c r="AG45" s="278">
        <f t="shared" si="6"/>
        <v>1402.4412759747465</v>
      </c>
      <c r="AI45" s="411">
        <v>65</v>
      </c>
      <c r="AK45" s="412"/>
      <c r="AL45" s="412" t="str">
        <f t="shared" si="7"/>
        <v xml:space="preserve"> 1</v>
      </c>
      <c r="AM45" s="278">
        <f t="shared" si="8"/>
        <v>1402.4412759747465</v>
      </c>
      <c r="AQ45" s="414">
        <f t="shared" si="10"/>
        <v>28.835804061068085</v>
      </c>
      <c r="AR45" s="415">
        <f t="shared" si="11"/>
        <v>485286.26209394523</v>
      </c>
      <c r="AS45" s="415">
        <f t="shared" si="12"/>
        <v>39177.86209394515</v>
      </c>
      <c r="AT45" s="416">
        <f t="shared" si="13"/>
        <v>8.7821395189925017E-2</v>
      </c>
      <c r="AW45" s="417">
        <f t="shared" si="9"/>
        <v>28.950006674559098</v>
      </c>
      <c r="AX45" s="417">
        <f t="shared" si="14"/>
        <v>487208.21160175302</v>
      </c>
      <c r="AY45" s="418">
        <f t="shared" si="15"/>
        <v>1921.9495078077889</v>
      </c>
    </row>
    <row r="46" spans="1:51" s="411" customFormat="1" ht="12" customHeight="1">
      <c r="A46" s="408" t="s">
        <v>256</v>
      </c>
      <c r="B46" s="408" t="s">
        <v>257</v>
      </c>
      <c r="C46" s="272">
        <v>0</v>
      </c>
      <c r="D46" s="272">
        <v>0</v>
      </c>
      <c r="E46" s="409"/>
      <c r="F46" s="274">
        <v>0</v>
      </c>
      <c r="G46" s="274">
        <v>0</v>
      </c>
      <c r="H46" s="274">
        <v>0</v>
      </c>
      <c r="I46" s="274">
        <v>0</v>
      </c>
      <c r="J46" s="274">
        <v>0</v>
      </c>
      <c r="K46" s="274">
        <v>0</v>
      </c>
      <c r="L46" s="274">
        <v>0</v>
      </c>
      <c r="M46" s="274">
        <v>0</v>
      </c>
      <c r="N46" s="274">
        <v>0</v>
      </c>
      <c r="O46" s="274">
        <v>0</v>
      </c>
      <c r="P46" s="274">
        <v>0</v>
      </c>
      <c r="Q46" s="274">
        <v>0</v>
      </c>
      <c r="R46" s="410">
        <f t="shared" si="18"/>
        <v>0</v>
      </c>
      <c r="T46" s="274">
        <f t="shared" si="17"/>
        <v>0</v>
      </c>
      <c r="U46" s="274">
        <f t="shared" si="17"/>
        <v>0</v>
      </c>
      <c r="V46" s="274">
        <f t="shared" si="17"/>
        <v>0</v>
      </c>
      <c r="W46" s="274">
        <f t="shared" si="16"/>
        <v>0</v>
      </c>
      <c r="X46" s="274">
        <f t="shared" si="16"/>
        <v>0</v>
      </c>
      <c r="Y46" s="274">
        <f t="shared" si="16"/>
        <v>0</v>
      </c>
      <c r="Z46" s="274">
        <f t="shared" si="16"/>
        <v>0</v>
      </c>
      <c r="AA46" s="274">
        <f t="shared" si="16"/>
        <v>0</v>
      </c>
      <c r="AB46" s="274">
        <f t="shared" si="16"/>
        <v>0</v>
      </c>
      <c r="AC46" s="274">
        <f t="shared" si="19"/>
        <v>0</v>
      </c>
      <c r="AD46" s="274">
        <f t="shared" si="19"/>
        <v>0</v>
      </c>
      <c r="AE46" s="274">
        <f t="shared" si="19"/>
        <v>0</v>
      </c>
      <c r="AF46" s="277">
        <f t="shared" si="5"/>
        <v>0</v>
      </c>
      <c r="AG46" s="278">
        <f t="shared" si="6"/>
        <v>0</v>
      </c>
      <c r="AI46" s="411">
        <v>65</v>
      </c>
      <c r="AK46" s="412"/>
      <c r="AL46" s="412" t="str">
        <f t="shared" si="7"/>
        <v xml:space="preserve"> 2</v>
      </c>
      <c r="AM46" s="278">
        <f t="shared" si="8"/>
        <v>0</v>
      </c>
      <c r="AQ46" s="414">
        <f t="shared" si="10"/>
        <v>0</v>
      </c>
      <c r="AR46" s="415">
        <f t="shared" si="11"/>
        <v>0</v>
      </c>
      <c r="AS46" s="415">
        <f t="shared" si="12"/>
        <v>0</v>
      </c>
      <c r="AT46" s="416" t="e">
        <f t="shared" si="13"/>
        <v>#DIV/0!</v>
      </c>
      <c r="AW46" s="417">
        <f t="shared" si="9"/>
        <v>0</v>
      </c>
      <c r="AX46" s="417">
        <f t="shared" si="14"/>
        <v>0</v>
      </c>
      <c r="AY46" s="418">
        <f t="shared" si="15"/>
        <v>0</v>
      </c>
    </row>
    <row r="47" spans="1:51" s="411" customFormat="1" ht="12" customHeight="1">
      <c r="A47" s="408" t="s">
        <v>258</v>
      </c>
      <c r="B47" s="408" t="s">
        <v>259</v>
      </c>
      <c r="C47" s="272">
        <v>17</v>
      </c>
      <c r="D47" s="272">
        <v>17.05</v>
      </c>
      <c r="E47" s="409"/>
      <c r="F47" s="274">
        <v>136.405</v>
      </c>
      <c r="G47" s="274">
        <v>119.35499999999999</v>
      </c>
      <c r="H47" s="274">
        <v>150.04</v>
      </c>
      <c r="I47" s="274">
        <v>687.93499999999995</v>
      </c>
      <c r="J47" s="274">
        <v>366.41499999999996</v>
      </c>
      <c r="K47" s="274">
        <v>378.25</v>
      </c>
      <c r="L47" s="274">
        <v>369.75</v>
      </c>
      <c r="M47" s="274">
        <v>365.5</v>
      </c>
      <c r="N47" s="274">
        <v>174.3</v>
      </c>
      <c r="O47" s="274">
        <v>75.27</v>
      </c>
      <c r="P47" s="274">
        <v>100.85</v>
      </c>
      <c r="Q47" s="274">
        <v>59.68</v>
      </c>
      <c r="R47" s="410">
        <f t="shared" si="18"/>
        <v>2983.7499999999995</v>
      </c>
      <c r="T47" s="274">
        <f t="shared" si="17"/>
        <v>8.0238235294117644</v>
      </c>
      <c r="U47" s="274">
        <f t="shared" si="17"/>
        <v>7.0208823529411761</v>
      </c>
      <c r="V47" s="274">
        <f t="shared" si="17"/>
        <v>8.8258823529411767</v>
      </c>
      <c r="W47" s="274">
        <f t="shared" si="16"/>
        <v>40.466764705882348</v>
      </c>
      <c r="X47" s="274">
        <f t="shared" si="16"/>
        <v>21.553823529411762</v>
      </c>
      <c r="Y47" s="274">
        <f t="shared" si="16"/>
        <v>22.25</v>
      </c>
      <c r="Z47" s="274">
        <f t="shared" si="16"/>
        <v>21.75</v>
      </c>
      <c r="AA47" s="274">
        <f t="shared" si="16"/>
        <v>21.5</v>
      </c>
      <c r="AB47" s="274">
        <f t="shared" si="16"/>
        <v>10.252941176470589</v>
      </c>
      <c r="AC47" s="274">
        <f t="shared" si="19"/>
        <v>4.4146627565982399</v>
      </c>
      <c r="AD47" s="274">
        <f t="shared" si="19"/>
        <v>5.9149560117302045</v>
      </c>
      <c r="AE47" s="274">
        <f t="shared" si="19"/>
        <v>3.5002932551319645</v>
      </c>
      <c r="AF47" s="277">
        <f t="shared" si="5"/>
        <v>175.4740296705192</v>
      </c>
      <c r="AG47" s="278">
        <f t="shared" si="6"/>
        <v>14.622835805876599</v>
      </c>
      <c r="AI47" s="411">
        <v>65</v>
      </c>
      <c r="AK47" s="412"/>
      <c r="AL47" s="412" t="str">
        <f t="shared" si="7"/>
        <v xml:space="preserve"> 1</v>
      </c>
      <c r="AM47" s="278">
        <f t="shared" si="8"/>
        <v>14.622835805876599</v>
      </c>
      <c r="AQ47" s="414">
        <f t="shared" si="10"/>
        <v>18.510935965407036</v>
      </c>
      <c r="AR47" s="415">
        <f t="shared" si="11"/>
        <v>3248.1885268229153</v>
      </c>
      <c r="AS47" s="415">
        <f t="shared" si="12"/>
        <v>264.43852682291572</v>
      </c>
      <c r="AT47" s="416">
        <f t="shared" si="13"/>
        <v>8.8626234377181659E-2</v>
      </c>
      <c r="AW47" s="417">
        <f t="shared" si="9"/>
        <v>18.584247507576531</v>
      </c>
      <c r="AX47" s="417">
        <f t="shared" si="14"/>
        <v>3261.0527985487565</v>
      </c>
      <c r="AY47" s="418">
        <f t="shared" si="15"/>
        <v>12.864271725841263</v>
      </c>
    </row>
    <row r="48" spans="1:51" s="411" customFormat="1" ht="12" customHeight="1">
      <c r="A48" s="408" t="s">
        <v>260</v>
      </c>
      <c r="B48" s="408" t="s">
        <v>261</v>
      </c>
      <c r="C48" s="272">
        <v>19</v>
      </c>
      <c r="D48" s="272">
        <v>19.05</v>
      </c>
      <c r="E48" s="409"/>
      <c r="F48" s="274">
        <v>3533.7749999999996</v>
      </c>
      <c r="G48" s="274">
        <v>3548.0650000000001</v>
      </c>
      <c r="H48" s="274">
        <v>3509.9650000000001</v>
      </c>
      <c r="I48" s="274">
        <v>3695.125</v>
      </c>
      <c r="J48" s="274">
        <v>3830.86</v>
      </c>
      <c r="K48" s="274">
        <v>3742.05</v>
      </c>
      <c r="L48" s="274">
        <v>3738.25</v>
      </c>
      <c r="M48" s="274">
        <v>3724</v>
      </c>
      <c r="N48" s="274">
        <v>3645.5</v>
      </c>
      <c r="O48" s="274">
        <v>3624.6849999999999</v>
      </c>
      <c r="P48" s="274">
        <v>3637.07</v>
      </c>
      <c r="Q48" s="274">
        <v>3599.4950000000003</v>
      </c>
      <c r="R48" s="410">
        <f t="shared" si="18"/>
        <v>43828.84</v>
      </c>
      <c r="T48" s="274">
        <f t="shared" si="17"/>
        <v>185.98815789473682</v>
      </c>
      <c r="U48" s="274">
        <f t="shared" si="17"/>
        <v>186.74026315789473</v>
      </c>
      <c r="V48" s="274">
        <f t="shared" si="17"/>
        <v>184.73500000000001</v>
      </c>
      <c r="W48" s="274">
        <f t="shared" si="16"/>
        <v>194.48026315789474</v>
      </c>
      <c r="X48" s="274">
        <f t="shared" si="16"/>
        <v>201.62421052631581</v>
      </c>
      <c r="Y48" s="274">
        <f t="shared" si="16"/>
        <v>196.95000000000002</v>
      </c>
      <c r="Z48" s="274">
        <f t="shared" si="16"/>
        <v>196.75</v>
      </c>
      <c r="AA48" s="274">
        <f t="shared" si="16"/>
        <v>196</v>
      </c>
      <c r="AB48" s="274">
        <f t="shared" si="16"/>
        <v>191.86842105263159</v>
      </c>
      <c r="AC48" s="274">
        <f t="shared" si="19"/>
        <v>190.27217847769029</v>
      </c>
      <c r="AD48" s="274">
        <f t="shared" si="19"/>
        <v>190.92230971128609</v>
      </c>
      <c r="AE48" s="274">
        <f t="shared" si="19"/>
        <v>188.94986876640422</v>
      </c>
      <c r="AF48" s="277">
        <f t="shared" si="5"/>
        <v>2305.2806727448542</v>
      </c>
      <c r="AG48" s="278">
        <f t="shared" si="6"/>
        <v>192.10672272873785</v>
      </c>
      <c r="AI48" s="411">
        <v>65</v>
      </c>
      <c r="AK48" s="412"/>
      <c r="AL48" s="412" t="str">
        <f t="shared" si="7"/>
        <v xml:space="preserve"> 1</v>
      </c>
      <c r="AM48" s="278">
        <f t="shared" si="8"/>
        <v>192.10672272873785</v>
      </c>
      <c r="AQ48" s="414">
        <f t="shared" si="10"/>
        <v>20.682306753138068</v>
      </c>
      <c r="AR48" s="415">
        <f t="shared" si="11"/>
        <v>47678.522025789571</v>
      </c>
      <c r="AS48" s="415">
        <f t="shared" si="12"/>
        <v>3849.6820257895743</v>
      </c>
      <c r="AT48" s="416">
        <f t="shared" si="13"/>
        <v>8.7834449321259125E-2</v>
      </c>
      <c r="AW48" s="417">
        <f t="shared" si="9"/>
        <v>20.764217889696948</v>
      </c>
      <c r="AX48" s="417">
        <f t="shared" si="14"/>
        <v>47867.35018578131</v>
      </c>
      <c r="AY48" s="418">
        <f t="shared" si="15"/>
        <v>188.82815999173908</v>
      </c>
    </row>
    <row r="49" spans="1:51" s="411" customFormat="1" ht="12" customHeight="1">
      <c r="A49" s="408" t="s">
        <v>262</v>
      </c>
      <c r="B49" s="408" t="s">
        <v>263</v>
      </c>
      <c r="C49" s="272">
        <v>0</v>
      </c>
      <c r="D49" s="272">
        <v>0</v>
      </c>
      <c r="E49" s="409"/>
      <c r="F49" s="274">
        <v>0</v>
      </c>
      <c r="G49" s="274">
        <v>0</v>
      </c>
      <c r="H49" s="274">
        <v>0</v>
      </c>
      <c r="I49" s="274">
        <v>0</v>
      </c>
      <c r="J49" s="274">
        <v>0</v>
      </c>
      <c r="K49" s="274">
        <v>0</v>
      </c>
      <c r="L49" s="274">
        <v>0</v>
      </c>
      <c r="M49" s="274">
        <v>0</v>
      </c>
      <c r="N49" s="274">
        <v>0</v>
      </c>
      <c r="O49" s="274">
        <v>0</v>
      </c>
      <c r="P49" s="274">
        <v>0</v>
      </c>
      <c r="Q49" s="274">
        <v>0</v>
      </c>
      <c r="R49" s="410">
        <f t="shared" si="18"/>
        <v>0</v>
      </c>
      <c r="T49" s="274">
        <f t="shared" si="17"/>
        <v>0</v>
      </c>
      <c r="U49" s="274">
        <f t="shared" si="17"/>
        <v>0</v>
      </c>
      <c r="V49" s="274">
        <f t="shared" si="17"/>
        <v>0</v>
      </c>
      <c r="W49" s="274">
        <f t="shared" si="16"/>
        <v>0</v>
      </c>
      <c r="X49" s="274">
        <f t="shared" si="16"/>
        <v>0</v>
      </c>
      <c r="Y49" s="274">
        <f t="shared" si="16"/>
        <v>0</v>
      </c>
      <c r="Z49" s="274">
        <f t="shared" si="16"/>
        <v>0</v>
      </c>
      <c r="AA49" s="274">
        <f t="shared" si="16"/>
        <v>0</v>
      </c>
      <c r="AB49" s="274">
        <f t="shared" si="16"/>
        <v>0</v>
      </c>
      <c r="AC49" s="274">
        <f t="shared" si="19"/>
        <v>0</v>
      </c>
      <c r="AD49" s="274">
        <f t="shared" si="19"/>
        <v>0</v>
      </c>
      <c r="AE49" s="274">
        <f t="shared" si="19"/>
        <v>0</v>
      </c>
      <c r="AF49" s="277">
        <f t="shared" si="5"/>
        <v>0</v>
      </c>
      <c r="AG49" s="278">
        <f t="shared" si="6"/>
        <v>0</v>
      </c>
      <c r="AI49" s="411">
        <v>65</v>
      </c>
      <c r="AK49" s="412"/>
      <c r="AL49" s="412" t="str">
        <f t="shared" si="7"/>
        <v xml:space="preserve"> 2</v>
      </c>
      <c r="AM49" s="278">
        <f t="shared" si="8"/>
        <v>0</v>
      </c>
      <c r="AQ49" s="414">
        <f t="shared" si="10"/>
        <v>0</v>
      </c>
      <c r="AR49" s="415">
        <f t="shared" si="11"/>
        <v>0</v>
      </c>
      <c r="AS49" s="415">
        <f t="shared" si="12"/>
        <v>0</v>
      </c>
      <c r="AT49" s="416" t="e">
        <f t="shared" si="13"/>
        <v>#DIV/0!</v>
      </c>
      <c r="AW49" s="417">
        <f t="shared" si="9"/>
        <v>0</v>
      </c>
      <c r="AX49" s="417">
        <f t="shared" si="14"/>
        <v>0</v>
      </c>
      <c r="AY49" s="418">
        <f t="shared" si="15"/>
        <v>0</v>
      </c>
    </row>
    <row r="50" spans="1:51" s="411" customFormat="1" ht="12" customHeight="1">
      <c r="A50" s="408" t="s">
        <v>264</v>
      </c>
      <c r="B50" s="408" t="s">
        <v>265</v>
      </c>
      <c r="C50" s="272">
        <v>0</v>
      </c>
      <c r="D50" s="272">
        <v>0</v>
      </c>
      <c r="E50" s="409"/>
      <c r="F50" s="274">
        <v>0</v>
      </c>
      <c r="G50" s="274">
        <v>0</v>
      </c>
      <c r="H50" s="274">
        <v>0</v>
      </c>
      <c r="I50" s="274">
        <v>0</v>
      </c>
      <c r="J50" s="274">
        <v>0</v>
      </c>
      <c r="K50" s="274">
        <v>0</v>
      </c>
      <c r="L50" s="274">
        <v>0</v>
      </c>
      <c r="M50" s="274">
        <v>0</v>
      </c>
      <c r="N50" s="274">
        <v>0</v>
      </c>
      <c r="O50" s="274">
        <v>0</v>
      </c>
      <c r="P50" s="274">
        <v>0</v>
      </c>
      <c r="Q50" s="274">
        <v>0</v>
      </c>
      <c r="R50" s="410">
        <f t="shared" si="18"/>
        <v>0</v>
      </c>
      <c r="T50" s="274">
        <f t="shared" si="17"/>
        <v>0</v>
      </c>
      <c r="U50" s="274">
        <f t="shared" si="17"/>
        <v>0</v>
      </c>
      <c r="V50" s="274">
        <f t="shared" si="17"/>
        <v>0</v>
      </c>
      <c r="W50" s="274">
        <f t="shared" si="16"/>
        <v>0</v>
      </c>
      <c r="X50" s="274">
        <f t="shared" si="16"/>
        <v>0</v>
      </c>
      <c r="Y50" s="274">
        <f t="shared" si="16"/>
        <v>0</v>
      </c>
      <c r="Z50" s="274">
        <f t="shared" si="16"/>
        <v>0</v>
      </c>
      <c r="AA50" s="274">
        <f t="shared" si="16"/>
        <v>0</v>
      </c>
      <c r="AB50" s="274">
        <f t="shared" si="16"/>
        <v>0</v>
      </c>
      <c r="AC50" s="274">
        <f t="shared" si="19"/>
        <v>0</v>
      </c>
      <c r="AD50" s="274">
        <f t="shared" si="19"/>
        <v>0</v>
      </c>
      <c r="AE50" s="274">
        <f t="shared" si="19"/>
        <v>0</v>
      </c>
      <c r="AF50" s="277">
        <f t="shared" si="5"/>
        <v>0</v>
      </c>
      <c r="AG50" s="278">
        <f t="shared" si="6"/>
        <v>0</v>
      </c>
      <c r="AI50" s="411">
        <v>65</v>
      </c>
      <c r="AK50" s="412"/>
      <c r="AL50" s="412" t="str">
        <f t="shared" si="7"/>
        <v xml:space="preserve"> 3</v>
      </c>
      <c r="AM50" s="278">
        <f t="shared" si="8"/>
        <v>0</v>
      </c>
      <c r="AQ50" s="414">
        <f t="shared" si="10"/>
        <v>0</v>
      </c>
      <c r="AR50" s="415">
        <f t="shared" si="11"/>
        <v>0</v>
      </c>
      <c r="AS50" s="415">
        <f t="shared" si="12"/>
        <v>0</v>
      </c>
      <c r="AT50" s="416" t="e">
        <f t="shared" si="13"/>
        <v>#DIV/0!</v>
      </c>
      <c r="AW50" s="417">
        <f t="shared" si="9"/>
        <v>0</v>
      </c>
      <c r="AX50" s="417">
        <f t="shared" si="14"/>
        <v>0</v>
      </c>
      <c r="AY50" s="418">
        <f t="shared" si="15"/>
        <v>0</v>
      </c>
    </row>
    <row r="51" spans="1:51" s="411" customFormat="1" ht="12" customHeight="1">
      <c r="A51" s="408" t="s">
        <v>266</v>
      </c>
      <c r="B51" s="408" t="s">
        <v>267</v>
      </c>
      <c r="C51" s="272">
        <v>17</v>
      </c>
      <c r="D51" s="272">
        <v>17.05</v>
      </c>
      <c r="E51" s="409"/>
      <c r="F51" s="274">
        <v>47930.475000000006</v>
      </c>
      <c r="G51" s="274">
        <v>47741.774999999994</v>
      </c>
      <c r="H51" s="274">
        <v>47857.225000000013</v>
      </c>
      <c r="I51" s="274">
        <v>47075.670000000006</v>
      </c>
      <c r="J51" s="274">
        <v>47185.1</v>
      </c>
      <c r="K51" s="274">
        <v>47455.49</v>
      </c>
      <c r="L51" s="274">
        <v>47224.735000000001</v>
      </c>
      <c r="M51" s="274">
        <v>47736.67</v>
      </c>
      <c r="N51" s="274">
        <v>47945.08</v>
      </c>
      <c r="O51" s="274">
        <v>47987.34</v>
      </c>
      <c r="P51" s="274">
        <v>47886.875</v>
      </c>
      <c r="Q51" s="274">
        <v>47829.294999999998</v>
      </c>
      <c r="R51" s="410">
        <f t="shared" si="18"/>
        <v>571855.7300000001</v>
      </c>
      <c r="T51" s="274">
        <f t="shared" si="17"/>
        <v>2819.4397058823533</v>
      </c>
      <c r="U51" s="274">
        <f t="shared" si="17"/>
        <v>2808.3397058823525</v>
      </c>
      <c r="V51" s="274">
        <f t="shared" si="17"/>
        <v>2815.1308823529421</v>
      </c>
      <c r="W51" s="274">
        <f t="shared" si="16"/>
        <v>2769.15705882353</v>
      </c>
      <c r="X51" s="274">
        <f t="shared" si="16"/>
        <v>2775.5941176470587</v>
      </c>
      <c r="Y51" s="274">
        <f t="shared" si="16"/>
        <v>2791.4994117647057</v>
      </c>
      <c r="Z51" s="274">
        <f t="shared" si="16"/>
        <v>2777.9255882352941</v>
      </c>
      <c r="AA51" s="274">
        <f t="shared" si="16"/>
        <v>2808.0394117647056</v>
      </c>
      <c r="AB51" s="274">
        <f t="shared" si="16"/>
        <v>2820.2988235294119</v>
      </c>
      <c r="AC51" s="274">
        <f t="shared" si="19"/>
        <v>2814.5067448680347</v>
      </c>
      <c r="AD51" s="274">
        <f t="shared" si="19"/>
        <v>2808.6143695014662</v>
      </c>
      <c r="AE51" s="274">
        <f t="shared" si="19"/>
        <v>2805.2372434017593</v>
      </c>
      <c r="AF51" s="277">
        <f t="shared" si="5"/>
        <v>33613.783063653609</v>
      </c>
      <c r="AG51" s="278">
        <f t="shared" si="6"/>
        <v>2801.1485886378009</v>
      </c>
      <c r="AI51" s="411">
        <v>65</v>
      </c>
      <c r="AK51" s="412"/>
      <c r="AL51" s="412" t="str">
        <f t="shared" si="7"/>
        <v xml:space="preserve"> 1</v>
      </c>
      <c r="AM51" s="278">
        <f t="shared" si="8"/>
        <v>2801.1485886378009</v>
      </c>
      <c r="AQ51" s="414">
        <f t="shared" si="10"/>
        <v>18.510935965407036</v>
      </c>
      <c r="AR51" s="415">
        <f t="shared" si="11"/>
        <v>622222.58584637556</v>
      </c>
      <c r="AS51" s="415">
        <f t="shared" si="12"/>
        <v>50366.85584637546</v>
      </c>
      <c r="AT51" s="416">
        <f t="shared" si="13"/>
        <v>8.8076158380673134E-2</v>
      </c>
      <c r="AW51" s="417">
        <f t="shared" si="9"/>
        <v>18.584247507576531</v>
      </c>
      <c r="AX51" s="417">
        <f t="shared" si="14"/>
        <v>624686.86412092275</v>
      </c>
      <c r="AY51" s="418">
        <f t="shared" si="15"/>
        <v>2464.2782745471923</v>
      </c>
    </row>
    <row r="52" spans="1:51" s="411" customFormat="1" ht="12" customHeight="1">
      <c r="A52" s="408" t="s">
        <v>268</v>
      </c>
      <c r="B52" s="408" t="s">
        <v>269</v>
      </c>
      <c r="C52" s="272">
        <v>0</v>
      </c>
      <c r="D52" s="272">
        <v>0</v>
      </c>
      <c r="E52" s="409"/>
      <c r="F52" s="274">
        <v>0</v>
      </c>
      <c r="G52" s="274">
        <v>0</v>
      </c>
      <c r="H52" s="274">
        <v>0</v>
      </c>
      <c r="I52" s="274">
        <v>0</v>
      </c>
      <c r="J52" s="274">
        <v>0</v>
      </c>
      <c r="K52" s="274">
        <v>0</v>
      </c>
      <c r="L52" s="274">
        <v>0</v>
      </c>
      <c r="M52" s="274">
        <v>0</v>
      </c>
      <c r="N52" s="274">
        <v>0</v>
      </c>
      <c r="O52" s="274">
        <v>0</v>
      </c>
      <c r="P52" s="274">
        <v>0</v>
      </c>
      <c r="Q52" s="274">
        <v>0</v>
      </c>
      <c r="R52" s="410">
        <f t="shared" si="18"/>
        <v>0</v>
      </c>
      <c r="T52" s="274">
        <f t="shared" si="17"/>
        <v>0</v>
      </c>
      <c r="U52" s="274">
        <f t="shared" si="17"/>
        <v>0</v>
      </c>
      <c r="V52" s="274">
        <f t="shared" si="17"/>
        <v>0</v>
      </c>
      <c r="W52" s="274">
        <f t="shared" si="16"/>
        <v>0</v>
      </c>
      <c r="X52" s="274">
        <f t="shared" si="16"/>
        <v>0</v>
      </c>
      <c r="Y52" s="274">
        <f t="shared" si="16"/>
        <v>0</v>
      </c>
      <c r="Z52" s="274">
        <f t="shared" si="16"/>
        <v>0</v>
      </c>
      <c r="AA52" s="274">
        <f t="shared" si="16"/>
        <v>0</v>
      </c>
      <c r="AB52" s="274">
        <f t="shared" si="16"/>
        <v>0</v>
      </c>
      <c r="AC52" s="274">
        <f t="shared" si="19"/>
        <v>0</v>
      </c>
      <c r="AD52" s="274">
        <f t="shared" si="19"/>
        <v>0</v>
      </c>
      <c r="AE52" s="274">
        <f t="shared" si="19"/>
        <v>0</v>
      </c>
      <c r="AF52" s="277">
        <f t="shared" si="5"/>
        <v>0</v>
      </c>
      <c r="AG52" s="278">
        <f t="shared" si="6"/>
        <v>0</v>
      </c>
      <c r="AI52" s="411">
        <v>65</v>
      </c>
      <c r="AK52" s="412"/>
      <c r="AL52" s="412" t="str">
        <f t="shared" si="7"/>
        <v xml:space="preserve"> 2</v>
      </c>
      <c r="AM52" s="278">
        <f t="shared" si="8"/>
        <v>0</v>
      </c>
      <c r="AQ52" s="414">
        <f t="shared" si="10"/>
        <v>0</v>
      </c>
      <c r="AR52" s="415">
        <f t="shared" si="11"/>
        <v>0</v>
      </c>
      <c r="AS52" s="415">
        <f t="shared" si="12"/>
        <v>0</v>
      </c>
      <c r="AT52" s="416" t="e">
        <f t="shared" si="13"/>
        <v>#DIV/0!</v>
      </c>
      <c r="AW52" s="417">
        <f t="shared" si="9"/>
        <v>0</v>
      </c>
      <c r="AX52" s="417">
        <f t="shared" si="14"/>
        <v>0</v>
      </c>
      <c r="AY52" s="418">
        <f t="shared" si="15"/>
        <v>0</v>
      </c>
    </row>
    <row r="53" spans="1:51" s="411" customFormat="1" ht="12" customHeight="1">
      <c r="A53" s="408" t="s">
        <v>270</v>
      </c>
      <c r="B53" s="408" t="s">
        <v>271</v>
      </c>
      <c r="C53" s="272">
        <v>13.16</v>
      </c>
      <c r="D53" s="272">
        <v>13.2</v>
      </c>
      <c r="E53" s="409"/>
      <c r="F53" s="274">
        <v>0</v>
      </c>
      <c r="G53" s="274">
        <v>0</v>
      </c>
      <c r="H53" s="274">
        <v>0</v>
      </c>
      <c r="I53" s="274">
        <v>0</v>
      </c>
      <c r="J53" s="274">
        <v>13.16</v>
      </c>
      <c r="K53" s="274">
        <v>13.16</v>
      </c>
      <c r="L53" s="274">
        <v>13.16</v>
      </c>
      <c r="M53" s="274">
        <v>13.16</v>
      </c>
      <c r="N53" s="274">
        <v>0</v>
      </c>
      <c r="O53" s="274">
        <v>0</v>
      </c>
      <c r="P53" s="274">
        <v>0</v>
      </c>
      <c r="Q53" s="274">
        <v>0</v>
      </c>
      <c r="R53" s="410">
        <f t="shared" si="18"/>
        <v>52.64</v>
      </c>
      <c r="T53" s="274">
        <f t="shared" si="17"/>
        <v>0</v>
      </c>
      <c r="U53" s="274">
        <f t="shared" si="17"/>
        <v>0</v>
      </c>
      <c r="V53" s="274">
        <f t="shared" si="17"/>
        <v>0</v>
      </c>
      <c r="W53" s="274">
        <f t="shared" si="16"/>
        <v>0</v>
      </c>
      <c r="X53" s="274">
        <f t="shared" si="16"/>
        <v>1</v>
      </c>
      <c r="Y53" s="274">
        <f t="shared" si="16"/>
        <v>1</v>
      </c>
      <c r="Z53" s="274">
        <f t="shared" si="16"/>
        <v>1</v>
      </c>
      <c r="AA53" s="274">
        <f t="shared" si="16"/>
        <v>1</v>
      </c>
      <c r="AB53" s="274">
        <f t="shared" si="16"/>
        <v>0</v>
      </c>
      <c r="AC53" s="274">
        <f t="shared" si="19"/>
        <v>0</v>
      </c>
      <c r="AD53" s="274">
        <f t="shared" si="19"/>
        <v>0</v>
      </c>
      <c r="AE53" s="274">
        <f t="shared" si="19"/>
        <v>0</v>
      </c>
      <c r="AF53" s="277">
        <f t="shared" si="5"/>
        <v>4</v>
      </c>
      <c r="AG53" s="278">
        <f t="shared" si="6"/>
        <v>0.33333333333333331</v>
      </c>
      <c r="AI53" s="411">
        <v>95</v>
      </c>
      <c r="AK53" s="412"/>
      <c r="AL53" s="412" t="str">
        <f t="shared" si="7"/>
        <v xml:space="preserve"> 1</v>
      </c>
      <c r="AM53" s="278">
        <f t="shared" si="8"/>
        <v>0.33333333333333331</v>
      </c>
      <c r="AQ53" s="414">
        <f t="shared" si="10"/>
        <v>14.331047199024802</v>
      </c>
      <c r="AR53" s="415">
        <f t="shared" si="11"/>
        <v>57.324188796099207</v>
      </c>
      <c r="AS53" s="415">
        <f t="shared" si="12"/>
        <v>4.6841887960992068</v>
      </c>
      <c r="AT53" s="416">
        <f t="shared" si="13"/>
        <v>8.8985349469969735E-2</v>
      </c>
      <c r="AW53" s="417">
        <f t="shared" si="9"/>
        <v>14.387804521994735</v>
      </c>
      <c r="AX53" s="417">
        <f t="shared" si="14"/>
        <v>57.551218087978931</v>
      </c>
      <c r="AY53" s="418">
        <f t="shared" si="15"/>
        <v>0.22702929187972387</v>
      </c>
    </row>
    <row r="54" spans="1:51" s="411" customFormat="1" ht="12" customHeight="1">
      <c r="A54" s="408" t="s">
        <v>272</v>
      </c>
      <c r="B54" s="408" t="s">
        <v>273</v>
      </c>
      <c r="C54" s="272">
        <v>15.16</v>
      </c>
      <c r="D54" s="272">
        <v>15.2</v>
      </c>
      <c r="E54" s="409"/>
      <c r="F54" s="274">
        <v>76</v>
      </c>
      <c r="G54" s="274">
        <v>76</v>
      </c>
      <c r="H54" s="274">
        <v>76</v>
      </c>
      <c r="I54" s="274">
        <v>91.355000000000004</v>
      </c>
      <c r="J54" s="274">
        <v>121.55500000000001</v>
      </c>
      <c r="K54" s="274">
        <v>121.28</v>
      </c>
      <c r="L54" s="274">
        <v>128.85999999999999</v>
      </c>
      <c r="M54" s="274">
        <v>113.69999999999999</v>
      </c>
      <c r="N54" s="274">
        <v>83.5</v>
      </c>
      <c r="O54" s="274">
        <v>83.58</v>
      </c>
      <c r="P54" s="274">
        <v>76</v>
      </c>
      <c r="Q54" s="274">
        <v>76</v>
      </c>
      <c r="R54" s="410">
        <f t="shared" si="18"/>
        <v>1123.83</v>
      </c>
      <c r="T54" s="274">
        <f t="shared" si="17"/>
        <v>5.0131926121372032</v>
      </c>
      <c r="U54" s="274">
        <f t="shared" si="17"/>
        <v>5.0131926121372032</v>
      </c>
      <c r="V54" s="274">
        <f t="shared" si="17"/>
        <v>5.0131926121372032</v>
      </c>
      <c r="W54" s="274">
        <f t="shared" si="16"/>
        <v>6.0260554089709766</v>
      </c>
      <c r="X54" s="274">
        <f t="shared" si="16"/>
        <v>8.0181398416886545</v>
      </c>
      <c r="Y54" s="274">
        <f t="shared" si="16"/>
        <v>8</v>
      </c>
      <c r="Z54" s="274">
        <f t="shared" si="16"/>
        <v>8.4999999999999982</v>
      </c>
      <c r="AA54" s="274">
        <f t="shared" si="16"/>
        <v>7.4999999999999991</v>
      </c>
      <c r="AB54" s="274">
        <f t="shared" si="16"/>
        <v>5.5079155672823221</v>
      </c>
      <c r="AC54" s="274">
        <f t="shared" si="19"/>
        <v>5.4986842105263163</v>
      </c>
      <c r="AD54" s="274">
        <f t="shared" si="19"/>
        <v>5</v>
      </c>
      <c r="AE54" s="274">
        <f t="shared" si="19"/>
        <v>5</v>
      </c>
      <c r="AF54" s="277">
        <f t="shared" si="5"/>
        <v>74.090372864879882</v>
      </c>
      <c r="AG54" s="278">
        <f t="shared" si="6"/>
        <v>6.1741977387399904</v>
      </c>
      <c r="AI54" s="411">
        <v>95</v>
      </c>
      <c r="AK54" s="412"/>
      <c r="AL54" s="412" t="str">
        <f t="shared" si="7"/>
        <v xml:space="preserve"> 1</v>
      </c>
      <c r="AM54" s="278">
        <f t="shared" si="8"/>
        <v>6.1741977387399904</v>
      </c>
      <c r="AQ54" s="414">
        <f t="shared" si="10"/>
        <v>16.502417986755834</v>
      </c>
      <c r="AR54" s="415">
        <f t="shared" si="11"/>
        <v>1222.6703018108401</v>
      </c>
      <c r="AS54" s="415">
        <f t="shared" si="12"/>
        <v>98.840301810840174</v>
      </c>
      <c r="AT54" s="416">
        <f t="shared" si="13"/>
        <v>8.7949513548170252E-2</v>
      </c>
      <c r="AW54" s="417">
        <f t="shared" si="9"/>
        <v>16.567774904115151</v>
      </c>
      <c r="AX54" s="417">
        <f t="shared" si="14"/>
        <v>1227.5126201872911</v>
      </c>
      <c r="AY54" s="418">
        <f t="shared" si="15"/>
        <v>4.8423183764509758</v>
      </c>
    </row>
    <row r="55" spans="1:51" s="411" customFormat="1" ht="12" customHeight="1">
      <c r="A55" s="408" t="s">
        <v>274</v>
      </c>
      <c r="B55" s="408" t="s">
        <v>275</v>
      </c>
      <c r="C55" s="272">
        <v>0</v>
      </c>
      <c r="D55" s="272">
        <v>0</v>
      </c>
      <c r="E55" s="409"/>
      <c r="F55" s="274">
        <v>0</v>
      </c>
      <c r="G55" s="274">
        <v>0</v>
      </c>
      <c r="H55" s="274">
        <v>0</v>
      </c>
      <c r="I55" s="274">
        <v>0</v>
      </c>
      <c r="J55" s="274">
        <v>0</v>
      </c>
      <c r="K55" s="274">
        <v>0</v>
      </c>
      <c r="L55" s="274">
        <v>0</v>
      </c>
      <c r="M55" s="274">
        <v>0</v>
      </c>
      <c r="N55" s="274">
        <v>0</v>
      </c>
      <c r="O55" s="274">
        <v>0</v>
      </c>
      <c r="P55" s="274">
        <v>0</v>
      </c>
      <c r="Q55" s="274">
        <v>0</v>
      </c>
      <c r="R55" s="410">
        <f t="shared" si="18"/>
        <v>0</v>
      </c>
      <c r="T55" s="274">
        <f t="shared" si="17"/>
        <v>0</v>
      </c>
      <c r="U55" s="274">
        <f t="shared" si="17"/>
        <v>0</v>
      </c>
      <c r="V55" s="274">
        <f t="shared" si="17"/>
        <v>0</v>
      </c>
      <c r="W55" s="274">
        <f t="shared" si="16"/>
        <v>0</v>
      </c>
      <c r="X55" s="274">
        <f t="shared" si="16"/>
        <v>0</v>
      </c>
      <c r="Y55" s="274">
        <f t="shared" si="16"/>
        <v>0</v>
      </c>
      <c r="Z55" s="274">
        <f t="shared" si="16"/>
        <v>0</v>
      </c>
      <c r="AA55" s="274">
        <f t="shared" si="16"/>
        <v>0</v>
      </c>
      <c r="AB55" s="274">
        <f t="shared" si="16"/>
        <v>0</v>
      </c>
      <c r="AC55" s="274">
        <f t="shared" si="19"/>
        <v>0</v>
      </c>
      <c r="AD55" s="274">
        <f t="shared" si="19"/>
        <v>0</v>
      </c>
      <c r="AE55" s="274">
        <f t="shared" si="19"/>
        <v>0</v>
      </c>
      <c r="AF55" s="277">
        <f t="shared" si="5"/>
        <v>0</v>
      </c>
      <c r="AG55" s="278">
        <f t="shared" si="6"/>
        <v>0</v>
      </c>
      <c r="AI55" s="411">
        <v>95</v>
      </c>
      <c r="AK55" s="412"/>
      <c r="AL55" s="412" t="str">
        <f t="shared" si="7"/>
        <v xml:space="preserve"> 1</v>
      </c>
      <c r="AM55" s="278">
        <f t="shared" si="8"/>
        <v>0</v>
      </c>
      <c r="AQ55" s="414">
        <f t="shared" si="10"/>
        <v>0</v>
      </c>
      <c r="AR55" s="415">
        <f t="shared" si="11"/>
        <v>0</v>
      </c>
      <c r="AS55" s="415">
        <f t="shared" si="12"/>
        <v>0</v>
      </c>
      <c r="AT55" s="416" t="e">
        <f t="shared" si="13"/>
        <v>#DIV/0!</v>
      </c>
      <c r="AW55" s="417">
        <f t="shared" si="9"/>
        <v>0</v>
      </c>
      <c r="AX55" s="417">
        <f t="shared" si="14"/>
        <v>0</v>
      </c>
      <c r="AY55" s="418">
        <f t="shared" si="15"/>
        <v>0</v>
      </c>
    </row>
    <row r="56" spans="1:51" s="411" customFormat="1" ht="12" customHeight="1">
      <c r="A56" s="408" t="s">
        <v>276</v>
      </c>
      <c r="B56" s="408" t="s">
        <v>277</v>
      </c>
      <c r="C56" s="272">
        <v>13.16</v>
      </c>
      <c r="D56" s="272">
        <v>13.2</v>
      </c>
      <c r="E56" s="409"/>
      <c r="F56" s="274">
        <v>1062.5999999999999</v>
      </c>
      <c r="G56" s="274">
        <v>1056</v>
      </c>
      <c r="H56" s="274">
        <v>1089</v>
      </c>
      <c r="I56" s="274">
        <v>1072.0650000000001</v>
      </c>
      <c r="J56" s="274">
        <v>1050.3449999999998</v>
      </c>
      <c r="K56" s="274">
        <v>1039.6399999999999</v>
      </c>
      <c r="L56" s="274">
        <v>1013.32</v>
      </c>
      <c r="M56" s="274">
        <v>1033.06</v>
      </c>
      <c r="N56" s="274">
        <v>1041.44</v>
      </c>
      <c r="O56" s="274">
        <v>1075.74</v>
      </c>
      <c r="P56" s="274">
        <v>1082.4000000000001</v>
      </c>
      <c r="Q56" s="274">
        <v>1062.5999999999999</v>
      </c>
      <c r="R56" s="410">
        <f t="shared" si="18"/>
        <v>12678.21</v>
      </c>
      <c r="T56" s="274">
        <f t="shared" si="17"/>
        <v>80.744680851063819</v>
      </c>
      <c r="U56" s="274">
        <f t="shared" si="17"/>
        <v>80.243161094224916</v>
      </c>
      <c r="V56" s="274">
        <f t="shared" si="17"/>
        <v>82.750759878419458</v>
      </c>
      <c r="W56" s="274">
        <f t="shared" si="16"/>
        <v>81.463905775075986</v>
      </c>
      <c r="X56" s="274">
        <f t="shared" si="16"/>
        <v>79.813449848024305</v>
      </c>
      <c r="Y56" s="274">
        <f t="shared" si="16"/>
        <v>78.999999999999986</v>
      </c>
      <c r="Z56" s="274">
        <f t="shared" si="16"/>
        <v>77</v>
      </c>
      <c r="AA56" s="274">
        <f t="shared" si="16"/>
        <v>78.5</v>
      </c>
      <c r="AB56" s="274">
        <f t="shared" si="16"/>
        <v>79.136778115501528</v>
      </c>
      <c r="AC56" s="274">
        <f t="shared" si="19"/>
        <v>81.49545454545455</v>
      </c>
      <c r="AD56" s="274">
        <f t="shared" si="19"/>
        <v>82.000000000000014</v>
      </c>
      <c r="AE56" s="274">
        <f t="shared" si="19"/>
        <v>80.5</v>
      </c>
      <c r="AF56" s="277">
        <f t="shared" si="5"/>
        <v>962.64819010776455</v>
      </c>
      <c r="AG56" s="278">
        <f t="shared" si="6"/>
        <v>80.220682508980374</v>
      </c>
      <c r="AI56" s="411">
        <v>95</v>
      </c>
      <c r="AK56" s="412"/>
      <c r="AL56" s="412" t="str">
        <f t="shared" si="7"/>
        <v xml:space="preserve"> 1</v>
      </c>
      <c r="AM56" s="278">
        <f t="shared" si="8"/>
        <v>80.220682508980374</v>
      </c>
      <c r="AQ56" s="414">
        <f t="shared" si="10"/>
        <v>14.331047199024802</v>
      </c>
      <c r="AR56" s="415">
        <f t="shared" si="11"/>
        <v>13795.756648490173</v>
      </c>
      <c r="AS56" s="415">
        <f t="shared" si="12"/>
        <v>1117.5466484901735</v>
      </c>
      <c r="AT56" s="416">
        <f t="shared" si="13"/>
        <v>8.8147037199271319E-2</v>
      </c>
      <c r="AW56" s="417">
        <f t="shared" si="9"/>
        <v>14.387804521994735</v>
      </c>
      <c r="AX56" s="417">
        <f t="shared" si="14"/>
        <v>13850.393982722542</v>
      </c>
      <c r="AY56" s="418">
        <f t="shared" si="15"/>
        <v>54.63733423236954</v>
      </c>
    </row>
    <row r="57" spans="1:51" s="411" customFormat="1" ht="12" customHeight="1">
      <c r="A57" s="408" t="s">
        <v>278</v>
      </c>
      <c r="B57" s="408" t="s">
        <v>279</v>
      </c>
      <c r="C57" s="272">
        <v>0</v>
      </c>
      <c r="D57" s="272">
        <v>0</v>
      </c>
      <c r="E57" s="409"/>
      <c r="F57" s="274">
        <v>0</v>
      </c>
      <c r="G57" s="274">
        <v>0</v>
      </c>
      <c r="H57" s="274">
        <v>0</v>
      </c>
      <c r="I57" s="274">
        <v>0</v>
      </c>
      <c r="J57" s="274">
        <v>0</v>
      </c>
      <c r="K57" s="274">
        <v>0</v>
      </c>
      <c r="L57" s="274">
        <v>0</v>
      </c>
      <c r="M57" s="274">
        <v>0</v>
      </c>
      <c r="N57" s="274">
        <v>0</v>
      </c>
      <c r="O57" s="274">
        <v>0</v>
      </c>
      <c r="P57" s="274">
        <v>0</v>
      </c>
      <c r="Q57" s="274">
        <v>0</v>
      </c>
      <c r="R57" s="410">
        <f t="shared" si="18"/>
        <v>0</v>
      </c>
      <c r="T57" s="274">
        <f t="shared" si="17"/>
        <v>0</v>
      </c>
      <c r="U57" s="274">
        <f t="shared" si="17"/>
        <v>0</v>
      </c>
      <c r="V57" s="274">
        <f t="shared" si="17"/>
        <v>0</v>
      </c>
      <c r="W57" s="274">
        <f t="shared" si="16"/>
        <v>0</v>
      </c>
      <c r="X57" s="274">
        <f t="shared" si="16"/>
        <v>0</v>
      </c>
      <c r="Y57" s="274">
        <f t="shared" si="16"/>
        <v>0</v>
      </c>
      <c r="Z57" s="274">
        <f t="shared" si="16"/>
        <v>0</v>
      </c>
      <c r="AA57" s="274">
        <f t="shared" si="16"/>
        <v>0</v>
      </c>
      <c r="AB57" s="274">
        <f t="shared" si="16"/>
        <v>0</v>
      </c>
      <c r="AC57" s="274">
        <f t="shared" si="19"/>
        <v>0</v>
      </c>
      <c r="AD57" s="274">
        <f t="shared" si="19"/>
        <v>0</v>
      </c>
      <c r="AE57" s="274">
        <f t="shared" si="19"/>
        <v>0</v>
      </c>
      <c r="AF57" s="277">
        <f t="shared" si="5"/>
        <v>0</v>
      </c>
      <c r="AG57" s="278">
        <f t="shared" si="6"/>
        <v>0</v>
      </c>
      <c r="AI57" s="411">
        <v>95</v>
      </c>
      <c r="AK57" s="412"/>
      <c r="AL57" s="412" t="str">
        <f t="shared" si="7"/>
        <v xml:space="preserve"> 2</v>
      </c>
      <c r="AM57" s="278">
        <f t="shared" si="8"/>
        <v>0</v>
      </c>
      <c r="AQ57" s="414">
        <f t="shared" si="10"/>
        <v>0</v>
      </c>
      <c r="AR57" s="415">
        <f t="shared" si="11"/>
        <v>0</v>
      </c>
      <c r="AS57" s="415">
        <f t="shared" si="12"/>
        <v>0</v>
      </c>
      <c r="AT57" s="416" t="e">
        <f t="shared" si="13"/>
        <v>#DIV/0!</v>
      </c>
      <c r="AW57" s="417">
        <f t="shared" si="9"/>
        <v>0</v>
      </c>
      <c r="AX57" s="417">
        <f t="shared" si="14"/>
        <v>0</v>
      </c>
      <c r="AY57" s="418">
        <f t="shared" si="15"/>
        <v>0</v>
      </c>
    </row>
    <row r="58" spans="1:51" s="411" customFormat="1" ht="12" customHeight="1">
      <c r="A58" s="408" t="s">
        <v>280</v>
      </c>
      <c r="B58" s="408" t="s">
        <v>281</v>
      </c>
      <c r="C58" s="272">
        <v>36.57</v>
      </c>
      <c r="D58" s="272">
        <v>36.67</v>
      </c>
      <c r="E58" s="409"/>
      <c r="F58" s="274">
        <v>41.255000000000003</v>
      </c>
      <c r="G58" s="274">
        <v>68.754999999999995</v>
      </c>
      <c r="H58" s="274">
        <v>88.615000000000009</v>
      </c>
      <c r="I58" s="274">
        <v>93.62</v>
      </c>
      <c r="J58" s="274">
        <v>137.64500000000001</v>
      </c>
      <c r="K58" s="274">
        <v>141.71</v>
      </c>
      <c r="L58" s="274">
        <v>146.28</v>
      </c>
      <c r="M58" s="274">
        <v>146.28</v>
      </c>
      <c r="N58" s="274">
        <v>109.91</v>
      </c>
      <c r="O58" s="274">
        <v>55.005000000000003</v>
      </c>
      <c r="P58" s="274">
        <v>9.1699999999999982</v>
      </c>
      <c r="Q58" s="274">
        <v>27.504999999999999</v>
      </c>
      <c r="R58" s="410">
        <f t="shared" si="18"/>
        <v>1065.7500000000002</v>
      </c>
      <c r="T58" s="274">
        <f t="shared" si="17"/>
        <v>1.1281104730653542</v>
      </c>
      <c r="U58" s="274">
        <f t="shared" si="17"/>
        <v>1.8800929723817335</v>
      </c>
      <c r="V58" s="274">
        <f t="shared" si="17"/>
        <v>2.4231610609789449</v>
      </c>
      <c r="W58" s="274">
        <f t="shared" si="16"/>
        <v>2.5600218758545257</v>
      </c>
      <c r="X58" s="274">
        <f t="shared" si="16"/>
        <v>3.7638774952146572</v>
      </c>
      <c r="Y58" s="274">
        <f t="shared" si="16"/>
        <v>3.8750341810226963</v>
      </c>
      <c r="Z58" s="274">
        <f t="shared" si="16"/>
        <v>4</v>
      </c>
      <c r="AA58" s="274">
        <f t="shared" si="16"/>
        <v>4</v>
      </c>
      <c r="AB58" s="274">
        <f t="shared" si="16"/>
        <v>3.0054689636313916</v>
      </c>
      <c r="AC58" s="274">
        <f t="shared" si="19"/>
        <v>1.5</v>
      </c>
      <c r="AD58" s="274">
        <f t="shared" si="19"/>
        <v>0.25006817562039807</v>
      </c>
      <c r="AE58" s="274">
        <f t="shared" si="19"/>
        <v>0.75006817562039807</v>
      </c>
      <c r="AF58" s="277">
        <f t="shared" si="5"/>
        <v>29.1359033733901</v>
      </c>
      <c r="AG58" s="278">
        <f t="shared" si="6"/>
        <v>2.4279919477825085</v>
      </c>
      <c r="AI58" s="411">
        <v>95</v>
      </c>
      <c r="AK58" s="412"/>
      <c r="AL58" s="412" t="str">
        <f t="shared" si="7"/>
        <v xml:space="preserve"> 1</v>
      </c>
      <c r="AM58" s="278">
        <f t="shared" si="8"/>
        <v>2.4279919477825085</v>
      </c>
      <c r="AQ58" s="414">
        <f t="shared" si="10"/>
        <v>39.812083393048447</v>
      </c>
      <c r="AR58" s="415">
        <f t="shared" si="11"/>
        <v>1159.9610148332083</v>
      </c>
      <c r="AS58" s="415">
        <f t="shared" si="12"/>
        <v>94.211014833208083</v>
      </c>
      <c r="AT58" s="416">
        <f t="shared" si="13"/>
        <v>8.8398794119829288E-2</v>
      </c>
      <c r="AW58" s="417">
        <f t="shared" si="9"/>
        <v>39.969756956177797</v>
      </c>
      <c r="AX58" s="417">
        <f t="shared" si="14"/>
        <v>1164.5549765330832</v>
      </c>
      <c r="AY58" s="418">
        <f t="shared" si="15"/>
        <v>4.5939616998748534</v>
      </c>
    </row>
    <row r="59" spans="1:51" s="411" customFormat="1" ht="12" customHeight="1">
      <c r="A59" s="408" t="s">
        <v>282</v>
      </c>
      <c r="B59" s="408" t="s">
        <v>283</v>
      </c>
      <c r="C59" s="272">
        <v>38.57</v>
      </c>
      <c r="D59" s="272">
        <v>38.67</v>
      </c>
      <c r="E59" s="409"/>
      <c r="F59" s="274">
        <v>960.84500000000003</v>
      </c>
      <c r="G59" s="274">
        <v>1039.26</v>
      </c>
      <c r="H59" s="274">
        <v>1005.4200000000001</v>
      </c>
      <c r="I59" s="274">
        <v>829.1350000000001</v>
      </c>
      <c r="J59" s="274">
        <v>982.34500000000003</v>
      </c>
      <c r="K59" s="274">
        <v>999.07499999999993</v>
      </c>
      <c r="L59" s="274">
        <v>970.14499999999998</v>
      </c>
      <c r="M59" s="274">
        <v>988.35500000000002</v>
      </c>
      <c r="N59" s="274">
        <v>951.08500000000004</v>
      </c>
      <c r="O59" s="274">
        <v>961.91499999999996</v>
      </c>
      <c r="P59" s="274">
        <v>956.01</v>
      </c>
      <c r="Q59" s="274">
        <v>1008.1100000000001</v>
      </c>
      <c r="R59" s="410">
        <f t="shared" si="18"/>
        <v>11651.700000000003</v>
      </c>
      <c r="T59" s="274">
        <f t="shared" si="17"/>
        <v>24.911718952553798</v>
      </c>
      <c r="U59" s="274">
        <f t="shared" si="17"/>
        <v>26.944775732434533</v>
      </c>
      <c r="V59" s="274">
        <f t="shared" si="17"/>
        <v>26.067409904070523</v>
      </c>
      <c r="W59" s="274">
        <f t="shared" si="16"/>
        <v>21.496888773658288</v>
      </c>
      <c r="X59" s="274">
        <f t="shared" si="16"/>
        <v>25.469147005444647</v>
      </c>
      <c r="Y59" s="274">
        <f t="shared" si="16"/>
        <v>25.902903811252266</v>
      </c>
      <c r="Z59" s="274">
        <f t="shared" si="16"/>
        <v>25.152838994036816</v>
      </c>
      <c r="AA59" s="274">
        <f t="shared" si="16"/>
        <v>25.624967591392274</v>
      </c>
      <c r="AB59" s="274">
        <f t="shared" si="16"/>
        <v>24.658672543427535</v>
      </c>
      <c r="AC59" s="274">
        <f t="shared" si="19"/>
        <v>24.874967675200413</v>
      </c>
      <c r="AD59" s="274">
        <f t="shared" si="19"/>
        <v>24.722265321955003</v>
      </c>
      <c r="AE59" s="274">
        <f t="shared" si="19"/>
        <v>26.069562968709597</v>
      </c>
      <c r="AF59" s="277">
        <f t="shared" si="5"/>
        <v>301.89611927413569</v>
      </c>
      <c r="AG59" s="278">
        <f t="shared" si="6"/>
        <v>25.158009939511306</v>
      </c>
      <c r="AI59" s="411">
        <v>95</v>
      </c>
      <c r="AK59" s="412"/>
      <c r="AL59" s="412" t="str">
        <f t="shared" si="7"/>
        <v xml:space="preserve"> 1</v>
      </c>
      <c r="AM59" s="278">
        <f t="shared" si="8"/>
        <v>25.158009939511306</v>
      </c>
      <c r="AQ59" s="414">
        <f t="shared" si="10"/>
        <v>41.983454180779482</v>
      </c>
      <c r="AR59" s="415">
        <f t="shared" si="11"/>
        <v>12674.641890900813</v>
      </c>
      <c r="AS59" s="415">
        <f t="shared" si="12"/>
        <v>1022.9418909008109</v>
      </c>
      <c r="AT59" s="416">
        <f t="shared" si="13"/>
        <v>8.7793359844555788E-2</v>
      </c>
      <c r="AW59" s="417">
        <f t="shared" si="9"/>
        <v>42.149727338298213</v>
      </c>
      <c r="AX59" s="417">
        <f t="shared" si="14"/>
        <v>12724.839111895175</v>
      </c>
      <c r="AY59" s="418">
        <f t="shared" si="15"/>
        <v>50.197220994361487</v>
      </c>
    </row>
    <row r="60" spans="1:51" s="411" customFormat="1" ht="12" customHeight="1">
      <c r="A60" s="408" t="s">
        <v>284</v>
      </c>
      <c r="B60" s="408" t="s">
        <v>285</v>
      </c>
      <c r="C60" s="272">
        <v>0</v>
      </c>
      <c r="D60" s="272">
        <v>0</v>
      </c>
      <c r="E60" s="409"/>
      <c r="F60" s="274">
        <v>0</v>
      </c>
      <c r="G60" s="274">
        <v>0</v>
      </c>
      <c r="H60" s="274">
        <v>0</v>
      </c>
      <c r="I60" s="274">
        <v>0</v>
      </c>
      <c r="J60" s="274">
        <v>0</v>
      </c>
      <c r="K60" s="274">
        <v>0</v>
      </c>
      <c r="L60" s="274">
        <v>0</v>
      </c>
      <c r="M60" s="274">
        <v>0</v>
      </c>
      <c r="N60" s="274">
        <v>0</v>
      </c>
      <c r="O60" s="274">
        <v>0</v>
      </c>
      <c r="P60" s="274">
        <v>0</v>
      </c>
      <c r="Q60" s="274">
        <v>0</v>
      </c>
      <c r="R60" s="410">
        <f t="shared" si="18"/>
        <v>0</v>
      </c>
      <c r="T60" s="274">
        <f t="shared" si="17"/>
        <v>0</v>
      </c>
      <c r="U60" s="274">
        <f t="shared" si="17"/>
        <v>0</v>
      </c>
      <c r="V60" s="274">
        <f t="shared" si="17"/>
        <v>0</v>
      </c>
      <c r="W60" s="274">
        <f t="shared" si="16"/>
        <v>0</v>
      </c>
      <c r="X60" s="274">
        <f t="shared" si="16"/>
        <v>0</v>
      </c>
      <c r="Y60" s="274">
        <f t="shared" si="16"/>
        <v>0</v>
      </c>
      <c r="Z60" s="274">
        <f t="shared" si="16"/>
        <v>0</v>
      </c>
      <c r="AA60" s="274">
        <f t="shared" si="16"/>
        <v>0</v>
      </c>
      <c r="AB60" s="274">
        <f t="shared" si="16"/>
        <v>0</v>
      </c>
      <c r="AC60" s="274">
        <f t="shared" si="19"/>
        <v>0</v>
      </c>
      <c r="AD60" s="274">
        <f t="shared" si="19"/>
        <v>0</v>
      </c>
      <c r="AE60" s="274">
        <f t="shared" si="19"/>
        <v>0</v>
      </c>
      <c r="AF60" s="277">
        <f t="shared" si="5"/>
        <v>0</v>
      </c>
      <c r="AG60" s="278">
        <f t="shared" si="6"/>
        <v>0</v>
      </c>
      <c r="AI60" s="411">
        <v>95</v>
      </c>
      <c r="AK60" s="412"/>
      <c r="AL60" s="412" t="str">
        <f t="shared" si="7"/>
        <v xml:space="preserve"> 2</v>
      </c>
      <c r="AM60" s="278">
        <f t="shared" si="8"/>
        <v>0</v>
      </c>
      <c r="AQ60" s="414">
        <f t="shared" si="10"/>
        <v>0</v>
      </c>
      <c r="AR60" s="415">
        <f t="shared" si="11"/>
        <v>0</v>
      </c>
      <c r="AS60" s="415">
        <f t="shared" si="12"/>
        <v>0</v>
      </c>
      <c r="AT60" s="416" t="e">
        <f t="shared" si="13"/>
        <v>#DIV/0!</v>
      </c>
      <c r="AW60" s="417">
        <f t="shared" si="9"/>
        <v>0</v>
      </c>
      <c r="AX60" s="417">
        <f t="shared" si="14"/>
        <v>0</v>
      </c>
      <c r="AY60" s="418">
        <f t="shared" si="15"/>
        <v>0</v>
      </c>
    </row>
    <row r="61" spans="1:51" s="411" customFormat="1" ht="12" customHeight="1">
      <c r="A61" s="408" t="s">
        <v>286</v>
      </c>
      <c r="B61" s="408" t="s">
        <v>287</v>
      </c>
      <c r="C61" s="272">
        <v>36.57</v>
      </c>
      <c r="D61" s="272">
        <v>36.67</v>
      </c>
      <c r="E61" s="409"/>
      <c r="F61" s="274">
        <v>15778.574999999999</v>
      </c>
      <c r="G61" s="274">
        <v>16012.565000000001</v>
      </c>
      <c r="H61" s="274">
        <v>16277.895</v>
      </c>
      <c r="I61" s="274">
        <v>14725.155000000001</v>
      </c>
      <c r="J61" s="274">
        <v>12845.87</v>
      </c>
      <c r="K61" s="274">
        <v>12959.079999999998</v>
      </c>
      <c r="L61" s="274">
        <v>13230.455</v>
      </c>
      <c r="M61" s="274">
        <v>14096.885</v>
      </c>
      <c r="N61" s="274">
        <v>14709.539999999999</v>
      </c>
      <c r="O61" s="274">
        <v>14693.285</v>
      </c>
      <c r="P61" s="274">
        <v>14975.625</v>
      </c>
      <c r="Q61" s="274">
        <v>15476.550000000001</v>
      </c>
      <c r="R61" s="410">
        <f t="shared" si="18"/>
        <v>175781.47999999998</v>
      </c>
      <c r="T61" s="274">
        <f t="shared" si="17"/>
        <v>431.46226415094338</v>
      </c>
      <c r="U61" s="274">
        <f t="shared" si="17"/>
        <v>437.86067815149028</v>
      </c>
      <c r="V61" s="274">
        <f t="shared" si="17"/>
        <v>445.11607875307629</v>
      </c>
      <c r="W61" s="274">
        <f t="shared" si="16"/>
        <v>402.65668580803941</v>
      </c>
      <c r="X61" s="274">
        <f t="shared" si="16"/>
        <v>351.2679792179382</v>
      </c>
      <c r="Y61" s="274">
        <f t="shared" si="16"/>
        <v>354.36368608148751</v>
      </c>
      <c r="Z61" s="274">
        <f t="shared" si="16"/>
        <v>361.78438610883239</v>
      </c>
      <c r="AA61" s="274">
        <f t="shared" si="16"/>
        <v>385.47675690456657</v>
      </c>
      <c r="AB61" s="274">
        <f t="shared" si="16"/>
        <v>402.22969647251841</v>
      </c>
      <c r="AC61" s="274">
        <f t="shared" si="19"/>
        <v>400.68952822470681</v>
      </c>
      <c r="AD61" s="274">
        <f t="shared" si="19"/>
        <v>408.38901008999181</v>
      </c>
      <c r="AE61" s="274">
        <f t="shared" si="19"/>
        <v>422.04935914916825</v>
      </c>
      <c r="AF61" s="277">
        <f t="shared" si="5"/>
        <v>4803.3461091127592</v>
      </c>
      <c r="AG61" s="278">
        <f t="shared" si="6"/>
        <v>400.27884242606325</v>
      </c>
      <c r="AI61" s="411">
        <v>95</v>
      </c>
      <c r="AK61" s="412"/>
      <c r="AL61" s="412" t="str">
        <f t="shared" si="7"/>
        <v xml:space="preserve"> 1</v>
      </c>
      <c r="AM61" s="278">
        <f t="shared" si="8"/>
        <v>400.27884242606325</v>
      </c>
      <c r="AQ61" s="414">
        <f t="shared" si="10"/>
        <v>39.812083393048447</v>
      </c>
      <c r="AR61" s="415">
        <f t="shared" si="11"/>
        <v>191231.21586167195</v>
      </c>
      <c r="AS61" s="415">
        <f t="shared" si="12"/>
        <v>15449.735861671972</v>
      </c>
      <c r="AT61" s="416">
        <f t="shared" si="13"/>
        <v>8.7891715678306809E-2</v>
      </c>
      <c r="AW61" s="417">
        <f t="shared" si="9"/>
        <v>39.969756956177797</v>
      </c>
      <c r="AX61" s="417">
        <f t="shared" si="14"/>
        <v>191988.57655763926</v>
      </c>
      <c r="AY61" s="418">
        <f t="shared" si="15"/>
        <v>757.36069596730522</v>
      </c>
    </row>
    <row r="62" spans="1:51" s="411" customFormat="1" ht="12" customHeight="1">
      <c r="A62" s="408" t="s">
        <v>288</v>
      </c>
      <c r="B62" s="408" t="s">
        <v>289</v>
      </c>
      <c r="C62" s="272">
        <v>0</v>
      </c>
      <c r="D62" s="272">
        <v>0</v>
      </c>
      <c r="E62" s="409"/>
      <c r="F62" s="274">
        <v>0</v>
      </c>
      <c r="G62" s="274">
        <v>0</v>
      </c>
      <c r="H62" s="274">
        <v>0</v>
      </c>
      <c r="I62" s="274">
        <v>0</v>
      </c>
      <c r="J62" s="274">
        <v>0</v>
      </c>
      <c r="K62" s="274">
        <v>0</v>
      </c>
      <c r="L62" s="274">
        <v>0</v>
      </c>
      <c r="M62" s="274">
        <v>0</v>
      </c>
      <c r="N62" s="274">
        <v>0</v>
      </c>
      <c r="O62" s="274">
        <v>0</v>
      </c>
      <c r="P62" s="274">
        <v>0</v>
      </c>
      <c r="Q62" s="274">
        <v>0</v>
      </c>
      <c r="R62" s="410">
        <f t="shared" si="18"/>
        <v>0</v>
      </c>
      <c r="T62" s="274">
        <f t="shared" si="17"/>
        <v>0</v>
      </c>
      <c r="U62" s="274">
        <f t="shared" si="17"/>
        <v>0</v>
      </c>
      <c r="V62" s="274">
        <f t="shared" si="17"/>
        <v>0</v>
      </c>
      <c r="W62" s="274">
        <f t="shared" si="16"/>
        <v>0</v>
      </c>
      <c r="X62" s="274">
        <f t="shared" si="16"/>
        <v>0</v>
      </c>
      <c r="Y62" s="274">
        <f t="shared" si="16"/>
        <v>0</v>
      </c>
      <c r="Z62" s="274">
        <f t="shared" si="16"/>
        <v>0</v>
      </c>
      <c r="AA62" s="274">
        <f t="shared" si="16"/>
        <v>0</v>
      </c>
      <c r="AB62" s="274">
        <f t="shared" si="16"/>
        <v>0</v>
      </c>
      <c r="AC62" s="274">
        <f t="shared" si="19"/>
        <v>0</v>
      </c>
      <c r="AD62" s="274">
        <f t="shared" si="19"/>
        <v>0</v>
      </c>
      <c r="AE62" s="274">
        <f t="shared" si="19"/>
        <v>0</v>
      </c>
      <c r="AF62" s="277">
        <f t="shared" si="5"/>
        <v>0</v>
      </c>
      <c r="AG62" s="278">
        <f t="shared" si="6"/>
        <v>0</v>
      </c>
      <c r="AI62" s="411">
        <v>95</v>
      </c>
      <c r="AK62" s="412"/>
      <c r="AL62" s="412" t="str">
        <f t="shared" si="7"/>
        <v xml:space="preserve"> 2</v>
      </c>
      <c r="AM62" s="278">
        <f t="shared" si="8"/>
        <v>0</v>
      </c>
      <c r="AQ62" s="414">
        <f t="shared" si="10"/>
        <v>0</v>
      </c>
      <c r="AR62" s="415">
        <f t="shared" si="11"/>
        <v>0</v>
      </c>
      <c r="AS62" s="415">
        <f t="shared" si="12"/>
        <v>0</v>
      </c>
      <c r="AT62" s="416" t="e">
        <f t="shared" si="13"/>
        <v>#DIV/0!</v>
      </c>
      <c r="AW62" s="417">
        <f t="shared" si="9"/>
        <v>0</v>
      </c>
      <c r="AX62" s="417">
        <f t="shared" si="14"/>
        <v>0</v>
      </c>
      <c r="AY62" s="418">
        <f t="shared" si="15"/>
        <v>0</v>
      </c>
    </row>
    <row r="63" spans="1:51" s="411" customFormat="1" ht="12" customHeight="1">
      <c r="A63" s="408" t="s">
        <v>290</v>
      </c>
      <c r="B63" s="408" t="s">
        <v>291</v>
      </c>
      <c r="C63" s="272">
        <v>22.15</v>
      </c>
      <c r="D63" s="272">
        <v>22.21</v>
      </c>
      <c r="E63" s="409"/>
      <c r="F63" s="274">
        <v>-11.1</v>
      </c>
      <c r="G63" s="274">
        <v>0</v>
      </c>
      <c r="H63" s="274">
        <v>0</v>
      </c>
      <c r="I63" s="274">
        <v>0</v>
      </c>
      <c r="J63" s="274">
        <v>22.15</v>
      </c>
      <c r="K63" s="274">
        <v>22.15</v>
      </c>
      <c r="L63" s="274">
        <v>31.009999999999998</v>
      </c>
      <c r="M63" s="274">
        <v>53.16</v>
      </c>
      <c r="N63" s="274">
        <v>22.15</v>
      </c>
      <c r="O63" s="274">
        <v>0</v>
      </c>
      <c r="P63" s="274">
        <v>0</v>
      </c>
      <c r="Q63" s="274">
        <v>0</v>
      </c>
      <c r="R63" s="410">
        <f t="shared" si="18"/>
        <v>139.51999999999998</v>
      </c>
      <c r="T63" s="274">
        <f t="shared" si="17"/>
        <v>-0.50112866817155755</v>
      </c>
      <c r="U63" s="274">
        <f t="shared" si="17"/>
        <v>0</v>
      </c>
      <c r="V63" s="274">
        <f t="shared" si="17"/>
        <v>0</v>
      </c>
      <c r="W63" s="274">
        <f t="shared" si="16"/>
        <v>0</v>
      </c>
      <c r="X63" s="274">
        <f t="shared" si="16"/>
        <v>1</v>
      </c>
      <c r="Y63" s="274">
        <f t="shared" si="16"/>
        <v>1</v>
      </c>
      <c r="Z63" s="274">
        <f t="shared" si="16"/>
        <v>1.4</v>
      </c>
      <c r="AA63" s="274">
        <f t="shared" si="16"/>
        <v>2.4</v>
      </c>
      <c r="AB63" s="274">
        <f t="shared" si="16"/>
        <v>1</v>
      </c>
      <c r="AC63" s="274">
        <f t="shared" si="19"/>
        <v>0</v>
      </c>
      <c r="AD63" s="274">
        <f t="shared" si="19"/>
        <v>0</v>
      </c>
      <c r="AE63" s="274">
        <f t="shared" si="19"/>
        <v>0</v>
      </c>
      <c r="AF63" s="277">
        <f t="shared" si="5"/>
        <v>6.2988713318284422</v>
      </c>
      <c r="AG63" s="278">
        <f t="shared" si="6"/>
        <v>0.52490594431903681</v>
      </c>
      <c r="AI63" s="411">
        <v>95</v>
      </c>
      <c r="AK63" s="412"/>
      <c r="AL63" s="412" t="str">
        <f t="shared" si="7"/>
        <v xml:space="preserve"> 1</v>
      </c>
      <c r="AM63" s="278">
        <f t="shared" si="8"/>
        <v>0.52490594431903681</v>
      </c>
      <c r="AQ63" s="414">
        <f t="shared" si="10"/>
        <v>24.113072597753096</v>
      </c>
      <c r="AR63" s="415">
        <f t="shared" si="11"/>
        <v>151.88514170828495</v>
      </c>
      <c r="AS63" s="415">
        <f t="shared" si="12"/>
        <v>12.365141708284966</v>
      </c>
      <c r="AT63" s="416">
        <f t="shared" si="13"/>
        <v>8.8626302381629649E-2</v>
      </c>
      <c r="AW63" s="417">
        <f t="shared" si="9"/>
        <v>24.208571093447201</v>
      </c>
      <c r="AX63" s="417">
        <f t="shared" si="14"/>
        <v>152.48667444504531</v>
      </c>
      <c r="AY63" s="418">
        <f t="shared" si="15"/>
        <v>0.60153273676036179</v>
      </c>
    </row>
    <row r="64" spans="1:51" s="411" customFormat="1" ht="12" customHeight="1">
      <c r="A64" s="408" t="s">
        <v>292</v>
      </c>
      <c r="B64" s="408" t="s">
        <v>293</v>
      </c>
      <c r="C64" s="272">
        <v>24.15</v>
      </c>
      <c r="D64" s="272">
        <v>24.21</v>
      </c>
      <c r="E64" s="409"/>
      <c r="F64" s="274">
        <v>508.41</v>
      </c>
      <c r="G64" s="274">
        <v>508.41</v>
      </c>
      <c r="H64" s="274">
        <v>532.62</v>
      </c>
      <c r="I64" s="274">
        <v>564.745</v>
      </c>
      <c r="J64" s="274">
        <v>600.13</v>
      </c>
      <c r="K64" s="274">
        <v>513.17999999999995</v>
      </c>
      <c r="L64" s="274">
        <v>507.14499999999992</v>
      </c>
      <c r="M64" s="274">
        <v>476.96</v>
      </c>
      <c r="N64" s="274">
        <v>501.89499999999998</v>
      </c>
      <c r="O64" s="274">
        <v>526.52500000000009</v>
      </c>
      <c r="P64" s="274">
        <v>514.46</v>
      </c>
      <c r="Q64" s="274">
        <v>514.46</v>
      </c>
      <c r="R64" s="410">
        <f t="shared" si="18"/>
        <v>6268.9399999999987</v>
      </c>
      <c r="T64" s="274">
        <f t="shared" si="17"/>
        <v>21.052173913043479</v>
      </c>
      <c r="U64" s="274">
        <f t="shared" si="17"/>
        <v>21.052173913043479</v>
      </c>
      <c r="V64" s="274">
        <f t="shared" si="17"/>
        <v>22.05465838509317</v>
      </c>
      <c r="W64" s="274">
        <f t="shared" si="16"/>
        <v>23.384886128364389</v>
      </c>
      <c r="X64" s="274">
        <f t="shared" si="16"/>
        <v>24.850103519668739</v>
      </c>
      <c r="Y64" s="274">
        <f t="shared" si="16"/>
        <v>21.249689440993787</v>
      </c>
      <c r="Z64" s="274">
        <f t="shared" si="16"/>
        <v>20.999792960662525</v>
      </c>
      <c r="AA64" s="274">
        <f t="shared" si="16"/>
        <v>19.749896480331262</v>
      </c>
      <c r="AB64" s="274">
        <f t="shared" si="16"/>
        <v>20.7824016563147</v>
      </c>
      <c r="AC64" s="274">
        <f t="shared" si="19"/>
        <v>21.74824452705494</v>
      </c>
      <c r="AD64" s="274">
        <f t="shared" si="19"/>
        <v>21.249896736885585</v>
      </c>
      <c r="AE64" s="274">
        <f t="shared" si="19"/>
        <v>21.249896736885585</v>
      </c>
      <c r="AF64" s="277">
        <f t="shared" si="5"/>
        <v>259.42381439834162</v>
      </c>
      <c r="AG64" s="278">
        <f t="shared" si="6"/>
        <v>21.618651199861802</v>
      </c>
      <c r="AI64" s="411">
        <v>95</v>
      </c>
      <c r="AK64" s="412"/>
      <c r="AL64" s="412" t="str">
        <f t="shared" si="7"/>
        <v xml:space="preserve"> 1</v>
      </c>
      <c r="AM64" s="278">
        <f t="shared" si="8"/>
        <v>21.618651199861802</v>
      </c>
      <c r="AQ64" s="414">
        <f t="shared" si="10"/>
        <v>26.284443385484128</v>
      </c>
      <c r="AR64" s="415">
        <f t="shared" si="11"/>
        <v>6818.8105623995525</v>
      </c>
      <c r="AS64" s="415">
        <f t="shared" si="12"/>
        <v>549.87056239955382</v>
      </c>
      <c r="AT64" s="416">
        <f t="shared" si="13"/>
        <v>8.7713483044909335E-2</v>
      </c>
      <c r="AW64" s="417">
        <f t="shared" si="9"/>
        <v>26.388541475567617</v>
      </c>
      <c r="AX64" s="417">
        <f t="shared" si="14"/>
        <v>6845.8160860005937</v>
      </c>
      <c r="AY64" s="418">
        <f t="shared" si="15"/>
        <v>27.005523601041205</v>
      </c>
    </row>
    <row r="65" spans="1:51" s="411" customFormat="1" ht="12" customHeight="1">
      <c r="A65" s="408" t="s">
        <v>294</v>
      </c>
      <c r="B65" s="408" t="s">
        <v>295</v>
      </c>
      <c r="C65" s="272">
        <v>22.15</v>
      </c>
      <c r="D65" s="272">
        <v>22.21</v>
      </c>
      <c r="E65" s="409"/>
      <c r="F65" s="274">
        <v>10175.320000000002</v>
      </c>
      <c r="G65" s="274">
        <v>10450.635</v>
      </c>
      <c r="H65" s="274">
        <v>10427.625</v>
      </c>
      <c r="I65" s="274">
        <v>10051.35</v>
      </c>
      <c r="J65" s="274">
        <v>9749.57</v>
      </c>
      <c r="K65" s="274">
        <v>9971.869999999999</v>
      </c>
      <c r="L65" s="274">
        <v>10179.055</v>
      </c>
      <c r="M65" s="274">
        <v>10117.02</v>
      </c>
      <c r="N65" s="274">
        <v>9990.2650000000012</v>
      </c>
      <c r="O65" s="274">
        <v>10058.480000000001</v>
      </c>
      <c r="P65" s="274">
        <v>10152.165000000001</v>
      </c>
      <c r="Q65" s="274">
        <v>10204.405000000001</v>
      </c>
      <c r="R65" s="410">
        <f t="shared" si="18"/>
        <v>121527.75999999998</v>
      </c>
      <c r="T65" s="274">
        <f t="shared" si="17"/>
        <v>459.38239277652377</v>
      </c>
      <c r="U65" s="274">
        <f t="shared" si="17"/>
        <v>471.81196388261856</v>
      </c>
      <c r="V65" s="274">
        <f t="shared" si="17"/>
        <v>470.77313769751697</v>
      </c>
      <c r="W65" s="274">
        <f t="shared" si="16"/>
        <v>453.78555304740411</v>
      </c>
      <c r="X65" s="274">
        <f t="shared" si="16"/>
        <v>440.16117381489846</v>
      </c>
      <c r="Y65" s="274">
        <f t="shared" si="16"/>
        <v>450.19729119638822</v>
      </c>
      <c r="Z65" s="274">
        <f t="shared" si="16"/>
        <v>459.55101580135442</v>
      </c>
      <c r="AA65" s="274">
        <f t="shared" si="16"/>
        <v>456.75033860045153</v>
      </c>
      <c r="AB65" s="274">
        <f t="shared" si="16"/>
        <v>451.02776523702039</v>
      </c>
      <c r="AC65" s="274">
        <f t="shared" si="19"/>
        <v>452.88068437640709</v>
      </c>
      <c r="AD65" s="274">
        <f t="shared" si="19"/>
        <v>457.09882935614593</v>
      </c>
      <c r="AE65" s="274">
        <f t="shared" si="19"/>
        <v>459.45092300765424</v>
      </c>
      <c r="AF65" s="277">
        <f t="shared" si="5"/>
        <v>5482.8710687943831</v>
      </c>
      <c r="AG65" s="278">
        <f t="shared" si="6"/>
        <v>456.9059223995319</v>
      </c>
      <c r="AI65" s="411">
        <v>95</v>
      </c>
      <c r="AK65" s="412"/>
      <c r="AL65" s="412" t="str">
        <f t="shared" si="7"/>
        <v xml:space="preserve"> 1</v>
      </c>
      <c r="AM65" s="278">
        <f t="shared" si="8"/>
        <v>456.9059223995319</v>
      </c>
      <c r="AQ65" s="414">
        <f t="shared" si="10"/>
        <v>24.113072597753096</v>
      </c>
      <c r="AR65" s="415">
        <f t="shared" si="11"/>
        <v>132208.86812595907</v>
      </c>
      <c r="AS65" s="415">
        <f t="shared" si="12"/>
        <v>10681.108125959086</v>
      </c>
      <c r="AT65" s="416">
        <f t="shared" si="13"/>
        <v>8.789027400784058E-2</v>
      </c>
      <c r="AW65" s="417">
        <f t="shared" si="9"/>
        <v>24.208571093447201</v>
      </c>
      <c r="AX65" s="417">
        <f t="shared" si="14"/>
        <v>132732.47406511367</v>
      </c>
      <c r="AY65" s="418">
        <f t="shared" si="15"/>
        <v>523.60593915460049</v>
      </c>
    </row>
    <row r="66" spans="1:51" s="411" customFormat="1" ht="12" customHeight="1">
      <c r="A66" s="408" t="s">
        <v>296</v>
      </c>
      <c r="B66" s="408" t="s">
        <v>297</v>
      </c>
      <c r="C66" s="272">
        <v>0</v>
      </c>
      <c r="D66" s="272">
        <v>0</v>
      </c>
      <c r="E66" s="409"/>
      <c r="F66" s="274">
        <v>0</v>
      </c>
      <c r="G66" s="274">
        <v>0</v>
      </c>
      <c r="H66" s="274">
        <v>0</v>
      </c>
      <c r="I66" s="274">
        <v>0</v>
      </c>
      <c r="J66" s="274">
        <v>0</v>
      </c>
      <c r="K66" s="274">
        <v>0</v>
      </c>
      <c r="L66" s="274">
        <v>0</v>
      </c>
      <c r="M66" s="274">
        <v>0</v>
      </c>
      <c r="N66" s="274">
        <v>0</v>
      </c>
      <c r="O66" s="274">
        <v>0</v>
      </c>
      <c r="P66" s="274">
        <v>0</v>
      </c>
      <c r="Q66" s="274">
        <v>0</v>
      </c>
      <c r="R66" s="410">
        <f t="shared" si="18"/>
        <v>0</v>
      </c>
      <c r="T66" s="274">
        <f t="shared" si="17"/>
        <v>0</v>
      </c>
      <c r="U66" s="274">
        <f t="shared" si="17"/>
        <v>0</v>
      </c>
      <c r="V66" s="274">
        <f t="shared" si="17"/>
        <v>0</v>
      </c>
      <c r="W66" s="274">
        <f t="shared" si="16"/>
        <v>0</v>
      </c>
      <c r="X66" s="274">
        <f t="shared" si="16"/>
        <v>0</v>
      </c>
      <c r="Y66" s="274">
        <f t="shared" si="16"/>
        <v>0</v>
      </c>
      <c r="Z66" s="274">
        <f t="shared" si="16"/>
        <v>0</v>
      </c>
      <c r="AA66" s="274">
        <f t="shared" si="16"/>
        <v>0</v>
      </c>
      <c r="AB66" s="274">
        <f t="shared" si="16"/>
        <v>0</v>
      </c>
      <c r="AC66" s="274">
        <f t="shared" si="19"/>
        <v>0</v>
      </c>
      <c r="AD66" s="274">
        <f t="shared" si="19"/>
        <v>0</v>
      </c>
      <c r="AE66" s="274">
        <f t="shared" si="19"/>
        <v>0</v>
      </c>
      <c r="AF66" s="277">
        <f t="shared" si="5"/>
        <v>0</v>
      </c>
      <c r="AG66" s="278">
        <f t="shared" si="6"/>
        <v>0</v>
      </c>
      <c r="AI66" s="411">
        <v>95</v>
      </c>
      <c r="AK66" s="412"/>
      <c r="AL66" s="412" t="str">
        <f t="shared" si="7"/>
        <v>12</v>
      </c>
      <c r="AM66" s="278">
        <f t="shared" si="8"/>
        <v>0</v>
      </c>
      <c r="AQ66" s="414">
        <f t="shared" si="10"/>
        <v>0</v>
      </c>
      <c r="AR66" s="415">
        <f t="shared" si="11"/>
        <v>0</v>
      </c>
      <c r="AS66" s="415">
        <f t="shared" si="12"/>
        <v>0</v>
      </c>
      <c r="AT66" s="416" t="e">
        <f t="shared" si="13"/>
        <v>#DIV/0!</v>
      </c>
      <c r="AW66" s="417">
        <f t="shared" si="9"/>
        <v>0</v>
      </c>
      <c r="AX66" s="417">
        <f t="shared" si="14"/>
        <v>0</v>
      </c>
      <c r="AY66" s="418">
        <f t="shared" si="15"/>
        <v>0</v>
      </c>
    </row>
    <row r="67" spans="1:51" s="182" customFormat="1" ht="12" customHeight="1">
      <c r="A67" s="239" t="s">
        <v>298</v>
      </c>
      <c r="B67" s="239" t="s">
        <v>299</v>
      </c>
      <c r="C67" s="240">
        <v>4.4050000000000002</v>
      </c>
      <c r="D67" s="240">
        <v>4.4249999999999998</v>
      </c>
      <c r="E67" s="221"/>
      <c r="F67" s="222">
        <v>17.7</v>
      </c>
      <c r="G67" s="222">
        <v>26.56</v>
      </c>
      <c r="H67" s="222">
        <v>37.619999999999997</v>
      </c>
      <c r="I67" s="222">
        <v>24.685000000000002</v>
      </c>
      <c r="J67" s="222">
        <v>13.625</v>
      </c>
      <c r="K67" s="222">
        <v>13.215</v>
      </c>
      <c r="L67" s="222">
        <v>125.545</v>
      </c>
      <c r="M67" s="222">
        <v>15.42</v>
      </c>
      <c r="N67" s="222">
        <v>15.42</v>
      </c>
      <c r="O67" s="222">
        <v>17.7</v>
      </c>
      <c r="P67" s="222">
        <v>17.7</v>
      </c>
      <c r="Q67" s="222">
        <v>17.7</v>
      </c>
      <c r="R67" s="241">
        <f t="shared" si="18"/>
        <v>342.89</v>
      </c>
      <c r="T67" s="222">
        <f t="shared" si="17"/>
        <v>4.0181611804767305</v>
      </c>
      <c r="U67" s="222">
        <f t="shared" si="17"/>
        <v>6.0295119182746868</v>
      </c>
      <c r="V67" s="222">
        <f t="shared" si="17"/>
        <v>8.5402951191827459</v>
      </c>
      <c r="W67" s="222">
        <f t="shared" si="16"/>
        <v>5.6038592508513059</v>
      </c>
      <c r="X67" s="222">
        <f t="shared" si="16"/>
        <v>3.0930760499432459</v>
      </c>
      <c r="Y67" s="222">
        <f t="shared" si="16"/>
        <v>3</v>
      </c>
      <c r="Z67" s="222">
        <f t="shared" si="16"/>
        <v>28.500567536889896</v>
      </c>
      <c r="AA67" s="222">
        <f t="shared" si="16"/>
        <v>3.5005675368898976</v>
      </c>
      <c r="AB67" s="222">
        <f t="shared" si="16"/>
        <v>3.5005675368898976</v>
      </c>
      <c r="AC67" s="222">
        <f t="shared" si="19"/>
        <v>4</v>
      </c>
      <c r="AD67" s="222">
        <f t="shared" si="19"/>
        <v>4</v>
      </c>
      <c r="AE67" s="222">
        <f t="shared" si="19"/>
        <v>4</v>
      </c>
      <c r="AF67" s="231">
        <f t="shared" si="5"/>
        <v>77.786606129398407</v>
      </c>
      <c r="AG67" s="232">
        <f t="shared" si="6"/>
        <v>6.4822171774498676</v>
      </c>
      <c r="AK67" s="242"/>
      <c r="AQ67" s="234">
        <f t="shared" si="10"/>
        <v>4.8041578678549053</v>
      </c>
      <c r="AR67" s="235">
        <f t="shared" si="11"/>
        <v>373.69913585027996</v>
      </c>
      <c r="AS67" s="235">
        <f t="shared" si="12"/>
        <v>30.809135850279972</v>
      </c>
      <c r="AT67" s="236">
        <f t="shared" si="13"/>
        <v>8.9851368807139231E-2</v>
      </c>
      <c r="AW67" s="237">
        <f t="shared" si="9"/>
        <v>4.8231844704414168</v>
      </c>
      <c r="AX67" s="237">
        <f t="shared" si="14"/>
        <v>375.17915069165753</v>
      </c>
      <c r="AY67" s="238">
        <f t="shared" si="15"/>
        <v>1.4800148413775673</v>
      </c>
    </row>
    <row r="68" spans="1:51" s="182" customFormat="1" ht="12" customHeight="1">
      <c r="A68" s="239" t="s">
        <v>300</v>
      </c>
      <c r="B68" s="239" t="s">
        <v>301</v>
      </c>
      <c r="C68" s="240">
        <v>8.7899999999999991</v>
      </c>
      <c r="D68" s="240">
        <v>8.8350000000000009</v>
      </c>
      <c r="E68" s="221"/>
      <c r="F68" s="222">
        <v>132.52499999999998</v>
      </c>
      <c r="G68" s="222">
        <v>132.52499999999998</v>
      </c>
      <c r="H68" s="222">
        <v>132.52499999999998</v>
      </c>
      <c r="I68" s="222">
        <v>141.10999999999999</v>
      </c>
      <c r="J68" s="222">
        <v>145.05500000000001</v>
      </c>
      <c r="K68" s="222">
        <v>145.035</v>
      </c>
      <c r="L68" s="222">
        <v>-81.114999999999981</v>
      </c>
      <c r="M68" s="222">
        <v>134.04500000000002</v>
      </c>
      <c r="N68" s="222">
        <v>132.30000000000001</v>
      </c>
      <c r="O68" s="222">
        <v>132.52499999999998</v>
      </c>
      <c r="P68" s="222">
        <v>132.52499999999998</v>
      </c>
      <c r="Q68" s="222">
        <v>132.52499999999998</v>
      </c>
      <c r="R68" s="241">
        <f t="shared" si="18"/>
        <v>1411.58</v>
      </c>
      <c r="T68" s="222">
        <f t="shared" si="17"/>
        <v>15.076791808873718</v>
      </c>
      <c r="U68" s="222">
        <f t="shared" si="17"/>
        <v>15.076791808873718</v>
      </c>
      <c r="V68" s="222">
        <f t="shared" si="17"/>
        <v>15.076791808873718</v>
      </c>
      <c r="W68" s="222">
        <f t="shared" si="16"/>
        <v>16.053469852104666</v>
      </c>
      <c r="X68" s="222">
        <f t="shared" si="16"/>
        <v>16.50227531285552</v>
      </c>
      <c r="Y68" s="222">
        <f t="shared" si="16"/>
        <v>16.5</v>
      </c>
      <c r="Z68" s="222">
        <f t="shared" si="16"/>
        <v>-9.2281001137656418</v>
      </c>
      <c r="AA68" s="222">
        <f t="shared" si="16"/>
        <v>15.249715585893064</v>
      </c>
      <c r="AB68" s="222">
        <f t="shared" si="16"/>
        <v>15.051194539249149</v>
      </c>
      <c r="AC68" s="222">
        <f t="shared" si="19"/>
        <v>14.999999999999996</v>
      </c>
      <c r="AD68" s="222">
        <f t="shared" si="19"/>
        <v>14.999999999999996</v>
      </c>
      <c r="AE68" s="222">
        <f t="shared" si="19"/>
        <v>14.999999999999996</v>
      </c>
      <c r="AF68" s="231">
        <f t="shared" si="5"/>
        <v>160.35893060295788</v>
      </c>
      <c r="AG68" s="232">
        <f t="shared" si="6"/>
        <v>13.363244216913158</v>
      </c>
      <c r="AK68" s="242"/>
      <c r="AQ68" s="234">
        <f t="shared" si="10"/>
        <v>9.5920304548018294</v>
      </c>
      <c r="AR68" s="235">
        <f t="shared" si="11"/>
        <v>1538.1677460430251</v>
      </c>
      <c r="AS68" s="235">
        <f t="shared" si="12"/>
        <v>126.58774604302516</v>
      </c>
      <c r="AT68" s="236">
        <f t="shared" si="13"/>
        <v>8.9678052992409329E-2</v>
      </c>
      <c r="AW68" s="237">
        <f t="shared" si="9"/>
        <v>9.6300191630169323</v>
      </c>
      <c r="AX68" s="237">
        <f t="shared" si="14"/>
        <v>1544.2595746673869</v>
      </c>
      <c r="AY68" s="238">
        <f t="shared" si="15"/>
        <v>6.091828624361824</v>
      </c>
    </row>
    <row r="69" spans="1:51" s="182" customFormat="1" ht="12" customHeight="1">
      <c r="A69" s="239" t="s">
        <v>302</v>
      </c>
      <c r="B69" s="239" t="s">
        <v>303</v>
      </c>
      <c r="C69" s="240">
        <v>1.0149999999999999</v>
      </c>
      <c r="D69" s="240">
        <v>2.04</v>
      </c>
      <c r="E69" s="221"/>
      <c r="F69" s="222">
        <v>2.04</v>
      </c>
      <c r="G69" s="222">
        <v>2.04</v>
      </c>
      <c r="H69" s="222">
        <v>2.04</v>
      </c>
      <c r="I69" s="222">
        <v>1.22</v>
      </c>
      <c r="J69" s="222">
        <v>1.22</v>
      </c>
      <c r="K69" s="222">
        <v>1.0149999999999999</v>
      </c>
      <c r="L69" s="222">
        <v>1.0149999999999999</v>
      </c>
      <c r="M69" s="222">
        <v>1.0149999999999999</v>
      </c>
      <c r="N69" s="222">
        <v>1.0149999999999999</v>
      </c>
      <c r="O69" s="222">
        <v>2.04</v>
      </c>
      <c r="P69" s="222">
        <v>2.04</v>
      </c>
      <c r="Q69" s="222">
        <v>2.04</v>
      </c>
      <c r="R69" s="241">
        <f t="shared" si="18"/>
        <v>18.740000000000002</v>
      </c>
      <c r="T69" s="222">
        <f t="shared" si="17"/>
        <v>2.0098522167487687</v>
      </c>
      <c r="U69" s="222">
        <f t="shared" si="17"/>
        <v>2.0098522167487687</v>
      </c>
      <c r="V69" s="222">
        <f t="shared" si="17"/>
        <v>2.0098522167487687</v>
      </c>
      <c r="W69" s="222">
        <f t="shared" si="16"/>
        <v>1.2019704433497538</v>
      </c>
      <c r="X69" s="222">
        <f t="shared" si="16"/>
        <v>1.2019704433497538</v>
      </c>
      <c r="Y69" s="222">
        <f t="shared" si="16"/>
        <v>1</v>
      </c>
      <c r="Z69" s="222">
        <f t="shared" si="16"/>
        <v>1</v>
      </c>
      <c r="AA69" s="222">
        <f t="shared" si="16"/>
        <v>1</v>
      </c>
      <c r="AB69" s="222">
        <f t="shared" si="16"/>
        <v>1</v>
      </c>
      <c r="AC69" s="222">
        <f t="shared" si="19"/>
        <v>1</v>
      </c>
      <c r="AD69" s="222">
        <f t="shared" si="19"/>
        <v>1</v>
      </c>
      <c r="AE69" s="222">
        <f t="shared" si="19"/>
        <v>1</v>
      </c>
      <c r="AF69" s="231">
        <f t="shared" si="5"/>
        <v>15.433497536945813</v>
      </c>
      <c r="AG69" s="232">
        <f t="shared" si="6"/>
        <v>1.2861247947454844</v>
      </c>
      <c r="AK69" s="242"/>
      <c r="AQ69" s="234">
        <f t="shared" si="10"/>
        <v>2.2147982034856515</v>
      </c>
      <c r="AR69" s="235">
        <f t="shared" si="11"/>
        <v>34.182082618327811</v>
      </c>
      <c r="AS69" s="235">
        <f t="shared" si="12"/>
        <v>15.442082618327809</v>
      </c>
      <c r="AT69" s="236">
        <f t="shared" si="13"/>
        <v>0.82401721549241236</v>
      </c>
      <c r="AW69" s="237">
        <f t="shared" si="9"/>
        <v>2.2235697897628226</v>
      </c>
      <c r="AX69" s="237">
        <f t="shared" si="14"/>
        <v>34.317458873531642</v>
      </c>
      <c r="AY69" s="238">
        <f t="shared" si="15"/>
        <v>0.13537625520383045</v>
      </c>
    </row>
    <row r="70" spans="1:51" s="182" customFormat="1" ht="12" customHeight="1">
      <c r="A70" s="239" t="s">
        <v>304</v>
      </c>
      <c r="B70" s="239" t="s">
        <v>305</v>
      </c>
      <c r="C70" s="240">
        <v>0</v>
      </c>
      <c r="D70" s="240">
        <v>0</v>
      </c>
      <c r="E70" s="221"/>
      <c r="F70" s="222">
        <v>0</v>
      </c>
      <c r="G70" s="222">
        <v>0</v>
      </c>
      <c r="H70" s="222">
        <v>0</v>
      </c>
      <c r="I70" s="222">
        <v>0</v>
      </c>
      <c r="J70" s="222">
        <v>-158.08000000000001</v>
      </c>
      <c r="K70" s="222">
        <v>0.15</v>
      </c>
      <c r="L70" s="222">
        <v>0</v>
      </c>
      <c r="M70" s="222">
        <v>0</v>
      </c>
      <c r="N70" s="222">
        <v>0</v>
      </c>
      <c r="O70" s="222">
        <v>0</v>
      </c>
      <c r="P70" s="222">
        <v>0</v>
      </c>
      <c r="Q70" s="222">
        <v>0</v>
      </c>
      <c r="R70" s="241">
        <f t="shared" si="18"/>
        <v>-157.93</v>
      </c>
      <c r="T70" s="222">
        <f t="shared" si="17"/>
        <v>0</v>
      </c>
      <c r="U70" s="222">
        <f t="shared" si="17"/>
        <v>0</v>
      </c>
      <c r="V70" s="222">
        <f t="shared" si="17"/>
        <v>0</v>
      </c>
      <c r="W70" s="222">
        <f t="shared" si="16"/>
        <v>0</v>
      </c>
      <c r="X70" s="222">
        <f t="shared" si="16"/>
        <v>0</v>
      </c>
      <c r="Y70" s="222">
        <f t="shared" si="16"/>
        <v>0</v>
      </c>
      <c r="Z70" s="222">
        <f t="shared" si="16"/>
        <v>0</v>
      </c>
      <c r="AA70" s="222">
        <f t="shared" si="16"/>
        <v>0</v>
      </c>
      <c r="AB70" s="222">
        <f t="shared" si="16"/>
        <v>0</v>
      </c>
      <c r="AC70" s="222">
        <f t="shared" si="19"/>
        <v>0</v>
      </c>
      <c r="AD70" s="222">
        <f t="shared" si="19"/>
        <v>0</v>
      </c>
      <c r="AE70" s="222">
        <f t="shared" si="19"/>
        <v>0</v>
      </c>
      <c r="AF70" s="231">
        <f t="shared" si="5"/>
        <v>0</v>
      </c>
      <c r="AG70" s="232">
        <f t="shared" si="6"/>
        <v>0</v>
      </c>
      <c r="AK70" s="242"/>
      <c r="AQ70" s="234">
        <f t="shared" si="10"/>
        <v>0</v>
      </c>
      <c r="AR70" s="235">
        <f t="shared" si="11"/>
        <v>0</v>
      </c>
      <c r="AS70" s="235">
        <f t="shared" si="12"/>
        <v>157.93</v>
      </c>
      <c r="AT70" s="236">
        <f t="shared" si="13"/>
        <v>-1</v>
      </c>
      <c r="AW70" s="237">
        <f t="shared" si="9"/>
        <v>0</v>
      </c>
      <c r="AX70" s="237">
        <f t="shared" si="14"/>
        <v>0</v>
      </c>
      <c r="AY70" s="238">
        <f t="shared" si="15"/>
        <v>0</v>
      </c>
    </row>
    <row r="71" spans="1:51" s="411" customFormat="1" ht="12" customHeight="1">
      <c r="A71" s="408" t="s">
        <v>306</v>
      </c>
      <c r="B71" s="408" t="s">
        <v>307</v>
      </c>
      <c r="C71" s="272">
        <v>33.24</v>
      </c>
      <c r="D71" s="272">
        <v>33.85</v>
      </c>
      <c r="E71" s="409"/>
      <c r="F71" s="274">
        <v>0</v>
      </c>
      <c r="G71" s="274">
        <v>0</v>
      </c>
      <c r="H71" s="274">
        <v>0</v>
      </c>
      <c r="I71" s="274">
        <v>0</v>
      </c>
      <c r="J71" s="274">
        <v>0</v>
      </c>
      <c r="K71" s="274">
        <v>33.24</v>
      </c>
      <c r="L71" s="274">
        <v>0</v>
      </c>
      <c r="M71" s="274">
        <v>0</v>
      </c>
      <c r="N71" s="274">
        <v>0</v>
      </c>
      <c r="O71" s="274">
        <v>33.85</v>
      </c>
      <c r="P71" s="274">
        <v>33.85</v>
      </c>
      <c r="Q71" s="274">
        <v>33.85</v>
      </c>
      <c r="R71" s="410">
        <f t="shared" si="18"/>
        <v>134.79</v>
      </c>
      <c r="T71" s="274">
        <f t="shared" si="17"/>
        <v>0</v>
      </c>
      <c r="U71" s="274">
        <f t="shared" si="17"/>
        <v>0</v>
      </c>
      <c r="V71" s="274">
        <f t="shared" si="17"/>
        <v>0</v>
      </c>
      <c r="W71" s="274">
        <f t="shared" si="16"/>
        <v>0</v>
      </c>
      <c r="X71" s="274">
        <f t="shared" si="16"/>
        <v>0</v>
      </c>
      <c r="Y71" s="274">
        <f t="shared" si="16"/>
        <v>1</v>
      </c>
      <c r="Z71" s="274">
        <f t="shared" si="16"/>
        <v>0</v>
      </c>
      <c r="AA71" s="274">
        <f t="shared" si="16"/>
        <v>0</v>
      </c>
      <c r="AB71" s="274">
        <f t="shared" si="16"/>
        <v>0</v>
      </c>
      <c r="AC71" s="274">
        <f t="shared" si="19"/>
        <v>1</v>
      </c>
      <c r="AD71" s="274">
        <f t="shared" si="19"/>
        <v>1</v>
      </c>
      <c r="AE71" s="274">
        <f t="shared" si="19"/>
        <v>1</v>
      </c>
      <c r="AF71" s="277">
        <f t="shared" si="5"/>
        <v>4</v>
      </c>
      <c r="AG71" s="278">
        <f t="shared" si="6"/>
        <v>0.33333333333333331</v>
      </c>
      <c r="AK71" s="412"/>
      <c r="AQ71" s="414">
        <f t="shared" si="10"/>
        <v>36.750450582347696</v>
      </c>
      <c r="AR71" s="415">
        <f t="shared" si="11"/>
        <v>147.00180232939078</v>
      </c>
      <c r="AS71" s="415">
        <f t="shared" si="12"/>
        <v>12.211802329390792</v>
      </c>
      <c r="AT71" s="416">
        <f t="shared" si="13"/>
        <v>9.0598726384678335E-2</v>
      </c>
      <c r="AW71" s="417">
        <f t="shared" si="9"/>
        <v>36.895998717388018</v>
      </c>
      <c r="AX71" s="417">
        <f t="shared" si="14"/>
        <v>147.58399486955207</v>
      </c>
      <c r="AY71" s="418">
        <f t="shared" si="15"/>
        <v>0.5821925401612873</v>
      </c>
    </row>
    <row r="72" spans="1:51" s="411" customFormat="1" ht="12" customHeight="1">
      <c r="A72" s="408" t="s">
        <v>308</v>
      </c>
      <c r="B72" s="408" t="s">
        <v>309</v>
      </c>
      <c r="C72" s="272">
        <v>13.95</v>
      </c>
      <c r="D72" s="272">
        <v>13.99</v>
      </c>
      <c r="E72" s="409"/>
      <c r="F72" s="274">
        <v>55.96</v>
      </c>
      <c r="G72" s="274">
        <v>0</v>
      </c>
      <c r="H72" s="274">
        <v>13.99</v>
      </c>
      <c r="I72" s="274">
        <v>41.849999999999994</v>
      </c>
      <c r="J72" s="274">
        <v>41.85</v>
      </c>
      <c r="K72" s="274">
        <v>29.04</v>
      </c>
      <c r="L72" s="274">
        <v>27.9</v>
      </c>
      <c r="M72" s="274">
        <v>125.55000000000001</v>
      </c>
      <c r="N72" s="274">
        <v>25.06</v>
      </c>
      <c r="O72" s="274">
        <v>97.69</v>
      </c>
      <c r="P72" s="274">
        <v>83.94</v>
      </c>
      <c r="Q72" s="274">
        <v>13.99</v>
      </c>
      <c r="R72" s="410">
        <f t="shared" si="18"/>
        <v>556.81999999999994</v>
      </c>
      <c r="T72" s="274">
        <f t="shared" si="17"/>
        <v>4.0114695340501791</v>
      </c>
      <c r="U72" s="274">
        <f t="shared" si="17"/>
        <v>0</v>
      </c>
      <c r="V72" s="274">
        <f t="shared" si="17"/>
        <v>1.0028673835125448</v>
      </c>
      <c r="W72" s="274">
        <f t="shared" si="17"/>
        <v>2.9999999999999996</v>
      </c>
      <c r="X72" s="274">
        <f t="shared" si="17"/>
        <v>3.0000000000000004</v>
      </c>
      <c r="Y72" s="274">
        <f t="shared" si="17"/>
        <v>2.0817204301075267</v>
      </c>
      <c r="Z72" s="274">
        <f t="shared" si="17"/>
        <v>2</v>
      </c>
      <c r="AA72" s="274">
        <f t="shared" si="17"/>
        <v>9.0000000000000018</v>
      </c>
      <c r="AB72" s="274">
        <f t="shared" si="17"/>
        <v>1.7964157706093189</v>
      </c>
      <c r="AC72" s="274">
        <f t="shared" si="19"/>
        <v>6.982844889206576</v>
      </c>
      <c r="AD72" s="274">
        <f t="shared" si="19"/>
        <v>6</v>
      </c>
      <c r="AE72" s="274">
        <f t="shared" si="19"/>
        <v>1</v>
      </c>
      <c r="AF72" s="277">
        <f t="shared" si="5"/>
        <v>39.87531800748615</v>
      </c>
      <c r="AG72" s="278">
        <f t="shared" si="6"/>
        <v>3.3229431672905125</v>
      </c>
      <c r="AK72" s="412"/>
      <c r="AQ72" s="414">
        <f t="shared" si="10"/>
        <v>15.18873866017856</v>
      </c>
      <c r="AR72" s="415">
        <f t="shared" si="11"/>
        <v>605.6557842072192</v>
      </c>
      <c r="AS72" s="415">
        <f t="shared" si="12"/>
        <v>48.835784207219262</v>
      </c>
      <c r="AT72" s="416">
        <f t="shared" si="13"/>
        <v>8.7704795458531062E-2</v>
      </c>
      <c r="AW72" s="417">
        <f t="shared" si="9"/>
        <v>15.248892822932298</v>
      </c>
      <c r="AX72" s="417">
        <f t="shared" si="14"/>
        <v>608.05445057649854</v>
      </c>
      <c r="AY72" s="418">
        <f t="shared" si="15"/>
        <v>2.39866636927934</v>
      </c>
    </row>
    <row r="73" spans="1:51" s="182" customFormat="1" ht="12" customHeight="1">
      <c r="A73" s="239" t="s">
        <v>310</v>
      </c>
      <c r="B73" s="239" t="s">
        <v>311</v>
      </c>
      <c r="C73" s="240">
        <v>0</v>
      </c>
      <c r="D73" s="240">
        <v>0</v>
      </c>
      <c r="E73" s="221"/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2">
        <v>0</v>
      </c>
      <c r="O73" s="222">
        <v>0</v>
      </c>
      <c r="P73" s="222">
        <v>0</v>
      </c>
      <c r="Q73" s="222">
        <v>0</v>
      </c>
      <c r="R73" s="241">
        <f t="shared" si="18"/>
        <v>0</v>
      </c>
      <c r="T73" s="222">
        <f t="shared" ref="T73:AB101" si="20">IFERROR(F73/$C73,0)</f>
        <v>0</v>
      </c>
      <c r="U73" s="222">
        <f t="shared" si="20"/>
        <v>0</v>
      </c>
      <c r="V73" s="222">
        <f t="shared" si="20"/>
        <v>0</v>
      </c>
      <c r="W73" s="222">
        <f t="shared" si="20"/>
        <v>0</v>
      </c>
      <c r="X73" s="222">
        <f t="shared" si="20"/>
        <v>0</v>
      </c>
      <c r="Y73" s="222">
        <f t="shared" si="20"/>
        <v>0</v>
      </c>
      <c r="Z73" s="222">
        <f t="shared" si="20"/>
        <v>0</v>
      </c>
      <c r="AA73" s="222">
        <f t="shared" si="20"/>
        <v>0</v>
      </c>
      <c r="AB73" s="222">
        <f t="shared" si="20"/>
        <v>0</v>
      </c>
      <c r="AC73" s="222">
        <f t="shared" si="19"/>
        <v>0</v>
      </c>
      <c r="AD73" s="222">
        <f t="shared" si="19"/>
        <v>0</v>
      </c>
      <c r="AE73" s="222">
        <f t="shared" si="19"/>
        <v>0</v>
      </c>
      <c r="AF73" s="231">
        <f t="shared" si="5"/>
        <v>0</v>
      </c>
      <c r="AG73" s="232">
        <f t="shared" si="6"/>
        <v>0</v>
      </c>
      <c r="AK73" s="242"/>
      <c r="AQ73" s="234">
        <f t="shared" si="10"/>
        <v>0</v>
      </c>
      <c r="AR73" s="235">
        <f t="shared" si="11"/>
        <v>0</v>
      </c>
      <c r="AS73" s="235">
        <f t="shared" si="12"/>
        <v>0</v>
      </c>
      <c r="AT73" s="236" t="e">
        <f t="shared" si="13"/>
        <v>#DIV/0!</v>
      </c>
      <c r="AW73" s="237">
        <f t="shared" si="9"/>
        <v>0</v>
      </c>
      <c r="AX73" s="237">
        <f t="shared" si="14"/>
        <v>0</v>
      </c>
      <c r="AY73" s="238">
        <f t="shared" si="15"/>
        <v>0</v>
      </c>
    </row>
    <row r="74" spans="1:51" s="182" customFormat="1" ht="12" customHeight="1">
      <c r="A74" s="239" t="s">
        <v>312</v>
      </c>
      <c r="B74" s="239" t="s">
        <v>313</v>
      </c>
      <c r="C74" s="240">
        <v>10.130000000000001</v>
      </c>
      <c r="D74" s="240">
        <v>10.16</v>
      </c>
      <c r="E74" s="221"/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41">
        <f t="shared" si="18"/>
        <v>0</v>
      </c>
      <c r="T74" s="222">
        <f t="shared" si="20"/>
        <v>0</v>
      </c>
      <c r="U74" s="222">
        <f t="shared" si="20"/>
        <v>0</v>
      </c>
      <c r="V74" s="222">
        <f t="shared" si="20"/>
        <v>0</v>
      </c>
      <c r="W74" s="222">
        <f t="shared" si="20"/>
        <v>0</v>
      </c>
      <c r="X74" s="222">
        <f t="shared" si="20"/>
        <v>0</v>
      </c>
      <c r="Y74" s="222">
        <f t="shared" si="20"/>
        <v>0</v>
      </c>
      <c r="Z74" s="222">
        <f t="shared" si="20"/>
        <v>0</v>
      </c>
      <c r="AA74" s="222">
        <f t="shared" si="20"/>
        <v>0</v>
      </c>
      <c r="AB74" s="222">
        <f t="shared" si="20"/>
        <v>0</v>
      </c>
      <c r="AC74" s="222">
        <f t="shared" si="19"/>
        <v>0</v>
      </c>
      <c r="AD74" s="222">
        <f t="shared" si="19"/>
        <v>0</v>
      </c>
      <c r="AE74" s="222">
        <f t="shared" si="19"/>
        <v>0</v>
      </c>
      <c r="AF74" s="231">
        <f t="shared" si="5"/>
        <v>0</v>
      </c>
      <c r="AG74" s="232">
        <f t="shared" si="6"/>
        <v>0</v>
      </c>
      <c r="AK74" s="242"/>
      <c r="AQ74" s="234">
        <f t="shared" si="10"/>
        <v>11.030563601673636</v>
      </c>
      <c r="AR74" s="235">
        <f t="shared" si="11"/>
        <v>0</v>
      </c>
      <c r="AS74" s="235">
        <f t="shared" si="12"/>
        <v>0</v>
      </c>
      <c r="AT74" s="236" t="e">
        <f t="shared" si="13"/>
        <v>#DIV/0!</v>
      </c>
      <c r="AW74" s="237">
        <f t="shared" si="9"/>
        <v>11.074249541171705</v>
      </c>
      <c r="AX74" s="237">
        <f t="shared" si="14"/>
        <v>0</v>
      </c>
      <c r="AY74" s="238">
        <f t="shared" si="15"/>
        <v>0</v>
      </c>
    </row>
    <row r="75" spans="1:51" s="182" customFormat="1" ht="12.75" customHeight="1">
      <c r="A75" s="239" t="s">
        <v>314</v>
      </c>
      <c r="B75" s="239" t="s">
        <v>315</v>
      </c>
      <c r="C75" s="240">
        <v>75</v>
      </c>
      <c r="D75" s="240">
        <v>75</v>
      </c>
      <c r="E75" s="221"/>
      <c r="F75" s="222">
        <v>0</v>
      </c>
      <c r="G75" s="222">
        <v>0</v>
      </c>
      <c r="H75" s="222">
        <v>0</v>
      </c>
      <c r="I75" s="222">
        <v>0</v>
      </c>
      <c r="J75" s="222">
        <v>0</v>
      </c>
      <c r="K75" s="222">
        <v>150</v>
      </c>
      <c r="L75" s="222">
        <v>75</v>
      </c>
      <c r="M75" s="222">
        <v>375</v>
      </c>
      <c r="N75" s="222">
        <v>0</v>
      </c>
      <c r="O75" s="222">
        <v>0</v>
      </c>
      <c r="P75" s="222">
        <v>-150</v>
      </c>
      <c r="Q75" s="222">
        <v>-150</v>
      </c>
      <c r="R75" s="241">
        <f t="shared" si="18"/>
        <v>300</v>
      </c>
      <c r="T75" s="222">
        <f t="shared" si="20"/>
        <v>0</v>
      </c>
      <c r="U75" s="222">
        <f t="shared" si="20"/>
        <v>0</v>
      </c>
      <c r="V75" s="222">
        <f t="shared" si="20"/>
        <v>0</v>
      </c>
      <c r="W75" s="222">
        <f t="shared" si="20"/>
        <v>0</v>
      </c>
      <c r="X75" s="222">
        <f t="shared" si="20"/>
        <v>0</v>
      </c>
      <c r="Y75" s="222">
        <f t="shared" si="20"/>
        <v>2</v>
      </c>
      <c r="Z75" s="222">
        <f t="shared" si="20"/>
        <v>1</v>
      </c>
      <c r="AA75" s="222">
        <f t="shared" si="20"/>
        <v>5</v>
      </c>
      <c r="AB75" s="222">
        <f t="shared" si="20"/>
        <v>0</v>
      </c>
      <c r="AC75" s="222">
        <f t="shared" si="19"/>
        <v>0</v>
      </c>
      <c r="AD75" s="222">
        <f t="shared" si="19"/>
        <v>-2</v>
      </c>
      <c r="AE75" s="222">
        <f t="shared" si="19"/>
        <v>-2</v>
      </c>
      <c r="AF75" s="231">
        <f t="shared" si="5"/>
        <v>4</v>
      </c>
      <c r="AG75" s="232">
        <f t="shared" si="6"/>
        <v>0.33333333333333331</v>
      </c>
      <c r="AK75" s="242"/>
      <c r="AQ75" s="234">
        <f t="shared" si="10"/>
        <v>81.426404539913648</v>
      </c>
      <c r="AR75" s="235">
        <f t="shared" si="11"/>
        <v>325.70561815965459</v>
      </c>
      <c r="AS75" s="235">
        <f t="shared" si="12"/>
        <v>25.705618159654591</v>
      </c>
      <c r="AT75" s="236">
        <f t="shared" si="13"/>
        <v>8.5685393865515311E-2</v>
      </c>
      <c r="AW75" s="237">
        <f t="shared" si="9"/>
        <v>81.748889329515535</v>
      </c>
      <c r="AX75" s="237">
        <f t="shared" si="14"/>
        <v>326.99555731806214</v>
      </c>
      <c r="AY75" s="238">
        <f t="shared" si="15"/>
        <v>1.2899391584075488</v>
      </c>
    </row>
    <row r="76" spans="1:51" s="182" customFormat="1" ht="12" customHeight="1">
      <c r="A76" s="239" t="s">
        <v>316</v>
      </c>
      <c r="B76" s="239" t="s">
        <v>317</v>
      </c>
      <c r="C76" s="240">
        <v>0</v>
      </c>
      <c r="D76" s="240">
        <v>0</v>
      </c>
      <c r="E76" s="221"/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2">
        <v>0</v>
      </c>
      <c r="O76" s="222">
        <v>0</v>
      </c>
      <c r="P76" s="222">
        <v>0</v>
      </c>
      <c r="Q76" s="222">
        <v>0</v>
      </c>
      <c r="R76" s="241">
        <f>+SUM(F76:N76)</f>
        <v>0</v>
      </c>
      <c r="T76" s="222">
        <f t="shared" si="20"/>
        <v>0</v>
      </c>
      <c r="U76" s="222">
        <f t="shared" si="20"/>
        <v>0</v>
      </c>
      <c r="V76" s="222">
        <f t="shared" si="20"/>
        <v>0</v>
      </c>
      <c r="W76" s="222">
        <f t="shared" si="20"/>
        <v>0</v>
      </c>
      <c r="X76" s="222">
        <f t="shared" si="20"/>
        <v>0</v>
      </c>
      <c r="Y76" s="222">
        <f t="shared" si="20"/>
        <v>0</v>
      </c>
      <c r="Z76" s="222">
        <f t="shared" si="20"/>
        <v>0</v>
      </c>
      <c r="AA76" s="222">
        <f t="shared" si="20"/>
        <v>0</v>
      </c>
      <c r="AB76" s="222">
        <f t="shared" si="20"/>
        <v>0</v>
      </c>
      <c r="AC76" s="222">
        <f t="shared" ref="AC76:AE107" si="21">IFERROR(O76/$D76,0)</f>
        <v>0</v>
      </c>
      <c r="AD76" s="222">
        <f t="shared" si="21"/>
        <v>0</v>
      </c>
      <c r="AE76" s="222">
        <f t="shared" si="21"/>
        <v>0</v>
      </c>
      <c r="AF76" s="231">
        <f t="shared" ref="AF76:AF113" si="22">+SUM(T76:AE76)</f>
        <v>0</v>
      </c>
      <c r="AG76" s="232">
        <f t="shared" ref="AG76:AG113" si="23">AVERAGE(T76:AE76)</f>
        <v>0</v>
      </c>
      <c r="AK76" s="242"/>
      <c r="AQ76" s="234">
        <f t="shared" si="10"/>
        <v>0</v>
      </c>
      <c r="AR76" s="235">
        <f t="shared" si="11"/>
        <v>0</v>
      </c>
      <c r="AS76" s="235">
        <f t="shared" si="12"/>
        <v>0</v>
      </c>
      <c r="AT76" s="236" t="e">
        <f t="shared" si="13"/>
        <v>#DIV/0!</v>
      </c>
      <c r="AW76" s="237">
        <f t="shared" ref="AW76:AW113" si="24">IFERROR(AQ76*(1+$AX$4),0)</f>
        <v>0</v>
      </c>
      <c r="AX76" s="237">
        <f t="shared" si="14"/>
        <v>0</v>
      </c>
      <c r="AY76" s="238">
        <f t="shared" si="15"/>
        <v>0</v>
      </c>
    </row>
    <row r="77" spans="1:51" s="182" customFormat="1" ht="12" customHeight="1">
      <c r="A77" s="239" t="s">
        <v>318</v>
      </c>
      <c r="B77" s="239" t="s">
        <v>319</v>
      </c>
      <c r="C77" s="240">
        <v>0</v>
      </c>
      <c r="D77" s="240">
        <v>0</v>
      </c>
      <c r="E77" s="221"/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2">
        <v>0</v>
      </c>
      <c r="O77" s="222">
        <v>0</v>
      </c>
      <c r="P77" s="222">
        <v>0</v>
      </c>
      <c r="Q77" s="222">
        <v>0</v>
      </c>
      <c r="R77" s="241">
        <f t="shared" ref="R77:R113" si="25">+SUM(F77:Q77)</f>
        <v>0</v>
      </c>
      <c r="T77" s="222">
        <f t="shared" si="20"/>
        <v>0</v>
      </c>
      <c r="U77" s="222">
        <f t="shared" si="20"/>
        <v>0</v>
      </c>
      <c r="V77" s="222">
        <f t="shared" si="20"/>
        <v>0</v>
      </c>
      <c r="W77" s="222">
        <f t="shared" si="20"/>
        <v>0</v>
      </c>
      <c r="X77" s="222">
        <f t="shared" si="20"/>
        <v>0</v>
      </c>
      <c r="Y77" s="222">
        <f t="shared" si="20"/>
        <v>0</v>
      </c>
      <c r="Z77" s="222">
        <f t="shared" si="20"/>
        <v>0</v>
      </c>
      <c r="AA77" s="222">
        <f t="shared" si="20"/>
        <v>0</v>
      </c>
      <c r="AB77" s="222">
        <f t="shared" si="20"/>
        <v>0</v>
      </c>
      <c r="AC77" s="222">
        <f t="shared" si="21"/>
        <v>0</v>
      </c>
      <c r="AD77" s="222">
        <f t="shared" si="21"/>
        <v>0</v>
      </c>
      <c r="AE77" s="222">
        <f t="shared" si="21"/>
        <v>0</v>
      </c>
      <c r="AF77" s="231">
        <f t="shared" si="22"/>
        <v>0</v>
      </c>
      <c r="AG77" s="232">
        <f t="shared" si="23"/>
        <v>0</v>
      </c>
      <c r="AJ77" s="107"/>
      <c r="AK77" s="242"/>
      <c r="AQ77" s="234">
        <f t="shared" ref="AQ77:AQ113" si="26">+IFERROR(D77*(1+$AU$1),0)</f>
        <v>0</v>
      </c>
      <c r="AR77" s="235">
        <f t="shared" ref="AR77:AR120" si="27">AG77*AQ77*12</f>
        <v>0</v>
      </c>
      <c r="AS77" s="235">
        <f t="shared" ref="AS77:AS120" si="28">AR77-R77</f>
        <v>0</v>
      </c>
      <c r="AT77" s="236" t="e">
        <f t="shared" ref="AT77:AT115" si="29">AS77/R77</f>
        <v>#DIV/0!</v>
      </c>
      <c r="AW77" s="237">
        <f t="shared" si="24"/>
        <v>0</v>
      </c>
      <c r="AX77" s="237">
        <f t="shared" ref="AX77:AX140" si="30">AG77*AW77*12</f>
        <v>0</v>
      </c>
      <c r="AY77" s="238">
        <f t="shared" ref="AY77:AY113" si="31">AX77-AR77</f>
        <v>0</v>
      </c>
    </row>
    <row r="78" spans="1:51" s="182" customFormat="1" ht="12" customHeight="1">
      <c r="A78" s="239" t="s">
        <v>320</v>
      </c>
      <c r="B78" s="239" t="s">
        <v>321</v>
      </c>
      <c r="C78" s="240">
        <v>4.07</v>
      </c>
      <c r="D78" s="240">
        <v>4.09</v>
      </c>
      <c r="E78" s="221"/>
      <c r="F78" s="222">
        <v>61.349999999999994</v>
      </c>
      <c r="G78" s="222">
        <v>65.44</v>
      </c>
      <c r="H78" s="222">
        <v>73.62</v>
      </c>
      <c r="I78" s="222">
        <v>65.44</v>
      </c>
      <c r="J78" s="222">
        <v>32.56</v>
      </c>
      <c r="K78" s="222">
        <v>34.795000000000002</v>
      </c>
      <c r="L78" s="222">
        <v>42.935000000000002</v>
      </c>
      <c r="M78" s="222">
        <v>44.77</v>
      </c>
      <c r="N78" s="222">
        <v>44.97</v>
      </c>
      <c r="O78" s="222">
        <v>44.989999999999995</v>
      </c>
      <c r="P78" s="222">
        <v>61.349999999999994</v>
      </c>
      <c r="Q78" s="222">
        <v>61.349999999999994</v>
      </c>
      <c r="R78" s="241">
        <f t="shared" si="25"/>
        <v>633.57000000000005</v>
      </c>
      <c r="T78" s="222">
        <f t="shared" si="20"/>
        <v>15.073710073710071</v>
      </c>
      <c r="U78" s="222">
        <f t="shared" si="20"/>
        <v>16.078624078624077</v>
      </c>
      <c r="V78" s="222">
        <f t="shared" si="20"/>
        <v>18.088452088452087</v>
      </c>
      <c r="W78" s="222">
        <f t="shared" si="20"/>
        <v>16.078624078624077</v>
      </c>
      <c r="X78" s="222">
        <f t="shared" si="20"/>
        <v>8</v>
      </c>
      <c r="Y78" s="222">
        <f t="shared" si="20"/>
        <v>8.5491400491400498</v>
      </c>
      <c r="Z78" s="222">
        <f t="shared" si="20"/>
        <v>10.54914004914005</v>
      </c>
      <c r="AA78" s="222">
        <f t="shared" si="20"/>
        <v>11</v>
      </c>
      <c r="AB78" s="222">
        <f t="shared" si="20"/>
        <v>11.049140049140048</v>
      </c>
      <c r="AC78" s="222">
        <f t="shared" si="21"/>
        <v>11</v>
      </c>
      <c r="AD78" s="222">
        <f t="shared" si="21"/>
        <v>15</v>
      </c>
      <c r="AE78" s="222">
        <f t="shared" si="21"/>
        <v>15</v>
      </c>
      <c r="AF78" s="231">
        <f t="shared" si="22"/>
        <v>155.46683046683046</v>
      </c>
      <c r="AG78" s="232">
        <f t="shared" si="23"/>
        <v>12.955569205569205</v>
      </c>
      <c r="AK78" s="242"/>
      <c r="AQ78" s="234">
        <f t="shared" si="26"/>
        <v>4.4404532609099574</v>
      </c>
      <c r="AR78" s="235">
        <f t="shared" si="27"/>
        <v>690.3431943097728</v>
      </c>
      <c r="AS78" s="235">
        <f t="shared" si="28"/>
        <v>56.773194309772748</v>
      </c>
      <c r="AT78" s="236">
        <f t="shared" si="29"/>
        <v>8.9608400507872443E-2</v>
      </c>
      <c r="AW78" s="237">
        <f t="shared" si="24"/>
        <v>4.458039431436247</v>
      </c>
      <c r="AX78" s="237">
        <f t="shared" si="30"/>
        <v>693.07726050154429</v>
      </c>
      <c r="AY78" s="238">
        <f t="shared" si="31"/>
        <v>2.7340661917714897</v>
      </c>
    </row>
    <row r="79" spans="1:51" s="182" customFormat="1" ht="12" customHeight="1">
      <c r="A79" s="239" t="s">
        <v>322</v>
      </c>
      <c r="B79" s="239" t="s">
        <v>323</v>
      </c>
      <c r="C79" s="240">
        <v>8.14</v>
      </c>
      <c r="D79" s="240">
        <v>8.16</v>
      </c>
      <c r="E79" s="221"/>
      <c r="F79" s="222">
        <v>322.32</v>
      </c>
      <c r="G79" s="222">
        <v>337.62</v>
      </c>
      <c r="H79" s="222">
        <v>333.53999999999996</v>
      </c>
      <c r="I79" s="222">
        <v>292.815</v>
      </c>
      <c r="J79" s="222">
        <v>316.79500000000002</v>
      </c>
      <c r="K79" s="222">
        <v>323.79000000000002</v>
      </c>
      <c r="L79" s="222">
        <v>315.65000000000003</v>
      </c>
      <c r="M79" s="222">
        <v>317.46000000000004</v>
      </c>
      <c r="N79" s="222">
        <v>317.94</v>
      </c>
      <c r="O79" s="222">
        <v>320.505</v>
      </c>
      <c r="P79" s="222">
        <v>312.34500000000003</v>
      </c>
      <c r="Q79" s="222">
        <v>326.39999999999998</v>
      </c>
      <c r="R79" s="241">
        <f t="shared" si="25"/>
        <v>3837.1800000000007</v>
      </c>
      <c r="T79" s="222">
        <f t="shared" si="20"/>
        <v>39.597051597051596</v>
      </c>
      <c r="U79" s="222">
        <f t="shared" si="20"/>
        <v>41.476658476658471</v>
      </c>
      <c r="V79" s="222">
        <f t="shared" si="20"/>
        <v>40.975429975429968</v>
      </c>
      <c r="W79" s="222">
        <f t="shared" si="20"/>
        <v>35.97235872235872</v>
      </c>
      <c r="X79" s="222">
        <f t="shared" si="20"/>
        <v>38.918304668304664</v>
      </c>
      <c r="Y79" s="222">
        <f t="shared" si="20"/>
        <v>39.77764127764128</v>
      </c>
      <c r="Z79" s="222">
        <f t="shared" si="20"/>
        <v>38.77764127764128</v>
      </c>
      <c r="AA79" s="222">
        <f t="shared" si="20"/>
        <v>39</v>
      </c>
      <c r="AB79" s="222">
        <f t="shared" si="20"/>
        <v>39.058968058968055</v>
      </c>
      <c r="AC79" s="222">
        <f t="shared" si="21"/>
        <v>39.277573529411761</v>
      </c>
      <c r="AD79" s="222">
        <f t="shared" si="21"/>
        <v>38.277573529411768</v>
      </c>
      <c r="AE79" s="222">
        <f t="shared" si="21"/>
        <v>40</v>
      </c>
      <c r="AF79" s="231">
        <f t="shared" si="22"/>
        <v>471.10920111287754</v>
      </c>
      <c r="AG79" s="232">
        <f t="shared" si="23"/>
        <v>39.259100092739793</v>
      </c>
      <c r="AK79" s="242"/>
      <c r="AQ79" s="234">
        <f t="shared" si="26"/>
        <v>8.8591928139426059</v>
      </c>
      <c r="AR79" s="235">
        <f t="shared" si="27"/>
        <v>4173.6472490814467</v>
      </c>
      <c r="AS79" s="235">
        <f t="shared" si="28"/>
        <v>336.46724908144597</v>
      </c>
      <c r="AT79" s="236">
        <f t="shared" si="29"/>
        <v>8.7686073908819995E-2</v>
      </c>
      <c r="AW79" s="237">
        <f t="shared" si="24"/>
        <v>8.8942791590512904</v>
      </c>
      <c r="AX79" s="237">
        <f t="shared" si="30"/>
        <v>4190.1767490955699</v>
      </c>
      <c r="AY79" s="238">
        <f t="shared" si="31"/>
        <v>16.529500014123187</v>
      </c>
    </row>
    <row r="80" spans="1:51" s="182" customFormat="1" ht="12" customHeight="1">
      <c r="A80" s="239" t="s">
        <v>324</v>
      </c>
      <c r="B80" s="239" t="s">
        <v>325</v>
      </c>
      <c r="C80" s="240">
        <v>0</v>
      </c>
      <c r="D80" s="240">
        <v>0</v>
      </c>
      <c r="E80" s="221"/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2">
        <v>0</v>
      </c>
      <c r="O80" s="222">
        <v>0</v>
      </c>
      <c r="P80" s="222">
        <v>0</v>
      </c>
      <c r="Q80" s="222">
        <v>0</v>
      </c>
      <c r="R80" s="241">
        <f t="shared" si="25"/>
        <v>0</v>
      </c>
      <c r="T80" s="222">
        <f t="shared" si="20"/>
        <v>0</v>
      </c>
      <c r="U80" s="222">
        <f t="shared" si="20"/>
        <v>0</v>
      </c>
      <c r="V80" s="222">
        <f t="shared" si="20"/>
        <v>0</v>
      </c>
      <c r="W80" s="222">
        <f t="shared" si="20"/>
        <v>0</v>
      </c>
      <c r="X80" s="222">
        <f t="shared" si="20"/>
        <v>0</v>
      </c>
      <c r="Y80" s="222">
        <f t="shared" si="20"/>
        <v>0</v>
      </c>
      <c r="Z80" s="222">
        <f t="shared" si="20"/>
        <v>0</v>
      </c>
      <c r="AA80" s="222">
        <f t="shared" si="20"/>
        <v>0</v>
      </c>
      <c r="AB80" s="222">
        <f t="shared" si="20"/>
        <v>0</v>
      </c>
      <c r="AC80" s="222">
        <f t="shared" si="21"/>
        <v>0</v>
      </c>
      <c r="AD80" s="222">
        <f t="shared" si="21"/>
        <v>0</v>
      </c>
      <c r="AE80" s="222">
        <f t="shared" si="21"/>
        <v>0</v>
      </c>
      <c r="AF80" s="231">
        <f t="shared" si="22"/>
        <v>0</v>
      </c>
      <c r="AG80" s="232">
        <f t="shared" si="23"/>
        <v>0</v>
      </c>
      <c r="AK80" s="242"/>
      <c r="AQ80" s="234">
        <f t="shared" si="26"/>
        <v>0</v>
      </c>
      <c r="AR80" s="235">
        <f t="shared" si="27"/>
        <v>0</v>
      </c>
      <c r="AS80" s="235">
        <f t="shared" si="28"/>
        <v>0</v>
      </c>
      <c r="AT80" s="236" t="e">
        <f t="shared" si="29"/>
        <v>#DIV/0!</v>
      </c>
      <c r="AW80" s="237">
        <f t="shared" si="24"/>
        <v>0</v>
      </c>
      <c r="AX80" s="237">
        <f t="shared" si="30"/>
        <v>0</v>
      </c>
      <c r="AY80" s="238">
        <f t="shared" si="31"/>
        <v>0</v>
      </c>
    </row>
    <row r="81" spans="1:51" s="411" customFormat="1" ht="12" customHeight="1">
      <c r="A81" s="408" t="s">
        <v>326</v>
      </c>
      <c r="B81" s="408" t="s">
        <v>327</v>
      </c>
      <c r="C81" s="272">
        <v>4.74</v>
      </c>
      <c r="D81" s="272">
        <v>4.75</v>
      </c>
      <c r="E81" s="409"/>
      <c r="F81" s="274">
        <v>1273</v>
      </c>
      <c r="G81" s="274">
        <v>897.75</v>
      </c>
      <c r="H81" s="274">
        <v>1195.75</v>
      </c>
      <c r="I81" s="274">
        <v>1194.48</v>
      </c>
      <c r="J81" s="274">
        <v>1279.8</v>
      </c>
      <c r="K81" s="274">
        <v>1090.2</v>
      </c>
      <c r="L81" s="274">
        <v>1455.18</v>
      </c>
      <c r="M81" s="274">
        <v>1161.5</v>
      </c>
      <c r="N81" s="274">
        <v>1312.98</v>
      </c>
      <c r="O81" s="274">
        <v>1235.01</v>
      </c>
      <c r="P81" s="274">
        <v>1212.79</v>
      </c>
      <c r="Q81" s="274">
        <v>1320.5</v>
      </c>
      <c r="R81" s="410">
        <f t="shared" si="25"/>
        <v>14628.939999999999</v>
      </c>
      <c r="T81" s="274">
        <f t="shared" si="20"/>
        <v>268.56540084388183</v>
      </c>
      <c r="U81" s="274">
        <f t="shared" si="20"/>
        <v>189.39873417721518</v>
      </c>
      <c r="V81" s="274">
        <f t="shared" si="20"/>
        <v>252.26793248945145</v>
      </c>
      <c r="W81" s="274">
        <f t="shared" si="20"/>
        <v>252</v>
      </c>
      <c r="X81" s="274">
        <f t="shared" si="20"/>
        <v>270</v>
      </c>
      <c r="Y81" s="274">
        <f t="shared" si="20"/>
        <v>230</v>
      </c>
      <c r="Z81" s="274">
        <f t="shared" si="20"/>
        <v>307</v>
      </c>
      <c r="AA81" s="274">
        <f t="shared" si="20"/>
        <v>245.042194092827</v>
      </c>
      <c r="AB81" s="274">
        <f t="shared" si="20"/>
        <v>277</v>
      </c>
      <c r="AC81" s="274">
        <f t="shared" si="21"/>
        <v>260.00210526315789</v>
      </c>
      <c r="AD81" s="274">
        <f t="shared" si="21"/>
        <v>255.3242105263158</v>
      </c>
      <c r="AE81" s="274">
        <f t="shared" si="21"/>
        <v>278</v>
      </c>
      <c r="AF81" s="277">
        <f t="shared" si="22"/>
        <v>3084.6005773928491</v>
      </c>
      <c r="AG81" s="278">
        <f t="shared" si="23"/>
        <v>257.05004811607074</v>
      </c>
      <c r="AK81" s="412"/>
      <c r="AQ81" s="414">
        <f t="shared" si="26"/>
        <v>5.1570056208611978</v>
      </c>
      <c r="AR81" s="415">
        <f t="shared" si="27"/>
        <v>15907.302515726617</v>
      </c>
      <c r="AS81" s="415">
        <f t="shared" si="28"/>
        <v>1278.3625157266179</v>
      </c>
      <c r="AT81" s="416">
        <f t="shared" si="29"/>
        <v>8.7385860884426209E-2</v>
      </c>
      <c r="AW81" s="417">
        <f t="shared" si="24"/>
        <v>5.1774296575359839</v>
      </c>
      <c r="AX81" s="417">
        <f t="shared" si="30"/>
        <v>15970.302511046357</v>
      </c>
      <c r="AY81" s="418">
        <f t="shared" si="31"/>
        <v>62.999995319740265</v>
      </c>
    </row>
    <row r="82" spans="1:51" s="411" customFormat="1" ht="12.75" customHeight="1">
      <c r="A82" s="408" t="s">
        <v>328</v>
      </c>
      <c r="B82" s="408" t="s">
        <v>329</v>
      </c>
      <c r="C82" s="272">
        <v>0</v>
      </c>
      <c r="D82" s="272">
        <v>0</v>
      </c>
      <c r="E82" s="409"/>
      <c r="F82" s="274">
        <v>0</v>
      </c>
      <c r="G82" s="274">
        <v>0</v>
      </c>
      <c r="H82" s="274">
        <v>0</v>
      </c>
      <c r="I82" s="274">
        <v>0</v>
      </c>
      <c r="J82" s="274">
        <v>0</v>
      </c>
      <c r="K82" s="274">
        <v>0</v>
      </c>
      <c r="L82" s="274">
        <v>0</v>
      </c>
      <c r="M82" s="274">
        <v>0</v>
      </c>
      <c r="N82" s="274">
        <v>0</v>
      </c>
      <c r="O82" s="274">
        <v>0</v>
      </c>
      <c r="P82" s="274">
        <v>0</v>
      </c>
      <c r="Q82" s="274">
        <v>0</v>
      </c>
      <c r="R82" s="410">
        <f t="shared" si="25"/>
        <v>0</v>
      </c>
      <c r="T82" s="274">
        <f t="shared" si="20"/>
        <v>0</v>
      </c>
      <c r="U82" s="274">
        <f t="shared" si="20"/>
        <v>0</v>
      </c>
      <c r="V82" s="274">
        <f t="shared" si="20"/>
        <v>0</v>
      </c>
      <c r="W82" s="274">
        <f t="shared" si="20"/>
        <v>0</v>
      </c>
      <c r="X82" s="274">
        <f t="shared" si="20"/>
        <v>0</v>
      </c>
      <c r="Y82" s="274">
        <f t="shared" si="20"/>
        <v>0</v>
      </c>
      <c r="Z82" s="274">
        <f t="shared" si="20"/>
        <v>0</v>
      </c>
      <c r="AA82" s="274">
        <f t="shared" si="20"/>
        <v>0</v>
      </c>
      <c r="AB82" s="274">
        <f t="shared" si="20"/>
        <v>0</v>
      </c>
      <c r="AC82" s="274">
        <f t="shared" si="21"/>
        <v>0</v>
      </c>
      <c r="AD82" s="274">
        <f t="shared" si="21"/>
        <v>0</v>
      </c>
      <c r="AE82" s="274">
        <f t="shared" si="21"/>
        <v>0</v>
      </c>
      <c r="AF82" s="277">
        <f t="shared" si="22"/>
        <v>0</v>
      </c>
      <c r="AG82" s="278">
        <f t="shared" si="23"/>
        <v>0</v>
      </c>
      <c r="AK82" s="412"/>
      <c r="AQ82" s="414">
        <f t="shared" si="26"/>
        <v>0</v>
      </c>
      <c r="AR82" s="415">
        <f t="shared" si="27"/>
        <v>0</v>
      </c>
      <c r="AS82" s="415">
        <f t="shared" si="28"/>
        <v>0</v>
      </c>
      <c r="AT82" s="416" t="e">
        <f t="shared" si="29"/>
        <v>#DIV/0!</v>
      </c>
      <c r="AW82" s="417">
        <f t="shared" si="24"/>
        <v>0</v>
      </c>
      <c r="AX82" s="417">
        <f t="shared" si="30"/>
        <v>0</v>
      </c>
      <c r="AY82" s="418">
        <f t="shared" si="31"/>
        <v>0</v>
      </c>
    </row>
    <row r="83" spans="1:51" s="182" customFormat="1" ht="12" customHeight="1">
      <c r="A83" s="239" t="s">
        <v>330</v>
      </c>
      <c r="B83" s="239" t="s">
        <v>331</v>
      </c>
      <c r="C83" s="240">
        <v>0</v>
      </c>
      <c r="D83" s="240">
        <v>0</v>
      </c>
      <c r="E83" s="221"/>
      <c r="F83" s="222">
        <v>0</v>
      </c>
      <c r="G83" s="222">
        <v>0</v>
      </c>
      <c r="H83" s="222">
        <v>0</v>
      </c>
      <c r="I83" s="222">
        <v>0</v>
      </c>
      <c r="J83" s="222">
        <v>0</v>
      </c>
      <c r="K83" s="222">
        <v>0</v>
      </c>
      <c r="L83" s="222">
        <v>0</v>
      </c>
      <c r="M83" s="222">
        <v>0</v>
      </c>
      <c r="N83" s="222">
        <v>0</v>
      </c>
      <c r="O83" s="222">
        <v>0</v>
      </c>
      <c r="P83" s="222">
        <v>0</v>
      </c>
      <c r="Q83" s="222">
        <v>0</v>
      </c>
      <c r="R83" s="241">
        <f t="shared" si="25"/>
        <v>0</v>
      </c>
      <c r="T83" s="222">
        <f t="shared" si="20"/>
        <v>0</v>
      </c>
      <c r="U83" s="222">
        <f t="shared" si="20"/>
        <v>0</v>
      </c>
      <c r="V83" s="222">
        <f t="shared" si="20"/>
        <v>0</v>
      </c>
      <c r="W83" s="222">
        <f t="shared" si="20"/>
        <v>0</v>
      </c>
      <c r="X83" s="222">
        <f t="shared" si="20"/>
        <v>0</v>
      </c>
      <c r="Y83" s="222">
        <f t="shared" si="20"/>
        <v>0</v>
      </c>
      <c r="Z83" s="222">
        <f t="shared" si="20"/>
        <v>0</v>
      </c>
      <c r="AA83" s="222">
        <f t="shared" si="20"/>
        <v>0</v>
      </c>
      <c r="AB83" s="222">
        <f t="shared" si="20"/>
        <v>0</v>
      </c>
      <c r="AC83" s="222">
        <f t="shared" si="21"/>
        <v>0</v>
      </c>
      <c r="AD83" s="222">
        <f t="shared" si="21"/>
        <v>0</v>
      </c>
      <c r="AE83" s="222">
        <f t="shared" si="21"/>
        <v>0</v>
      </c>
      <c r="AF83" s="231">
        <f t="shared" si="22"/>
        <v>0</v>
      </c>
      <c r="AG83" s="232">
        <f t="shared" si="23"/>
        <v>0</v>
      </c>
      <c r="AK83" s="242"/>
      <c r="AQ83" s="234">
        <f t="shared" si="26"/>
        <v>0</v>
      </c>
      <c r="AR83" s="235">
        <f t="shared" si="27"/>
        <v>0</v>
      </c>
      <c r="AS83" s="235">
        <f t="shared" si="28"/>
        <v>0</v>
      </c>
      <c r="AT83" s="236" t="e">
        <f t="shared" si="29"/>
        <v>#DIV/0!</v>
      </c>
      <c r="AW83" s="237">
        <f t="shared" si="24"/>
        <v>0</v>
      </c>
      <c r="AX83" s="237">
        <f t="shared" si="30"/>
        <v>0</v>
      </c>
      <c r="AY83" s="238">
        <f t="shared" si="31"/>
        <v>0</v>
      </c>
    </row>
    <row r="84" spans="1:51" s="182" customFormat="1" ht="12" customHeight="1">
      <c r="A84" s="243" t="s">
        <v>332</v>
      </c>
      <c r="B84" s="243" t="s">
        <v>331</v>
      </c>
      <c r="C84" s="240">
        <v>0</v>
      </c>
      <c r="D84" s="240">
        <v>0</v>
      </c>
      <c r="E84" s="221"/>
      <c r="F84" s="222">
        <v>0</v>
      </c>
      <c r="G84" s="222">
        <v>0</v>
      </c>
      <c r="H84" s="222">
        <v>0</v>
      </c>
      <c r="I84" s="222">
        <v>0</v>
      </c>
      <c r="J84" s="222">
        <v>0</v>
      </c>
      <c r="K84" s="222">
        <v>0</v>
      </c>
      <c r="L84" s="222">
        <v>0</v>
      </c>
      <c r="M84" s="222">
        <v>0</v>
      </c>
      <c r="N84" s="222">
        <v>0</v>
      </c>
      <c r="O84" s="222">
        <v>0</v>
      </c>
      <c r="P84" s="222">
        <v>0</v>
      </c>
      <c r="Q84" s="222">
        <v>0</v>
      </c>
      <c r="R84" s="241">
        <f t="shared" si="25"/>
        <v>0</v>
      </c>
      <c r="T84" s="222">
        <f t="shared" si="20"/>
        <v>0</v>
      </c>
      <c r="U84" s="222">
        <f t="shared" si="20"/>
        <v>0</v>
      </c>
      <c r="V84" s="222">
        <f t="shared" si="20"/>
        <v>0</v>
      </c>
      <c r="W84" s="222">
        <f t="shared" si="20"/>
        <v>0</v>
      </c>
      <c r="X84" s="222">
        <f t="shared" si="20"/>
        <v>0</v>
      </c>
      <c r="Y84" s="222">
        <f t="shared" si="20"/>
        <v>0</v>
      </c>
      <c r="Z84" s="222">
        <f t="shared" si="20"/>
        <v>0</v>
      </c>
      <c r="AA84" s="222">
        <f t="shared" si="20"/>
        <v>0</v>
      </c>
      <c r="AB84" s="222">
        <f t="shared" si="20"/>
        <v>0</v>
      </c>
      <c r="AC84" s="222">
        <f t="shared" si="21"/>
        <v>0</v>
      </c>
      <c r="AD84" s="222">
        <f t="shared" si="21"/>
        <v>0</v>
      </c>
      <c r="AE84" s="222">
        <f t="shared" si="21"/>
        <v>0</v>
      </c>
      <c r="AF84" s="231">
        <f t="shared" si="22"/>
        <v>0</v>
      </c>
      <c r="AG84" s="232">
        <f t="shared" si="23"/>
        <v>0</v>
      </c>
      <c r="AK84" s="242"/>
      <c r="AQ84" s="234">
        <f t="shared" si="26"/>
        <v>0</v>
      </c>
      <c r="AR84" s="235">
        <f t="shared" si="27"/>
        <v>0</v>
      </c>
      <c r="AS84" s="235">
        <f t="shared" si="28"/>
        <v>0</v>
      </c>
      <c r="AT84" s="236" t="e">
        <f t="shared" si="29"/>
        <v>#DIV/0!</v>
      </c>
      <c r="AW84" s="237">
        <f t="shared" si="24"/>
        <v>0</v>
      </c>
      <c r="AX84" s="237">
        <f t="shared" si="30"/>
        <v>0</v>
      </c>
      <c r="AY84" s="238">
        <f t="shared" si="31"/>
        <v>0</v>
      </c>
    </row>
    <row r="85" spans="1:51" s="182" customFormat="1" ht="12" customHeight="1">
      <c r="A85" s="239" t="s">
        <v>333</v>
      </c>
      <c r="B85" s="239" t="s">
        <v>334</v>
      </c>
      <c r="C85" s="240">
        <v>0</v>
      </c>
      <c r="D85" s="240">
        <v>0</v>
      </c>
      <c r="E85" s="221"/>
      <c r="F85" s="222">
        <v>0</v>
      </c>
      <c r="G85" s="222">
        <v>0</v>
      </c>
      <c r="H85" s="222">
        <v>0</v>
      </c>
      <c r="I85" s="222">
        <v>0</v>
      </c>
      <c r="J85" s="222">
        <v>0</v>
      </c>
      <c r="K85" s="222">
        <v>0</v>
      </c>
      <c r="L85" s="222">
        <v>0</v>
      </c>
      <c r="M85" s="222">
        <v>0</v>
      </c>
      <c r="N85" s="222">
        <v>0</v>
      </c>
      <c r="O85" s="222">
        <v>0</v>
      </c>
      <c r="P85" s="222">
        <v>0</v>
      </c>
      <c r="Q85" s="222">
        <v>0</v>
      </c>
      <c r="R85" s="241">
        <f t="shared" si="25"/>
        <v>0</v>
      </c>
      <c r="T85" s="222">
        <f t="shared" si="20"/>
        <v>0</v>
      </c>
      <c r="U85" s="222">
        <f t="shared" si="20"/>
        <v>0</v>
      </c>
      <c r="V85" s="222">
        <f t="shared" si="20"/>
        <v>0</v>
      </c>
      <c r="W85" s="222">
        <f t="shared" si="20"/>
        <v>0</v>
      </c>
      <c r="X85" s="222">
        <f t="shared" si="20"/>
        <v>0</v>
      </c>
      <c r="Y85" s="222">
        <f t="shared" si="20"/>
        <v>0</v>
      </c>
      <c r="Z85" s="222">
        <f t="shared" si="20"/>
        <v>0</v>
      </c>
      <c r="AA85" s="222">
        <f t="shared" si="20"/>
        <v>0</v>
      </c>
      <c r="AB85" s="222">
        <f t="shared" si="20"/>
        <v>0</v>
      </c>
      <c r="AC85" s="222">
        <f t="shared" si="21"/>
        <v>0</v>
      </c>
      <c r="AD85" s="222">
        <f t="shared" si="21"/>
        <v>0</v>
      </c>
      <c r="AE85" s="222">
        <f t="shared" si="21"/>
        <v>0</v>
      </c>
      <c r="AF85" s="231">
        <f t="shared" si="22"/>
        <v>0</v>
      </c>
      <c r="AG85" s="232">
        <f t="shared" si="23"/>
        <v>0</v>
      </c>
      <c r="AK85" s="242"/>
      <c r="AQ85" s="234">
        <f t="shared" si="26"/>
        <v>0</v>
      </c>
      <c r="AR85" s="235">
        <f t="shared" si="27"/>
        <v>0</v>
      </c>
      <c r="AS85" s="235">
        <f t="shared" si="28"/>
        <v>0</v>
      </c>
      <c r="AT85" s="236" t="e">
        <f t="shared" si="29"/>
        <v>#DIV/0!</v>
      </c>
      <c r="AW85" s="237">
        <f t="shared" si="24"/>
        <v>0</v>
      </c>
      <c r="AX85" s="237">
        <f t="shared" si="30"/>
        <v>0</v>
      </c>
      <c r="AY85" s="238">
        <f t="shared" si="31"/>
        <v>0</v>
      </c>
    </row>
    <row r="86" spans="1:51" s="411" customFormat="1" ht="12" customHeight="1">
      <c r="A86" s="408" t="s">
        <v>335</v>
      </c>
      <c r="B86" s="408" t="s">
        <v>336</v>
      </c>
      <c r="C86" s="272">
        <v>24.99</v>
      </c>
      <c r="D86" s="272">
        <v>25.06</v>
      </c>
      <c r="E86" s="409"/>
      <c r="F86" s="274">
        <v>0</v>
      </c>
      <c r="G86" s="274">
        <v>0</v>
      </c>
      <c r="H86" s="274">
        <v>0</v>
      </c>
      <c r="I86" s="274">
        <v>0</v>
      </c>
      <c r="J86" s="274">
        <v>0</v>
      </c>
      <c r="K86" s="274">
        <v>0</v>
      </c>
      <c r="L86" s="274">
        <v>0</v>
      </c>
      <c r="M86" s="274">
        <v>0</v>
      </c>
      <c r="N86" s="274">
        <v>0</v>
      </c>
      <c r="O86" s="274">
        <v>0</v>
      </c>
      <c r="P86" s="274">
        <v>0</v>
      </c>
      <c r="Q86" s="274">
        <v>0</v>
      </c>
      <c r="R86" s="410">
        <f t="shared" si="25"/>
        <v>0</v>
      </c>
      <c r="T86" s="274">
        <f t="shared" si="20"/>
        <v>0</v>
      </c>
      <c r="U86" s="274">
        <f t="shared" si="20"/>
        <v>0</v>
      </c>
      <c r="V86" s="274">
        <f t="shared" si="20"/>
        <v>0</v>
      </c>
      <c r="W86" s="274">
        <f t="shared" si="20"/>
        <v>0</v>
      </c>
      <c r="X86" s="274">
        <f t="shared" si="20"/>
        <v>0</v>
      </c>
      <c r="Y86" s="274">
        <f t="shared" si="20"/>
        <v>0</v>
      </c>
      <c r="Z86" s="274">
        <f t="shared" si="20"/>
        <v>0</v>
      </c>
      <c r="AA86" s="274">
        <f t="shared" si="20"/>
        <v>0</v>
      </c>
      <c r="AB86" s="274">
        <f t="shared" si="20"/>
        <v>0</v>
      </c>
      <c r="AC86" s="274">
        <f t="shared" si="21"/>
        <v>0</v>
      </c>
      <c r="AD86" s="274">
        <f t="shared" si="21"/>
        <v>0</v>
      </c>
      <c r="AE86" s="274">
        <f t="shared" si="21"/>
        <v>0</v>
      </c>
      <c r="AF86" s="277">
        <f t="shared" si="22"/>
        <v>0</v>
      </c>
      <c r="AG86" s="278">
        <f t="shared" si="23"/>
        <v>0</v>
      </c>
      <c r="AK86" s="412"/>
      <c r="AQ86" s="414">
        <f t="shared" si="26"/>
        <v>27.207275970269812</v>
      </c>
      <c r="AR86" s="415">
        <f t="shared" si="27"/>
        <v>0</v>
      </c>
      <c r="AS86" s="415">
        <f t="shared" si="28"/>
        <v>0</v>
      </c>
      <c r="AT86" s="416" t="e">
        <f t="shared" si="29"/>
        <v>#DIV/0!</v>
      </c>
      <c r="AW86" s="417">
        <f t="shared" si="24"/>
        <v>27.31502888796879</v>
      </c>
      <c r="AX86" s="417">
        <f t="shared" si="30"/>
        <v>0</v>
      </c>
      <c r="AY86" s="418">
        <f t="shared" si="31"/>
        <v>0</v>
      </c>
    </row>
    <row r="87" spans="1:51" s="411" customFormat="1" ht="12" customHeight="1">
      <c r="A87" s="408" t="s">
        <v>337</v>
      </c>
      <c r="B87" s="408" t="s">
        <v>338</v>
      </c>
      <c r="C87" s="272">
        <v>7.55</v>
      </c>
      <c r="D87" s="272">
        <v>7.57</v>
      </c>
      <c r="E87" s="409"/>
      <c r="F87" s="274">
        <v>185.465</v>
      </c>
      <c r="G87" s="274">
        <v>56.774999999999999</v>
      </c>
      <c r="H87" s="274">
        <v>60.56</v>
      </c>
      <c r="I87" s="274">
        <v>173.68</v>
      </c>
      <c r="J87" s="274">
        <v>109.47500000000001</v>
      </c>
      <c r="K87" s="274">
        <v>147.22499999999999</v>
      </c>
      <c r="L87" s="274">
        <v>169.875</v>
      </c>
      <c r="M87" s="274">
        <v>268.02499999999998</v>
      </c>
      <c r="N87" s="274">
        <v>154.785</v>
      </c>
      <c r="O87" s="274">
        <v>94.585000000000008</v>
      </c>
      <c r="P87" s="274">
        <v>98.41</v>
      </c>
      <c r="Q87" s="274">
        <v>90.84</v>
      </c>
      <c r="R87" s="410">
        <f t="shared" si="25"/>
        <v>1609.7</v>
      </c>
      <c r="T87" s="274">
        <f t="shared" si="20"/>
        <v>24.564900662251656</v>
      </c>
      <c r="U87" s="274">
        <f t="shared" si="20"/>
        <v>7.5198675496688745</v>
      </c>
      <c r="V87" s="274">
        <f t="shared" si="20"/>
        <v>8.0211920529801333</v>
      </c>
      <c r="W87" s="274">
        <f t="shared" si="20"/>
        <v>23.003973509933775</v>
      </c>
      <c r="X87" s="274">
        <f t="shared" si="20"/>
        <v>14.500000000000002</v>
      </c>
      <c r="Y87" s="274">
        <f t="shared" si="20"/>
        <v>19.5</v>
      </c>
      <c r="Z87" s="274">
        <f t="shared" si="20"/>
        <v>22.5</v>
      </c>
      <c r="AA87" s="274">
        <f t="shared" si="20"/>
        <v>35.5</v>
      </c>
      <c r="AB87" s="274">
        <f t="shared" si="20"/>
        <v>20.50132450331126</v>
      </c>
      <c r="AC87" s="274">
        <f t="shared" si="21"/>
        <v>12.494715984147954</v>
      </c>
      <c r="AD87" s="274">
        <f t="shared" si="21"/>
        <v>12.999999999999998</v>
      </c>
      <c r="AE87" s="274">
        <f t="shared" si="21"/>
        <v>12</v>
      </c>
      <c r="AF87" s="277">
        <f t="shared" si="22"/>
        <v>213.10597426229364</v>
      </c>
      <c r="AG87" s="278">
        <f t="shared" si="23"/>
        <v>17.758831188524471</v>
      </c>
      <c r="AK87" s="412"/>
      <c r="AQ87" s="414">
        <f t="shared" si="26"/>
        <v>8.218638431561951</v>
      </c>
      <c r="AR87" s="415">
        <f t="shared" si="27"/>
        <v>1751.4409500675388</v>
      </c>
      <c r="AS87" s="415">
        <f t="shared" si="28"/>
        <v>141.74095006753873</v>
      </c>
      <c r="AT87" s="416">
        <f t="shared" si="29"/>
        <v>8.8054264811790225E-2</v>
      </c>
      <c r="AW87" s="417">
        <f t="shared" si="24"/>
        <v>8.2511878963257672</v>
      </c>
      <c r="AX87" s="417">
        <f t="shared" si="30"/>
        <v>1758.3774354677478</v>
      </c>
      <c r="AY87" s="418">
        <f t="shared" si="31"/>
        <v>6.9364854002089942</v>
      </c>
    </row>
    <row r="88" spans="1:51" s="411" customFormat="1" ht="12" customHeight="1">
      <c r="A88" s="408" t="s">
        <v>339</v>
      </c>
      <c r="B88" s="408" t="s">
        <v>340</v>
      </c>
      <c r="C88" s="272">
        <v>7.01</v>
      </c>
      <c r="D88" s="272">
        <v>7.03</v>
      </c>
      <c r="E88" s="409"/>
      <c r="F88" s="274">
        <v>0</v>
      </c>
      <c r="G88" s="274">
        <v>0</v>
      </c>
      <c r="H88" s="274">
        <v>0</v>
      </c>
      <c r="I88" s="274">
        <v>0</v>
      </c>
      <c r="J88" s="274">
        <v>0</v>
      </c>
      <c r="K88" s="274">
        <v>0</v>
      </c>
      <c r="L88" s="274">
        <v>0</v>
      </c>
      <c r="M88" s="274">
        <v>0</v>
      </c>
      <c r="N88" s="274">
        <v>0</v>
      </c>
      <c r="O88" s="274">
        <v>0</v>
      </c>
      <c r="P88" s="274">
        <v>0</v>
      </c>
      <c r="Q88" s="274">
        <v>0</v>
      </c>
      <c r="R88" s="410">
        <f t="shared" si="25"/>
        <v>0</v>
      </c>
      <c r="T88" s="274">
        <f t="shared" si="20"/>
        <v>0</v>
      </c>
      <c r="U88" s="274">
        <f t="shared" si="20"/>
        <v>0</v>
      </c>
      <c r="V88" s="274">
        <f t="shared" si="20"/>
        <v>0</v>
      </c>
      <c r="W88" s="274">
        <f t="shared" si="20"/>
        <v>0</v>
      </c>
      <c r="X88" s="274">
        <f t="shared" si="20"/>
        <v>0</v>
      </c>
      <c r="Y88" s="274">
        <f t="shared" si="20"/>
        <v>0</v>
      </c>
      <c r="Z88" s="274">
        <f t="shared" si="20"/>
        <v>0</v>
      </c>
      <c r="AA88" s="274">
        <f t="shared" si="20"/>
        <v>0</v>
      </c>
      <c r="AB88" s="274">
        <f t="shared" si="20"/>
        <v>0</v>
      </c>
      <c r="AC88" s="274">
        <f t="shared" si="21"/>
        <v>0</v>
      </c>
      <c r="AD88" s="274">
        <f t="shared" si="21"/>
        <v>0</v>
      </c>
      <c r="AE88" s="274">
        <f t="shared" si="21"/>
        <v>0</v>
      </c>
      <c r="AF88" s="277">
        <f t="shared" si="22"/>
        <v>0</v>
      </c>
      <c r="AG88" s="278">
        <f t="shared" si="23"/>
        <v>0</v>
      </c>
      <c r="AK88" s="412"/>
      <c r="AQ88" s="414">
        <f t="shared" si="26"/>
        <v>7.6323683188745726</v>
      </c>
      <c r="AR88" s="415">
        <f t="shared" si="27"/>
        <v>0</v>
      </c>
      <c r="AS88" s="415">
        <f t="shared" si="28"/>
        <v>0</v>
      </c>
      <c r="AT88" s="416" t="e">
        <f t="shared" si="29"/>
        <v>#DIV/0!</v>
      </c>
      <c r="AW88" s="417">
        <f t="shared" si="24"/>
        <v>7.6625958931532558</v>
      </c>
      <c r="AX88" s="417">
        <f t="shared" si="30"/>
        <v>0</v>
      </c>
      <c r="AY88" s="418">
        <f t="shared" si="31"/>
        <v>0</v>
      </c>
    </row>
    <row r="89" spans="1:51" s="411" customFormat="1" ht="12" customHeight="1">
      <c r="A89" s="408" t="s">
        <v>341</v>
      </c>
      <c r="B89" s="408" t="s">
        <v>342</v>
      </c>
      <c r="C89" s="272">
        <v>7.01</v>
      </c>
      <c r="D89" s="272">
        <v>7.03</v>
      </c>
      <c r="E89" s="409"/>
      <c r="F89" s="274">
        <v>0</v>
      </c>
      <c r="G89" s="274">
        <v>0</v>
      </c>
      <c r="H89" s="274">
        <v>7.03</v>
      </c>
      <c r="I89" s="274">
        <v>0</v>
      </c>
      <c r="J89" s="274">
        <v>0</v>
      </c>
      <c r="K89" s="274">
        <v>0</v>
      </c>
      <c r="L89" s="274">
        <v>0</v>
      </c>
      <c r="M89" s="274">
        <v>0</v>
      </c>
      <c r="N89" s="274">
        <v>0</v>
      </c>
      <c r="O89" s="274">
        <v>0</v>
      </c>
      <c r="P89" s="274">
        <v>0</v>
      </c>
      <c r="Q89" s="274">
        <v>0</v>
      </c>
      <c r="R89" s="410">
        <f t="shared" si="25"/>
        <v>7.03</v>
      </c>
      <c r="T89" s="274">
        <f t="shared" si="20"/>
        <v>0</v>
      </c>
      <c r="U89" s="274">
        <f t="shared" si="20"/>
        <v>0</v>
      </c>
      <c r="V89" s="274">
        <f t="shared" si="20"/>
        <v>1.0028530670470757</v>
      </c>
      <c r="W89" s="274">
        <f t="shared" si="20"/>
        <v>0</v>
      </c>
      <c r="X89" s="274">
        <f t="shared" si="20"/>
        <v>0</v>
      </c>
      <c r="Y89" s="274">
        <f t="shared" si="20"/>
        <v>0</v>
      </c>
      <c r="Z89" s="274">
        <f t="shared" si="20"/>
        <v>0</v>
      </c>
      <c r="AA89" s="274">
        <f t="shared" si="20"/>
        <v>0</v>
      </c>
      <c r="AB89" s="274">
        <f t="shared" si="20"/>
        <v>0</v>
      </c>
      <c r="AC89" s="274">
        <f t="shared" si="21"/>
        <v>0</v>
      </c>
      <c r="AD89" s="274">
        <f t="shared" si="21"/>
        <v>0</v>
      </c>
      <c r="AE89" s="274">
        <f t="shared" si="21"/>
        <v>0</v>
      </c>
      <c r="AF89" s="277">
        <f t="shared" si="22"/>
        <v>1.0028530670470757</v>
      </c>
      <c r="AG89" s="278">
        <f t="shared" si="23"/>
        <v>8.3571088920589634E-2</v>
      </c>
      <c r="AK89" s="412"/>
      <c r="AQ89" s="414">
        <f t="shared" si="26"/>
        <v>7.6323683188745726</v>
      </c>
      <c r="AR89" s="415">
        <f t="shared" si="27"/>
        <v>7.6541439774162976</v>
      </c>
      <c r="AS89" s="415">
        <f t="shared" si="28"/>
        <v>0.62414397741629735</v>
      </c>
      <c r="AT89" s="416">
        <f t="shared" si="29"/>
        <v>8.8782927086244287E-2</v>
      </c>
      <c r="AW89" s="417">
        <f t="shared" si="24"/>
        <v>7.6625958931532558</v>
      </c>
      <c r="AX89" s="417">
        <f t="shared" si="30"/>
        <v>7.6844577929910685</v>
      </c>
      <c r="AY89" s="418">
        <f t="shared" si="31"/>
        <v>3.0313815574770864E-2</v>
      </c>
    </row>
    <row r="90" spans="1:51" s="182" customFormat="1" ht="12" customHeight="1">
      <c r="A90" s="239" t="s">
        <v>343</v>
      </c>
      <c r="B90" s="239" t="s">
        <v>344</v>
      </c>
      <c r="C90" s="240">
        <v>20.25</v>
      </c>
      <c r="D90" s="240">
        <v>20.3</v>
      </c>
      <c r="E90" s="221"/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2">
        <v>0</v>
      </c>
      <c r="O90" s="222">
        <v>0</v>
      </c>
      <c r="P90" s="222">
        <v>0</v>
      </c>
      <c r="Q90" s="222">
        <v>0</v>
      </c>
      <c r="R90" s="241">
        <f t="shared" si="25"/>
        <v>0</v>
      </c>
      <c r="T90" s="222">
        <f t="shared" si="20"/>
        <v>0</v>
      </c>
      <c r="U90" s="222">
        <f t="shared" si="20"/>
        <v>0</v>
      </c>
      <c r="V90" s="222">
        <f t="shared" si="20"/>
        <v>0</v>
      </c>
      <c r="W90" s="222">
        <f t="shared" si="20"/>
        <v>0</v>
      </c>
      <c r="X90" s="222">
        <f t="shared" si="20"/>
        <v>0</v>
      </c>
      <c r="Y90" s="222">
        <f t="shared" si="20"/>
        <v>0</v>
      </c>
      <c r="Z90" s="222">
        <f t="shared" si="20"/>
        <v>0</v>
      </c>
      <c r="AA90" s="222">
        <f t="shared" si="20"/>
        <v>0</v>
      </c>
      <c r="AB90" s="222">
        <f t="shared" si="20"/>
        <v>0</v>
      </c>
      <c r="AC90" s="222">
        <f t="shared" si="21"/>
        <v>0</v>
      </c>
      <c r="AD90" s="222">
        <f t="shared" si="21"/>
        <v>0</v>
      </c>
      <c r="AE90" s="222">
        <f t="shared" si="21"/>
        <v>0</v>
      </c>
      <c r="AF90" s="231">
        <f t="shared" si="22"/>
        <v>0</v>
      </c>
      <c r="AG90" s="232">
        <f t="shared" si="23"/>
        <v>0</v>
      </c>
      <c r="AK90" s="242"/>
      <c r="AQ90" s="234">
        <f t="shared" si="26"/>
        <v>22.039413495469962</v>
      </c>
      <c r="AR90" s="235">
        <f t="shared" si="27"/>
        <v>0</v>
      </c>
      <c r="AS90" s="235">
        <f t="shared" si="28"/>
        <v>0</v>
      </c>
      <c r="AT90" s="236" t="e">
        <f t="shared" si="29"/>
        <v>#DIV/0!</v>
      </c>
      <c r="AW90" s="237">
        <f t="shared" si="24"/>
        <v>22.126699378522204</v>
      </c>
      <c r="AX90" s="237">
        <f t="shared" si="30"/>
        <v>0</v>
      </c>
      <c r="AY90" s="238">
        <f t="shared" si="31"/>
        <v>0</v>
      </c>
    </row>
    <row r="91" spans="1:51" s="182" customFormat="1" ht="11.25" customHeight="1">
      <c r="A91" s="239" t="s">
        <v>345</v>
      </c>
      <c r="B91" s="239" t="s">
        <v>346</v>
      </c>
      <c r="C91" s="240">
        <v>11.44</v>
      </c>
      <c r="D91" s="240">
        <v>11.47</v>
      </c>
      <c r="E91" s="221"/>
      <c r="F91" s="222">
        <v>183.51999999999998</v>
      </c>
      <c r="G91" s="222">
        <v>344.1</v>
      </c>
      <c r="H91" s="222">
        <v>240.87</v>
      </c>
      <c r="I91" s="222">
        <v>57.2</v>
      </c>
      <c r="J91" s="222">
        <v>0</v>
      </c>
      <c r="K91" s="222">
        <v>320.32</v>
      </c>
      <c r="L91" s="222">
        <v>171.6</v>
      </c>
      <c r="M91" s="222">
        <v>160.16</v>
      </c>
      <c r="N91" s="222">
        <v>240.48000000000002</v>
      </c>
      <c r="O91" s="222">
        <v>298.21999999999997</v>
      </c>
      <c r="P91" s="222">
        <v>332.63</v>
      </c>
      <c r="Q91" s="222">
        <v>286.75</v>
      </c>
      <c r="R91" s="241">
        <f t="shared" si="25"/>
        <v>2635.85</v>
      </c>
      <c r="T91" s="222">
        <f t="shared" si="20"/>
        <v>16.04195804195804</v>
      </c>
      <c r="U91" s="222">
        <f t="shared" si="20"/>
        <v>30.078671328671334</v>
      </c>
      <c r="V91" s="222">
        <f t="shared" si="20"/>
        <v>21.05506993006993</v>
      </c>
      <c r="W91" s="222">
        <f t="shared" si="20"/>
        <v>5.0000000000000009</v>
      </c>
      <c r="X91" s="222">
        <f t="shared" si="20"/>
        <v>0</v>
      </c>
      <c r="Y91" s="222">
        <f t="shared" si="20"/>
        <v>28</v>
      </c>
      <c r="Z91" s="222">
        <f t="shared" si="20"/>
        <v>15</v>
      </c>
      <c r="AA91" s="222">
        <f t="shared" si="20"/>
        <v>14</v>
      </c>
      <c r="AB91" s="222">
        <f t="shared" si="20"/>
        <v>21.020979020979023</v>
      </c>
      <c r="AC91" s="222">
        <f t="shared" si="21"/>
        <v>25.999999999999996</v>
      </c>
      <c r="AD91" s="222">
        <f t="shared" si="21"/>
        <v>28.999999999999996</v>
      </c>
      <c r="AE91" s="222">
        <f t="shared" si="21"/>
        <v>25</v>
      </c>
      <c r="AF91" s="231">
        <f t="shared" si="22"/>
        <v>230.19667832167832</v>
      </c>
      <c r="AG91" s="232">
        <f t="shared" si="23"/>
        <v>19.183056526806528</v>
      </c>
      <c r="AK91" s="242"/>
      <c r="AQ91" s="234">
        <f t="shared" si="26"/>
        <v>12.452811467637462</v>
      </c>
      <c r="AR91" s="235">
        <f t="shared" si="27"/>
        <v>2866.5958356162478</v>
      </c>
      <c r="AS91" s="235">
        <f t="shared" si="28"/>
        <v>230.74583561624786</v>
      </c>
      <c r="AT91" s="236">
        <f t="shared" si="29"/>
        <v>8.7541337942693198E-2</v>
      </c>
      <c r="AW91" s="237">
        <f t="shared" si="24"/>
        <v>12.502130141460578</v>
      </c>
      <c r="AX91" s="237">
        <f t="shared" si="30"/>
        <v>2877.9488305095592</v>
      </c>
      <c r="AY91" s="238">
        <f t="shared" si="31"/>
        <v>11.352994893311461</v>
      </c>
    </row>
    <row r="92" spans="1:51" s="182" customFormat="1" ht="12.75" customHeight="1">
      <c r="A92" s="239" t="s">
        <v>347</v>
      </c>
      <c r="B92" s="239" t="s">
        <v>348</v>
      </c>
      <c r="C92" s="240">
        <v>0</v>
      </c>
      <c r="D92" s="240">
        <v>0</v>
      </c>
      <c r="E92" s="221"/>
      <c r="F92" s="222">
        <v>0</v>
      </c>
      <c r="G92" s="222">
        <v>13.86</v>
      </c>
      <c r="H92" s="222">
        <v>0</v>
      </c>
      <c r="I92" s="222">
        <v>0</v>
      </c>
      <c r="J92" s="222">
        <v>0</v>
      </c>
      <c r="K92" s="222">
        <v>0</v>
      </c>
      <c r="L92" s="222">
        <v>0</v>
      </c>
      <c r="M92" s="222">
        <v>0</v>
      </c>
      <c r="N92" s="222">
        <v>0</v>
      </c>
      <c r="O92" s="222">
        <v>0</v>
      </c>
      <c r="P92" s="222">
        <v>0</v>
      </c>
      <c r="Q92" s="222">
        <v>0</v>
      </c>
      <c r="R92" s="241">
        <f t="shared" si="25"/>
        <v>13.86</v>
      </c>
      <c r="T92" s="222">
        <f t="shared" si="20"/>
        <v>0</v>
      </c>
      <c r="U92" s="222">
        <f t="shared" si="20"/>
        <v>0</v>
      </c>
      <c r="V92" s="222">
        <f t="shared" si="20"/>
        <v>0</v>
      </c>
      <c r="W92" s="222">
        <f t="shared" si="20"/>
        <v>0</v>
      </c>
      <c r="X92" s="222">
        <f t="shared" si="20"/>
        <v>0</v>
      </c>
      <c r="Y92" s="222">
        <f t="shared" si="20"/>
        <v>0</v>
      </c>
      <c r="Z92" s="222">
        <f t="shared" si="20"/>
        <v>0</v>
      </c>
      <c r="AA92" s="222">
        <f t="shared" si="20"/>
        <v>0</v>
      </c>
      <c r="AB92" s="222">
        <f t="shared" si="20"/>
        <v>0</v>
      </c>
      <c r="AC92" s="222">
        <f t="shared" si="21"/>
        <v>0</v>
      </c>
      <c r="AD92" s="222">
        <f t="shared" si="21"/>
        <v>0</v>
      </c>
      <c r="AE92" s="222">
        <f t="shared" si="21"/>
        <v>0</v>
      </c>
      <c r="AF92" s="231">
        <f t="shared" si="22"/>
        <v>0</v>
      </c>
      <c r="AG92" s="232">
        <f t="shared" si="23"/>
        <v>0</v>
      </c>
      <c r="AK92" s="242"/>
      <c r="AQ92" s="234">
        <f t="shared" si="26"/>
        <v>0</v>
      </c>
      <c r="AR92" s="235">
        <f t="shared" si="27"/>
        <v>0</v>
      </c>
      <c r="AS92" s="235">
        <f t="shared" si="28"/>
        <v>-13.86</v>
      </c>
      <c r="AT92" s="236">
        <f t="shared" si="29"/>
        <v>-1</v>
      </c>
      <c r="AW92" s="237">
        <f t="shared" si="24"/>
        <v>0</v>
      </c>
      <c r="AX92" s="237">
        <f t="shared" si="30"/>
        <v>0</v>
      </c>
      <c r="AY92" s="238">
        <f t="shared" si="31"/>
        <v>0</v>
      </c>
    </row>
    <row r="93" spans="1:51" s="182" customFormat="1" ht="12" customHeight="1">
      <c r="A93" s="239" t="s">
        <v>349</v>
      </c>
      <c r="B93" s="239" t="s">
        <v>350</v>
      </c>
      <c r="C93" s="240">
        <v>0</v>
      </c>
      <c r="D93" s="240">
        <v>0</v>
      </c>
      <c r="E93" s="221"/>
      <c r="F93" s="222">
        <v>0</v>
      </c>
      <c r="G93" s="222">
        <v>0</v>
      </c>
      <c r="H93" s="222">
        <v>0</v>
      </c>
      <c r="I93" s="222">
        <v>0</v>
      </c>
      <c r="J93" s="222">
        <v>0</v>
      </c>
      <c r="K93" s="222">
        <v>0</v>
      </c>
      <c r="L93" s="222">
        <v>0</v>
      </c>
      <c r="M93" s="222">
        <v>0</v>
      </c>
      <c r="N93" s="222">
        <v>0</v>
      </c>
      <c r="O93" s="222">
        <v>0</v>
      </c>
      <c r="P93" s="222">
        <v>0</v>
      </c>
      <c r="Q93" s="222">
        <v>0</v>
      </c>
      <c r="R93" s="241">
        <f t="shared" si="25"/>
        <v>0</v>
      </c>
      <c r="T93" s="222">
        <f t="shared" si="20"/>
        <v>0</v>
      </c>
      <c r="U93" s="222">
        <f t="shared" si="20"/>
        <v>0</v>
      </c>
      <c r="V93" s="222">
        <f t="shared" si="20"/>
        <v>0</v>
      </c>
      <c r="W93" s="222">
        <f t="shared" si="20"/>
        <v>0</v>
      </c>
      <c r="X93" s="222">
        <f t="shared" si="20"/>
        <v>0</v>
      </c>
      <c r="Y93" s="222">
        <f t="shared" si="20"/>
        <v>0</v>
      </c>
      <c r="Z93" s="222">
        <f t="shared" si="20"/>
        <v>0</v>
      </c>
      <c r="AA93" s="222">
        <f t="shared" si="20"/>
        <v>0</v>
      </c>
      <c r="AB93" s="222">
        <f t="shared" si="20"/>
        <v>0</v>
      </c>
      <c r="AC93" s="222">
        <f t="shared" si="21"/>
        <v>0</v>
      </c>
      <c r="AD93" s="222">
        <f t="shared" si="21"/>
        <v>0</v>
      </c>
      <c r="AE93" s="222">
        <f t="shared" si="21"/>
        <v>0</v>
      </c>
      <c r="AF93" s="231">
        <f t="shared" si="22"/>
        <v>0</v>
      </c>
      <c r="AG93" s="232">
        <f t="shared" si="23"/>
        <v>0</v>
      </c>
      <c r="AK93" s="242"/>
      <c r="AQ93" s="234">
        <f t="shared" si="26"/>
        <v>0</v>
      </c>
      <c r="AR93" s="235">
        <f t="shared" si="27"/>
        <v>0</v>
      </c>
      <c r="AS93" s="235">
        <f t="shared" si="28"/>
        <v>0</v>
      </c>
      <c r="AT93" s="236" t="e">
        <f t="shared" si="29"/>
        <v>#DIV/0!</v>
      </c>
      <c r="AW93" s="237">
        <f t="shared" si="24"/>
        <v>0</v>
      </c>
      <c r="AX93" s="237">
        <f t="shared" si="30"/>
        <v>0</v>
      </c>
      <c r="AY93" s="238">
        <f t="shared" si="31"/>
        <v>0</v>
      </c>
    </row>
    <row r="94" spans="1:51" s="182" customFormat="1" ht="12" customHeight="1">
      <c r="A94" s="239" t="s">
        <v>351</v>
      </c>
      <c r="B94" s="239" t="s">
        <v>352</v>
      </c>
      <c r="C94" s="240">
        <v>13.82</v>
      </c>
      <c r="D94" s="240">
        <v>13.86</v>
      </c>
      <c r="E94" s="221"/>
      <c r="F94" s="222">
        <v>13.86</v>
      </c>
      <c r="G94" s="222">
        <v>41.58</v>
      </c>
      <c r="H94" s="222">
        <v>55.44</v>
      </c>
      <c r="I94" s="222">
        <v>69.099999999999994</v>
      </c>
      <c r="J94" s="222">
        <v>82.919999999999987</v>
      </c>
      <c r="K94" s="222">
        <v>96.740000000000009</v>
      </c>
      <c r="L94" s="222">
        <v>110.56</v>
      </c>
      <c r="M94" s="222">
        <v>55.28</v>
      </c>
      <c r="N94" s="222">
        <v>110.6</v>
      </c>
      <c r="O94" s="222">
        <v>69.259999999999991</v>
      </c>
      <c r="P94" s="222">
        <v>69.3</v>
      </c>
      <c r="Q94" s="222">
        <v>69.3</v>
      </c>
      <c r="R94" s="241">
        <f t="shared" si="25"/>
        <v>843.93999999999994</v>
      </c>
      <c r="T94" s="222">
        <f t="shared" si="20"/>
        <v>1.0028943560057886</v>
      </c>
      <c r="U94" s="222">
        <f t="shared" si="20"/>
        <v>3.008683068017366</v>
      </c>
      <c r="V94" s="222">
        <f t="shared" si="20"/>
        <v>4.0115774240231543</v>
      </c>
      <c r="W94" s="222">
        <f t="shared" si="20"/>
        <v>4.9999999999999991</v>
      </c>
      <c r="X94" s="222">
        <f t="shared" si="20"/>
        <v>5.9999999999999991</v>
      </c>
      <c r="Y94" s="222">
        <f t="shared" si="20"/>
        <v>7.0000000000000009</v>
      </c>
      <c r="Z94" s="222">
        <f t="shared" si="20"/>
        <v>8</v>
      </c>
      <c r="AA94" s="222">
        <f t="shared" si="20"/>
        <v>4</v>
      </c>
      <c r="AB94" s="222">
        <f t="shared" si="20"/>
        <v>8.0028943560057879</v>
      </c>
      <c r="AC94" s="222">
        <f t="shared" si="21"/>
        <v>4.9971139971139964</v>
      </c>
      <c r="AD94" s="222">
        <f t="shared" si="21"/>
        <v>5</v>
      </c>
      <c r="AE94" s="222">
        <f t="shared" si="21"/>
        <v>5</v>
      </c>
      <c r="AF94" s="231">
        <f t="shared" si="22"/>
        <v>61.023163201166092</v>
      </c>
      <c r="AG94" s="232">
        <f t="shared" si="23"/>
        <v>5.085263600097174</v>
      </c>
      <c r="AK94" s="242"/>
      <c r="AQ94" s="234">
        <f t="shared" si="26"/>
        <v>15.047599558976042</v>
      </c>
      <c r="AR94" s="235">
        <f t="shared" si="27"/>
        <v>918.25212367318989</v>
      </c>
      <c r="AS94" s="235">
        <f t="shared" si="28"/>
        <v>74.312123673189944</v>
      </c>
      <c r="AT94" s="236">
        <f t="shared" si="29"/>
        <v>8.8053799645934488E-2</v>
      </c>
      <c r="AW94" s="237">
        <f t="shared" si="24"/>
        <v>15.107194748094471</v>
      </c>
      <c r="AX94" s="237">
        <f t="shared" si="30"/>
        <v>921.8888106247681</v>
      </c>
      <c r="AY94" s="238">
        <f t="shared" si="31"/>
        <v>3.6366869515782128</v>
      </c>
    </row>
    <row r="95" spans="1:51" s="182" customFormat="1" ht="12" customHeight="1">
      <c r="A95" s="239" t="s">
        <v>353</v>
      </c>
      <c r="B95" s="239" t="s">
        <v>354</v>
      </c>
      <c r="C95" s="240">
        <v>0</v>
      </c>
      <c r="D95" s="240">
        <v>0</v>
      </c>
      <c r="E95" s="221"/>
      <c r="F95" s="222">
        <v>0</v>
      </c>
      <c r="G95" s="222">
        <v>0</v>
      </c>
      <c r="H95" s="222">
        <v>0</v>
      </c>
      <c r="I95" s="222">
        <v>0</v>
      </c>
      <c r="J95" s="222">
        <v>0</v>
      </c>
      <c r="K95" s="222">
        <v>-13.82</v>
      </c>
      <c r="L95" s="222">
        <v>0</v>
      </c>
      <c r="M95" s="222">
        <v>0</v>
      </c>
      <c r="N95" s="222">
        <v>0</v>
      </c>
      <c r="O95" s="222">
        <v>0</v>
      </c>
      <c r="P95" s="222">
        <v>0</v>
      </c>
      <c r="Q95" s="222">
        <v>0</v>
      </c>
      <c r="R95" s="241">
        <f t="shared" si="25"/>
        <v>-13.82</v>
      </c>
      <c r="T95" s="222">
        <f t="shared" si="20"/>
        <v>0</v>
      </c>
      <c r="U95" s="222">
        <f t="shared" si="20"/>
        <v>0</v>
      </c>
      <c r="V95" s="222">
        <f t="shared" si="20"/>
        <v>0</v>
      </c>
      <c r="W95" s="222">
        <f t="shared" si="20"/>
        <v>0</v>
      </c>
      <c r="X95" s="222">
        <f t="shared" si="20"/>
        <v>0</v>
      </c>
      <c r="Y95" s="222">
        <f t="shared" si="20"/>
        <v>0</v>
      </c>
      <c r="Z95" s="222">
        <f t="shared" si="20"/>
        <v>0</v>
      </c>
      <c r="AA95" s="222">
        <f t="shared" si="20"/>
        <v>0</v>
      </c>
      <c r="AB95" s="222">
        <f t="shared" si="20"/>
        <v>0</v>
      </c>
      <c r="AC95" s="222">
        <f t="shared" si="21"/>
        <v>0</v>
      </c>
      <c r="AD95" s="222">
        <f t="shared" si="21"/>
        <v>0</v>
      </c>
      <c r="AE95" s="222">
        <f t="shared" si="21"/>
        <v>0</v>
      </c>
      <c r="AF95" s="231">
        <f t="shared" si="22"/>
        <v>0</v>
      </c>
      <c r="AG95" s="232">
        <f t="shared" si="23"/>
        <v>0</v>
      </c>
      <c r="AK95" s="242"/>
      <c r="AQ95" s="234">
        <f t="shared" si="26"/>
        <v>0</v>
      </c>
      <c r="AR95" s="235">
        <f t="shared" si="27"/>
        <v>0</v>
      </c>
      <c r="AS95" s="235">
        <f t="shared" si="28"/>
        <v>13.82</v>
      </c>
      <c r="AT95" s="236">
        <f t="shared" si="29"/>
        <v>-1</v>
      </c>
      <c r="AW95" s="237">
        <f t="shared" si="24"/>
        <v>0</v>
      </c>
      <c r="AX95" s="237">
        <f t="shared" si="30"/>
        <v>0</v>
      </c>
      <c r="AY95" s="238">
        <f t="shared" si="31"/>
        <v>0</v>
      </c>
    </row>
    <row r="96" spans="1:51" s="182" customFormat="1" ht="12" customHeight="1">
      <c r="A96" s="239" t="s">
        <v>355</v>
      </c>
      <c r="B96" s="239" t="s">
        <v>356</v>
      </c>
      <c r="C96" s="240">
        <v>0</v>
      </c>
      <c r="D96" s="240">
        <v>0</v>
      </c>
      <c r="E96" s="221"/>
      <c r="F96" s="222">
        <v>0</v>
      </c>
      <c r="G96" s="222">
        <v>0</v>
      </c>
      <c r="H96" s="222">
        <v>0</v>
      </c>
      <c r="I96" s="222">
        <v>0</v>
      </c>
      <c r="J96" s="222">
        <v>0</v>
      </c>
      <c r="K96" s="222">
        <v>0</v>
      </c>
      <c r="L96" s="222">
        <v>0</v>
      </c>
      <c r="M96" s="222">
        <v>0</v>
      </c>
      <c r="N96" s="222">
        <v>0</v>
      </c>
      <c r="O96" s="222">
        <v>0</v>
      </c>
      <c r="P96" s="222">
        <v>0</v>
      </c>
      <c r="Q96" s="222">
        <v>0</v>
      </c>
      <c r="R96" s="241">
        <f t="shared" si="25"/>
        <v>0</v>
      </c>
      <c r="T96" s="222">
        <f t="shared" si="20"/>
        <v>0</v>
      </c>
      <c r="U96" s="222">
        <f t="shared" si="20"/>
        <v>0</v>
      </c>
      <c r="V96" s="222">
        <f t="shared" si="20"/>
        <v>0</v>
      </c>
      <c r="W96" s="222">
        <f t="shared" si="20"/>
        <v>0</v>
      </c>
      <c r="X96" s="222">
        <f t="shared" si="20"/>
        <v>0</v>
      </c>
      <c r="Y96" s="222">
        <f t="shared" si="20"/>
        <v>0</v>
      </c>
      <c r="Z96" s="222">
        <f t="shared" si="20"/>
        <v>0</v>
      </c>
      <c r="AA96" s="222">
        <f t="shared" si="20"/>
        <v>0</v>
      </c>
      <c r="AB96" s="222">
        <f t="shared" si="20"/>
        <v>0</v>
      </c>
      <c r="AC96" s="222">
        <f t="shared" si="21"/>
        <v>0</v>
      </c>
      <c r="AD96" s="222">
        <f t="shared" si="21"/>
        <v>0</v>
      </c>
      <c r="AE96" s="222">
        <f t="shared" si="21"/>
        <v>0</v>
      </c>
      <c r="AF96" s="231">
        <f t="shared" si="22"/>
        <v>0</v>
      </c>
      <c r="AG96" s="232">
        <f t="shared" si="23"/>
        <v>0</v>
      </c>
      <c r="AK96" s="242"/>
      <c r="AQ96" s="234">
        <f t="shared" si="26"/>
        <v>0</v>
      </c>
      <c r="AR96" s="235">
        <f t="shared" si="27"/>
        <v>0</v>
      </c>
      <c r="AS96" s="235">
        <f t="shared" si="28"/>
        <v>0</v>
      </c>
      <c r="AT96" s="236" t="e">
        <f t="shared" si="29"/>
        <v>#DIV/0!</v>
      </c>
      <c r="AW96" s="237">
        <f t="shared" si="24"/>
        <v>0</v>
      </c>
      <c r="AX96" s="237">
        <f t="shared" si="30"/>
        <v>0</v>
      </c>
      <c r="AY96" s="238">
        <f t="shared" si="31"/>
        <v>0</v>
      </c>
    </row>
    <row r="97" spans="1:51" s="411" customFormat="1" ht="12" customHeight="1">
      <c r="A97" s="408" t="s">
        <v>357</v>
      </c>
      <c r="B97" s="408" t="s">
        <v>358</v>
      </c>
      <c r="C97" s="272">
        <v>7.55</v>
      </c>
      <c r="D97" s="272">
        <v>7.57</v>
      </c>
      <c r="E97" s="409"/>
      <c r="F97" s="274">
        <v>0</v>
      </c>
      <c r="G97" s="274">
        <v>0</v>
      </c>
      <c r="H97" s="274">
        <v>0</v>
      </c>
      <c r="I97" s="274">
        <v>0</v>
      </c>
      <c r="J97" s="274">
        <v>0</v>
      </c>
      <c r="K97" s="274">
        <v>0</v>
      </c>
      <c r="L97" s="274">
        <v>7.55</v>
      </c>
      <c r="M97" s="274">
        <v>0</v>
      </c>
      <c r="N97" s="274">
        <v>0</v>
      </c>
      <c r="O97" s="274">
        <v>0</v>
      </c>
      <c r="P97" s="274">
        <v>0</v>
      </c>
      <c r="Q97" s="274">
        <v>0</v>
      </c>
      <c r="R97" s="410">
        <f t="shared" si="25"/>
        <v>7.55</v>
      </c>
      <c r="T97" s="274">
        <f t="shared" si="20"/>
        <v>0</v>
      </c>
      <c r="U97" s="274">
        <f t="shared" si="20"/>
        <v>0</v>
      </c>
      <c r="V97" s="274">
        <f t="shared" si="20"/>
        <v>0</v>
      </c>
      <c r="W97" s="274">
        <f t="shared" si="20"/>
        <v>0</v>
      </c>
      <c r="X97" s="274">
        <f t="shared" si="20"/>
        <v>0</v>
      </c>
      <c r="Y97" s="274">
        <f t="shared" si="20"/>
        <v>0</v>
      </c>
      <c r="Z97" s="274">
        <f t="shared" si="20"/>
        <v>1</v>
      </c>
      <c r="AA97" s="274">
        <f t="shared" si="20"/>
        <v>0</v>
      </c>
      <c r="AB97" s="274">
        <f t="shared" si="20"/>
        <v>0</v>
      </c>
      <c r="AC97" s="274">
        <f t="shared" si="21"/>
        <v>0</v>
      </c>
      <c r="AD97" s="274">
        <f t="shared" si="21"/>
        <v>0</v>
      </c>
      <c r="AE97" s="274">
        <f t="shared" si="21"/>
        <v>0</v>
      </c>
      <c r="AF97" s="277">
        <f t="shared" si="22"/>
        <v>1</v>
      </c>
      <c r="AG97" s="278">
        <f t="shared" si="23"/>
        <v>8.3333333333333329E-2</v>
      </c>
      <c r="AK97" s="412"/>
      <c r="AQ97" s="414">
        <f t="shared" si="26"/>
        <v>8.218638431561951</v>
      </c>
      <c r="AR97" s="415">
        <f t="shared" si="27"/>
        <v>8.218638431561951</v>
      </c>
      <c r="AS97" s="415">
        <f t="shared" si="28"/>
        <v>0.66863843156195113</v>
      </c>
      <c r="AT97" s="416">
        <f t="shared" si="29"/>
        <v>8.8561381663834593E-2</v>
      </c>
      <c r="AW97" s="417">
        <f t="shared" si="24"/>
        <v>8.2511878963257672</v>
      </c>
      <c r="AX97" s="417">
        <f t="shared" si="30"/>
        <v>8.2511878963257672</v>
      </c>
      <c r="AY97" s="418">
        <f t="shared" si="31"/>
        <v>3.254946476381626E-2</v>
      </c>
    </row>
    <row r="98" spans="1:51" s="411" customFormat="1" ht="12" customHeight="1">
      <c r="A98" s="408" t="s">
        <v>359</v>
      </c>
      <c r="B98" s="408" t="s">
        <v>360</v>
      </c>
      <c r="C98" s="272">
        <v>13.88</v>
      </c>
      <c r="D98" s="272">
        <v>13.92</v>
      </c>
      <c r="E98" s="409"/>
      <c r="F98" s="274">
        <v>0</v>
      </c>
      <c r="G98" s="274">
        <v>0</v>
      </c>
      <c r="H98" s="274">
        <v>0</v>
      </c>
      <c r="I98" s="274">
        <v>0</v>
      </c>
      <c r="J98" s="274">
        <v>0</v>
      </c>
      <c r="K98" s="274">
        <v>41.64</v>
      </c>
      <c r="L98" s="274">
        <v>0</v>
      </c>
      <c r="M98" s="274">
        <v>0</v>
      </c>
      <c r="N98" s="274">
        <v>0</v>
      </c>
      <c r="O98" s="274">
        <v>0</v>
      </c>
      <c r="P98" s="274">
        <v>0</v>
      </c>
      <c r="Q98" s="274">
        <v>0</v>
      </c>
      <c r="R98" s="410">
        <f t="shared" si="25"/>
        <v>41.64</v>
      </c>
      <c r="T98" s="274">
        <f t="shared" si="20"/>
        <v>0</v>
      </c>
      <c r="U98" s="274">
        <f t="shared" si="20"/>
        <v>0</v>
      </c>
      <c r="V98" s="274">
        <f t="shared" si="20"/>
        <v>0</v>
      </c>
      <c r="W98" s="274">
        <f t="shared" si="20"/>
        <v>0</v>
      </c>
      <c r="X98" s="274">
        <f t="shared" si="20"/>
        <v>0</v>
      </c>
      <c r="Y98" s="274">
        <f t="shared" si="20"/>
        <v>3</v>
      </c>
      <c r="Z98" s="274">
        <f t="shared" si="20"/>
        <v>0</v>
      </c>
      <c r="AA98" s="274">
        <f t="shared" si="20"/>
        <v>0</v>
      </c>
      <c r="AB98" s="274">
        <f t="shared" si="20"/>
        <v>0</v>
      </c>
      <c r="AC98" s="274">
        <f t="shared" si="21"/>
        <v>0</v>
      </c>
      <c r="AD98" s="274">
        <f t="shared" si="21"/>
        <v>0</v>
      </c>
      <c r="AE98" s="274">
        <f t="shared" si="21"/>
        <v>0</v>
      </c>
      <c r="AF98" s="277">
        <f t="shared" si="22"/>
        <v>3</v>
      </c>
      <c r="AG98" s="278">
        <f t="shared" si="23"/>
        <v>0.25</v>
      </c>
      <c r="AK98" s="412"/>
      <c r="AQ98" s="414">
        <f t="shared" si="26"/>
        <v>15.112740682607972</v>
      </c>
      <c r="AR98" s="415">
        <f t="shared" si="27"/>
        <v>45.338222047823919</v>
      </c>
      <c r="AS98" s="415">
        <f t="shared" si="28"/>
        <v>3.6982220478239185</v>
      </c>
      <c r="AT98" s="416">
        <f t="shared" si="29"/>
        <v>8.8814170216712743E-2</v>
      </c>
      <c r="AW98" s="417">
        <f t="shared" si="24"/>
        <v>15.172593859558082</v>
      </c>
      <c r="AX98" s="417">
        <f t="shared" si="30"/>
        <v>45.517781578674246</v>
      </c>
      <c r="AY98" s="418">
        <f t="shared" si="31"/>
        <v>0.17955953085032661</v>
      </c>
    </row>
    <row r="99" spans="1:51" s="411" customFormat="1" ht="12" customHeight="1">
      <c r="A99" s="408" t="s">
        <v>361</v>
      </c>
      <c r="B99" s="408" t="s">
        <v>362</v>
      </c>
      <c r="C99" s="272">
        <v>7.55</v>
      </c>
      <c r="D99" s="272">
        <v>7.57</v>
      </c>
      <c r="E99" s="409"/>
      <c r="F99" s="274">
        <v>0</v>
      </c>
      <c r="G99" s="274">
        <v>0</v>
      </c>
      <c r="H99" s="274">
        <v>0</v>
      </c>
      <c r="I99" s="274">
        <v>0</v>
      </c>
      <c r="J99" s="274">
        <v>7.55</v>
      </c>
      <c r="K99" s="274">
        <v>15.1</v>
      </c>
      <c r="L99" s="274">
        <v>30.2</v>
      </c>
      <c r="M99" s="274">
        <v>0</v>
      </c>
      <c r="N99" s="274">
        <v>7.55</v>
      </c>
      <c r="O99" s="274">
        <v>0</v>
      </c>
      <c r="P99" s="274">
        <v>7.57</v>
      </c>
      <c r="Q99" s="274">
        <v>0</v>
      </c>
      <c r="R99" s="275">
        <f t="shared" si="25"/>
        <v>67.97</v>
      </c>
      <c r="T99" s="276">
        <f t="shared" si="20"/>
        <v>0</v>
      </c>
      <c r="U99" s="276">
        <f t="shared" si="20"/>
        <v>0</v>
      </c>
      <c r="V99" s="276">
        <f t="shared" si="20"/>
        <v>0</v>
      </c>
      <c r="W99" s="276">
        <f t="shared" si="20"/>
        <v>0</v>
      </c>
      <c r="X99" s="276">
        <f t="shared" si="20"/>
        <v>1</v>
      </c>
      <c r="Y99" s="276">
        <f t="shared" si="20"/>
        <v>2</v>
      </c>
      <c r="Z99" s="276">
        <f t="shared" si="20"/>
        <v>4</v>
      </c>
      <c r="AA99" s="276">
        <f t="shared" si="20"/>
        <v>0</v>
      </c>
      <c r="AB99" s="276">
        <f t="shared" si="20"/>
        <v>1</v>
      </c>
      <c r="AC99" s="276">
        <f t="shared" si="21"/>
        <v>0</v>
      </c>
      <c r="AD99" s="276">
        <f t="shared" si="21"/>
        <v>1</v>
      </c>
      <c r="AE99" s="276">
        <f t="shared" si="21"/>
        <v>0</v>
      </c>
      <c r="AF99" s="277">
        <f t="shared" si="22"/>
        <v>9</v>
      </c>
      <c r="AG99" s="278">
        <f t="shared" si="23"/>
        <v>0.75</v>
      </c>
      <c r="AK99" s="412"/>
      <c r="AQ99" s="414">
        <f t="shared" si="26"/>
        <v>8.218638431561951</v>
      </c>
      <c r="AR99" s="415">
        <f t="shared" si="27"/>
        <v>73.967745884057564</v>
      </c>
      <c r="AS99" s="415">
        <f t="shared" si="28"/>
        <v>5.997745884057565</v>
      </c>
      <c r="AT99" s="416">
        <f t="shared" si="29"/>
        <v>8.8241075239922986E-2</v>
      </c>
      <c r="AW99" s="417">
        <f t="shared" si="24"/>
        <v>8.2511878963257672</v>
      </c>
      <c r="AX99" s="417">
        <f t="shared" si="30"/>
        <v>74.260691066931912</v>
      </c>
      <c r="AY99" s="418">
        <f t="shared" si="31"/>
        <v>0.29294518287434812</v>
      </c>
    </row>
    <row r="100" spans="1:51" s="411" customFormat="1" ht="12" customHeight="1">
      <c r="A100" s="408" t="s">
        <v>363</v>
      </c>
      <c r="B100" s="408" t="s">
        <v>364</v>
      </c>
      <c r="C100" s="272">
        <v>9.27</v>
      </c>
      <c r="D100" s="272">
        <v>9.2899999999999991</v>
      </c>
      <c r="E100" s="409"/>
      <c r="F100" s="274">
        <v>2099.54</v>
      </c>
      <c r="G100" s="274">
        <v>-1486.4</v>
      </c>
      <c r="H100" s="274">
        <v>390.18</v>
      </c>
      <c r="I100" s="274">
        <v>500.58</v>
      </c>
      <c r="J100" s="274">
        <v>426.42</v>
      </c>
      <c r="K100" s="274">
        <v>435.68999999999994</v>
      </c>
      <c r="L100" s="274">
        <v>593.28</v>
      </c>
      <c r="M100" s="274">
        <v>463.5</v>
      </c>
      <c r="N100" s="274">
        <v>454.23</v>
      </c>
      <c r="O100" s="274">
        <v>1068.31</v>
      </c>
      <c r="P100" s="274">
        <v>353.02</v>
      </c>
      <c r="Q100" s="274">
        <v>557.4</v>
      </c>
      <c r="R100" s="275">
        <f t="shared" si="25"/>
        <v>5855.75</v>
      </c>
      <c r="T100" s="276">
        <f t="shared" si="20"/>
        <v>226.48759439050701</v>
      </c>
      <c r="U100" s="276">
        <f t="shared" si="20"/>
        <v>-160.34519956850056</v>
      </c>
      <c r="V100" s="276">
        <f t="shared" si="20"/>
        <v>42.090614886731395</v>
      </c>
      <c r="W100" s="276">
        <f t="shared" si="20"/>
        <v>54</v>
      </c>
      <c r="X100" s="276">
        <f t="shared" si="20"/>
        <v>46.000000000000007</v>
      </c>
      <c r="Y100" s="276">
        <f t="shared" si="20"/>
        <v>46.999999999999993</v>
      </c>
      <c r="Z100" s="276">
        <f t="shared" si="20"/>
        <v>64</v>
      </c>
      <c r="AA100" s="276">
        <f t="shared" si="20"/>
        <v>50</v>
      </c>
      <c r="AB100" s="276">
        <f t="shared" si="20"/>
        <v>49.000000000000007</v>
      </c>
      <c r="AC100" s="276">
        <f t="shared" si="21"/>
        <v>114.9956942949408</v>
      </c>
      <c r="AD100" s="276">
        <f t="shared" si="21"/>
        <v>38</v>
      </c>
      <c r="AE100" s="276">
        <f t="shared" si="21"/>
        <v>60</v>
      </c>
      <c r="AF100" s="277">
        <f t="shared" si="22"/>
        <v>631.22870400367867</v>
      </c>
      <c r="AG100" s="278">
        <f t="shared" si="23"/>
        <v>52.602392000306558</v>
      </c>
      <c r="AK100" s="412"/>
      <c r="AQ100" s="414">
        <f t="shared" si="26"/>
        <v>10.086017309010636</v>
      </c>
      <c r="AR100" s="415">
        <f t="shared" si="27"/>
        <v>6366.5836345254547</v>
      </c>
      <c r="AS100" s="415">
        <f t="shared" si="28"/>
        <v>510.83363452545473</v>
      </c>
      <c r="AT100" s="416">
        <f t="shared" si="29"/>
        <v>8.7236243781830633E-2</v>
      </c>
      <c r="AW100" s="417">
        <f t="shared" si="24"/>
        <v>10.125962424949323</v>
      </c>
      <c r="AX100" s="417">
        <f t="shared" si="30"/>
        <v>6391.7981382907092</v>
      </c>
      <c r="AY100" s="418">
        <f t="shared" si="31"/>
        <v>25.214503765254449</v>
      </c>
    </row>
    <row r="101" spans="1:51" s="411" customFormat="1" ht="12" customHeight="1">
      <c r="A101" s="408" t="s">
        <v>365</v>
      </c>
      <c r="B101" s="408" t="s">
        <v>366</v>
      </c>
      <c r="C101" s="272">
        <v>13.88</v>
      </c>
      <c r="D101" s="272">
        <v>13.92</v>
      </c>
      <c r="E101" s="409"/>
      <c r="F101" s="274">
        <v>222.72</v>
      </c>
      <c r="G101" s="274">
        <v>153.12</v>
      </c>
      <c r="H101" s="274">
        <v>207.8</v>
      </c>
      <c r="I101" s="274">
        <v>152.68</v>
      </c>
      <c r="J101" s="274">
        <v>97.16</v>
      </c>
      <c r="K101" s="274">
        <v>158.77000000000001</v>
      </c>
      <c r="L101" s="274">
        <v>208.2</v>
      </c>
      <c r="M101" s="274">
        <v>291.48</v>
      </c>
      <c r="N101" s="274">
        <v>83.28</v>
      </c>
      <c r="O101" s="274">
        <v>139.19999999999999</v>
      </c>
      <c r="P101" s="274">
        <v>97.44</v>
      </c>
      <c r="Q101" s="274">
        <v>236.64</v>
      </c>
      <c r="R101" s="275">
        <f t="shared" si="25"/>
        <v>2048.4900000000002</v>
      </c>
      <c r="T101" s="276">
        <f t="shared" si="20"/>
        <v>16.046109510086453</v>
      </c>
      <c r="U101" s="276">
        <f t="shared" si="20"/>
        <v>11.031700288184437</v>
      </c>
      <c r="V101" s="276">
        <f t="shared" si="20"/>
        <v>14.971181556195965</v>
      </c>
      <c r="W101" s="276">
        <f t="shared" ref="W101:AB113" si="32">IFERROR(I101/$C101,0)</f>
        <v>11</v>
      </c>
      <c r="X101" s="276">
        <f t="shared" si="32"/>
        <v>6.9999999999999991</v>
      </c>
      <c r="Y101" s="276">
        <f t="shared" si="32"/>
        <v>11.438760806916427</v>
      </c>
      <c r="Z101" s="276">
        <f t="shared" si="32"/>
        <v>14.999999999999998</v>
      </c>
      <c r="AA101" s="276">
        <f t="shared" si="32"/>
        <v>21</v>
      </c>
      <c r="AB101" s="276">
        <f t="shared" si="32"/>
        <v>6</v>
      </c>
      <c r="AC101" s="276">
        <f t="shared" si="21"/>
        <v>10</v>
      </c>
      <c r="AD101" s="276">
        <f t="shared" si="21"/>
        <v>7</v>
      </c>
      <c r="AE101" s="276">
        <f t="shared" si="21"/>
        <v>17</v>
      </c>
      <c r="AF101" s="277">
        <f t="shared" si="22"/>
        <v>147.4877521613833</v>
      </c>
      <c r="AG101" s="278">
        <f t="shared" si="23"/>
        <v>12.290646013448608</v>
      </c>
      <c r="AK101" s="412"/>
      <c r="AQ101" s="414">
        <f t="shared" si="26"/>
        <v>15.112740682607972</v>
      </c>
      <c r="AR101" s="415">
        <f t="shared" si="27"/>
        <v>2228.9441522757393</v>
      </c>
      <c r="AS101" s="415">
        <f t="shared" si="28"/>
        <v>180.45415227573903</v>
      </c>
      <c r="AT101" s="416">
        <f t="shared" si="29"/>
        <v>8.8091302508549713E-2</v>
      </c>
      <c r="AW101" s="417">
        <f t="shared" si="24"/>
        <v>15.172593859558082</v>
      </c>
      <c r="AX101" s="417">
        <f t="shared" si="30"/>
        <v>2237.7717628038286</v>
      </c>
      <c r="AY101" s="418">
        <f t="shared" si="31"/>
        <v>8.8276105280892807</v>
      </c>
    </row>
    <row r="102" spans="1:51" s="411" customFormat="1" ht="12" customHeight="1">
      <c r="A102" s="408" t="s">
        <v>367</v>
      </c>
      <c r="B102" s="408" t="s">
        <v>368</v>
      </c>
      <c r="C102" s="272">
        <v>7.55</v>
      </c>
      <c r="D102" s="272">
        <v>7.57</v>
      </c>
      <c r="E102" s="409"/>
      <c r="F102" s="274">
        <v>0</v>
      </c>
      <c r="G102" s="274">
        <v>0</v>
      </c>
      <c r="H102" s="274">
        <v>0</v>
      </c>
      <c r="I102" s="274">
        <v>0</v>
      </c>
      <c r="J102" s="274">
        <v>0</v>
      </c>
      <c r="K102" s="274">
        <v>15.1</v>
      </c>
      <c r="L102" s="274">
        <v>0</v>
      </c>
      <c r="M102" s="274">
        <v>15.1</v>
      </c>
      <c r="N102" s="274">
        <v>0</v>
      </c>
      <c r="O102" s="274">
        <v>7.57</v>
      </c>
      <c r="P102" s="274">
        <v>0</v>
      </c>
      <c r="Q102" s="274">
        <v>7.57</v>
      </c>
      <c r="R102" s="275">
        <f t="shared" si="25"/>
        <v>45.339999999999996</v>
      </c>
      <c r="T102" s="276">
        <f t="shared" ref="T102:V113" si="33">IFERROR(F102/$C102,0)</f>
        <v>0</v>
      </c>
      <c r="U102" s="276">
        <f t="shared" si="33"/>
        <v>0</v>
      </c>
      <c r="V102" s="276">
        <f t="shared" si="33"/>
        <v>0</v>
      </c>
      <c r="W102" s="276">
        <f t="shared" si="32"/>
        <v>0</v>
      </c>
      <c r="X102" s="276">
        <f t="shared" si="32"/>
        <v>0</v>
      </c>
      <c r="Y102" s="276">
        <f t="shared" si="32"/>
        <v>2</v>
      </c>
      <c r="Z102" s="276">
        <f t="shared" si="32"/>
        <v>0</v>
      </c>
      <c r="AA102" s="276">
        <f t="shared" si="32"/>
        <v>2</v>
      </c>
      <c r="AB102" s="276">
        <f t="shared" si="32"/>
        <v>0</v>
      </c>
      <c r="AC102" s="276">
        <f t="shared" si="21"/>
        <v>1</v>
      </c>
      <c r="AD102" s="276">
        <f t="shared" si="21"/>
        <v>0</v>
      </c>
      <c r="AE102" s="276">
        <f t="shared" si="21"/>
        <v>1</v>
      </c>
      <c r="AF102" s="277">
        <f t="shared" si="22"/>
        <v>6</v>
      </c>
      <c r="AG102" s="278">
        <f t="shared" si="23"/>
        <v>0.5</v>
      </c>
      <c r="AK102" s="412"/>
      <c r="AQ102" s="414">
        <f t="shared" si="26"/>
        <v>8.218638431561951</v>
      </c>
      <c r="AR102" s="415">
        <f t="shared" si="27"/>
        <v>49.311830589371709</v>
      </c>
      <c r="AS102" s="415">
        <f t="shared" si="28"/>
        <v>3.971830589371713</v>
      </c>
      <c r="AT102" s="416">
        <f t="shared" si="29"/>
        <v>8.7601027555617855E-2</v>
      </c>
      <c r="AW102" s="417">
        <f t="shared" si="24"/>
        <v>8.2511878963257672</v>
      </c>
      <c r="AX102" s="417">
        <f t="shared" si="30"/>
        <v>49.507127377954603</v>
      </c>
      <c r="AY102" s="418">
        <f t="shared" si="31"/>
        <v>0.19529678858289401</v>
      </c>
    </row>
    <row r="103" spans="1:51" s="182" customFormat="1" ht="12" customHeight="1">
      <c r="A103" s="244" t="s">
        <v>369</v>
      </c>
      <c r="B103" s="244" t="s">
        <v>370</v>
      </c>
      <c r="C103" s="240">
        <v>126.56</v>
      </c>
      <c r="D103" s="240">
        <v>126.9</v>
      </c>
      <c r="E103" s="221"/>
      <c r="F103" s="222">
        <v>31.73</v>
      </c>
      <c r="G103" s="222">
        <v>0</v>
      </c>
      <c r="H103" s="222">
        <v>31.73</v>
      </c>
      <c r="I103" s="222">
        <v>63.28</v>
      </c>
      <c r="J103" s="222">
        <v>0</v>
      </c>
      <c r="K103" s="222">
        <v>82.259999999999991</v>
      </c>
      <c r="L103" s="222">
        <v>-31.64</v>
      </c>
      <c r="M103" s="222">
        <v>158.19999999999999</v>
      </c>
      <c r="N103" s="222">
        <v>63.28</v>
      </c>
      <c r="O103" s="222">
        <v>63.290000000000006</v>
      </c>
      <c r="P103" s="222">
        <v>0</v>
      </c>
      <c r="Q103" s="222">
        <v>31.73</v>
      </c>
      <c r="R103" s="224">
        <f t="shared" si="25"/>
        <v>493.86000000000007</v>
      </c>
      <c r="S103" s="184"/>
      <c r="T103" s="223">
        <f t="shared" si="33"/>
        <v>0.25071112515802779</v>
      </c>
      <c r="U103" s="223">
        <f t="shared" si="33"/>
        <v>0</v>
      </c>
      <c r="V103" s="223">
        <f t="shared" si="33"/>
        <v>0.25071112515802779</v>
      </c>
      <c r="W103" s="223">
        <f t="shared" si="32"/>
        <v>0.5</v>
      </c>
      <c r="X103" s="223">
        <f t="shared" si="32"/>
        <v>0</v>
      </c>
      <c r="Y103" s="223">
        <f t="shared" si="32"/>
        <v>0.64996839443742094</v>
      </c>
      <c r="Z103" s="223">
        <f t="shared" si="32"/>
        <v>-0.25</v>
      </c>
      <c r="AA103" s="223">
        <f t="shared" si="32"/>
        <v>1.2499999999999998</v>
      </c>
      <c r="AB103" s="223">
        <f t="shared" si="32"/>
        <v>0.5</v>
      </c>
      <c r="AC103" s="223">
        <f t="shared" si="21"/>
        <v>0.49873916469661156</v>
      </c>
      <c r="AD103" s="223">
        <f t="shared" si="21"/>
        <v>0</v>
      </c>
      <c r="AE103" s="223">
        <f t="shared" si="21"/>
        <v>0.25003940110323086</v>
      </c>
      <c r="AF103" s="231">
        <f t="shared" si="22"/>
        <v>3.9001692105533188</v>
      </c>
      <c r="AG103" s="232">
        <f t="shared" si="23"/>
        <v>0.32501410087944321</v>
      </c>
      <c r="AK103" s="242"/>
      <c r="AQ103" s="234">
        <f t="shared" si="26"/>
        <v>137.77347648153389</v>
      </c>
      <c r="AR103" s="235">
        <f t="shared" si="27"/>
        <v>537.33987100417028</v>
      </c>
      <c r="AS103" s="235">
        <f t="shared" si="28"/>
        <v>43.479871004170207</v>
      </c>
      <c r="AT103" s="236">
        <f t="shared" si="29"/>
        <v>8.8040884064654351E-2</v>
      </c>
      <c r="AW103" s="237">
        <f t="shared" si="24"/>
        <v>138.31912074554029</v>
      </c>
      <c r="AX103" s="237">
        <f t="shared" si="30"/>
        <v>539.46797596256306</v>
      </c>
      <c r="AY103" s="238">
        <f t="shared" si="31"/>
        <v>2.1281049583927825</v>
      </c>
    </row>
    <row r="104" spans="1:51" s="182" customFormat="1" ht="12" customHeight="1">
      <c r="A104" s="244" t="s">
        <v>371</v>
      </c>
      <c r="B104" s="244" t="s">
        <v>370</v>
      </c>
      <c r="C104" s="240">
        <v>93.15</v>
      </c>
      <c r="D104" s="240">
        <v>93.4</v>
      </c>
      <c r="E104" s="221"/>
      <c r="F104" s="222">
        <v>0</v>
      </c>
      <c r="G104" s="222">
        <v>0</v>
      </c>
      <c r="H104" s="222">
        <v>0</v>
      </c>
      <c r="I104" s="222">
        <v>0</v>
      </c>
      <c r="J104" s="222">
        <v>23.29</v>
      </c>
      <c r="K104" s="222">
        <v>0</v>
      </c>
      <c r="L104" s="222">
        <v>140.29</v>
      </c>
      <c r="M104" s="222">
        <v>0</v>
      </c>
      <c r="N104" s="222">
        <v>0</v>
      </c>
      <c r="O104" s="222">
        <v>0</v>
      </c>
      <c r="P104" s="222">
        <v>326.89999999999998</v>
      </c>
      <c r="Q104" s="222">
        <v>46.7</v>
      </c>
      <c r="R104" s="224">
        <f t="shared" si="25"/>
        <v>537.17999999999995</v>
      </c>
      <c r="S104" s="184"/>
      <c r="T104" s="223">
        <f t="shared" si="33"/>
        <v>0</v>
      </c>
      <c r="U104" s="223">
        <f t="shared" si="33"/>
        <v>0</v>
      </c>
      <c r="V104" s="223">
        <f t="shared" si="33"/>
        <v>0</v>
      </c>
      <c r="W104" s="223">
        <f t="shared" si="32"/>
        <v>0</v>
      </c>
      <c r="X104" s="223">
        <f t="shared" si="32"/>
        <v>0.25002683843263551</v>
      </c>
      <c r="Y104" s="223">
        <f t="shared" si="32"/>
        <v>0</v>
      </c>
      <c r="Z104" s="223">
        <f t="shared" si="32"/>
        <v>1.5060654857756306</v>
      </c>
      <c r="AA104" s="223">
        <f t="shared" si="32"/>
        <v>0</v>
      </c>
      <c r="AB104" s="223">
        <f t="shared" si="32"/>
        <v>0</v>
      </c>
      <c r="AC104" s="223">
        <f t="shared" si="21"/>
        <v>0</v>
      </c>
      <c r="AD104" s="223">
        <f t="shared" si="21"/>
        <v>3.4999999999999996</v>
      </c>
      <c r="AE104" s="223">
        <f t="shared" si="21"/>
        <v>0.5</v>
      </c>
      <c r="AF104" s="231">
        <f t="shared" si="22"/>
        <v>5.7560923242082662</v>
      </c>
      <c r="AG104" s="232">
        <f t="shared" si="23"/>
        <v>0.47967436035068883</v>
      </c>
      <c r="AK104" s="242"/>
      <c r="AQ104" s="234">
        <f t="shared" si="26"/>
        <v>101.40301578703914</v>
      </c>
      <c r="AR104" s="235">
        <f t="shared" si="27"/>
        <v>583.68512082334564</v>
      </c>
      <c r="AS104" s="235">
        <f t="shared" si="28"/>
        <v>46.505120823345692</v>
      </c>
      <c r="AT104" s="236">
        <f t="shared" si="29"/>
        <v>8.6572695974060268E-2</v>
      </c>
      <c r="AW104" s="237">
        <f t="shared" si="24"/>
        <v>101.80461684502336</v>
      </c>
      <c r="AX104" s="237">
        <f t="shared" si="30"/>
        <v>585.99677359060252</v>
      </c>
      <c r="AY104" s="238">
        <f t="shared" si="31"/>
        <v>2.3116527672568736</v>
      </c>
    </row>
    <row r="105" spans="1:51" s="182" customFormat="1" ht="12" customHeight="1">
      <c r="A105" s="244" t="s">
        <v>372</v>
      </c>
      <c r="B105" s="244" t="s">
        <v>373</v>
      </c>
      <c r="C105" s="240">
        <v>11.64</v>
      </c>
      <c r="D105" s="240">
        <v>11.85</v>
      </c>
      <c r="E105" s="221"/>
      <c r="F105" s="222">
        <v>0</v>
      </c>
      <c r="G105" s="222">
        <v>0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2">
        <v>0</v>
      </c>
      <c r="O105" s="222">
        <v>0</v>
      </c>
      <c r="P105" s="222">
        <v>0</v>
      </c>
      <c r="Q105" s="222">
        <v>0</v>
      </c>
      <c r="R105" s="224">
        <f t="shared" si="25"/>
        <v>0</v>
      </c>
      <c r="S105" s="184"/>
      <c r="T105" s="223">
        <f t="shared" si="33"/>
        <v>0</v>
      </c>
      <c r="U105" s="223">
        <f t="shared" si="33"/>
        <v>0</v>
      </c>
      <c r="V105" s="223">
        <f t="shared" si="33"/>
        <v>0</v>
      </c>
      <c r="W105" s="223">
        <f t="shared" si="32"/>
        <v>0</v>
      </c>
      <c r="X105" s="223">
        <f t="shared" si="32"/>
        <v>0</v>
      </c>
      <c r="Y105" s="223">
        <f t="shared" si="32"/>
        <v>0</v>
      </c>
      <c r="Z105" s="223">
        <f t="shared" si="32"/>
        <v>0</v>
      </c>
      <c r="AA105" s="223">
        <f t="shared" si="32"/>
        <v>0</v>
      </c>
      <c r="AB105" s="223">
        <f t="shared" si="32"/>
        <v>0</v>
      </c>
      <c r="AC105" s="223">
        <f t="shared" si="21"/>
        <v>0</v>
      </c>
      <c r="AD105" s="223">
        <f t="shared" si="21"/>
        <v>0</v>
      </c>
      <c r="AE105" s="223">
        <f t="shared" si="21"/>
        <v>0</v>
      </c>
      <c r="AF105" s="231">
        <f t="shared" si="22"/>
        <v>0</v>
      </c>
      <c r="AG105" s="232">
        <f t="shared" si="23"/>
        <v>0</v>
      </c>
      <c r="AK105" s="242"/>
      <c r="AQ105" s="234">
        <f t="shared" si="26"/>
        <v>12.865371917306357</v>
      </c>
      <c r="AR105" s="235">
        <f t="shared" si="27"/>
        <v>0</v>
      </c>
      <c r="AS105" s="235">
        <f t="shared" si="28"/>
        <v>0</v>
      </c>
      <c r="AT105" s="236" t="e">
        <f t="shared" si="29"/>
        <v>#DIV/0!</v>
      </c>
      <c r="AW105" s="237">
        <f t="shared" si="24"/>
        <v>12.916324514063454</v>
      </c>
      <c r="AX105" s="237">
        <f t="shared" si="30"/>
        <v>0</v>
      </c>
      <c r="AY105" s="238">
        <f t="shared" si="31"/>
        <v>0</v>
      </c>
    </row>
    <row r="106" spans="1:51" s="182" customFormat="1" ht="12" customHeight="1">
      <c r="A106" s="244" t="s">
        <v>374</v>
      </c>
      <c r="B106" s="244" t="s">
        <v>375</v>
      </c>
      <c r="C106" s="240">
        <v>2.77</v>
      </c>
      <c r="D106" s="240">
        <v>2.82</v>
      </c>
      <c r="E106" s="221"/>
      <c r="F106" s="222">
        <v>0</v>
      </c>
      <c r="G106" s="222">
        <v>0</v>
      </c>
      <c r="H106" s="222">
        <v>0</v>
      </c>
      <c r="I106" s="222">
        <v>0</v>
      </c>
      <c r="J106" s="222">
        <v>0</v>
      </c>
      <c r="K106" s="222">
        <v>0</v>
      </c>
      <c r="L106" s="222">
        <v>0</v>
      </c>
      <c r="M106" s="222">
        <v>0</v>
      </c>
      <c r="N106" s="222">
        <v>0</v>
      </c>
      <c r="O106" s="222">
        <v>0</v>
      </c>
      <c r="P106" s="222">
        <v>0</v>
      </c>
      <c r="Q106" s="222">
        <v>0</v>
      </c>
      <c r="R106" s="224">
        <f t="shared" si="25"/>
        <v>0</v>
      </c>
      <c r="S106" s="184"/>
      <c r="T106" s="223">
        <f t="shared" si="33"/>
        <v>0</v>
      </c>
      <c r="U106" s="223">
        <f t="shared" si="33"/>
        <v>0</v>
      </c>
      <c r="V106" s="223">
        <f t="shared" si="33"/>
        <v>0</v>
      </c>
      <c r="W106" s="223">
        <f t="shared" si="32"/>
        <v>0</v>
      </c>
      <c r="X106" s="223">
        <f t="shared" si="32"/>
        <v>0</v>
      </c>
      <c r="Y106" s="223">
        <f t="shared" si="32"/>
        <v>0</v>
      </c>
      <c r="Z106" s="223">
        <f t="shared" si="32"/>
        <v>0</v>
      </c>
      <c r="AA106" s="223">
        <f t="shared" si="32"/>
        <v>0</v>
      </c>
      <c r="AB106" s="223">
        <f t="shared" si="32"/>
        <v>0</v>
      </c>
      <c r="AC106" s="223">
        <f t="shared" si="21"/>
        <v>0</v>
      </c>
      <c r="AD106" s="223">
        <f t="shared" si="21"/>
        <v>0</v>
      </c>
      <c r="AE106" s="223">
        <f t="shared" si="21"/>
        <v>0</v>
      </c>
      <c r="AF106" s="231">
        <f t="shared" si="22"/>
        <v>0</v>
      </c>
      <c r="AG106" s="232">
        <f t="shared" si="23"/>
        <v>0</v>
      </c>
      <c r="AK106" s="242"/>
      <c r="AQ106" s="234">
        <f t="shared" si="26"/>
        <v>3.0616328107007531</v>
      </c>
      <c r="AR106" s="235">
        <f t="shared" si="27"/>
        <v>0</v>
      </c>
      <c r="AS106" s="235">
        <f t="shared" si="28"/>
        <v>0</v>
      </c>
      <c r="AT106" s="236" t="e">
        <f t="shared" si="29"/>
        <v>#DIV/0!</v>
      </c>
      <c r="AW106" s="237">
        <f t="shared" si="24"/>
        <v>3.0737582387897842</v>
      </c>
      <c r="AX106" s="237">
        <f t="shared" si="30"/>
        <v>0</v>
      </c>
      <c r="AY106" s="238">
        <f t="shared" si="31"/>
        <v>0</v>
      </c>
    </row>
    <row r="107" spans="1:51" s="184" customFormat="1" ht="12.75" customHeight="1">
      <c r="A107" s="239" t="s">
        <v>376</v>
      </c>
      <c r="B107" s="239" t="s">
        <v>377</v>
      </c>
      <c r="C107" s="240">
        <v>8.93</v>
      </c>
      <c r="D107" s="240">
        <v>8.94</v>
      </c>
      <c r="E107" s="221"/>
      <c r="F107" s="222">
        <v>17.88</v>
      </c>
      <c r="G107" s="222">
        <v>17.88</v>
      </c>
      <c r="H107" s="222">
        <v>17.88</v>
      </c>
      <c r="I107" s="222">
        <v>17.79</v>
      </c>
      <c r="J107" s="222">
        <v>17.79</v>
      </c>
      <c r="K107" s="222">
        <v>17.86</v>
      </c>
      <c r="L107" s="222">
        <v>17.86</v>
      </c>
      <c r="M107" s="222">
        <v>17.86</v>
      </c>
      <c r="N107" s="222">
        <v>17.86</v>
      </c>
      <c r="O107" s="222">
        <v>17.88</v>
      </c>
      <c r="P107" s="222">
        <v>17.88</v>
      </c>
      <c r="Q107" s="222">
        <v>17.88</v>
      </c>
      <c r="R107" s="224">
        <f t="shared" si="25"/>
        <v>214.3</v>
      </c>
      <c r="S107" s="182"/>
      <c r="T107" s="223">
        <f t="shared" si="33"/>
        <v>2.0022396416573347</v>
      </c>
      <c r="U107" s="223">
        <f t="shared" si="33"/>
        <v>2.0022396416573347</v>
      </c>
      <c r="V107" s="223">
        <f t="shared" si="33"/>
        <v>2.0022396416573347</v>
      </c>
      <c r="W107" s="223">
        <f t="shared" si="32"/>
        <v>1.9921612541993281</v>
      </c>
      <c r="X107" s="223">
        <f t="shared" si="32"/>
        <v>1.9921612541993281</v>
      </c>
      <c r="Y107" s="223">
        <f t="shared" si="32"/>
        <v>2</v>
      </c>
      <c r="Z107" s="223">
        <f t="shared" si="32"/>
        <v>2</v>
      </c>
      <c r="AA107" s="223">
        <f t="shared" si="32"/>
        <v>2</v>
      </c>
      <c r="AB107" s="223">
        <f t="shared" si="32"/>
        <v>2</v>
      </c>
      <c r="AC107" s="223">
        <f t="shared" si="21"/>
        <v>2</v>
      </c>
      <c r="AD107" s="223">
        <f t="shared" si="21"/>
        <v>2</v>
      </c>
      <c r="AE107" s="223">
        <f t="shared" si="21"/>
        <v>2</v>
      </c>
      <c r="AF107" s="231">
        <f t="shared" si="22"/>
        <v>23.991041433370661</v>
      </c>
      <c r="AG107" s="232">
        <f t="shared" si="23"/>
        <v>1.9992534527808885</v>
      </c>
      <c r="AK107" s="215"/>
      <c r="AP107" s="182"/>
      <c r="AQ107" s="234">
        <f t="shared" si="26"/>
        <v>9.7060274211577067</v>
      </c>
      <c r="AR107" s="235">
        <f t="shared" si="27"/>
        <v>232.85770601442636</v>
      </c>
      <c r="AS107" s="235">
        <f t="shared" si="28"/>
        <v>18.557706014426344</v>
      </c>
      <c r="AT107" s="236">
        <f t="shared" si="29"/>
        <v>8.6596854943660026E-2</v>
      </c>
      <c r="AW107" s="237">
        <f t="shared" si="24"/>
        <v>9.7444676080782511</v>
      </c>
      <c r="AX107" s="237">
        <f t="shared" si="30"/>
        <v>233.77992613154362</v>
      </c>
      <c r="AY107" s="238">
        <f t="shared" si="31"/>
        <v>0.92222011711726282</v>
      </c>
    </row>
    <row r="108" spans="1:51" s="184" customFormat="1" ht="12.75" customHeight="1">
      <c r="A108" s="239" t="s">
        <v>378</v>
      </c>
      <c r="B108" s="239" t="s">
        <v>379</v>
      </c>
      <c r="C108" s="240">
        <v>4.13</v>
      </c>
      <c r="D108" s="240">
        <v>4.1399999999999997</v>
      </c>
      <c r="E108" s="221"/>
      <c r="F108" s="222">
        <v>57.959999999999994</v>
      </c>
      <c r="G108" s="222">
        <v>57.959999999999994</v>
      </c>
      <c r="H108" s="222">
        <v>57.959999999999994</v>
      </c>
      <c r="I108" s="222">
        <v>54.64</v>
      </c>
      <c r="J108" s="222">
        <v>49.4</v>
      </c>
      <c r="K108" s="222">
        <v>44.4</v>
      </c>
      <c r="L108" s="222">
        <v>45.43</v>
      </c>
      <c r="M108" s="222">
        <v>55.755000000000003</v>
      </c>
      <c r="N108" s="222">
        <v>55.825000000000003</v>
      </c>
      <c r="O108" s="222">
        <v>53.82</v>
      </c>
      <c r="P108" s="222">
        <v>53.82</v>
      </c>
      <c r="Q108" s="222">
        <v>53.82</v>
      </c>
      <c r="R108" s="224">
        <f t="shared" si="25"/>
        <v>640.79000000000008</v>
      </c>
      <c r="S108" s="182"/>
      <c r="T108" s="223">
        <f t="shared" si="33"/>
        <v>14.033898305084744</v>
      </c>
      <c r="U108" s="223">
        <f t="shared" si="33"/>
        <v>14.033898305084744</v>
      </c>
      <c r="V108" s="223">
        <f t="shared" si="33"/>
        <v>14.033898305084744</v>
      </c>
      <c r="W108" s="223">
        <f t="shared" si="32"/>
        <v>13.230024213075062</v>
      </c>
      <c r="X108" s="223">
        <f t="shared" si="32"/>
        <v>11.961259079903147</v>
      </c>
      <c r="Y108" s="223">
        <f t="shared" si="32"/>
        <v>10.750605326876514</v>
      </c>
      <c r="Z108" s="223">
        <f t="shared" si="32"/>
        <v>11</v>
      </c>
      <c r="AA108" s="223">
        <f t="shared" si="32"/>
        <v>13.500000000000002</v>
      </c>
      <c r="AB108" s="223">
        <f t="shared" si="32"/>
        <v>13.516949152542374</v>
      </c>
      <c r="AC108" s="223">
        <f t="shared" ref="AC108:AE113" si="34">IFERROR(O108/$D108,0)</f>
        <v>13.000000000000002</v>
      </c>
      <c r="AD108" s="223">
        <f t="shared" si="34"/>
        <v>13.000000000000002</v>
      </c>
      <c r="AE108" s="223">
        <f t="shared" si="34"/>
        <v>13.000000000000002</v>
      </c>
      <c r="AF108" s="231">
        <f t="shared" si="22"/>
        <v>155.06053268765132</v>
      </c>
      <c r="AG108" s="232">
        <f t="shared" si="23"/>
        <v>12.921711057304277</v>
      </c>
      <c r="AK108" s="215"/>
      <c r="AP108" s="182"/>
      <c r="AQ108" s="234">
        <f t="shared" si="26"/>
        <v>4.4947375306032331</v>
      </c>
      <c r="AR108" s="235">
        <f t="shared" si="27"/>
        <v>696.95639578651583</v>
      </c>
      <c r="AS108" s="235">
        <f t="shared" si="28"/>
        <v>56.16639578651575</v>
      </c>
      <c r="AT108" s="236">
        <f t="shared" si="29"/>
        <v>8.7651798227993169E-2</v>
      </c>
      <c r="AW108" s="237">
        <f t="shared" si="24"/>
        <v>4.5125386909892571</v>
      </c>
      <c r="AX108" s="237">
        <f t="shared" si="30"/>
        <v>699.716653198431</v>
      </c>
      <c r="AY108" s="238">
        <f t="shared" si="31"/>
        <v>2.7602574119151768</v>
      </c>
    </row>
    <row r="109" spans="1:51" s="184" customFormat="1" ht="12.75" customHeight="1">
      <c r="A109" s="239" t="s">
        <v>380</v>
      </c>
      <c r="B109" s="239" t="s">
        <v>381</v>
      </c>
      <c r="C109" s="240">
        <v>5.73</v>
      </c>
      <c r="D109" s="240">
        <v>5.74</v>
      </c>
      <c r="E109" s="221"/>
      <c r="F109" s="222">
        <v>28.700000000000003</v>
      </c>
      <c r="G109" s="222">
        <v>28.700000000000003</v>
      </c>
      <c r="H109" s="222">
        <v>28.700000000000003</v>
      </c>
      <c r="I109" s="222">
        <v>36.64</v>
      </c>
      <c r="J109" s="222">
        <v>36.6</v>
      </c>
      <c r="K109" s="222">
        <v>28.650000000000002</v>
      </c>
      <c r="L109" s="222">
        <v>28.650000000000002</v>
      </c>
      <c r="M109" s="222">
        <v>28.650000000000002</v>
      </c>
      <c r="N109" s="222">
        <v>28.69</v>
      </c>
      <c r="O109" s="222">
        <v>28.700000000000003</v>
      </c>
      <c r="P109" s="222">
        <v>28.700000000000003</v>
      </c>
      <c r="Q109" s="222">
        <v>28.700000000000003</v>
      </c>
      <c r="R109" s="224">
        <f t="shared" si="25"/>
        <v>360.08</v>
      </c>
      <c r="S109" s="182"/>
      <c r="T109" s="223">
        <f t="shared" si="33"/>
        <v>5.0087260034904011</v>
      </c>
      <c r="U109" s="223">
        <f t="shared" si="33"/>
        <v>5.0087260034904011</v>
      </c>
      <c r="V109" s="223">
        <f t="shared" si="33"/>
        <v>5.0087260034904011</v>
      </c>
      <c r="W109" s="223">
        <f t="shared" si="32"/>
        <v>6.3944153577661424</v>
      </c>
      <c r="X109" s="223">
        <f t="shared" si="32"/>
        <v>6.3874345549738214</v>
      </c>
      <c r="Y109" s="223">
        <f t="shared" si="32"/>
        <v>5</v>
      </c>
      <c r="Z109" s="223">
        <f t="shared" si="32"/>
        <v>5</v>
      </c>
      <c r="AA109" s="223">
        <f t="shared" si="32"/>
        <v>5</v>
      </c>
      <c r="AB109" s="223">
        <f t="shared" si="32"/>
        <v>5.0069808027923211</v>
      </c>
      <c r="AC109" s="223">
        <f t="shared" si="34"/>
        <v>5</v>
      </c>
      <c r="AD109" s="223">
        <f t="shared" si="34"/>
        <v>5</v>
      </c>
      <c r="AE109" s="223">
        <f t="shared" si="34"/>
        <v>5</v>
      </c>
      <c r="AF109" s="231">
        <f t="shared" si="22"/>
        <v>62.815008726003491</v>
      </c>
      <c r="AG109" s="232">
        <f t="shared" si="23"/>
        <v>5.2345840605002909</v>
      </c>
      <c r="AK109" s="215"/>
      <c r="AP109" s="182"/>
      <c r="AQ109" s="234">
        <f t="shared" si="26"/>
        <v>6.2318341607880585</v>
      </c>
      <c r="AR109" s="235">
        <f t="shared" si="27"/>
        <v>391.45271718890854</v>
      </c>
      <c r="AS109" s="235">
        <f t="shared" si="28"/>
        <v>31.372717188908553</v>
      </c>
      <c r="AT109" s="236">
        <f t="shared" si="29"/>
        <v>8.7127075063620732E-2</v>
      </c>
      <c r="AW109" s="237">
        <f t="shared" si="24"/>
        <v>6.2565149966855893</v>
      </c>
      <c r="AX109" s="237">
        <f t="shared" si="30"/>
        <v>393.00304411117702</v>
      </c>
      <c r="AY109" s="238">
        <f t="shared" si="31"/>
        <v>1.5503269222684821</v>
      </c>
    </row>
    <row r="110" spans="1:51" s="184" customFormat="1" ht="12.75" customHeight="1">
      <c r="A110" s="239" t="s">
        <v>382</v>
      </c>
      <c r="B110" s="239" t="s">
        <v>383</v>
      </c>
      <c r="C110" s="240">
        <v>2.5299999999999998</v>
      </c>
      <c r="D110" s="240">
        <v>2.54</v>
      </c>
      <c r="E110" s="221"/>
      <c r="F110" s="222">
        <v>152.4</v>
      </c>
      <c r="G110" s="222">
        <v>154.94</v>
      </c>
      <c r="H110" s="222">
        <v>149.57999999999998</v>
      </c>
      <c r="I110" s="222">
        <v>140.52000000000001</v>
      </c>
      <c r="J110" s="222">
        <v>138.03</v>
      </c>
      <c r="K110" s="222">
        <v>146.74</v>
      </c>
      <c r="L110" s="222">
        <v>155.6</v>
      </c>
      <c r="M110" s="222">
        <v>142.94999999999999</v>
      </c>
      <c r="N110" s="222">
        <v>152.88</v>
      </c>
      <c r="O110" s="222">
        <v>148.14999999999998</v>
      </c>
      <c r="P110" s="222">
        <v>149.86000000000001</v>
      </c>
      <c r="Q110" s="222">
        <v>152.4</v>
      </c>
      <c r="R110" s="224">
        <f t="shared" si="25"/>
        <v>1784.0500000000002</v>
      </c>
      <c r="S110" s="182"/>
      <c r="T110" s="223">
        <f t="shared" si="33"/>
        <v>60.237154150197632</v>
      </c>
      <c r="U110" s="223">
        <f t="shared" si="33"/>
        <v>61.241106719367593</v>
      </c>
      <c r="V110" s="223">
        <f t="shared" si="33"/>
        <v>59.122529644268774</v>
      </c>
      <c r="W110" s="223">
        <f t="shared" si="32"/>
        <v>55.541501976284593</v>
      </c>
      <c r="X110" s="223">
        <f t="shared" si="32"/>
        <v>54.557312252964429</v>
      </c>
      <c r="Y110" s="223">
        <f t="shared" si="32"/>
        <v>58.000000000000007</v>
      </c>
      <c r="Z110" s="223">
        <f t="shared" si="32"/>
        <v>61.501976284584984</v>
      </c>
      <c r="AA110" s="223">
        <f t="shared" si="32"/>
        <v>56.501976284584977</v>
      </c>
      <c r="AB110" s="223">
        <f t="shared" si="32"/>
        <v>60.426877470355734</v>
      </c>
      <c r="AC110" s="223">
        <f t="shared" si="34"/>
        <v>58.326771653543297</v>
      </c>
      <c r="AD110" s="223">
        <f t="shared" si="34"/>
        <v>59.000000000000007</v>
      </c>
      <c r="AE110" s="223">
        <f t="shared" si="34"/>
        <v>60</v>
      </c>
      <c r="AF110" s="231">
        <f t="shared" si="22"/>
        <v>704.45720643615209</v>
      </c>
      <c r="AG110" s="232">
        <f t="shared" si="23"/>
        <v>58.704767203012672</v>
      </c>
      <c r="AK110" s="215"/>
      <c r="AP110" s="182"/>
      <c r="AQ110" s="234">
        <f t="shared" si="26"/>
        <v>2.757640900418409</v>
      </c>
      <c r="AR110" s="235">
        <f t="shared" si="27"/>
        <v>1942.6400050628272</v>
      </c>
      <c r="AS110" s="235">
        <f t="shared" si="28"/>
        <v>158.590005062827</v>
      </c>
      <c r="AT110" s="236">
        <f t="shared" si="29"/>
        <v>8.889325134543706E-2</v>
      </c>
      <c r="AW110" s="237">
        <f t="shared" si="24"/>
        <v>2.7685623852929262</v>
      </c>
      <c r="AX110" s="237">
        <f t="shared" si="30"/>
        <v>1950.3337237876644</v>
      </c>
      <c r="AY110" s="238">
        <f t="shared" si="31"/>
        <v>7.6937187248372538</v>
      </c>
    </row>
    <row r="111" spans="1:51" s="184" customFormat="1" ht="12.75" customHeight="1">
      <c r="A111" s="239" t="s">
        <v>384</v>
      </c>
      <c r="B111" s="239" t="s">
        <v>385</v>
      </c>
      <c r="C111" s="240">
        <v>0</v>
      </c>
      <c r="D111" s="240">
        <v>1.2749999999999999</v>
      </c>
      <c r="E111" s="221"/>
      <c r="F111" s="222">
        <v>2.5499999999999998</v>
      </c>
      <c r="G111" s="222">
        <v>2.5499999999999998</v>
      </c>
      <c r="H111" s="222">
        <v>3.8250000000000002</v>
      </c>
      <c r="I111" s="222">
        <v>3.8250000000000002</v>
      </c>
      <c r="J111" s="222">
        <v>0</v>
      </c>
      <c r="K111" s="222">
        <v>0</v>
      </c>
      <c r="L111" s="222">
        <v>0</v>
      </c>
      <c r="M111" s="222">
        <v>0</v>
      </c>
      <c r="N111" s="222">
        <v>0</v>
      </c>
      <c r="O111" s="222">
        <v>0</v>
      </c>
      <c r="P111" s="222">
        <v>2.5499999999999998</v>
      </c>
      <c r="Q111" s="222">
        <v>2.5499999999999998</v>
      </c>
      <c r="R111" s="224">
        <f t="shared" si="25"/>
        <v>17.850000000000001</v>
      </c>
      <c r="S111" s="182"/>
      <c r="T111" s="223">
        <f t="shared" si="33"/>
        <v>0</v>
      </c>
      <c r="U111" s="223">
        <f t="shared" si="33"/>
        <v>0</v>
      </c>
      <c r="V111" s="223">
        <f t="shared" si="33"/>
        <v>0</v>
      </c>
      <c r="W111" s="223">
        <f t="shared" si="32"/>
        <v>0</v>
      </c>
      <c r="X111" s="223">
        <f t="shared" si="32"/>
        <v>0</v>
      </c>
      <c r="Y111" s="223">
        <f t="shared" si="32"/>
        <v>0</v>
      </c>
      <c r="Z111" s="223">
        <f t="shared" si="32"/>
        <v>0</v>
      </c>
      <c r="AA111" s="223">
        <f t="shared" si="32"/>
        <v>0</v>
      </c>
      <c r="AB111" s="223">
        <f t="shared" si="32"/>
        <v>0</v>
      </c>
      <c r="AC111" s="223">
        <f t="shared" si="34"/>
        <v>0</v>
      </c>
      <c r="AD111" s="223">
        <f t="shared" si="34"/>
        <v>2</v>
      </c>
      <c r="AE111" s="223">
        <f t="shared" si="34"/>
        <v>2</v>
      </c>
      <c r="AF111" s="231">
        <f t="shared" si="22"/>
        <v>4</v>
      </c>
      <c r="AG111" s="232">
        <f t="shared" si="23"/>
        <v>0.33333333333333331</v>
      </c>
      <c r="AK111" s="215"/>
      <c r="AP111" s="182"/>
      <c r="AQ111" s="234">
        <f t="shared" si="26"/>
        <v>1.384248877178532</v>
      </c>
      <c r="AR111" s="235">
        <f t="shared" si="27"/>
        <v>5.5369955087141278</v>
      </c>
      <c r="AS111" s="235">
        <f t="shared" si="28"/>
        <v>-12.313004491285874</v>
      </c>
      <c r="AT111" s="236">
        <f t="shared" si="29"/>
        <v>-0.6898041731812814</v>
      </c>
      <c r="AW111" s="237">
        <f t="shared" si="24"/>
        <v>1.389731118601764</v>
      </c>
      <c r="AX111" s="237">
        <f t="shared" si="30"/>
        <v>5.5589244744070552</v>
      </c>
      <c r="AY111" s="238">
        <f t="shared" si="31"/>
        <v>2.1928965692927349E-2</v>
      </c>
    </row>
    <row r="112" spans="1:51" s="182" customFormat="1" ht="12" customHeight="1">
      <c r="A112" s="239" t="s">
        <v>386</v>
      </c>
      <c r="B112" s="239" t="s">
        <v>387</v>
      </c>
      <c r="C112" s="240">
        <v>0</v>
      </c>
      <c r="D112" s="240">
        <v>0.58499999999999996</v>
      </c>
      <c r="E112" s="221"/>
      <c r="F112" s="222">
        <v>0</v>
      </c>
      <c r="G112" s="222">
        <v>0</v>
      </c>
      <c r="H112" s="222">
        <v>0</v>
      </c>
      <c r="I112" s="222">
        <v>0</v>
      </c>
      <c r="J112" s="222">
        <v>0</v>
      </c>
      <c r="K112" s="222">
        <v>0</v>
      </c>
      <c r="L112" s="222">
        <v>0</v>
      </c>
      <c r="M112" s="222">
        <v>0</v>
      </c>
      <c r="N112" s="222">
        <v>0</v>
      </c>
      <c r="O112" s="222">
        <v>0</v>
      </c>
      <c r="P112" s="222">
        <v>0</v>
      </c>
      <c r="Q112" s="222">
        <v>0</v>
      </c>
      <c r="R112" s="224">
        <f t="shared" si="25"/>
        <v>0</v>
      </c>
      <c r="T112" s="223">
        <f t="shared" si="33"/>
        <v>0</v>
      </c>
      <c r="U112" s="223">
        <f t="shared" si="33"/>
        <v>0</v>
      </c>
      <c r="V112" s="223">
        <f t="shared" si="33"/>
        <v>0</v>
      </c>
      <c r="W112" s="223">
        <f t="shared" si="32"/>
        <v>0</v>
      </c>
      <c r="X112" s="223">
        <f t="shared" si="32"/>
        <v>0</v>
      </c>
      <c r="Y112" s="223">
        <f t="shared" si="32"/>
        <v>0</v>
      </c>
      <c r="Z112" s="223">
        <f t="shared" si="32"/>
        <v>0</v>
      </c>
      <c r="AA112" s="223">
        <f t="shared" si="32"/>
        <v>0</v>
      </c>
      <c r="AB112" s="223">
        <f t="shared" si="32"/>
        <v>0</v>
      </c>
      <c r="AC112" s="223">
        <f t="shared" si="34"/>
        <v>0</v>
      </c>
      <c r="AD112" s="223">
        <f t="shared" si="34"/>
        <v>0</v>
      </c>
      <c r="AE112" s="223">
        <f t="shared" si="34"/>
        <v>0</v>
      </c>
      <c r="AF112" s="231">
        <f t="shared" si="22"/>
        <v>0</v>
      </c>
      <c r="AG112" s="232">
        <f t="shared" si="23"/>
        <v>0</v>
      </c>
      <c r="AK112" s="242"/>
      <c r="AQ112" s="234">
        <f t="shared" si="26"/>
        <v>0.63512595541132644</v>
      </c>
      <c r="AR112" s="235">
        <f t="shared" si="27"/>
        <v>0</v>
      </c>
      <c r="AS112" s="235">
        <f t="shared" si="28"/>
        <v>0</v>
      </c>
      <c r="AT112" s="236" t="e">
        <f t="shared" si="29"/>
        <v>#DIV/0!</v>
      </c>
      <c r="AW112" s="237">
        <f t="shared" si="24"/>
        <v>0.63764133677022117</v>
      </c>
      <c r="AX112" s="237">
        <f t="shared" si="30"/>
        <v>0</v>
      </c>
      <c r="AY112" s="238">
        <f t="shared" si="31"/>
        <v>0</v>
      </c>
    </row>
    <row r="113" spans="1:51" s="184" customFormat="1" ht="12" customHeight="1">
      <c r="A113" s="239" t="s">
        <v>388</v>
      </c>
      <c r="B113" s="239" t="s">
        <v>389</v>
      </c>
      <c r="C113" s="240">
        <v>7.33</v>
      </c>
      <c r="D113" s="240">
        <v>7.34</v>
      </c>
      <c r="E113" s="221"/>
      <c r="F113" s="222">
        <v>7.34</v>
      </c>
      <c r="G113" s="222">
        <v>7.34</v>
      </c>
      <c r="H113" s="222">
        <v>7.34</v>
      </c>
      <c r="I113" s="222">
        <v>7.34</v>
      </c>
      <c r="J113" s="222">
        <v>7.33</v>
      </c>
      <c r="K113" s="222">
        <v>21.990000000000002</v>
      </c>
      <c r="L113" s="222">
        <v>21.990000000000002</v>
      </c>
      <c r="M113" s="222">
        <v>21.990000000000002</v>
      </c>
      <c r="N113" s="222">
        <v>22</v>
      </c>
      <c r="O113" s="222">
        <v>22.02</v>
      </c>
      <c r="P113" s="222">
        <v>14.68</v>
      </c>
      <c r="Q113" s="222">
        <v>0</v>
      </c>
      <c r="R113" s="224">
        <f t="shared" si="25"/>
        <v>161.36000000000001</v>
      </c>
      <c r="S113" s="182"/>
      <c r="T113" s="223">
        <f t="shared" si="33"/>
        <v>1.0013642564802183</v>
      </c>
      <c r="U113" s="223">
        <f t="shared" si="33"/>
        <v>1.0013642564802183</v>
      </c>
      <c r="V113" s="223">
        <f t="shared" si="33"/>
        <v>1.0013642564802183</v>
      </c>
      <c r="W113" s="223">
        <f t="shared" si="32"/>
        <v>1.0013642564802183</v>
      </c>
      <c r="X113" s="223">
        <f t="shared" si="32"/>
        <v>1</v>
      </c>
      <c r="Y113" s="223">
        <f t="shared" si="32"/>
        <v>3.0000000000000004</v>
      </c>
      <c r="Z113" s="223">
        <f t="shared" si="32"/>
        <v>3.0000000000000004</v>
      </c>
      <c r="AA113" s="223">
        <f t="shared" si="32"/>
        <v>3.0000000000000004</v>
      </c>
      <c r="AB113" s="223">
        <f t="shared" si="32"/>
        <v>3.0013642564802181</v>
      </c>
      <c r="AC113" s="223">
        <f t="shared" si="34"/>
        <v>3</v>
      </c>
      <c r="AD113" s="223">
        <f t="shared" si="34"/>
        <v>2</v>
      </c>
      <c r="AE113" s="223">
        <f t="shared" si="34"/>
        <v>0</v>
      </c>
      <c r="AF113" s="231">
        <f t="shared" si="22"/>
        <v>22.006821282401091</v>
      </c>
      <c r="AG113" s="232">
        <f t="shared" si="23"/>
        <v>1.8339017735334242</v>
      </c>
      <c r="AK113" s="215"/>
      <c r="AN113" s="245" t="s">
        <v>390</v>
      </c>
      <c r="AO113" s="246">
        <f>SUM(AM12:AM16,AM31:AM66)</f>
        <v>6427.067726582366</v>
      </c>
      <c r="AP113" s="182"/>
      <c r="AQ113" s="234">
        <f t="shared" si="26"/>
        <v>7.9689307909728821</v>
      </c>
      <c r="AR113" s="235">
        <f t="shared" si="27"/>
        <v>175.37083572876338</v>
      </c>
      <c r="AS113" s="235">
        <f t="shared" si="28"/>
        <v>14.010835728763368</v>
      </c>
      <c r="AT113" s="236">
        <f t="shared" si="29"/>
        <v>8.6829671100417491E-2</v>
      </c>
      <c r="AW113" s="237">
        <f t="shared" si="24"/>
        <v>8.0004913023819206</v>
      </c>
      <c r="AX113" s="237">
        <f t="shared" si="30"/>
        <v>176.06538226292326</v>
      </c>
      <c r="AY113" s="238">
        <f t="shared" si="31"/>
        <v>0.69454653415988332</v>
      </c>
    </row>
    <row r="114" spans="1:51" s="184" customFormat="1" ht="12" customHeight="1">
      <c r="A114" s="239"/>
      <c r="B114" s="239"/>
      <c r="C114" s="240"/>
      <c r="D114" s="240"/>
      <c r="E114" s="221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4"/>
      <c r="S114" s="182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31"/>
      <c r="AG114" s="232"/>
      <c r="AK114" s="215"/>
      <c r="AN114" s="245" t="s">
        <v>391</v>
      </c>
      <c r="AO114" s="246">
        <f>SUM(AM17:AM30)</f>
        <v>644.97629625000513</v>
      </c>
      <c r="AP114" s="182"/>
      <c r="AQ114" s="237"/>
      <c r="AR114" s="237"/>
      <c r="AS114" s="237"/>
      <c r="AT114" s="182"/>
      <c r="AW114" s="237"/>
      <c r="AX114" s="237"/>
      <c r="AY114" s="238"/>
    </row>
    <row r="115" spans="1:51" s="182" customFormat="1" ht="12" customHeight="1">
      <c r="A115" s="247"/>
      <c r="B115" s="248" t="s">
        <v>135</v>
      </c>
      <c r="C115" s="240">
        <v>0</v>
      </c>
      <c r="D115" s="240">
        <v>0</v>
      </c>
      <c r="E115" s="249">
        <f>SUM(E12:E113)</f>
        <v>0</v>
      </c>
      <c r="F115" s="249">
        <f t="shared" ref="F115:R115" si="35">SUM(F12:F114)</f>
        <v>147339.48000000001</v>
      </c>
      <c r="G115" s="249">
        <f t="shared" si="35"/>
        <v>144194.46499999997</v>
      </c>
      <c r="H115" s="249">
        <f t="shared" si="35"/>
        <v>146930.23999999999</v>
      </c>
      <c r="I115" s="249">
        <f t="shared" si="35"/>
        <v>142667.22500000001</v>
      </c>
      <c r="J115" s="249">
        <f t="shared" si="35"/>
        <v>139349.72000000003</v>
      </c>
      <c r="K115" s="249">
        <f t="shared" si="35"/>
        <v>140561.685</v>
      </c>
      <c r="L115" s="249">
        <f t="shared" si="35"/>
        <v>141810.99000000002</v>
      </c>
      <c r="M115" s="249">
        <f t="shared" si="35"/>
        <v>143837.06000000003</v>
      </c>
      <c r="N115" s="249">
        <f t="shared" si="35"/>
        <v>143867.83500000005</v>
      </c>
      <c r="O115" s="249">
        <f t="shared" si="35"/>
        <v>144976.34000000005</v>
      </c>
      <c r="P115" s="249">
        <f t="shared" si="35"/>
        <v>144500.25000000003</v>
      </c>
      <c r="Q115" s="249">
        <f t="shared" si="35"/>
        <v>145446.55000000005</v>
      </c>
      <c r="R115" s="249">
        <f t="shared" si="35"/>
        <v>1725481.8400000005</v>
      </c>
      <c r="T115" s="250">
        <f t="shared" ref="T115:AG115" si="36">+SUM(T12:T66)</f>
        <v>7094.9563894171797</v>
      </c>
      <c r="U115" s="250">
        <f t="shared" si="36"/>
        <v>7121.4030605386479</v>
      </c>
      <c r="V115" s="250">
        <f t="shared" si="36"/>
        <v>7142.1712018416511</v>
      </c>
      <c r="W115" s="250">
        <f t="shared" si="36"/>
        <v>7011.078341542544</v>
      </c>
      <c r="X115" s="250">
        <f t="shared" si="36"/>
        <v>6934.6100545796417</v>
      </c>
      <c r="Y115" s="250">
        <f t="shared" si="36"/>
        <v>6947.9432491548514</v>
      </c>
      <c r="Z115" s="250">
        <f t="shared" si="36"/>
        <v>6978.8626154029553</v>
      </c>
      <c r="AA115" s="250">
        <f t="shared" si="36"/>
        <v>7048.0283596608288</v>
      </c>
      <c r="AB115" s="250">
        <f t="shared" si="36"/>
        <v>7051.2242337059652</v>
      </c>
      <c r="AC115" s="250">
        <f t="shared" si="36"/>
        <v>7043.746707343179</v>
      </c>
      <c r="AD115" s="250">
        <f t="shared" si="36"/>
        <v>7039.6524714286916</v>
      </c>
      <c r="AE115" s="250">
        <f t="shared" si="36"/>
        <v>7061.5483629181044</v>
      </c>
      <c r="AF115" s="250">
        <f t="shared" si="36"/>
        <v>84475.225047534244</v>
      </c>
      <c r="AG115" s="250">
        <f t="shared" si="36"/>
        <v>7039.6020872945201</v>
      </c>
      <c r="AK115" s="242"/>
      <c r="AN115" s="251" t="s">
        <v>149</v>
      </c>
      <c r="AO115" s="252">
        <f>SUM(AO113:AO114)-SUM(AM12:AM66)</f>
        <v>0</v>
      </c>
      <c r="AQ115" s="237"/>
      <c r="AR115" s="253">
        <f>SUM(AR12:AR113)</f>
        <v>1877388.3935385197</v>
      </c>
      <c r="AS115" s="253">
        <f>SUM(AS12:AS113)</f>
        <v>151906.55353851939</v>
      </c>
      <c r="AT115" s="236">
        <f t="shared" si="29"/>
        <v>8.8037178958962181E-2</v>
      </c>
      <c r="AW115" s="237"/>
      <c r="AX115" s="253">
        <f>SUM(AX12:AX113)</f>
        <v>1884823.6868504637</v>
      </c>
      <c r="AY115" s="253">
        <f>SUM(AY12:AY113)</f>
        <v>7435.2933119441223</v>
      </c>
    </row>
    <row r="116" spans="1:51" s="184" customFormat="1" ht="12" customHeight="1">
      <c r="A116" s="217"/>
      <c r="B116" s="254"/>
      <c r="C116" s="240"/>
      <c r="D116" s="240"/>
      <c r="E116" s="221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4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185"/>
      <c r="AK116" s="215"/>
      <c r="AP116" s="182"/>
      <c r="AQ116" s="237"/>
      <c r="AR116" s="237"/>
      <c r="AS116" s="237"/>
      <c r="AT116" s="182"/>
      <c r="AW116" s="237"/>
      <c r="AX116" s="237"/>
      <c r="AY116" s="238"/>
    </row>
    <row r="117" spans="1:51" s="184" customFormat="1" ht="12" customHeight="1">
      <c r="A117" s="220" t="s">
        <v>136</v>
      </c>
      <c r="B117" s="220" t="s">
        <v>136</v>
      </c>
      <c r="C117" s="240">
        <v>0</v>
      </c>
      <c r="D117" s="240">
        <v>0</v>
      </c>
      <c r="E117" s="221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4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185"/>
      <c r="AK117" s="215"/>
      <c r="AP117" s="182"/>
      <c r="AQ117" s="237"/>
      <c r="AR117" s="237"/>
      <c r="AS117" s="237"/>
      <c r="AT117" s="182"/>
      <c r="AW117" s="237"/>
      <c r="AX117" s="237"/>
      <c r="AY117" s="238"/>
    </row>
    <row r="118" spans="1:51" s="184" customFormat="1" ht="12" customHeight="1">
      <c r="A118" s="239"/>
      <c r="B118" s="239"/>
      <c r="C118" s="240"/>
      <c r="D118" s="240"/>
      <c r="E118" s="221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185"/>
      <c r="AK118" s="215"/>
      <c r="AP118" s="182"/>
      <c r="AQ118" s="237"/>
      <c r="AR118" s="237"/>
      <c r="AS118" s="237"/>
      <c r="AT118" s="182"/>
      <c r="AW118" s="237"/>
      <c r="AX118" s="237"/>
      <c r="AY118" s="238"/>
    </row>
    <row r="119" spans="1:51" s="184" customFormat="1" ht="12" customHeight="1">
      <c r="A119" s="239" t="s">
        <v>392</v>
      </c>
      <c r="B119" s="239" t="s">
        <v>137</v>
      </c>
      <c r="C119" s="240">
        <v>9.98</v>
      </c>
      <c r="D119" s="240">
        <v>10</v>
      </c>
      <c r="E119" s="221"/>
      <c r="F119" s="222">
        <v>723</v>
      </c>
      <c r="G119" s="222">
        <v>735</v>
      </c>
      <c r="H119" s="222">
        <v>732.5</v>
      </c>
      <c r="I119" s="222">
        <v>694.72500000000002</v>
      </c>
      <c r="J119" s="222">
        <v>713.99</v>
      </c>
      <c r="K119" s="222">
        <v>721.05499999999995</v>
      </c>
      <c r="L119" s="222">
        <v>703.58999999999992</v>
      </c>
      <c r="M119" s="222">
        <v>711.07500000000005</v>
      </c>
      <c r="N119" s="222">
        <v>711.78</v>
      </c>
      <c r="O119" s="222">
        <v>710.005</v>
      </c>
      <c r="P119" s="222">
        <v>730</v>
      </c>
      <c r="Q119" s="222">
        <v>743</v>
      </c>
      <c r="R119" s="224">
        <f>+SUM(F119:Q119)</f>
        <v>8629.7200000000012</v>
      </c>
      <c r="T119" s="223">
        <f t="shared" ref="T119:AB120" si="37">IFERROR(F119/$C119,0)</f>
        <v>72.444889779559119</v>
      </c>
      <c r="U119" s="223">
        <f t="shared" si="37"/>
        <v>73.647294589178358</v>
      </c>
      <c r="V119" s="223">
        <f t="shared" si="37"/>
        <v>73.396793587174344</v>
      </c>
      <c r="W119" s="223">
        <f t="shared" si="37"/>
        <v>69.611723446893791</v>
      </c>
      <c r="X119" s="223">
        <f t="shared" si="37"/>
        <v>71.542084168336672</v>
      </c>
      <c r="Y119" s="223">
        <f t="shared" si="37"/>
        <v>72.249999999999986</v>
      </c>
      <c r="Z119" s="223">
        <f t="shared" si="37"/>
        <v>70.499999999999986</v>
      </c>
      <c r="AA119" s="223">
        <f t="shared" si="37"/>
        <v>71.25</v>
      </c>
      <c r="AB119" s="223">
        <f t="shared" si="37"/>
        <v>71.32064128256512</v>
      </c>
      <c r="AC119" s="223">
        <f t="shared" ref="AC119:AE120" si="38">IFERROR(O119/$D119,0)</f>
        <v>71.000500000000002</v>
      </c>
      <c r="AD119" s="223">
        <f t="shared" si="38"/>
        <v>73</v>
      </c>
      <c r="AE119" s="223">
        <f t="shared" si="38"/>
        <v>74.3</v>
      </c>
      <c r="AF119" s="255">
        <f>+SUM(T119:AE119)</f>
        <v>864.26392685370729</v>
      </c>
      <c r="AG119" s="256">
        <f>+AVERAGE(T119:AE119)</f>
        <v>72.021993904475607</v>
      </c>
      <c r="AK119" s="215"/>
      <c r="AP119" s="182"/>
      <c r="AQ119" s="234">
        <f>+IFERROR(D119*(1+$AU$2),0)</f>
        <v>9.5878478374850733</v>
      </c>
      <c r="AR119" s="235">
        <f t="shared" si="27"/>
        <v>8286.4310221006745</v>
      </c>
      <c r="AS119" s="235">
        <f t="shared" si="28"/>
        <v>-343.28897789932671</v>
      </c>
      <c r="AT119" s="182"/>
      <c r="AW119" s="237">
        <f>IFERROR(AQ119*(1+$AX$4),0)</f>
        <v>9.6258199806747022</v>
      </c>
      <c r="AX119" s="237">
        <f t="shared" si="30"/>
        <v>8319.2489756847954</v>
      </c>
      <c r="AY119" s="238">
        <f t="shared" ref="AY119:AY120" si="39">AX119-AR119</f>
        <v>32.817953584120914</v>
      </c>
    </row>
    <row r="120" spans="1:51" s="182" customFormat="1" ht="12" customHeight="1">
      <c r="A120" s="239" t="s">
        <v>393</v>
      </c>
      <c r="B120" s="239" t="s">
        <v>394</v>
      </c>
      <c r="C120" s="240">
        <v>8.98</v>
      </c>
      <c r="D120" s="240">
        <v>9</v>
      </c>
      <c r="E120" s="221"/>
      <c r="F120" s="222">
        <v>63529.079999999994</v>
      </c>
      <c r="G120" s="222">
        <v>63733.304999999993</v>
      </c>
      <c r="H120" s="222">
        <v>63872.799999999996</v>
      </c>
      <c r="I120" s="222">
        <v>62468.409999999996</v>
      </c>
      <c r="J120" s="222">
        <v>61950.47</v>
      </c>
      <c r="K120" s="222">
        <v>62064.195</v>
      </c>
      <c r="L120" s="222">
        <v>62371.325000000004</v>
      </c>
      <c r="M120" s="222">
        <v>63016.865000000005</v>
      </c>
      <c r="N120" s="222">
        <v>63070.845000000001</v>
      </c>
      <c r="O120" s="222">
        <v>63195.394999999997</v>
      </c>
      <c r="P120" s="222">
        <v>63153.245000000003</v>
      </c>
      <c r="Q120" s="222">
        <v>63382.934999999998</v>
      </c>
      <c r="R120" s="241">
        <f>+SUM(F120:Q120)</f>
        <v>755808.86999999988</v>
      </c>
      <c r="T120" s="222">
        <f t="shared" si="37"/>
        <v>7074.5077951002222</v>
      </c>
      <c r="U120" s="222">
        <f t="shared" si="37"/>
        <v>7097.2499999999991</v>
      </c>
      <c r="V120" s="222">
        <f t="shared" si="37"/>
        <v>7112.7839643652551</v>
      </c>
      <c r="W120" s="222">
        <f t="shared" si="37"/>
        <v>6956.3930957683733</v>
      </c>
      <c r="X120" s="222">
        <f t="shared" si="37"/>
        <v>6898.716035634744</v>
      </c>
      <c r="Y120" s="222">
        <f t="shared" si="37"/>
        <v>6911.3802895322933</v>
      </c>
      <c r="Z120" s="222">
        <f t="shared" si="37"/>
        <v>6945.5818485523387</v>
      </c>
      <c r="AA120" s="222">
        <f t="shared" si="37"/>
        <v>7017.4682628062365</v>
      </c>
      <c r="AB120" s="222">
        <f t="shared" si="37"/>
        <v>7023.4793986636969</v>
      </c>
      <c r="AC120" s="222">
        <f t="shared" si="38"/>
        <v>7021.7105555555554</v>
      </c>
      <c r="AD120" s="222">
        <f t="shared" si="38"/>
        <v>7017.0272222222229</v>
      </c>
      <c r="AE120" s="222">
        <f t="shared" si="38"/>
        <v>7042.5483333333332</v>
      </c>
      <c r="AF120" s="255">
        <f>+SUM(T120:AE120)</f>
        <v>84118.846801534281</v>
      </c>
      <c r="AG120" s="256">
        <f>+AVERAGE(T120:AE120)</f>
        <v>7009.903900127857</v>
      </c>
      <c r="AK120" s="242"/>
      <c r="AQ120" s="234">
        <f>+IFERROR(D120*(1+$AU$2),0)</f>
        <v>8.6290630537365658</v>
      </c>
      <c r="AR120" s="235">
        <f t="shared" si="27"/>
        <v>725866.83305804571</v>
      </c>
      <c r="AS120" s="235">
        <f t="shared" si="28"/>
        <v>-29942.036941954168</v>
      </c>
      <c r="AW120" s="237">
        <f>IFERROR(AQ120*(1+$AX$4),0)</f>
        <v>8.6632379826072317</v>
      </c>
      <c r="AX120" s="237">
        <f t="shared" si="30"/>
        <v>728741.58866417059</v>
      </c>
      <c r="AY120" s="238">
        <f t="shared" si="39"/>
        <v>2874.7556061248761</v>
      </c>
    </row>
    <row r="121" spans="1:51" s="184" customFormat="1" ht="12" customHeight="1">
      <c r="A121" s="244"/>
      <c r="B121" s="244"/>
      <c r="C121" s="240"/>
      <c r="D121" s="240"/>
      <c r="E121" s="221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4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185"/>
      <c r="AK121" s="215"/>
      <c r="AP121" s="182"/>
      <c r="AQ121" s="237"/>
      <c r="AR121" s="237"/>
      <c r="AS121" s="237"/>
      <c r="AT121" s="182"/>
      <c r="AW121" s="237"/>
      <c r="AX121" s="237"/>
      <c r="AY121" s="238"/>
    </row>
    <row r="122" spans="1:51" s="182" customFormat="1" ht="12" customHeight="1">
      <c r="A122" s="247"/>
      <c r="B122" s="248" t="s">
        <v>138</v>
      </c>
      <c r="C122" s="240">
        <v>0</v>
      </c>
      <c r="D122" s="240">
        <v>0</v>
      </c>
      <c r="E122" s="221"/>
      <c r="F122" s="249">
        <f t="shared" ref="F122:R122" si="40">SUM(F119:F121)</f>
        <v>64252.079999999994</v>
      </c>
      <c r="G122" s="249">
        <f t="shared" si="40"/>
        <v>64468.304999999993</v>
      </c>
      <c r="H122" s="249">
        <f t="shared" si="40"/>
        <v>64605.299999999996</v>
      </c>
      <c r="I122" s="249">
        <f t="shared" si="40"/>
        <v>63163.134999999995</v>
      </c>
      <c r="J122" s="249">
        <f t="shared" si="40"/>
        <v>62664.46</v>
      </c>
      <c r="K122" s="249">
        <f t="shared" si="40"/>
        <v>62785.25</v>
      </c>
      <c r="L122" s="249">
        <f t="shared" si="40"/>
        <v>63074.915000000001</v>
      </c>
      <c r="M122" s="249">
        <f t="shared" si="40"/>
        <v>63727.94</v>
      </c>
      <c r="N122" s="249">
        <f t="shared" si="40"/>
        <v>63782.625</v>
      </c>
      <c r="O122" s="249">
        <f t="shared" si="40"/>
        <v>63905.399999999994</v>
      </c>
      <c r="P122" s="249">
        <f t="shared" si="40"/>
        <v>63883.245000000003</v>
      </c>
      <c r="Q122" s="249">
        <f t="shared" si="40"/>
        <v>64125.934999999998</v>
      </c>
      <c r="R122" s="249">
        <f t="shared" si="40"/>
        <v>764438.58999999985</v>
      </c>
      <c r="S122" s="184"/>
      <c r="T122" s="250">
        <f t="shared" ref="T122:AG122" si="41">SUM(T119:T121)</f>
        <v>7146.9526848797814</v>
      </c>
      <c r="U122" s="250">
        <f t="shared" si="41"/>
        <v>7170.8972945891774</v>
      </c>
      <c r="V122" s="250">
        <f t="shared" si="41"/>
        <v>7186.1807579524293</v>
      </c>
      <c r="W122" s="250">
        <f t="shared" si="41"/>
        <v>7026.0048192152672</v>
      </c>
      <c r="X122" s="250">
        <f t="shared" si="41"/>
        <v>6970.2581198030803</v>
      </c>
      <c r="Y122" s="250">
        <f t="shared" si="41"/>
        <v>6983.6302895322933</v>
      </c>
      <c r="Z122" s="250">
        <f t="shared" si="41"/>
        <v>7016.0818485523387</v>
      </c>
      <c r="AA122" s="250">
        <f t="shared" si="41"/>
        <v>7088.7182628062365</v>
      </c>
      <c r="AB122" s="250">
        <f t="shared" si="41"/>
        <v>7094.8000399462617</v>
      </c>
      <c r="AC122" s="250">
        <f t="shared" si="41"/>
        <v>7092.7110555555555</v>
      </c>
      <c r="AD122" s="250">
        <f t="shared" si="41"/>
        <v>7090.0272222222229</v>
      </c>
      <c r="AE122" s="250">
        <f t="shared" si="41"/>
        <v>7116.8483333333334</v>
      </c>
      <c r="AF122" s="250">
        <f t="shared" si="41"/>
        <v>84983.110728387983</v>
      </c>
      <c r="AG122" s="250">
        <f t="shared" si="41"/>
        <v>7081.9258940323325</v>
      </c>
      <c r="AI122" s="182" t="s">
        <v>395</v>
      </c>
      <c r="AK122" s="242"/>
      <c r="AL122" s="257">
        <v>1</v>
      </c>
      <c r="AM122" s="232">
        <f>AG122*AL122</f>
        <v>7081.9258940323325</v>
      </c>
      <c r="AN122" s="245" t="s">
        <v>390</v>
      </c>
      <c r="AO122" s="246">
        <f>SUM(AM122)</f>
        <v>7081.9258940323325</v>
      </c>
      <c r="AQ122" s="237"/>
      <c r="AR122" s="253">
        <f>SUM(AR119:AR120)</f>
        <v>734153.26408014633</v>
      </c>
      <c r="AS122" s="253">
        <f>SUM(AS119:AS120)</f>
        <v>-30285.325919853494</v>
      </c>
      <c r="AT122" s="236">
        <f t="shared" ref="AT122" si="42">AS122/R122</f>
        <v>-3.9617735572262905E-2</v>
      </c>
      <c r="AW122" s="237"/>
      <c r="AX122" s="253">
        <f>SUM(AX119:AX120)</f>
        <v>737060.83763985534</v>
      </c>
      <c r="AY122" s="253">
        <f>SUM(AY119:AY120)</f>
        <v>2907.573559708997</v>
      </c>
    </row>
    <row r="123" spans="1:51" s="182" customFormat="1" ht="12" customHeight="1">
      <c r="A123" s="258"/>
      <c r="B123" s="258"/>
      <c r="C123" s="240">
        <v>0</v>
      </c>
      <c r="D123" s="240">
        <v>0</v>
      </c>
      <c r="E123" s="221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24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K123" s="242"/>
      <c r="AQ123" s="237"/>
      <c r="AR123" s="237"/>
      <c r="AS123" s="237"/>
      <c r="AW123" s="237"/>
      <c r="AX123" s="237"/>
      <c r="AY123" s="238"/>
    </row>
    <row r="124" spans="1:51" ht="12" customHeight="1">
      <c r="A124" s="260" t="s">
        <v>139</v>
      </c>
      <c r="B124" s="260" t="s">
        <v>139</v>
      </c>
      <c r="C124" s="240">
        <v>0</v>
      </c>
      <c r="D124" s="240">
        <v>0</v>
      </c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Q124" s="237"/>
      <c r="AR124" s="237"/>
      <c r="AS124" s="237"/>
      <c r="AT124" s="188"/>
      <c r="AW124" s="237"/>
      <c r="AX124" s="237"/>
      <c r="AY124" s="238"/>
    </row>
    <row r="125" spans="1:51" ht="12" customHeight="1">
      <c r="A125" s="260"/>
      <c r="B125" s="260"/>
      <c r="C125" s="240">
        <v>0</v>
      </c>
      <c r="D125" s="240">
        <v>0</v>
      </c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Q125" s="237"/>
      <c r="AR125" s="237"/>
      <c r="AS125" s="237"/>
      <c r="AT125" s="188"/>
      <c r="AW125" s="237"/>
      <c r="AX125" s="237"/>
      <c r="AY125" s="238"/>
    </row>
    <row r="126" spans="1:51" s="184" customFormat="1" ht="12" customHeight="1">
      <c r="A126" s="220" t="s">
        <v>140</v>
      </c>
      <c r="B126" s="220" t="s">
        <v>140</v>
      </c>
      <c r="C126" s="240">
        <v>0</v>
      </c>
      <c r="D126" s="240">
        <v>0</v>
      </c>
      <c r="E126" s="221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24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185"/>
      <c r="AK126" s="215"/>
      <c r="AP126" s="182"/>
      <c r="AQ126" s="237"/>
      <c r="AR126" s="237"/>
      <c r="AS126" s="237"/>
      <c r="AT126" s="182"/>
      <c r="AW126" s="237"/>
      <c r="AX126" s="237"/>
      <c r="AY126" s="238"/>
    </row>
    <row r="127" spans="1:51" s="411" customFormat="1" ht="12" customHeight="1">
      <c r="A127" s="408" t="s">
        <v>396</v>
      </c>
      <c r="B127" s="408" t="s">
        <v>397</v>
      </c>
      <c r="C127" s="272">
        <v>102.64</v>
      </c>
      <c r="D127" s="272">
        <v>102.9</v>
      </c>
      <c r="E127" s="409"/>
      <c r="F127" s="274">
        <v>5515.44</v>
      </c>
      <c r="G127" s="274">
        <v>5556.61</v>
      </c>
      <c r="H127" s="274">
        <v>5710.95</v>
      </c>
      <c r="I127" s="274">
        <v>5106.34</v>
      </c>
      <c r="J127" s="274">
        <v>5101.21</v>
      </c>
      <c r="K127" s="274">
        <v>5183.32</v>
      </c>
      <c r="L127" s="274">
        <v>5439.92</v>
      </c>
      <c r="M127" s="274">
        <v>5439.92</v>
      </c>
      <c r="N127" s="274">
        <v>5515.28</v>
      </c>
      <c r="O127" s="274">
        <v>5453.7</v>
      </c>
      <c r="P127" s="274">
        <v>5453.7</v>
      </c>
      <c r="Q127" s="274">
        <v>5494.86</v>
      </c>
      <c r="R127" s="410">
        <f t="shared" ref="R127:R158" si="43">+SUM(F127:Q127)</f>
        <v>64971.249999999993</v>
      </c>
      <c r="T127" s="274">
        <f t="shared" ref="T127:AB155" si="44">IFERROR(F127/$C127,0)</f>
        <v>53.735775526110672</v>
      </c>
      <c r="U127" s="274">
        <f t="shared" si="44"/>
        <v>54.136886204208885</v>
      </c>
      <c r="V127" s="274">
        <f t="shared" si="44"/>
        <v>55.640588464536243</v>
      </c>
      <c r="W127" s="274">
        <f t="shared" si="44"/>
        <v>49.75</v>
      </c>
      <c r="X127" s="274">
        <f t="shared" si="44"/>
        <v>49.700019485580668</v>
      </c>
      <c r="Y127" s="274">
        <f t="shared" si="44"/>
        <v>50.5</v>
      </c>
      <c r="Z127" s="274">
        <f t="shared" si="44"/>
        <v>53</v>
      </c>
      <c r="AA127" s="274">
        <f t="shared" si="44"/>
        <v>53</v>
      </c>
      <c r="AB127" s="274">
        <f t="shared" si="44"/>
        <v>53.734216679657052</v>
      </c>
      <c r="AC127" s="274">
        <f t="shared" ref="AC127:AE158" si="45">IFERROR(O127/$D127,0)</f>
        <v>52.999999999999993</v>
      </c>
      <c r="AD127" s="274">
        <f t="shared" si="45"/>
        <v>52.999999999999993</v>
      </c>
      <c r="AE127" s="274">
        <f t="shared" si="45"/>
        <v>53.399999999999991</v>
      </c>
      <c r="AF127" s="277">
        <f t="shared" ref="AF127:AF190" si="46">+SUM(T127:AE127)</f>
        <v>632.59748636009351</v>
      </c>
      <c r="AG127" s="278">
        <f t="shared" ref="AG127:AG190" si="47">AVERAGE(T127:AE127)</f>
        <v>52.716457196674462</v>
      </c>
      <c r="AK127" s="412">
        <v>1</v>
      </c>
      <c r="AL127" s="412" t="str">
        <f t="shared" ref="AL127:AL132" si="48">RIGHT(B127,2)</f>
        <v xml:space="preserve"> 1</v>
      </c>
      <c r="AM127" s="278">
        <f t="shared" ref="AM127:AM190" si="49">AG127*AL127</f>
        <v>52.716457196674462</v>
      </c>
      <c r="AQ127" s="414">
        <f t="shared" ref="AQ127:AQ190" si="50">+IFERROR(D127*(1+$AU$1),0)</f>
        <v>111.71702702876154</v>
      </c>
      <c r="AR127" s="415">
        <f t="shared" ref="AR127:AR190" si="51">AG127*AQ127*12</f>
        <v>70671.910482017178</v>
      </c>
      <c r="AS127" s="415">
        <f t="shared" ref="AS127:AS190" si="52">AR127-R127</f>
        <v>5700.6604820171851</v>
      </c>
      <c r="AW127" s="417">
        <f t="shared" ref="AW127:AW190" si="53">IFERROR(AQ127*(1+$AX$4),0)</f>
        <v>112.15947616009532</v>
      </c>
      <c r="AX127" s="417">
        <f t="shared" si="30"/>
        <v>70951.802690341137</v>
      </c>
      <c r="AY127" s="418">
        <f t="shared" ref="AY127:AY190" si="54">AX127-AR127</f>
        <v>279.89220832395949</v>
      </c>
    </row>
    <row r="128" spans="1:51" s="411" customFormat="1" ht="12" customHeight="1">
      <c r="A128" s="408" t="s">
        <v>398</v>
      </c>
      <c r="B128" s="408" t="s">
        <v>397</v>
      </c>
      <c r="C128" s="272">
        <v>102.64</v>
      </c>
      <c r="D128" s="272">
        <v>102.9</v>
      </c>
      <c r="E128" s="409"/>
      <c r="F128" s="274">
        <v>4892.8999999999996</v>
      </c>
      <c r="G128" s="274">
        <v>5093.5600000000004</v>
      </c>
      <c r="H128" s="274">
        <v>5233.1400000000003</v>
      </c>
      <c r="I128" s="274">
        <v>3997.83</v>
      </c>
      <c r="J128" s="274">
        <v>4423.79</v>
      </c>
      <c r="K128" s="274">
        <v>4382.7299999999996</v>
      </c>
      <c r="L128" s="274">
        <v>4495.63</v>
      </c>
      <c r="M128" s="274">
        <v>4680.38</v>
      </c>
      <c r="N128" s="274">
        <v>4861.96</v>
      </c>
      <c r="O128" s="274">
        <v>4517.3100000000004</v>
      </c>
      <c r="P128" s="274">
        <v>5129.57</v>
      </c>
      <c r="Q128" s="274">
        <v>4635.66</v>
      </c>
      <c r="R128" s="410">
        <f t="shared" si="43"/>
        <v>56344.459999999992</v>
      </c>
      <c r="T128" s="274">
        <f t="shared" si="44"/>
        <v>47.670498830865156</v>
      </c>
      <c r="U128" s="274">
        <f t="shared" si="44"/>
        <v>49.625487139516764</v>
      </c>
      <c r="V128" s="274">
        <f t="shared" si="44"/>
        <v>50.985385814497278</v>
      </c>
      <c r="W128" s="274">
        <f t="shared" si="44"/>
        <v>38.950019485580668</v>
      </c>
      <c r="X128" s="274">
        <f t="shared" si="44"/>
        <v>43.100058456742012</v>
      </c>
      <c r="Y128" s="274">
        <f t="shared" si="44"/>
        <v>42.700019485580668</v>
      </c>
      <c r="Z128" s="274">
        <f t="shared" si="44"/>
        <v>43.799980514419332</v>
      </c>
      <c r="AA128" s="274">
        <f t="shared" si="44"/>
        <v>45.599961028838663</v>
      </c>
      <c r="AB128" s="274">
        <f t="shared" si="44"/>
        <v>47.369056897895554</v>
      </c>
      <c r="AC128" s="274">
        <f t="shared" si="45"/>
        <v>43.9</v>
      </c>
      <c r="AD128" s="274">
        <f t="shared" si="45"/>
        <v>49.850048590864915</v>
      </c>
      <c r="AE128" s="274">
        <f t="shared" si="45"/>
        <v>45.050145772594746</v>
      </c>
      <c r="AF128" s="277">
        <f t="shared" si="46"/>
        <v>548.60066201739573</v>
      </c>
      <c r="AG128" s="278">
        <f t="shared" si="47"/>
        <v>45.71672183478298</v>
      </c>
      <c r="AK128" s="412">
        <v>1</v>
      </c>
      <c r="AL128" s="412" t="str">
        <f t="shared" si="48"/>
        <v xml:space="preserve"> 1</v>
      </c>
      <c r="AM128" s="278">
        <f t="shared" si="49"/>
        <v>45.71672183478298</v>
      </c>
      <c r="AQ128" s="414">
        <f t="shared" si="50"/>
        <v>111.71702702876154</v>
      </c>
      <c r="AR128" s="415">
        <f t="shared" si="51"/>
        <v>61288.03498659387</v>
      </c>
      <c r="AS128" s="415">
        <f t="shared" si="52"/>
        <v>4943.5749865938778</v>
      </c>
      <c r="AW128" s="417">
        <f t="shared" si="53"/>
        <v>112.15947616009532</v>
      </c>
      <c r="AX128" s="417">
        <f t="shared" si="30"/>
        <v>61530.762872952619</v>
      </c>
      <c r="AY128" s="418">
        <f t="shared" si="54"/>
        <v>242.72788635874895</v>
      </c>
    </row>
    <row r="129" spans="1:51" s="411" customFormat="1" ht="12" customHeight="1">
      <c r="A129" s="408" t="s">
        <v>399</v>
      </c>
      <c r="B129" s="408" t="s">
        <v>400</v>
      </c>
      <c r="C129" s="272">
        <v>190.93</v>
      </c>
      <c r="D129" s="272">
        <v>191.4</v>
      </c>
      <c r="E129" s="409"/>
      <c r="F129" s="274">
        <v>0</v>
      </c>
      <c r="G129" s="274">
        <v>0</v>
      </c>
      <c r="H129" s="274">
        <v>0</v>
      </c>
      <c r="I129" s="274">
        <v>0</v>
      </c>
      <c r="J129" s="274">
        <v>0</v>
      </c>
      <c r="K129" s="274">
        <v>0</v>
      </c>
      <c r="L129" s="274">
        <v>0</v>
      </c>
      <c r="M129" s="274">
        <v>0</v>
      </c>
      <c r="N129" s="274">
        <v>0</v>
      </c>
      <c r="O129" s="274">
        <v>0</v>
      </c>
      <c r="P129" s="274">
        <v>0</v>
      </c>
      <c r="Q129" s="274">
        <v>0</v>
      </c>
      <c r="R129" s="410">
        <f t="shared" si="43"/>
        <v>0</v>
      </c>
      <c r="T129" s="274">
        <f t="shared" si="44"/>
        <v>0</v>
      </c>
      <c r="U129" s="274">
        <f t="shared" si="44"/>
        <v>0</v>
      </c>
      <c r="V129" s="274">
        <f t="shared" si="44"/>
        <v>0</v>
      </c>
      <c r="W129" s="274">
        <f t="shared" si="44"/>
        <v>0</v>
      </c>
      <c r="X129" s="274">
        <f t="shared" si="44"/>
        <v>0</v>
      </c>
      <c r="Y129" s="274">
        <f t="shared" si="44"/>
        <v>0</v>
      </c>
      <c r="Z129" s="274">
        <f t="shared" si="44"/>
        <v>0</v>
      </c>
      <c r="AA129" s="274">
        <f t="shared" si="44"/>
        <v>0</v>
      </c>
      <c r="AB129" s="274">
        <f t="shared" si="44"/>
        <v>0</v>
      </c>
      <c r="AC129" s="274">
        <f t="shared" si="45"/>
        <v>0</v>
      </c>
      <c r="AD129" s="274">
        <f t="shared" si="45"/>
        <v>0</v>
      </c>
      <c r="AE129" s="274">
        <f t="shared" si="45"/>
        <v>0</v>
      </c>
      <c r="AF129" s="277">
        <f t="shared" si="46"/>
        <v>0</v>
      </c>
      <c r="AG129" s="278">
        <f t="shared" si="47"/>
        <v>0</v>
      </c>
      <c r="AK129" s="412">
        <v>1</v>
      </c>
      <c r="AL129" s="412" t="str">
        <f t="shared" si="48"/>
        <v xml:space="preserve"> 1</v>
      </c>
      <c r="AM129" s="278">
        <f t="shared" si="49"/>
        <v>0</v>
      </c>
      <c r="AQ129" s="414">
        <f t="shared" si="50"/>
        <v>207.80018438585964</v>
      </c>
      <c r="AR129" s="415">
        <f t="shared" si="51"/>
        <v>0</v>
      </c>
      <c r="AS129" s="415">
        <f t="shared" si="52"/>
        <v>0</v>
      </c>
      <c r="AW129" s="417">
        <f t="shared" si="53"/>
        <v>208.62316556892364</v>
      </c>
      <c r="AX129" s="417">
        <f t="shared" si="30"/>
        <v>0</v>
      </c>
      <c r="AY129" s="418">
        <f t="shared" si="54"/>
        <v>0</v>
      </c>
    </row>
    <row r="130" spans="1:51" s="411" customFormat="1" ht="12" customHeight="1">
      <c r="A130" s="408" t="s">
        <v>401</v>
      </c>
      <c r="B130" s="408" t="s">
        <v>400</v>
      </c>
      <c r="C130" s="272">
        <v>190.93</v>
      </c>
      <c r="D130" s="272">
        <v>191.4</v>
      </c>
      <c r="E130" s="409"/>
      <c r="F130" s="274">
        <v>0</v>
      </c>
      <c r="G130" s="274">
        <v>0</v>
      </c>
      <c r="H130" s="274">
        <v>0</v>
      </c>
      <c r="I130" s="274">
        <v>0</v>
      </c>
      <c r="J130" s="274">
        <v>0</v>
      </c>
      <c r="K130" s="274">
        <v>0</v>
      </c>
      <c r="L130" s="274">
        <v>0</v>
      </c>
      <c r="M130" s="274">
        <v>0</v>
      </c>
      <c r="N130" s="274">
        <v>0</v>
      </c>
      <c r="O130" s="274">
        <v>0</v>
      </c>
      <c r="P130" s="274">
        <v>0</v>
      </c>
      <c r="Q130" s="274">
        <v>0</v>
      </c>
      <c r="R130" s="410">
        <f t="shared" si="43"/>
        <v>0</v>
      </c>
      <c r="T130" s="274">
        <f t="shared" si="44"/>
        <v>0</v>
      </c>
      <c r="U130" s="274">
        <f t="shared" si="44"/>
        <v>0</v>
      </c>
      <c r="V130" s="274">
        <f t="shared" si="44"/>
        <v>0</v>
      </c>
      <c r="W130" s="274">
        <f t="shared" si="44"/>
        <v>0</v>
      </c>
      <c r="X130" s="274">
        <f t="shared" si="44"/>
        <v>0</v>
      </c>
      <c r="Y130" s="274">
        <f t="shared" si="44"/>
        <v>0</v>
      </c>
      <c r="Z130" s="274">
        <f t="shared" si="44"/>
        <v>0</v>
      </c>
      <c r="AA130" s="274">
        <f t="shared" si="44"/>
        <v>0</v>
      </c>
      <c r="AB130" s="274">
        <f t="shared" si="44"/>
        <v>0</v>
      </c>
      <c r="AC130" s="274">
        <f t="shared" si="45"/>
        <v>0</v>
      </c>
      <c r="AD130" s="274">
        <f t="shared" si="45"/>
        <v>0</v>
      </c>
      <c r="AE130" s="274">
        <f t="shared" si="45"/>
        <v>0</v>
      </c>
      <c r="AF130" s="277">
        <f t="shared" si="46"/>
        <v>0</v>
      </c>
      <c r="AG130" s="278">
        <f t="shared" si="47"/>
        <v>0</v>
      </c>
      <c r="AK130" s="412">
        <v>1</v>
      </c>
      <c r="AL130" s="412" t="str">
        <f t="shared" si="48"/>
        <v xml:space="preserve"> 1</v>
      </c>
      <c r="AM130" s="278">
        <f t="shared" si="49"/>
        <v>0</v>
      </c>
      <c r="AQ130" s="414">
        <f t="shared" si="50"/>
        <v>207.80018438585964</v>
      </c>
      <c r="AR130" s="415">
        <f t="shared" si="51"/>
        <v>0</v>
      </c>
      <c r="AS130" s="415">
        <f t="shared" si="52"/>
        <v>0</v>
      </c>
      <c r="AW130" s="417">
        <f t="shared" si="53"/>
        <v>208.62316556892364</v>
      </c>
      <c r="AX130" s="417">
        <f t="shared" si="30"/>
        <v>0</v>
      </c>
      <c r="AY130" s="418">
        <f t="shared" si="54"/>
        <v>0</v>
      </c>
    </row>
    <row r="131" spans="1:51" s="411" customFormat="1" ht="12" customHeight="1">
      <c r="A131" s="408" t="s">
        <v>402</v>
      </c>
      <c r="B131" s="408" t="s">
        <v>403</v>
      </c>
      <c r="C131" s="272">
        <v>58.6</v>
      </c>
      <c r="D131" s="272">
        <v>58.74</v>
      </c>
      <c r="E131" s="409"/>
      <c r="F131" s="274">
        <v>3377.55</v>
      </c>
      <c r="G131" s="274">
        <v>3289.44</v>
      </c>
      <c r="H131" s="274">
        <v>3416.71</v>
      </c>
      <c r="I131" s="274">
        <v>3457.4</v>
      </c>
      <c r="J131" s="274">
        <v>3359.73</v>
      </c>
      <c r="K131" s="274">
        <v>3312.85</v>
      </c>
      <c r="L131" s="274">
        <v>3398.8</v>
      </c>
      <c r="M131" s="274">
        <v>3310.9</v>
      </c>
      <c r="N131" s="274">
        <v>3289.44</v>
      </c>
      <c r="O131" s="274">
        <v>3465.66</v>
      </c>
      <c r="P131" s="274">
        <v>3406.92</v>
      </c>
      <c r="Q131" s="274">
        <v>3318.81</v>
      </c>
      <c r="R131" s="410">
        <f t="shared" si="43"/>
        <v>40404.209999999992</v>
      </c>
      <c r="T131" s="274">
        <f t="shared" si="44"/>
        <v>57.637372013651877</v>
      </c>
      <c r="U131" s="274">
        <f t="shared" si="44"/>
        <v>56.133788395904439</v>
      </c>
      <c r="V131" s="274">
        <f t="shared" si="44"/>
        <v>58.305631399317406</v>
      </c>
      <c r="W131" s="274">
        <f t="shared" si="44"/>
        <v>59</v>
      </c>
      <c r="X131" s="274">
        <f t="shared" si="44"/>
        <v>57.333276450511946</v>
      </c>
      <c r="Y131" s="274">
        <f t="shared" si="44"/>
        <v>56.533276450511941</v>
      </c>
      <c r="Z131" s="274">
        <f t="shared" si="44"/>
        <v>58</v>
      </c>
      <c r="AA131" s="274">
        <f t="shared" si="44"/>
        <v>56.5</v>
      </c>
      <c r="AB131" s="274">
        <f t="shared" si="44"/>
        <v>56.133788395904439</v>
      </c>
      <c r="AC131" s="274">
        <f t="shared" si="45"/>
        <v>58.999999999999993</v>
      </c>
      <c r="AD131" s="274">
        <f t="shared" si="45"/>
        <v>58</v>
      </c>
      <c r="AE131" s="274">
        <f t="shared" si="45"/>
        <v>56.5</v>
      </c>
      <c r="AF131" s="277">
        <f t="shared" si="46"/>
        <v>689.07713310580209</v>
      </c>
      <c r="AG131" s="278">
        <f t="shared" si="47"/>
        <v>57.423094425483505</v>
      </c>
      <c r="AK131" s="412">
        <v>1</v>
      </c>
      <c r="AL131" s="412" t="str">
        <f t="shared" si="48"/>
        <v xml:space="preserve"> 1</v>
      </c>
      <c r="AM131" s="278">
        <f t="shared" si="49"/>
        <v>57.423094425483505</v>
      </c>
      <c r="AQ131" s="414">
        <f t="shared" si="50"/>
        <v>63.773160035660375</v>
      </c>
      <c r="AR131" s="415">
        <f t="shared" si="51"/>
        <v>43944.62628647036</v>
      </c>
      <c r="AS131" s="415">
        <f t="shared" si="52"/>
        <v>3540.4162864703685</v>
      </c>
      <c r="AW131" s="417">
        <f t="shared" si="53"/>
        <v>64.025730122876567</v>
      </c>
      <c r="AX131" s="417">
        <f t="shared" si="30"/>
        <v>44118.666558077581</v>
      </c>
      <c r="AY131" s="418">
        <f t="shared" si="54"/>
        <v>174.04027160722035</v>
      </c>
    </row>
    <row r="132" spans="1:51" s="411" customFormat="1" ht="12" customHeight="1">
      <c r="A132" s="408" t="s">
        <v>404</v>
      </c>
      <c r="B132" s="408" t="s">
        <v>403</v>
      </c>
      <c r="C132" s="272">
        <v>58.6</v>
      </c>
      <c r="D132" s="272">
        <v>58.74</v>
      </c>
      <c r="E132" s="409"/>
      <c r="F132" s="274">
        <v>6060.01</v>
      </c>
      <c r="G132" s="274">
        <v>6241.13</v>
      </c>
      <c r="H132" s="274">
        <v>6175.53</v>
      </c>
      <c r="I132" s="274">
        <v>6006.5</v>
      </c>
      <c r="J132" s="274">
        <v>6035.8</v>
      </c>
      <c r="K132" s="274">
        <v>6035.8</v>
      </c>
      <c r="L132" s="274">
        <v>5879.54</v>
      </c>
      <c r="M132" s="274">
        <v>5801.4</v>
      </c>
      <c r="N132" s="274">
        <v>5932.6</v>
      </c>
      <c r="O132" s="274">
        <v>6099.17</v>
      </c>
      <c r="P132" s="274">
        <v>6275.39</v>
      </c>
      <c r="Q132" s="274">
        <v>6255.81</v>
      </c>
      <c r="R132" s="410">
        <f t="shared" si="43"/>
        <v>72798.679999999993</v>
      </c>
      <c r="T132" s="274">
        <f t="shared" si="44"/>
        <v>103.41313993174062</v>
      </c>
      <c r="U132" s="274">
        <f t="shared" si="44"/>
        <v>106.50392491467576</v>
      </c>
      <c r="V132" s="274">
        <f t="shared" si="44"/>
        <v>105.38447098976108</v>
      </c>
      <c r="W132" s="274">
        <f t="shared" si="44"/>
        <v>102.5</v>
      </c>
      <c r="X132" s="274">
        <f t="shared" si="44"/>
        <v>103</v>
      </c>
      <c r="Y132" s="274">
        <f t="shared" si="44"/>
        <v>103</v>
      </c>
      <c r="Z132" s="274">
        <f t="shared" si="44"/>
        <v>100.33344709897611</v>
      </c>
      <c r="AA132" s="274">
        <f t="shared" si="44"/>
        <v>98.999999999999986</v>
      </c>
      <c r="AB132" s="274">
        <f t="shared" si="44"/>
        <v>101.23890784982936</v>
      </c>
      <c r="AC132" s="274">
        <f t="shared" si="45"/>
        <v>103.83333333333333</v>
      </c>
      <c r="AD132" s="274">
        <f t="shared" si="45"/>
        <v>106.83333333333333</v>
      </c>
      <c r="AE132" s="274">
        <f t="shared" si="45"/>
        <v>106.5</v>
      </c>
      <c r="AF132" s="277">
        <f t="shared" si="46"/>
        <v>1241.5405574516494</v>
      </c>
      <c r="AG132" s="278">
        <f t="shared" si="47"/>
        <v>103.46171312097078</v>
      </c>
      <c r="AK132" s="412">
        <v>1</v>
      </c>
      <c r="AL132" s="412" t="str">
        <f t="shared" si="48"/>
        <v xml:space="preserve"> 1</v>
      </c>
      <c r="AM132" s="278">
        <f t="shared" si="49"/>
        <v>103.46171312097078</v>
      </c>
      <c r="AQ132" s="414">
        <f t="shared" si="50"/>
        <v>63.773160035660375</v>
      </c>
      <c r="AR132" s="415">
        <f t="shared" si="51"/>
        <v>79176.964661127029</v>
      </c>
      <c r="AS132" s="415">
        <f t="shared" si="52"/>
        <v>6378.2846611270361</v>
      </c>
      <c r="AW132" s="417">
        <f t="shared" si="53"/>
        <v>64.025730122876567</v>
      </c>
      <c r="AX132" s="417">
        <f t="shared" si="30"/>
        <v>79490.540668005036</v>
      </c>
      <c r="AY132" s="418">
        <f t="shared" si="54"/>
        <v>313.57600687800732</v>
      </c>
    </row>
    <row r="133" spans="1:51" s="411" customFormat="1" ht="12" customHeight="1">
      <c r="A133" s="408" t="s">
        <v>405</v>
      </c>
      <c r="B133" s="408" t="s">
        <v>406</v>
      </c>
      <c r="C133" s="272">
        <v>30.57</v>
      </c>
      <c r="D133" s="272">
        <v>30.65</v>
      </c>
      <c r="E133" s="409"/>
      <c r="F133" s="274">
        <v>0</v>
      </c>
      <c r="G133" s="274">
        <v>0</v>
      </c>
      <c r="H133" s="274">
        <v>0</v>
      </c>
      <c r="I133" s="274">
        <v>0</v>
      </c>
      <c r="J133" s="274">
        <v>0</v>
      </c>
      <c r="K133" s="274">
        <v>61.14</v>
      </c>
      <c r="L133" s="274">
        <v>61.14</v>
      </c>
      <c r="M133" s="274">
        <v>30.57</v>
      </c>
      <c r="N133" s="274">
        <v>30.57</v>
      </c>
      <c r="O133" s="274">
        <v>30.65</v>
      </c>
      <c r="P133" s="274">
        <v>0</v>
      </c>
      <c r="Q133" s="274">
        <v>0</v>
      </c>
      <c r="R133" s="410">
        <f t="shared" si="43"/>
        <v>214.07</v>
      </c>
      <c r="T133" s="274">
        <f t="shared" si="44"/>
        <v>0</v>
      </c>
      <c r="U133" s="274">
        <f t="shared" si="44"/>
        <v>0</v>
      </c>
      <c r="V133" s="274">
        <f t="shared" si="44"/>
        <v>0</v>
      </c>
      <c r="W133" s="274">
        <f t="shared" si="44"/>
        <v>0</v>
      </c>
      <c r="X133" s="274">
        <f t="shared" si="44"/>
        <v>0</v>
      </c>
      <c r="Y133" s="274">
        <f t="shared" si="44"/>
        <v>2</v>
      </c>
      <c r="Z133" s="274">
        <f t="shared" si="44"/>
        <v>2</v>
      </c>
      <c r="AA133" s="274">
        <f t="shared" si="44"/>
        <v>1</v>
      </c>
      <c r="AB133" s="274">
        <f t="shared" si="44"/>
        <v>1</v>
      </c>
      <c r="AC133" s="274">
        <f t="shared" si="45"/>
        <v>1</v>
      </c>
      <c r="AD133" s="274">
        <f t="shared" si="45"/>
        <v>0</v>
      </c>
      <c r="AE133" s="274">
        <f t="shared" si="45"/>
        <v>0</v>
      </c>
      <c r="AF133" s="277">
        <f t="shared" si="46"/>
        <v>7</v>
      </c>
      <c r="AG133" s="278">
        <f t="shared" si="47"/>
        <v>0.58333333333333337</v>
      </c>
      <c r="AK133" s="412">
        <v>1</v>
      </c>
      <c r="AL133" s="424">
        <v>1</v>
      </c>
      <c r="AM133" s="278">
        <f t="shared" si="49"/>
        <v>0.58333333333333337</v>
      </c>
      <c r="AQ133" s="414">
        <f t="shared" si="50"/>
        <v>33.276257321978044</v>
      </c>
      <c r="AR133" s="415">
        <f t="shared" si="51"/>
        <v>232.93380125384635</v>
      </c>
      <c r="AS133" s="415">
        <f t="shared" si="52"/>
        <v>18.863801253846361</v>
      </c>
      <c r="AW133" s="417">
        <f t="shared" si="53"/>
        <v>33.408046105995346</v>
      </c>
      <c r="AX133" s="417">
        <f t="shared" si="30"/>
        <v>233.85632274196746</v>
      </c>
      <c r="AY133" s="418">
        <f t="shared" si="54"/>
        <v>0.9225214881211059</v>
      </c>
    </row>
    <row r="134" spans="1:51" s="411" customFormat="1" ht="12" customHeight="1">
      <c r="A134" s="408" t="s">
        <v>407</v>
      </c>
      <c r="B134" s="408" t="s">
        <v>408</v>
      </c>
      <c r="C134" s="272">
        <v>49.04</v>
      </c>
      <c r="D134" s="272">
        <v>49.17</v>
      </c>
      <c r="E134" s="409"/>
      <c r="F134" s="274">
        <v>27.85</v>
      </c>
      <c r="G134" s="274">
        <v>27.85</v>
      </c>
      <c r="H134" s="274">
        <v>27.85</v>
      </c>
      <c r="I134" s="274">
        <v>27.85</v>
      </c>
      <c r="J134" s="274">
        <v>27.85</v>
      </c>
      <c r="K134" s="274">
        <v>27.85</v>
      </c>
      <c r="L134" s="274">
        <v>27.85</v>
      </c>
      <c r="M134" s="274">
        <v>27.85</v>
      </c>
      <c r="N134" s="274">
        <v>27.85</v>
      </c>
      <c r="O134" s="274">
        <v>27.85</v>
      </c>
      <c r="P134" s="274">
        <v>27.85</v>
      </c>
      <c r="Q134" s="274">
        <v>27.85</v>
      </c>
      <c r="R134" s="410">
        <f t="shared" si="43"/>
        <v>334.20000000000005</v>
      </c>
      <c r="T134" s="274">
        <f t="shared" si="44"/>
        <v>0.56790375203915178</v>
      </c>
      <c r="U134" s="274">
        <f t="shared" si="44"/>
        <v>0.56790375203915178</v>
      </c>
      <c r="V134" s="274">
        <f t="shared" si="44"/>
        <v>0.56790375203915178</v>
      </c>
      <c r="W134" s="274">
        <f t="shared" si="44"/>
        <v>0.56790375203915178</v>
      </c>
      <c r="X134" s="274">
        <f t="shared" si="44"/>
        <v>0.56790375203915178</v>
      </c>
      <c r="Y134" s="274">
        <f t="shared" si="44"/>
        <v>0.56790375203915178</v>
      </c>
      <c r="Z134" s="274">
        <f t="shared" si="44"/>
        <v>0.56790375203915178</v>
      </c>
      <c r="AA134" s="274">
        <f t="shared" si="44"/>
        <v>0.56790375203915178</v>
      </c>
      <c r="AB134" s="274">
        <f t="shared" si="44"/>
        <v>0.56790375203915178</v>
      </c>
      <c r="AC134" s="274">
        <f t="shared" si="45"/>
        <v>0.56640227781167385</v>
      </c>
      <c r="AD134" s="274">
        <f t="shared" si="45"/>
        <v>0.56640227781167385</v>
      </c>
      <c r="AE134" s="274">
        <f t="shared" si="45"/>
        <v>0.56640227781167385</v>
      </c>
      <c r="AF134" s="277">
        <f t="shared" si="46"/>
        <v>6.8103406017873889</v>
      </c>
      <c r="AG134" s="278">
        <f t="shared" si="47"/>
        <v>0.56752838348228241</v>
      </c>
      <c r="AK134" s="412">
        <v>1.5</v>
      </c>
      <c r="AL134" s="412" t="str">
        <f t="shared" ref="AL134:AL140" si="55">RIGHT(B134,2)</f>
        <v xml:space="preserve"> 1</v>
      </c>
      <c r="AM134" s="278">
        <f t="shared" si="49"/>
        <v>0.56752838348228241</v>
      </c>
      <c r="AQ134" s="414">
        <f t="shared" si="50"/>
        <v>53.38315081636739</v>
      </c>
      <c r="AR134" s="415">
        <f t="shared" si="51"/>
        <v>363.55743945604644</v>
      </c>
      <c r="AS134" s="415">
        <f t="shared" si="52"/>
        <v>29.357439456046393</v>
      </c>
      <c r="AW134" s="417">
        <f t="shared" si="53"/>
        <v>53.594571844430391</v>
      </c>
      <c r="AX134" s="417">
        <f t="shared" si="30"/>
        <v>364.99728866753554</v>
      </c>
      <c r="AY134" s="418">
        <f t="shared" si="54"/>
        <v>1.4398492114891042</v>
      </c>
    </row>
    <row r="135" spans="1:51" s="411" customFormat="1" ht="12" customHeight="1">
      <c r="A135" s="408" t="s">
        <v>409</v>
      </c>
      <c r="B135" s="408" t="s">
        <v>410</v>
      </c>
      <c r="C135" s="272">
        <v>142.47999999999999</v>
      </c>
      <c r="D135" s="272">
        <v>142.88</v>
      </c>
      <c r="E135" s="409"/>
      <c r="F135" s="274">
        <v>3750.6</v>
      </c>
      <c r="G135" s="274">
        <v>3857.76</v>
      </c>
      <c r="H135" s="274">
        <v>3857.76</v>
      </c>
      <c r="I135" s="274">
        <v>4359.8900000000003</v>
      </c>
      <c r="J135" s="274">
        <v>4060.68</v>
      </c>
      <c r="K135" s="274">
        <v>4167.54</v>
      </c>
      <c r="L135" s="274">
        <v>4217.41</v>
      </c>
      <c r="M135" s="274">
        <v>4096.3</v>
      </c>
      <c r="N135" s="274">
        <v>4100.38</v>
      </c>
      <c r="O135" s="274">
        <v>3914.91</v>
      </c>
      <c r="P135" s="274">
        <v>3750.6</v>
      </c>
      <c r="Q135" s="274">
        <v>3714.88</v>
      </c>
      <c r="R135" s="410">
        <f t="shared" si="43"/>
        <v>47848.709999999992</v>
      </c>
      <c r="T135" s="274">
        <f t="shared" si="44"/>
        <v>26.323694553621561</v>
      </c>
      <c r="U135" s="274">
        <f t="shared" si="44"/>
        <v>27.075800112296466</v>
      </c>
      <c r="V135" s="274">
        <f t="shared" si="44"/>
        <v>27.075800112296466</v>
      </c>
      <c r="W135" s="274">
        <f t="shared" si="44"/>
        <v>30.600014037057836</v>
      </c>
      <c r="X135" s="274">
        <f t="shared" si="44"/>
        <v>28.5</v>
      </c>
      <c r="Y135" s="274">
        <f t="shared" si="44"/>
        <v>29.250000000000004</v>
      </c>
      <c r="Z135" s="274">
        <f t="shared" si="44"/>
        <v>29.600014037057832</v>
      </c>
      <c r="AA135" s="274">
        <f t="shared" si="44"/>
        <v>28.750000000000004</v>
      </c>
      <c r="AB135" s="274">
        <f t="shared" si="44"/>
        <v>28.778635597978667</v>
      </c>
      <c r="AC135" s="274">
        <f t="shared" si="45"/>
        <v>27.39998600223964</v>
      </c>
      <c r="AD135" s="274">
        <f t="shared" si="45"/>
        <v>26.25</v>
      </c>
      <c r="AE135" s="274">
        <f t="shared" si="45"/>
        <v>26</v>
      </c>
      <c r="AF135" s="277">
        <f t="shared" si="46"/>
        <v>335.60394445254843</v>
      </c>
      <c r="AG135" s="278">
        <f t="shared" si="47"/>
        <v>27.966995371045702</v>
      </c>
      <c r="AK135" s="412">
        <v>1.5</v>
      </c>
      <c r="AL135" s="412" t="str">
        <f t="shared" si="55"/>
        <v xml:space="preserve"> 1</v>
      </c>
      <c r="AM135" s="278">
        <f t="shared" si="49"/>
        <v>27.966995371045702</v>
      </c>
      <c r="AQ135" s="414">
        <f t="shared" si="50"/>
        <v>155.12272907550482</v>
      </c>
      <c r="AR135" s="415">
        <f t="shared" si="51"/>
        <v>52059.799751983432</v>
      </c>
      <c r="AS135" s="415">
        <f t="shared" si="52"/>
        <v>4211.0897519834398</v>
      </c>
      <c r="AW135" s="417">
        <f t="shared" si="53"/>
        <v>155.7370840986824</v>
      </c>
      <c r="AX135" s="417">
        <f t="shared" si="30"/>
        <v>52265.979721056079</v>
      </c>
      <c r="AY135" s="418">
        <f t="shared" si="54"/>
        <v>206.17996907264751</v>
      </c>
    </row>
    <row r="136" spans="1:51" s="411" customFormat="1" ht="12" customHeight="1">
      <c r="A136" s="408" t="s">
        <v>411</v>
      </c>
      <c r="B136" s="408" t="s">
        <v>410</v>
      </c>
      <c r="C136" s="272">
        <v>142.47999999999999</v>
      </c>
      <c r="D136" s="272">
        <v>142.88</v>
      </c>
      <c r="E136" s="409"/>
      <c r="F136" s="274">
        <v>2857.6</v>
      </c>
      <c r="G136" s="274">
        <v>2821.88</v>
      </c>
      <c r="H136" s="274">
        <v>2857.6</v>
      </c>
      <c r="I136" s="274">
        <v>2208.44</v>
      </c>
      <c r="J136" s="274">
        <v>2521.9</v>
      </c>
      <c r="K136" s="274">
        <v>2842.48</v>
      </c>
      <c r="L136" s="274">
        <v>3106.06</v>
      </c>
      <c r="M136" s="274">
        <v>3134.56</v>
      </c>
      <c r="N136" s="274">
        <v>3143.36</v>
      </c>
      <c r="O136" s="274">
        <v>3071.92</v>
      </c>
      <c r="P136" s="274">
        <v>2107.58</v>
      </c>
      <c r="Q136" s="274">
        <v>2793.3</v>
      </c>
      <c r="R136" s="410">
        <f t="shared" si="43"/>
        <v>33466.680000000008</v>
      </c>
      <c r="T136" s="274">
        <f t="shared" si="44"/>
        <v>20.056148231330713</v>
      </c>
      <c r="U136" s="274">
        <f t="shared" si="44"/>
        <v>19.805446378439083</v>
      </c>
      <c r="V136" s="274">
        <f t="shared" si="44"/>
        <v>20.056148231330713</v>
      </c>
      <c r="W136" s="274">
        <f t="shared" si="44"/>
        <v>15.500000000000002</v>
      </c>
      <c r="X136" s="274">
        <f t="shared" si="44"/>
        <v>17.700028074115668</v>
      </c>
      <c r="Y136" s="274">
        <f t="shared" si="44"/>
        <v>19.950028074115668</v>
      </c>
      <c r="Z136" s="274">
        <f t="shared" si="44"/>
        <v>21.799971925884336</v>
      </c>
      <c r="AA136" s="274">
        <f t="shared" si="44"/>
        <v>22</v>
      </c>
      <c r="AB136" s="274">
        <f t="shared" si="44"/>
        <v>22.061763054463785</v>
      </c>
      <c r="AC136" s="274">
        <f t="shared" si="45"/>
        <v>21.5</v>
      </c>
      <c r="AD136" s="274">
        <f t="shared" si="45"/>
        <v>14.750699888017918</v>
      </c>
      <c r="AE136" s="274">
        <f t="shared" si="45"/>
        <v>19.549972004479287</v>
      </c>
      <c r="AF136" s="277">
        <f t="shared" si="46"/>
        <v>234.73020586217717</v>
      </c>
      <c r="AG136" s="278">
        <f t="shared" si="47"/>
        <v>19.560850488514763</v>
      </c>
      <c r="AK136" s="412">
        <v>1.5</v>
      </c>
      <c r="AL136" s="412" t="str">
        <f t="shared" si="55"/>
        <v xml:space="preserve"> 1</v>
      </c>
      <c r="AM136" s="278">
        <f t="shared" si="49"/>
        <v>19.560850488514763</v>
      </c>
      <c r="AQ136" s="414">
        <f t="shared" si="50"/>
        <v>155.12272907550482</v>
      </c>
      <c r="AR136" s="415">
        <f t="shared" si="51"/>
        <v>36411.99012979598</v>
      </c>
      <c r="AS136" s="415">
        <f t="shared" si="52"/>
        <v>2945.3101297959729</v>
      </c>
      <c r="AW136" s="417">
        <f t="shared" si="53"/>
        <v>155.7370840986824</v>
      </c>
      <c r="AX136" s="417">
        <f t="shared" si="30"/>
        <v>36556.197810858917</v>
      </c>
      <c r="AY136" s="418">
        <f t="shared" si="54"/>
        <v>144.2076810629369</v>
      </c>
    </row>
    <row r="137" spans="1:51" s="411" customFormat="1" ht="12" customHeight="1">
      <c r="A137" s="408" t="s">
        <v>412</v>
      </c>
      <c r="B137" s="408" t="s">
        <v>413</v>
      </c>
      <c r="C137" s="272">
        <v>263.98</v>
      </c>
      <c r="D137" s="272">
        <v>264.72000000000003</v>
      </c>
      <c r="E137" s="409"/>
      <c r="F137" s="274">
        <v>264.72000000000003</v>
      </c>
      <c r="G137" s="274">
        <v>264.72000000000003</v>
      </c>
      <c r="H137" s="274">
        <v>264.72000000000003</v>
      </c>
      <c r="I137" s="274">
        <v>263.98</v>
      </c>
      <c r="J137" s="274">
        <v>263.98</v>
      </c>
      <c r="K137" s="274">
        <v>263.98</v>
      </c>
      <c r="L137" s="274">
        <v>263.98</v>
      </c>
      <c r="M137" s="274">
        <v>263.98</v>
      </c>
      <c r="N137" s="274">
        <v>264.72000000000003</v>
      </c>
      <c r="O137" s="274">
        <v>264.72000000000003</v>
      </c>
      <c r="P137" s="274">
        <v>264.72000000000003</v>
      </c>
      <c r="Q137" s="274">
        <v>264.72000000000003</v>
      </c>
      <c r="R137" s="410">
        <f t="shared" si="43"/>
        <v>3172.9400000000014</v>
      </c>
      <c r="T137" s="274">
        <f t="shared" si="44"/>
        <v>1.0028032426698992</v>
      </c>
      <c r="U137" s="274">
        <f t="shared" si="44"/>
        <v>1.0028032426698992</v>
      </c>
      <c r="V137" s="274">
        <f t="shared" si="44"/>
        <v>1.0028032426698992</v>
      </c>
      <c r="W137" s="274">
        <f t="shared" si="44"/>
        <v>1</v>
      </c>
      <c r="X137" s="274">
        <f t="shared" si="44"/>
        <v>1</v>
      </c>
      <c r="Y137" s="274">
        <f t="shared" si="44"/>
        <v>1</v>
      </c>
      <c r="Z137" s="274">
        <f t="shared" si="44"/>
        <v>1</v>
      </c>
      <c r="AA137" s="274">
        <f t="shared" si="44"/>
        <v>1</v>
      </c>
      <c r="AB137" s="274">
        <f t="shared" si="44"/>
        <v>1.0028032426698992</v>
      </c>
      <c r="AC137" s="274">
        <f t="shared" si="45"/>
        <v>1</v>
      </c>
      <c r="AD137" s="274">
        <f t="shared" si="45"/>
        <v>1</v>
      </c>
      <c r="AE137" s="274">
        <f t="shared" si="45"/>
        <v>1</v>
      </c>
      <c r="AF137" s="277">
        <f t="shared" si="46"/>
        <v>12.011212970679596</v>
      </c>
      <c r="AG137" s="278">
        <f t="shared" si="47"/>
        <v>1.0009344142232997</v>
      </c>
      <c r="AK137" s="412">
        <v>1.5</v>
      </c>
      <c r="AL137" s="412" t="str">
        <f t="shared" si="55"/>
        <v xml:space="preserve"> 1</v>
      </c>
      <c r="AM137" s="278">
        <f t="shared" si="49"/>
        <v>1.0009344142232997</v>
      </c>
      <c r="AQ137" s="414">
        <f t="shared" si="50"/>
        <v>287.40263746407925</v>
      </c>
      <c r="AR137" s="415">
        <f t="shared" si="51"/>
        <v>3452.0542869160745</v>
      </c>
      <c r="AS137" s="415">
        <f t="shared" si="52"/>
        <v>279.11428691607307</v>
      </c>
      <c r="AW137" s="417">
        <f t="shared" si="53"/>
        <v>288.54087977745809</v>
      </c>
      <c r="AX137" s="417">
        <f t="shared" si="30"/>
        <v>3465.7259577543064</v>
      </c>
      <c r="AY137" s="418">
        <f t="shared" si="54"/>
        <v>13.671670838231876</v>
      </c>
    </row>
    <row r="138" spans="1:51" s="411" customFormat="1" ht="12" customHeight="1">
      <c r="A138" s="408" t="s">
        <v>414</v>
      </c>
      <c r="B138" s="408" t="s">
        <v>413</v>
      </c>
      <c r="C138" s="272">
        <v>263.98</v>
      </c>
      <c r="D138" s="272">
        <v>264.72000000000003</v>
      </c>
      <c r="E138" s="409"/>
      <c r="F138" s="274">
        <v>264.72000000000003</v>
      </c>
      <c r="G138" s="274">
        <v>264.72000000000003</v>
      </c>
      <c r="H138" s="274">
        <v>264.72000000000003</v>
      </c>
      <c r="I138" s="274">
        <v>0</v>
      </c>
      <c r="J138" s="274">
        <v>0</v>
      </c>
      <c r="K138" s="274">
        <v>205.32</v>
      </c>
      <c r="L138" s="274">
        <v>498.63</v>
      </c>
      <c r="M138" s="274">
        <v>791.94</v>
      </c>
      <c r="N138" s="274">
        <v>1058.8800000000001</v>
      </c>
      <c r="O138" s="274">
        <v>1058.8800000000001</v>
      </c>
      <c r="P138" s="274">
        <v>562.53</v>
      </c>
      <c r="Q138" s="274">
        <v>500.03</v>
      </c>
      <c r="R138" s="410">
        <f t="shared" si="43"/>
        <v>5470.37</v>
      </c>
      <c r="T138" s="274">
        <f t="shared" si="44"/>
        <v>1.0028032426698992</v>
      </c>
      <c r="U138" s="274">
        <f t="shared" si="44"/>
        <v>1.0028032426698992</v>
      </c>
      <c r="V138" s="274">
        <f t="shared" si="44"/>
        <v>1.0028032426698992</v>
      </c>
      <c r="W138" s="274">
        <f t="shared" si="44"/>
        <v>0</v>
      </c>
      <c r="X138" s="274">
        <f t="shared" si="44"/>
        <v>0</v>
      </c>
      <c r="Y138" s="274">
        <f t="shared" si="44"/>
        <v>0.7777861959239335</v>
      </c>
      <c r="Z138" s="274">
        <f t="shared" si="44"/>
        <v>1.8888930979619667</v>
      </c>
      <c r="AA138" s="274">
        <f t="shared" si="44"/>
        <v>3</v>
      </c>
      <c r="AB138" s="274">
        <f t="shared" si="44"/>
        <v>4.0112129706795967</v>
      </c>
      <c r="AC138" s="274">
        <f t="shared" si="45"/>
        <v>4</v>
      </c>
      <c r="AD138" s="274">
        <f t="shared" si="45"/>
        <v>2.1249999999999996</v>
      </c>
      <c r="AE138" s="274">
        <f t="shared" si="45"/>
        <v>1.888901480809912</v>
      </c>
      <c r="AF138" s="277">
        <f t="shared" si="46"/>
        <v>20.700203473385109</v>
      </c>
      <c r="AG138" s="278">
        <f t="shared" si="47"/>
        <v>1.7250169561154258</v>
      </c>
      <c r="AK138" s="412">
        <v>1.5</v>
      </c>
      <c r="AL138" s="412" t="str">
        <f t="shared" si="55"/>
        <v xml:space="preserve"> 1</v>
      </c>
      <c r="AM138" s="278">
        <f t="shared" si="49"/>
        <v>1.7250169561154258</v>
      </c>
      <c r="AQ138" s="414">
        <f t="shared" si="50"/>
        <v>287.40263746407925</v>
      </c>
      <c r="AR138" s="415">
        <f t="shared" si="51"/>
        <v>5949.2930742939743</v>
      </c>
      <c r="AS138" s="415">
        <f t="shared" si="52"/>
        <v>478.92307429397442</v>
      </c>
      <c r="AW138" s="417">
        <f t="shared" si="53"/>
        <v>288.54087977745809</v>
      </c>
      <c r="AX138" s="417">
        <f t="shared" si="30"/>
        <v>5972.8549217829332</v>
      </c>
      <c r="AY138" s="418">
        <f t="shared" si="54"/>
        <v>23.561847488958847</v>
      </c>
    </row>
    <row r="139" spans="1:51" s="411" customFormat="1" ht="12" customHeight="1">
      <c r="A139" s="408" t="s">
        <v>415</v>
      </c>
      <c r="B139" s="408" t="s">
        <v>416</v>
      </c>
      <c r="C139" s="272">
        <v>81.87</v>
      </c>
      <c r="D139" s="272">
        <v>82.09</v>
      </c>
      <c r="E139" s="409"/>
      <c r="F139" s="274">
        <v>1970.16</v>
      </c>
      <c r="G139" s="274">
        <v>1970.16</v>
      </c>
      <c r="H139" s="274">
        <v>2011.21</v>
      </c>
      <c r="I139" s="274">
        <v>1964.88</v>
      </c>
      <c r="J139" s="274">
        <v>1923.95</v>
      </c>
      <c r="K139" s="274">
        <v>1801.14</v>
      </c>
      <c r="L139" s="274">
        <v>1801.14</v>
      </c>
      <c r="M139" s="274">
        <v>1801.14</v>
      </c>
      <c r="N139" s="274">
        <v>1846.92</v>
      </c>
      <c r="O139" s="274">
        <v>1888.07</v>
      </c>
      <c r="P139" s="274">
        <v>1888.07</v>
      </c>
      <c r="Q139" s="274">
        <v>1970.16</v>
      </c>
      <c r="R139" s="410">
        <f t="shared" si="43"/>
        <v>22836.999999999996</v>
      </c>
      <c r="T139" s="274">
        <f t="shared" si="44"/>
        <v>24.064492488090874</v>
      </c>
      <c r="U139" s="274">
        <f t="shared" si="44"/>
        <v>24.064492488090874</v>
      </c>
      <c r="V139" s="274">
        <f t="shared" si="44"/>
        <v>24.565897154024672</v>
      </c>
      <c r="W139" s="274">
        <f t="shared" si="44"/>
        <v>24</v>
      </c>
      <c r="X139" s="274">
        <f t="shared" si="44"/>
        <v>23.500061072431905</v>
      </c>
      <c r="Y139" s="274">
        <f t="shared" si="44"/>
        <v>22</v>
      </c>
      <c r="Z139" s="274">
        <f t="shared" si="44"/>
        <v>22</v>
      </c>
      <c r="AA139" s="274">
        <f t="shared" si="44"/>
        <v>22</v>
      </c>
      <c r="AB139" s="274">
        <f t="shared" si="44"/>
        <v>22.559179186515205</v>
      </c>
      <c r="AC139" s="274">
        <f t="shared" si="45"/>
        <v>23</v>
      </c>
      <c r="AD139" s="274">
        <f t="shared" si="45"/>
        <v>23</v>
      </c>
      <c r="AE139" s="274">
        <f t="shared" si="45"/>
        <v>24</v>
      </c>
      <c r="AF139" s="277">
        <f t="shared" si="46"/>
        <v>278.75412238915351</v>
      </c>
      <c r="AG139" s="278">
        <f t="shared" si="47"/>
        <v>23.229510199096126</v>
      </c>
      <c r="AK139" s="412">
        <v>1.5</v>
      </c>
      <c r="AL139" s="412" t="str">
        <f t="shared" si="55"/>
        <v xml:space="preserve"> 1</v>
      </c>
      <c r="AM139" s="278">
        <f t="shared" si="49"/>
        <v>23.229510199096126</v>
      </c>
      <c r="AQ139" s="414">
        <f t="shared" si="50"/>
        <v>89.123913982420163</v>
      </c>
      <c r="AR139" s="415">
        <f t="shared" si="51"/>
        <v>24843.658426055939</v>
      </c>
      <c r="AS139" s="415">
        <f t="shared" si="52"/>
        <v>2006.658426055943</v>
      </c>
      <c r="AW139" s="417">
        <f t="shared" si="53"/>
        <v>89.476884334132421</v>
      </c>
      <c r="AX139" s="417">
        <f t="shared" si="30"/>
        <v>24942.050366676878</v>
      </c>
      <c r="AY139" s="418">
        <f t="shared" si="54"/>
        <v>98.39194062093884</v>
      </c>
    </row>
    <row r="140" spans="1:51" s="411" customFormat="1" ht="12" customHeight="1">
      <c r="A140" s="408" t="s">
        <v>417</v>
      </c>
      <c r="B140" s="408" t="s">
        <v>416</v>
      </c>
      <c r="C140" s="272">
        <v>81.87</v>
      </c>
      <c r="D140" s="272">
        <v>82.09</v>
      </c>
      <c r="E140" s="409"/>
      <c r="F140" s="274">
        <v>2479.12</v>
      </c>
      <c r="G140" s="274">
        <v>2791.06</v>
      </c>
      <c r="H140" s="274">
        <v>2791.06</v>
      </c>
      <c r="I140" s="274">
        <v>2087.69</v>
      </c>
      <c r="J140" s="274">
        <v>2128.62</v>
      </c>
      <c r="K140" s="274">
        <v>2169.56</v>
      </c>
      <c r="L140" s="274">
        <v>2196.85</v>
      </c>
      <c r="M140" s="274">
        <v>2292.36</v>
      </c>
      <c r="N140" s="274">
        <v>2366.75</v>
      </c>
      <c r="O140" s="274">
        <v>2503.75</v>
      </c>
      <c r="P140" s="274">
        <v>2496.91</v>
      </c>
      <c r="Q140" s="274">
        <v>2462.6999999999998</v>
      </c>
      <c r="R140" s="410">
        <f t="shared" si="43"/>
        <v>28766.43</v>
      </c>
      <c r="T140" s="274">
        <f t="shared" si="44"/>
        <v>30.281177476487112</v>
      </c>
      <c r="U140" s="274">
        <f t="shared" si="44"/>
        <v>34.091364358128736</v>
      </c>
      <c r="V140" s="274">
        <f t="shared" si="44"/>
        <v>34.091364358128736</v>
      </c>
      <c r="W140" s="274">
        <f t="shared" si="44"/>
        <v>25.500061072431905</v>
      </c>
      <c r="X140" s="274">
        <f t="shared" si="44"/>
        <v>25.999999999999996</v>
      </c>
      <c r="Y140" s="274">
        <f t="shared" si="44"/>
        <v>26.500061072431901</v>
      </c>
      <c r="Z140" s="274">
        <f t="shared" si="44"/>
        <v>26.833394405765237</v>
      </c>
      <c r="AA140" s="274">
        <f t="shared" si="44"/>
        <v>28</v>
      </c>
      <c r="AB140" s="274">
        <f t="shared" si="44"/>
        <v>28.908635641871257</v>
      </c>
      <c r="AC140" s="274">
        <f t="shared" si="45"/>
        <v>30.500060908758677</v>
      </c>
      <c r="AD140" s="274">
        <f t="shared" si="45"/>
        <v>30.416737726885124</v>
      </c>
      <c r="AE140" s="274">
        <f t="shared" si="45"/>
        <v>29.999999999999996</v>
      </c>
      <c r="AF140" s="277">
        <f t="shared" si="46"/>
        <v>351.12285702088866</v>
      </c>
      <c r="AG140" s="278">
        <f t="shared" si="47"/>
        <v>29.260238085074054</v>
      </c>
      <c r="AK140" s="412">
        <v>1.5</v>
      </c>
      <c r="AL140" s="412" t="str">
        <f t="shared" si="55"/>
        <v xml:space="preserve"> 1</v>
      </c>
      <c r="AM140" s="278">
        <f t="shared" si="49"/>
        <v>29.260238085074054</v>
      </c>
      <c r="AQ140" s="414">
        <f t="shared" si="50"/>
        <v>89.123913982420163</v>
      </c>
      <c r="AR140" s="415">
        <f t="shared" si="51"/>
        <v>31293.443306391295</v>
      </c>
      <c r="AS140" s="415">
        <f t="shared" si="52"/>
        <v>2527.0133063912945</v>
      </c>
      <c r="AW140" s="417">
        <f t="shared" si="53"/>
        <v>89.476884334132421</v>
      </c>
      <c r="AX140" s="417">
        <f t="shared" si="30"/>
        <v>31417.379264728173</v>
      </c>
      <c r="AY140" s="418">
        <f t="shared" si="54"/>
        <v>123.93595833687868</v>
      </c>
    </row>
    <row r="141" spans="1:51" s="411" customFormat="1" ht="12" customHeight="1">
      <c r="A141" s="408" t="s">
        <v>418</v>
      </c>
      <c r="B141" s="408" t="s">
        <v>419</v>
      </c>
      <c r="C141" s="272">
        <v>43.33</v>
      </c>
      <c r="D141" s="272">
        <v>43.45</v>
      </c>
      <c r="E141" s="409"/>
      <c r="F141" s="274">
        <v>0</v>
      </c>
      <c r="G141" s="274">
        <v>43.45</v>
      </c>
      <c r="H141" s="274">
        <v>86.9</v>
      </c>
      <c r="I141" s="274">
        <v>259.98</v>
      </c>
      <c r="J141" s="274">
        <v>0</v>
      </c>
      <c r="K141" s="274">
        <v>86.66</v>
      </c>
      <c r="L141" s="274">
        <v>216.65</v>
      </c>
      <c r="M141" s="274">
        <v>129.99</v>
      </c>
      <c r="N141" s="274">
        <v>43.33</v>
      </c>
      <c r="O141" s="274">
        <v>217.13</v>
      </c>
      <c r="P141" s="274">
        <v>43.45</v>
      </c>
      <c r="Q141" s="274">
        <v>43.45</v>
      </c>
      <c r="R141" s="410">
        <f t="shared" si="43"/>
        <v>1170.9900000000002</v>
      </c>
      <c r="T141" s="274">
        <f t="shared" si="44"/>
        <v>0</v>
      </c>
      <c r="U141" s="274">
        <f t="shared" si="44"/>
        <v>1.0027694438033696</v>
      </c>
      <c r="V141" s="274">
        <f t="shared" si="44"/>
        <v>2.0055388876067393</v>
      </c>
      <c r="W141" s="274">
        <f t="shared" si="44"/>
        <v>6.0000000000000009</v>
      </c>
      <c r="X141" s="274">
        <f t="shared" si="44"/>
        <v>0</v>
      </c>
      <c r="Y141" s="274">
        <f t="shared" si="44"/>
        <v>2</v>
      </c>
      <c r="Z141" s="274">
        <f t="shared" si="44"/>
        <v>5</v>
      </c>
      <c r="AA141" s="274">
        <f t="shared" si="44"/>
        <v>3.0000000000000004</v>
      </c>
      <c r="AB141" s="274">
        <f t="shared" si="44"/>
        <v>1</v>
      </c>
      <c r="AC141" s="274">
        <f t="shared" si="45"/>
        <v>4.997238204833141</v>
      </c>
      <c r="AD141" s="274">
        <f t="shared" si="45"/>
        <v>1</v>
      </c>
      <c r="AE141" s="274">
        <f t="shared" si="45"/>
        <v>1</v>
      </c>
      <c r="AF141" s="277">
        <f t="shared" si="46"/>
        <v>27.005546536243251</v>
      </c>
      <c r="AG141" s="278">
        <f t="shared" si="47"/>
        <v>2.2504622113536041</v>
      </c>
      <c r="AK141" s="412">
        <v>1.5</v>
      </c>
      <c r="AL141" s="424">
        <v>1</v>
      </c>
      <c r="AM141" s="278">
        <f t="shared" si="49"/>
        <v>2.2504622113536041</v>
      </c>
      <c r="AQ141" s="414">
        <f t="shared" si="50"/>
        <v>47.173030363456647</v>
      </c>
      <c r="AR141" s="415">
        <f t="shared" si="51"/>
        <v>1273.9334667359444</v>
      </c>
      <c r="AS141" s="415">
        <f t="shared" si="52"/>
        <v>102.94346673594418</v>
      </c>
      <c r="AW141" s="417">
        <f t="shared" si="53"/>
        <v>47.359856551566004</v>
      </c>
      <c r="AX141" s="417">
        <f t="shared" ref="AX141:AX204" si="56">AG141*AW141*12</f>
        <v>1278.9788100531205</v>
      </c>
      <c r="AY141" s="418">
        <f t="shared" si="54"/>
        <v>5.045343317176048</v>
      </c>
    </row>
    <row r="142" spans="1:51" s="411" customFormat="1" ht="12" customHeight="1">
      <c r="A142" s="408" t="s">
        <v>420</v>
      </c>
      <c r="B142" s="408" t="s">
        <v>421</v>
      </c>
      <c r="C142" s="272">
        <v>184.65</v>
      </c>
      <c r="D142" s="272">
        <v>185.14</v>
      </c>
      <c r="E142" s="409"/>
      <c r="F142" s="274">
        <v>6072.59</v>
      </c>
      <c r="G142" s="274">
        <v>6479.91</v>
      </c>
      <c r="H142" s="274">
        <v>6516.93</v>
      </c>
      <c r="I142" s="274">
        <v>6093.45</v>
      </c>
      <c r="J142" s="274">
        <v>6139.61</v>
      </c>
      <c r="K142" s="274">
        <v>6416.6</v>
      </c>
      <c r="L142" s="274">
        <v>6610.47</v>
      </c>
      <c r="M142" s="274">
        <v>6508.93</v>
      </c>
      <c r="N142" s="274">
        <v>6478.92</v>
      </c>
      <c r="O142" s="274">
        <v>6757.62</v>
      </c>
      <c r="P142" s="274">
        <v>6526.21</v>
      </c>
      <c r="Q142" s="274">
        <v>6118.88</v>
      </c>
      <c r="R142" s="410">
        <f t="shared" si="43"/>
        <v>76720.12000000001</v>
      </c>
      <c r="T142" s="274">
        <f t="shared" si="44"/>
        <v>32.887029515299211</v>
      </c>
      <c r="U142" s="274">
        <f t="shared" si="44"/>
        <v>35.092932575142157</v>
      </c>
      <c r="V142" s="274">
        <f t="shared" si="44"/>
        <v>35.293419983753047</v>
      </c>
      <c r="W142" s="274">
        <f t="shared" si="44"/>
        <v>33</v>
      </c>
      <c r="X142" s="274">
        <f t="shared" si="44"/>
        <v>33.249986460871916</v>
      </c>
      <c r="Y142" s="274">
        <f t="shared" si="44"/>
        <v>34.750067695640404</v>
      </c>
      <c r="Z142" s="274">
        <f t="shared" si="44"/>
        <v>35.799999999999997</v>
      </c>
      <c r="AA142" s="274">
        <f t="shared" si="44"/>
        <v>35.250094773896564</v>
      </c>
      <c r="AB142" s="274">
        <f t="shared" si="44"/>
        <v>35.087571080422421</v>
      </c>
      <c r="AC142" s="274">
        <f t="shared" si="45"/>
        <v>36.500054013179216</v>
      </c>
      <c r="AD142" s="274">
        <f t="shared" si="45"/>
        <v>35.250135032948045</v>
      </c>
      <c r="AE142" s="274">
        <f t="shared" si="45"/>
        <v>33.050016203953767</v>
      </c>
      <c r="AF142" s="277">
        <f t="shared" si="46"/>
        <v>415.21130733510677</v>
      </c>
      <c r="AG142" s="278">
        <f t="shared" si="47"/>
        <v>34.600942277925562</v>
      </c>
      <c r="AK142" s="412">
        <v>2</v>
      </c>
      <c r="AL142" s="412" t="str">
        <f t="shared" ref="AL142:AL147" si="57">RIGHT(B142,2)</f>
        <v xml:space="preserve"> 1</v>
      </c>
      <c r="AM142" s="278">
        <f t="shared" si="49"/>
        <v>34.600942277925562</v>
      </c>
      <c r="AQ142" s="414">
        <f t="shared" si="50"/>
        <v>201.00379382026148</v>
      </c>
      <c r="AR142" s="415">
        <f t="shared" si="51"/>
        <v>83459.048011427018</v>
      </c>
      <c r="AS142" s="415">
        <f t="shared" si="52"/>
        <v>6738.9280114270077</v>
      </c>
      <c r="AW142" s="417">
        <f t="shared" si="53"/>
        <v>201.79985827288672</v>
      </c>
      <c r="AX142" s="417">
        <f t="shared" si="56"/>
        <v>83789.58297352455</v>
      </c>
      <c r="AY142" s="418">
        <f t="shared" si="54"/>
        <v>330.53496209753212</v>
      </c>
    </row>
    <row r="143" spans="1:51" s="411" customFormat="1" ht="12" customHeight="1">
      <c r="A143" s="408" t="s">
        <v>422</v>
      </c>
      <c r="B143" s="408" t="s">
        <v>421</v>
      </c>
      <c r="C143" s="272">
        <v>184.65</v>
      </c>
      <c r="D143" s="272">
        <v>185.14</v>
      </c>
      <c r="E143" s="409"/>
      <c r="F143" s="274">
        <v>4702.58</v>
      </c>
      <c r="G143" s="274">
        <v>4767.3599999999997</v>
      </c>
      <c r="H143" s="274">
        <v>4406.33</v>
      </c>
      <c r="I143" s="274">
        <v>3037.49</v>
      </c>
      <c r="J143" s="274">
        <v>3683.77</v>
      </c>
      <c r="K143" s="274">
        <v>5207.13</v>
      </c>
      <c r="L143" s="274">
        <v>6379.66</v>
      </c>
      <c r="M143" s="274">
        <v>6859.75</v>
      </c>
      <c r="N143" s="274">
        <v>8199.59</v>
      </c>
      <c r="O143" s="274">
        <v>7331.53</v>
      </c>
      <c r="P143" s="274">
        <v>6387.33</v>
      </c>
      <c r="Q143" s="274">
        <v>5156.17</v>
      </c>
      <c r="R143" s="410">
        <f t="shared" si="43"/>
        <v>66118.69</v>
      </c>
      <c r="T143" s="274">
        <f t="shared" si="44"/>
        <v>25.467533170863796</v>
      </c>
      <c r="U143" s="274">
        <f t="shared" si="44"/>
        <v>25.818359057676684</v>
      </c>
      <c r="V143" s="274">
        <f t="shared" si="44"/>
        <v>23.863146493365825</v>
      </c>
      <c r="W143" s="274">
        <f t="shared" si="44"/>
        <v>16.449986460871919</v>
      </c>
      <c r="X143" s="274">
        <f t="shared" si="44"/>
        <v>19.950013539128079</v>
      </c>
      <c r="Y143" s="274">
        <f t="shared" si="44"/>
        <v>28.2</v>
      </c>
      <c r="Z143" s="274">
        <f t="shared" si="44"/>
        <v>34.550013539128081</v>
      </c>
      <c r="AA143" s="274">
        <f t="shared" si="44"/>
        <v>37.150013539128082</v>
      </c>
      <c r="AB143" s="274">
        <f t="shared" si="44"/>
        <v>44.406119685892229</v>
      </c>
      <c r="AC143" s="274">
        <f t="shared" si="45"/>
        <v>39.599924381549101</v>
      </c>
      <c r="AD143" s="274">
        <f t="shared" si="45"/>
        <v>34.5</v>
      </c>
      <c r="AE143" s="274">
        <f t="shared" si="45"/>
        <v>27.850113427676355</v>
      </c>
      <c r="AF143" s="277">
        <f t="shared" si="46"/>
        <v>357.8052232952802</v>
      </c>
      <c r="AG143" s="278">
        <f t="shared" si="47"/>
        <v>29.81710194127335</v>
      </c>
      <c r="AK143" s="412">
        <v>2</v>
      </c>
      <c r="AL143" s="412" t="str">
        <f t="shared" si="57"/>
        <v xml:space="preserve"> 1</v>
      </c>
      <c r="AM143" s="278">
        <f t="shared" si="49"/>
        <v>29.81710194127335</v>
      </c>
      <c r="AQ143" s="414">
        <f t="shared" si="50"/>
        <v>201.00379382026148</v>
      </c>
      <c r="AR143" s="415">
        <f t="shared" si="51"/>
        <v>71920.207331057114</v>
      </c>
      <c r="AS143" s="415">
        <f t="shared" si="52"/>
        <v>5801.5173310571117</v>
      </c>
      <c r="AW143" s="417">
        <f t="shared" si="53"/>
        <v>201.79985827288672</v>
      </c>
      <c r="AX143" s="417">
        <f t="shared" si="56"/>
        <v>72205.043350286142</v>
      </c>
      <c r="AY143" s="418">
        <f t="shared" si="54"/>
        <v>284.83601922902744</v>
      </c>
    </row>
    <row r="144" spans="1:51" s="411" customFormat="1" ht="12" customHeight="1">
      <c r="A144" s="408" t="s">
        <v>423</v>
      </c>
      <c r="B144" s="408" t="s">
        <v>424</v>
      </c>
      <c r="C144" s="272">
        <v>346.94</v>
      </c>
      <c r="D144" s="272">
        <v>347.86</v>
      </c>
      <c r="E144" s="409"/>
      <c r="F144" s="274">
        <v>386.51</v>
      </c>
      <c r="G144" s="274">
        <v>695.72</v>
      </c>
      <c r="H144" s="274">
        <v>695.72</v>
      </c>
      <c r="I144" s="274">
        <v>0</v>
      </c>
      <c r="J144" s="274">
        <v>0</v>
      </c>
      <c r="K144" s="274">
        <v>0</v>
      </c>
      <c r="L144" s="274">
        <v>346.94</v>
      </c>
      <c r="M144" s="274">
        <v>346.94</v>
      </c>
      <c r="N144" s="274">
        <v>154.19999999999999</v>
      </c>
      <c r="O144" s="274">
        <v>270.56</v>
      </c>
      <c r="P144" s="274">
        <v>347.86</v>
      </c>
      <c r="Q144" s="274">
        <v>347.86</v>
      </c>
      <c r="R144" s="410">
        <f t="shared" si="43"/>
        <v>3592.31</v>
      </c>
      <c r="T144" s="274">
        <f t="shared" si="44"/>
        <v>1.114054303337753</v>
      </c>
      <c r="U144" s="274">
        <f t="shared" si="44"/>
        <v>2.0053035106934916</v>
      </c>
      <c r="V144" s="274">
        <f t="shared" si="44"/>
        <v>2.0053035106934916</v>
      </c>
      <c r="W144" s="274">
        <f t="shared" si="44"/>
        <v>0</v>
      </c>
      <c r="X144" s="274">
        <f t="shared" si="44"/>
        <v>0</v>
      </c>
      <c r="Y144" s="274">
        <f t="shared" si="44"/>
        <v>0</v>
      </c>
      <c r="Z144" s="274">
        <f t="shared" si="44"/>
        <v>1</v>
      </c>
      <c r="AA144" s="274">
        <f t="shared" si="44"/>
        <v>1</v>
      </c>
      <c r="AB144" s="274">
        <f t="shared" si="44"/>
        <v>0.44445725485674753</v>
      </c>
      <c r="AC144" s="274">
        <f t="shared" si="45"/>
        <v>0.77778416604381073</v>
      </c>
      <c r="AD144" s="274">
        <f t="shared" si="45"/>
        <v>1</v>
      </c>
      <c r="AE144" s="274">
        <f t="shared" si="45"/>
        <v>1</v>
      </c>
      <c r="AF144" s="277">
        <f t="shared" si="46"/>
        <v>10.346902745625293</v>
      </c>
      <c r="AG144" s="278">
        <f t="shared" si="47"/>
        <v>0.86224189546877439</v>
      </c>
      <c r="AK144" s="412">
        <v>2</v>
      </c>
      <c r="AL144" s="412" t="str">
        <f t="shared" si="57"/>
        <v xml:space="preserve"> 1</v>
      </c>
      <c r="AM144" s="278">
        <f t="shared" si="49"/>
        <v>0.86224189546877439</v>
      </c>
      <c r="AQ144" s="414">
        <f t="shared" si="50"/>
        <v>377.66652111005817</v>
      </c>
      <c r="AR144" s="415">
        <f t="shared" si="51"/>
        <v>3907.6787642044137</v>
      </c>
      <c r="AS144" s="415">
        <f t="shared" si="52"/>
        <v>315.36876420441376</v>
      </c>
      <c r="AW144" s="417">
        <f t="shared" si="53"/>
        <v>379.16224856220367</v>
      </c>
      <c r="AX144" s="417">
        <f t="shared" si="56"/>
        <v>3923.1549106857246</v>
      </c>
      <c r="AY144" s="418">
        <f t="shared" si="54"/>
        <v>15.476146481310934</v>
      </c>
    </row>
    <row r="145" spans="1:51" s="411" customFormat="1" ht="12" customHeight="1">
      <c r="A145" s="408" t="s">
        <v>425</v>
      </c>
      <c r="B145" s="408" t="s">
        <v>424</v>
      </c>
      <c r="C145" s="272">
        <v>346.94</v>
      </c>
      <c r="D145" s="272">
        <v>347.86</v>
      </c>
      <c r="E145" s="409"/>
      <c r="F145" s="274">
        <v>695.72</v>
      </c>
      <c r="G145" s="274">
        <v>695.72</v>
      </c>
      <c r="H145" s="274">
        <v>695.72</v>
      </c>
      <c r="I145" s="274">
        <v>1040.82</v>
      </c>
      <c r="J145" s="274">
        <v>1040.82</v>
      </c>
      <c r="K145" s="274">
        <v>1040.82</v>
      </c>
      <c r="L145" s="274">
        <v>1040.82</v>
      </c>
      <c r="M145" s="274">
        <v>1040.82</v>
      </c>
      <c r="N145" s="274">
        <v>965.56</v>
      </c>
      <c r="O145" s="274">
        <v>695.72</v>
      </c>
      <c r="P145" s="274">
        <v>695.72</v>
      </c>
      <c r="Q145" s="274">
        <v>695.72</v>
      </c>
      <c r="R145" s="410">
        <f t="shared" si="43"/>
        <v>10343.979999999996</v>
      </c>
      <c r="T145" s="274">
        <f t="shared" si="44"/>
        <v>2.0053035106934916</v>
      </c>
      <c r="U145" s="274">
        <f t="shared" si="44"/>
        <v>2.0053035106934916</v>
      </c>
      <c r="V145" s="274">
        <f t="shared" si="44"/>
        <v>2.0053035106934916</v>
      </c>
      <c r="W145" s="274">
        <f t="shared" si="44"/>
        <v>3</v>
      </c>
      <c r="X145" s="274">
        <f t="shared" si="44"/>
        <v>3</v>
      </c>
      <c r="Y145" s="274">
        <f t="shared" si="44"/>
        <v>3</v>
      </c>
      <c r="Z145" s="274">
        <f t="shared" si="44"/>
        <v>3</v>
      </c>
      <c r="AA145" s="274">
        <f t="shared" si="44"/>
        <v>3</v>
      </c>
      <c r="AB145" s="274">
        <f t="shared" si="44"/>
        <v>2.7830748832651175</v>
      </c>
      <c r="AC145" s="274">
        <f t="shared" si="45"/>
        <v>2</v>
      </c>
      <c r="AD145" s="274">
        <f t="shared" si="45"/>
        <v>2</v>
      </c>
      <c r="AE145" s="274">
        <f t="shared" si="45"/>
        <v>2</v>
      </c>
      <c r="AF145" s="277">
        <f t="shared" si="46"/>
        <v>29.798985415345594</v>
      </c>
      <c r="AG145" s="278">
        <f t="shared" si="47"/>
        <v>2.4832487846121327</v>
      </c>
      <c r="AK145" s="412">
        <v>2</v>
      </c>
      <c r="AL145" s="412" t="str">
        <f t="shared" si="57"/>
        <v xml:space="preserve"> 1</v>
      </c>
      <c r="AM145" s="278">
        <f t="shared" si="49"/>
        <v>2.4832487846121327</v>
      </c>
      <c r="AQ145" s="414">
        <f t="shared" si="50"/>
        <v>377.66652111005817</v>
      </c>
      <c r="AR145" s="415">
        <f t="shared" si="51"/>
        <v>11254.079154422932</v>
      </c>
      <c r="AS145" s="415">
        <f t="shared" si="52"/>
        <v>910.09915442293641</v>
      </c>
      <c r="AW145" s="417">
        <f t="shared" si="53"/>
        <v>379.16224856220367</v>
      </c>
      <c r="AX145" s="417">
        <f t="shared" si="56"/>
        <v>11298.650314954746</v>
      </c>
      <c r="AY145" s="418">
        <f t="shared" si="54"/>
        <v>44.571160531813803</v>
      </c>
    </row>
    <row r="146" spans="1:51" s="411" customFormat="1" ht="12" customHeight="1">
      <c r="A146" s="408" t="s">
        <v>426</v>
      </c>
      <c r="B146" s="408" t="s">
        <v>427</v>
      </c>
      <c r="C146" s="272">
        <v>103.69</v>
      </c>
      <c r="D146" s="272">
        <v>103.97</v>
      </c>
      <c r="E146" s="409"/>
      <c r="F146" s="274">
        <v>1351.61</v>
      </c>
      <c r="G146" s="274">
        <v>1143.68</v>
      </c>
      <c r="H146" s="274">
        <v>1299.6300000000001</v>
      </c>
      <c r="I146" s="274">
        <v>1140.5999999999999</v>
      </c>
      <c r="J146" s="274">
        <v>1140.5899999999999</v>
      </c>
      <c r="K146" s="274">
        <v>1140.5899999999999</v>
      </c>
      <c r="L146" s="274">
        <v>1140.5899999999999</v>
      </c>
      <c r="M146" s="274">
        <v>1244.28</v>
      </c>
      <c r="N146" s="274">
        <v>1402.91</v>
      </c>
      <c r="O146" s="274">
        <v>1351.61</v>
      </c>
      <c r="P146" s="274">
        <v>1386.27</v>
      </c>
      <c r="Q146" s="274">
        <v>1386.27</v>
      </c>
      <c r="R146" s="410">
        <f t="shared" si="43"/>
        <v>15128.630000000003</v>
      </c>
      <c r="T146" s="274">
        <f t="shared" si="44"/>
        <v>13.035104638827272</v>
      </c>
      <c r="U146" s="274">
        <f t="shared" si="44"/>
        <v>11.029800366477</v>
      </c>
      <c r="V146" s="274">
        <f t="shared" si="44"/>
        <v>12.533802681068572</v>
      </c>
      <c r="W146" s="274">
        <f t="shared" si="44"/>
        <v>11.000096441315458</v>
      </c>
      <c r="X146" s="274">
        <f t="shared" si="44"/>
        <v>11</v>
      </c>
      <c r="Y146" s="274">
        <f t="shared" si="44"/>
        <v>11</v>
      </c>
      <c r="Z146" s="274">
        <f t="shared" si="44"/>
        <v>11</v>
      </c>
      <c r="AA146" s="274">
        <f t="shared" si="44"/>
        <v>12</v>
      </c>
      <c r="AB146" s="274">
        <f t="shared" si="44"/>
        <v>13.52984858713473</v>
      </c>
      <c r="AC146" s="274">
        <f t="shared" si="45"/>
        <v>13</v>
      </c>
      <c r="AD146" s="274">
        <f t="shared" si="45"/>
        <v>13.333365393863614</v>
      </c>
      <c r="AE146" s="274">
        <f t="shared" si="45"/>
        <v>13.333365393863614</v>
      </c>
      <c r="AF146" s="277">
        <f t="shared" si="46"/>
        <v>145.79538350255024</v>
      </c>
      <c r="AG146" s="278">
        <f t="shared" si="47"/>
        <v>12.149615291879186</v>
      </c>
      <c r="AK146" s="412">
        <v>2</v>
      </c>
      <c r="AL146" s="412" t="str">
        <f t="shared" si="57"/>
        <v xml:space="preserve"> 1</v>
      </c>
      <c r="AM146" s="278">
        <f t="shared" si="49"/>
        <v>12.149615291879186</v>
      </c>
      <c r="AQ146" s="414">
        <f t="shared" si="50"/>
        <v>112.87871040019763</v>
      </c>
      <c r="AR146" s="415">
        <f t="shared" si="51"/>
        <v>16457.194872070118</v>
      </c>
      <c r="AS146" s="415">
        <f t="shared" si="52"/>
        <v>1328.5648720701156</v>
      </c>
      <c r="AW146" s="417">
        <f t="shared" si="53"/>
        <v>113.32576031452975</v>
      </c>
      <c r="AX146" s="417">
        <f t="shared" si="56"/>
        <v>16522.372685774953</v>
      </c>
      <c r="AY146" s="418">
        <f t="shared" si="54"/>
        <v>65.177813704834989</v>
      </c>
    </row>
    <row r="147" spans="1:51" s="411" customFormat="1" ht="12" customHeight="1">
      <c r="A147" s="408" t="s">
        <v>428</v>
      </c>
      <c r="B147" s="408" t="s">
        <v>427</v>
      </c>
      <c r="C147" s="272">
        <v>103.69</v>
      </c>
      <c r="D147" s="272">
        <v>103.97</v>
      </c>
      <c r="E147" s="409"/>
      <c r="F147" s="274">
        <v>2893.84</v>
      </c>
      <c r="G147" s="274">
        <v>2859.18</v>
      </c>
      <c r="H147" s="274">
        <v>2963.14</v>
      </c>
      <c r="I147" s="274">
        <v>1555.35</v>
      </c>
      <c r="J147" s="274">
        <v>1382.53</v>
      </c>
      <c r="K147" s="274">
        <v>1313.41</v>
      </c>
      <c r="L147" s="274">
        <v>1192.44</v>
      </c>
      <c r="M147" s="274">
        <v>1140.5899999999999</v>
      </c>
      <c r="N147" s="274">
        <v>1195.25</v>
      </c>
      <c r="O147" s="274">
        <v>1958.11</v>
      </c>
      <c r="P147" s="274">
        <v>2027.42</v>
      </c>
      <c r="Q147" s="274">
        <v>2547.08</v>
      </c>
      <c r="R147" s="410">
        <f t="shared" si="43"/>
        <v>23028.340000000004</v>
      </c>
      <c r="T147" s="274">
        <f t="shared" si="44"/>
        <v>27.908573632944357</v>
      </c>
      <c r="U147" s="274">
        <f t="shared" si="44"/>
        <v>27.574308033561575</v>
      </c>
      <c r="V147" s="274">
        <f t="shared" si="44"/>
        <v>28.576911949078983</v>
      </c>
      <c r="W147" s="274">
        <f t="shared" si="44"/>
        <v>15</v>
      </c>
      <c r="X147" s="274">
        <f t="shared" si="44"/>
        <v>13.33330118622818</v>
      </c>
      <c r="Y147" s="274">
        <f t="shared" si="44"/>
        <v>12.666698813771822</v>
      </c>
      <c r="Z147" s="274">
        <f t="shared" si="44"/>
        <v>11.50004822065773</v>
      </c>
      <c r="AA147" s="274">
        <f t="shared" si="44"/>
        <v>11</v>
      </c>
      <c r="AB147" s="274">
        <f t="shared" si="44"/>
        <v>11.527148230301862</v>
      </c>
      <c r="AC147" s="274">
        <f t="shared" si="45"/>
        <v>18.833413484659037</v>
      </c>
      <c r="AD147" s="274">
        <f t="shared" si="45"/>
        <v>19.500048090795424</v>
      </c>
      <c r="AE147" s="274">
        <f t="shared" si="45"/>
        <v>24.498220640569393</v>
      </c>
      <c r="AF147" s="277">
        <f t="shared" si="46"/>
        <v>221.91867228256837</v>
      </c>
      <c r="AG147" s="278">
        <f t="shared" si="47"/>
        <v>18.493222690214029</v>
      </c>
      <c r="AK147" s="412">
        <v>2</v>
      </c>
      <c r="AL147" s="412" t="str">
        <f t="shared" si="57"/>
        <v xml:space="preserve"> 1</v>
      </c>
      <c r="AM147" s="278">
        <f t="shared" si="49"/>
        <v>18.493222690214029</v>
      </c>
      <c r="AQ147" s="414">
        <f t="shared" si="50"/>
        <v>112.87871040019763</v>
      </c>
      <c r="AR147" s="415">
        <f t="shared" si="51"/>
        <v>25049.893540980396</v>
      </c>
      <c r="AS147" s="415">
        <f t="shared" si="52"/>
        <v>2021.5535409803924</v>
      </c>
      <c r="AW147" s="417">
        <f t="shared" si="53"/>
        <v>113.32576031452975</v>
      </c>
      <c r="AX147" s="417">
        <f t="shared" si="56"/>
        <v>25149.102264413017</v>
      </c>
      <c r="AY147" s="418">
        <f t="shared" si="54"/>
        <v>99.2087234326209</v>
      </c>
    </row>
    <row r="148" spans="1:51" s="411" customFormat="1" ht="12" customHeight="1">
      <c r="A148" s="408" t="s">
        <v>429</v>
      </c>
      <c r="B148" s="408" t="s">
        <v>430</v>
      </c>
      <c r="C148" s="272">
        <v>55.77</v>
      </c>
      <c r="D148" s="272">
        <v>55.92</v>
      </c>
      <c r="E148" s="409"/>
      <c r="F148" s="274">
        <v>559.20000000000005</v>
      </c>
      <c r="G148" s="274">
        <v>503.28</v>
      </c>
      <c r="H148" s="274">
        <v>559.20000000000005</v>
      </c>
      <c r="I148" s="274">
        <v>948.09</v>
      </c>
      <c r="J148" s="274">
        <v>1115.4000000000001</v>
      </c>
      <c r="K148" s="274">
        <v>1728.87</v>
      </c>
      <c r="L148" s="274">
        <v>2342.34</v>
      </c>
      <c r="M148" s="274">
        <v>2230.8000000000002</v>
      </c>
      <c r="N148" s="274">
        <v>1505.79</v>
      </c>
      <c r="O148" s="274">
        <v>2123.7600000000002</v>
      </c>
      <c r="P148" s="274">
        <v>1453.77</v>
      </c>
      <c r="Q148" s="274">
        <v>782.88</v>
      </c>
      <c r="R148" s="410">
        <f t="shared" si="43"/>
        <v>15853.380000000001</v>
      </c>
      <c r="T148" s="274">
        <f t="shared" si="44"/>
        <v>10.026896180742336</v>
      </c>
      <c r="U148" s="274">
        <f t="shared" si="44"/>
        <v>9.0242065626681001</v>
      </c>
      <c r="V148" s="274">
        <f t="shared" si="44"/>
        <v>10.026896180742336</v>
      </c>
      <c r="W148" s="274">
        <f t="shared" si="44"/>
        <v>17</v>
      </c>
      <c r="X148" s="274">
        <f t="shared" si="44"/>
        <v>20</v>
      </c>
      <c r="Y148" s="274">
        <f t="shared" si="44"/>
        <v>30.999999999999996</v>
      </c>
      <c r="Z148" s="274">
        <f t="shared" si="44"/>
        <v>42</v>
      </c>
      <c r="AA148" s="274">
        <f t="shared" si="44"/>
        <v>40</v>
      </c>
      <c r="AB148" s="274">
        <f t="shared" si="44"/>
        <v>26.999999999999996</v>
      </c>
      <c r="AC148" s="274">
        <f t="shared" si="45"/>
        <v>37.978540772532192</v>
      </c>
      <c r="AD148" s="274">
        <f t="shared" si="45"/>
        <v>25.997317596566521</v>
      </c>
      <c r="AE148" s="274">
        <f t="shared" si="45"/>
        <v>14</v>
      </c>
      <c r="AF148" s="277">
        <f t="shared" si="46"/>
        <v>284.0538572932515</v>
      </c>
      <c r="AG148" s="278">
        <f t="shared" si="47"/>
        <v>23.671154774437625</v>
      </c>
      <c r="AK148" s="412">
        <v>2</v>
      </c>
      <c r="AL148" s="424">
        <v>1</v>
      </c>
      <c r="AM148" s="278">
        <f t="shared" si="49"/>
        <v>23.671154774437625</v>
      </c>
      <c r="AQ148" s="414">
        <f t="shared" si="50"/>
        <v>60.711527224959617</v>
      </c>
      <c r="AR148" s="415">
        <f t="shared" si="51"/>
        <v>17245.34349041403</v>
      </c>
      <c r="AS148" s="415">
        <f t="shared" si="52"/>
        <v>1391.9634904140294</v>
      </c>
      <c r="AW148" s="417">
        <f t="shared" si="53"/>
        <v>60.951971884086781</v>
      </c>
      <c r="AX148" s="417">
        <f t="shared" si="56"/>
        <v>17313.642723304663</v>
      </c>
      <c r="AY148" s="418">
        <f t="shared" si="54"/>
        <v>68.299232890632993</v>
      </c>
    </row>
    <row r="149" spans="1:51" s="411" customFormat="1" ht="12" customHeight="1">
      <c r="A149" s="408" t="s">
        <v>431</v>
      </c>
      <c r="B149" s="408" t="s">
        <v>432</v>
      </c>
      <c r="C149" s="272">
        <v>55.77</v>
      </c>
      <c r="D149" s="272">
        <v>55.92</v>
      </c>
      <c r="E149" s="409"/>
      <c r="F149" s="274">
        <v>0</v>
      </c>
      <c r="G149" s="274">
        <v>0</v>
      </c>
      <c r="H149" s="274">
        <v>0</v>
      </c>
      <c r="I149" s="274">
        <v>0</v>
      </c>
      <c r="J149" s="274">
        <v>0</v>
      </c>
      <c r="K149" s="274">
        <v>0</v>
      </c>
      <c r="L149" s="274">
        <v>0</v>
      </c>
      <c r="M149" s="274">
        <v>0</v>
      </c>
      <c r="N149" s="274">
        <v>0</v>
      </c>
      <c r="O149" s="274">
        <v>0</v>
      </c>
      <c r="P149" s="274">
        <v>0</v>
      </c>
      <c r="Q149" s="274">
        <v>0</v>
      </c>
      <c r="R149" s="410">
        <f t="shared" si="43"/>
        <v>0</v>
      </c>
      <c r="T149" s="274">
        <f t="shared" si="44"/>
        <v>0</v>
      </c>
      <c r="U149" s="274">
        <f t="shared" si="44"/>
        <v>0</v>
      </c>
      <c r="V149" s="274">
        <f t="shared" si="44"/>
        <v>0</v>
      </c>
      <c r="W149" s="274">
        <f t="shared" si="44"/>
        <v>0</v>
      </c>
      <c r="X149" s="274">
        <f t="shared" si="44"/>
        <v>0</v>
      </c>
      <c r="Y149" s="274">
        <f t="shared" si="44"/>
        <v>0</v>
      </c>
      <c r="Z149" s="274">
        <f t="shared" si="44"/>
        <v>0</v>
      </c>
      <c r="AA149" s="274">
        <f t="shared" si="44"/>
        <v>0</v>
      </c>
      <c r="AB149" s="274">
        <f t="shared" si="44"/>
        <v>0</v>
      </c>
      <c r="AC149" s="274">
        <f t="shared" si="45"/>
        <v>0</v>
      </c>
      <c r="AD149" s="274">
        <f t="shared" si="45"/>
        <v>0</v>
      </c>
      <c r="AE149" s="274">
        <f t="shared" si="45"/>
        <v>0</v>
      </c>
      <c r="AF149" s="277">
        <f t="shared" si="46"/>
        <v>0</v>
      </c>
      <c r="AG149" s="278">
        <f t="shared" si="47"/>
        <v>0</v>
      </c>
      <c r="AK149" s="412">
        <v>2</v>
      </c>
      <c r="AL149" s="424">
        <v>1</v>
      </c>
      <c r="AM149" s="278">
        <f t="shared" si="49"/>
        <v>0</v>
      </c>
      <c r="AQ149" s="414">
        <f t="shared" si="50"/>
        <v>60.711527224959617</v>
      </c>
      <c r="AR149" s="415">
        <f t="shared" si="51"/>
        <v>0</v>
      </c>
      <c r="AS149" s="415">
        <f t="shared" si="52"/>
        <v>0</v>
      </c>
      <c r="AW149" s="417">
        <f t="shared" si="53"/>
        <v>60.951971884086781</v>
      </c>
      <c r="AX149" s="417">
        <f t="shared" si="56"/>
        <v>0</v>
      </c>
      <c r="AY149" s="418">
        <f t="shared" si="54"/>
        <v>0</v>
      </c>
    </row>
    <row r="150" spans="1:51" s="411" customFormat="1" ht="12" customHeight="1">
      <c r="A150" s="408" t="s">
        <v>433</v>
      </c>
      <c r="B150" s="408" t="s">
        <v>434</v>
      </c>
      <c r="C150" s="272">
        <v>261.16000000000003</v>
      </c>
      <c r="D150" s="272">
        <v>261.88</v>
      </c>
      <c r="E150" s="409"/>
      <c r="F150" s="274">
        <v>6023.24</v>
      </c>
      <c r="G150" s="274">
        <v>6023.24</v>
      </c>
      <c r="H150" s="274">
        <v>6088.71</v>
      </c>
      <c r="I150" s="274">
        <v>5066.5</v>
      </c>
      <c r="J150" s="274">
        <v>5079.5600000000004</v>
      </c>
      <c r="K150" s="274">
        <v>5484.36</v>
      </c>
      <c r="L150" s="274">
        <v>6267.84</v>
      </c>
      <c r="M150" s="274">
        <v>6398.42</v>
      </c>
      <c r="N150" s="274">
        <v>6755.93</v>
      </c>
      <c r="O150" s="274">
        <v>6677.94</v>
      </c>
      <c r="P150" s="274">
        <v>6547</v>
      </c>
      <c r="Q150" s="274">
        <v>6141.09</v>
      </c>
      <c r="R150" s="410">
        <f t="shared" si="43"/>
        <v>72553.829999999987</v>
      </c>
      <c r="T150" s="274">
        <f t="shared" si="44"/>
        <v>23.063409404196658</v>
      </c>
      <c r="U150" s="274">
        <f t="shared" si="44"/>
        <v>23.063409404196658</v>
      </c>
      <c r="V150" s="274">
        <f t="shared" si="44"/>
        <v>23.314098636850972</v>
      </c>
      <c r="W150" s="274">
        <f t="shared" si="44"/>
        <v>19.399984683718792</v>
      </c>
      <c r="X150" s="274">
        <f t="shared" si="44"/>
        <v>19.449992341859396</v>
      </c>
      <c r="Y150" s="274">
        <f t="shared" si="44"/>
        <v>20.999999999999996</v>
      </c>
      <c r="Z150" s="274">
        <f t="shared" si="44"/>
        <v>24</v>
      </c>
      <c r="AA150" s="274">
        <f t="shared" si="44"/>
        <v>24.499999999999996</v>
      </c>
      <c r="AB150" s="274">
        <f t="shared" si="44"/>
        <v>25.868930923571757</v>
      </c>
      <c r="AC150" s="274">
        <f t="shared" si="45"/>
        <v>25.5</v>
      </c>
      <c r="AD150" s="274">
        <f t="shared" si="45"/>
        <v>25</v>
      </c>
      <c r="AE150" s="274">
        <f t="shared" si="45"/>
        <v>23.450015274171378</v>
      </c>
      <c r="AF150" s="277">
        <f t="shared" si="46"/>
        <v>277.6098406685656</v>
      </c>
      <c r="AG150" s="278">
        <f t="shared" si="47"/>
        <v>23.134153389047132</v>
      </c>
      <c r="AK150" s="412">
        <v>3</v>
      </c>
      <c r="AL150" s="412" t="str">
        <f>RIGHT(B150,2)</f>
        <v xml:space="preserve"> 1</v>
      </c>
      <c r="AM150" s="278">
        <f t="shared" si="49"/>
        <v>23.134153389047132</v>
      </c>
      <c r="AQ150" s="414">
        <f t="shared" si="50"/>
        <v>284.31929094550117</v>
      </c>
      <c r="AR150" s="415">
        <f t="shared" si="51"/>
        <v>78929.833058380114</v>
      </c>
      <c r="AS150" s="415">
        <f t="shared" si="52"/>
        <v>6376.0030583801272</v>
      </c>
      <c r="AW150" s="417">
        <f t="shared" si="53"/>
        <v>285.44532183484705</v>
      </c>
      <c r="AX150" s="417">
        <f t="shared" si="56"/>
        <v>79242.430314159312</v>
      </c>
      <c r="AY150" s="418">
        <f t="shared" si="54"/>
        <v>312.59725577919744</v>
      </c>
    </row>
    <row r="151" spans="1:51" s="411" customFormat="1" ht="12" customHeight="1">
      <c r="A151" s="408" t="s">
        <v>435</v>
      </c>
      <c r="B151" s="408" t="s">
        <v>436</v>
      </c>
      <c r="C151" s="272">
        <v>495.55</v>
      </c>
      <c r="D151" s="272">
        <v>496.91</v>
      </c>
      <c r="E151" s="409"/>
      <c r="F151" s="274">
        <v>0</v>
      </c>
      <c r="G151" s="274">
        <v>0</v>
      </c>
      <c r="H151" s="274">
        <v>0</v>
      </c>
      <c r="I151" s="274">
        <v>0</v>
      </c>
      <c r="J151" s="274">
        <v>0</v>
      </c>
      <c r="K151" s="274">
        <v>0</v>
      </c>
      <c r="L151" s="274">
        <v>0</v>
      </c>
      <c r="M151" s="274">
        <v>0</v>
      </c>
      <c r="N151" s="274">
        <v>0</v>
      </c>
      <c r="O151" s="274">
        <v>0</v>
      </c>
      <c r="P151" s="274">
        <v>0</v>
      </c>
      <c r="Q151" s="274">
        <v>0</v>
      </c>
      <c r="R151" s="410">
        <f t="shared" si="43"/>
        <v>0</v>
      </c>
      <c r="T151" s="274">
        <f t="shared" si="44"/>
        <v>0</v>
      </c>
      <c r="U151" s="274">
        <f t="shared" si="44"/>
        <v>0</v>
      </c>
      <c r="V151" s="274">
        <f t="shared" si="44"/>
        <v>0</v>
      </c>
      <c r="W151" s="274">
        <f t="shared" si="44"/>
        <v>0</v>
      </c>
      <c r="X151" s="274">
        <f t="shared" si="44"/>
        <v>0</v>
      </c>
      <c r="Y151" s="274">
        <f t="shared" si="44"/>
        <v>0</v>
      </c>
      <c r="Z151" s="274">
        <f t="shared" si="44"/>
        <v>0</v>
      </c>
      <c r="AA151" s="274">
        <f t="shared" si="44"/>
        <v>0</v>
      </c>
      <c r="AB151" s="274">
        <f t="shared" si="44"/>
        <v>0</v>
      </c>
      <c r="AC151" s="274">
        <f t="shared" si="45"/>
        <v>0</v>
      </c>
      <c r="AD151" s="274">
        <f t="shared" si="45"/>
        <v>0</v>
      </c>
      <c r="AE151" s="274">
        <f t="shared" si="45"/>
        <v>0</v>
      </c>
      <c r="AF151" s="277">
        <f t="shared" si="46"/>
        <v>0</v>
      </c>
      <c r="AG151" s="278">
        <f t="shared" si="47"/>
        <v>0</v>
      </c>
      <c r="AK151" s="412">
        <v>3</v>
      </c>
      <c r="AL151" s="412" t="str">
        <f>RIGHT(B151,2)</f>
        <v xml:space="preserve"> 1</v>
      </c>
      <c r="AM151" s="278">
        <f t="shared" si="49"/>
        <v>0</v>
      </c>
      <c r="AQ151" s="414">
        <f t="shared" si="50"/>
        <v>539.48792906571327</v>
      </c>
      <c r="AR151" s="415">
        <f t="shared" si="51"/>
        <v>0</v>
      </c>
      <c r="AS151" s="415">
        <f t="shared" si="52"/>
        <v>0</v>
      </c>
      <c r="AW151" s="417">
        <f t="shared" si="53"/>
        <v>541.62454128972763</v>
      </c>
      <c r="AX151" s="417">
        <f t="shared" si="56"/>
        <v>0</v>
      </c>
      <c r="AY151" s="418">
        <f t="shared" si="54"/>
        <v>0</v>
      </c>
    </row>
    <row r="152" spans="1:51" s="411" customFormat="1" ht="12" customHeight="1">
      <c r="A152" s="408" t="s">
        <v>437</v>
      </c>
      <c r="B152" s="408" t="s">
        <v>438</v>
      </c>
      <c r="C152" s="272">
        <v>144.24</v>
      </c>
      <c r="D152" s="272">
        <v>144.63999999999999</v>
      </c>
      <c r="E152" s="409"/>
      <c r="F152" s="274">
        <v>578.55999999999995</v>
      </c>
      <c r="G152" s="274">
        <v>578.55999999999995</v>
      </c>
      <c r="H152" s="274">
        <v>578.55999999999995</v>
      </c>
      <c r="I152" s="274">
        <v>216.36</v>
      </c>
      <c r="J152" s="274">
        <v>216.36</v>
      </c>
      <c r="K152" s="274">
        <v>144.24</v>
      </c>
      <c r="L152" s="274">
        <v>144.24</v>
      </c>
      <c r="M152" s="274">
        <v>144.24</v>
      </c>
      <c r="N152" s="274">
        <v>144.63999999999999</v>
      </c>
      <c r="O152" s="274">
        <v>313.12</v>
      </c>
      <c r="P152" s="274">
        <v>433.92</v>
      </c>
      <c r="Q152" s="274">
        <v>506.24</v>
      </c>
      <c r="R152" s="410">
        <f t="shared" si="43"/>
        <v>3999.04</v>
      </c>
      <c r="T152" s="274">
        <f t="shared" si="44"/>
        <v>4.0110926234054345</v>
      </c>
      <c r="U152" s="274">
        <f t="shared" si="44"/>
        <v>4.0110926234054345</v>
      </c>
      <c r="V152" s="274">
        <f t="shared" si="44"/>
        <v>4.0110926234054345</v>
      </c>
      <c r="W152" s="274">
        <f t="shared" si="44"/>
        <v>1.5</v>
      </c>
      <c r="X152" s="274">
        <f t="shared" si="44"/>
        <v>1.5</v>
      </c>
      <c r="Y152" s="274">
        <f t="shared" si="44"/>
        <v>1</v>
      </c>
      <c r="Z152" s="274">
        <f t="shared" si="44"/>
        <v>1</v>
      </c>
      <c r="AA152" s="274">
        <f t="shared" si="44"/>
        <v>1</v>
      </c>
      <c r="AB152" s="274">
        <f t="shared" si="44"/>
        <v>1.0027731558513586</v>
      </c>
      <c r="AC152" s="274">
        <f t="shared" si="45"/>
        <v>2.1648230088495577</v>
      </c>
      <c r="AD152" s="274">
        <f t="shared" si="45"/>
        <v>3.0000000000000004</v>
      </c>
      <c r="AE152" s="274">
        <f t="shared" si="45"/>
        <v>3.5000000000000004</v>
      </c>
      <c r="AF152" s="277">
        <f t="shared" si="46"/>
        <v>27.70087403491722</v>
      </c>
      <c r="AG152" s="278">
        <f t="shared" si="47"/>
        <v>2.3084061695764349</v>
      </c>
      <c r="AK152" s="412">
        <v>3</v>
      </c>
      <c r="AL152" s="412" t="str">
        <f>RIGHT(B152,2)</f>
        <v xml:space="preserve"> 1</v>
      </c>
      <c r="AM152" s="278">
        <f t="shared" si="49"/>
        <v>2.3084061695764349</v>
      </c>
      <c r="AQ152" s="414">
        <f t="shared" si="50"/>
        <v>157.03353536870813</v>
      </c>
      <c r="AR152" s="415">
        <f t="shared" si="51"/>
        <v>4349.9661825063013</v>
      </c>
      <c r="AS152" s="415">
        <f t="shared" si="52"/>
        <v>350.9261825063013</v>
      </c>
      <c r="AW152" s="417">
        <f t="shared" si="53"/>
        <v>157.65545803494837</v>
      </c>
      <c r="AX152" s="417">
        <f t="shared" si="56"/>
        <v>4367.1939839432825</v>
      </c>
      <c r="AY152" s="418">
        <f t="shared" si="54"/>
        <v>17.227801436981281</v>
      </c>
    </row>
    <row r="153" spans="1:51" s="411" customFormat="1" ht="12" customHeight="1">
      <c r="A153" s="408" t="s">
        <v>439</v>
      </c>
      <c r="B153" s="408" t="s">
        <v>440</v>
      </c>
      <c r="C153" s="272">
        <v>75.19</v>
      </c>
      <c r="D153" s="272">
        <v>75.39</v>
      </c>
      <c r="E153" s="409"/>
      <c r="F153" s="274">
        <v>0</v>
      </c>
      <c r="G153" s="274">
        <v>0</v>
      </c>
      <c r="H153" s="274">
        <v>0</v>
      </c>
      <c r="I153" s="274">
        <v>0</v>
      </c>
      <c r="J153" s="274">
        <v>0</v>
      </c>
      <c r="K153" s="274">
        <v>0</v>
      </c>
      <c r="L153" s="274">
        <v>0</v>
      </c>
      <c r="M153" s="274">
        <v>0</v>
      </c>
      <c r="N153" s="274">
        <v>0</v>
      </c>
      <c r="O153" s="274">
        <v>0</v>
      </c>
      <c r="P153" s="274">
        <v>0</v>
      </c>
      <c r="Q153" s="274">
        <v>0</v>
      </c>
      <c r="R153" s="410">
        <f t="shared" si="43"/>
        <v>0</v>
      </c>
      <c r="T153" s="274">
        <f t="shared" si="44"/>
        <v>0</v>
      </c>
      <c r="U153" s="274">
        <f t="shared" si="44"/>
        <v>0</v>
      </c>
      <c r="V153" s="274">
        <f t="shared" si="44"/>
        <v>0</v>
      </c>
      <c r="W153" s="274">
        <f t="shared" si="44"/>
        <v>0</v>
      </c>
      <c r="X153" s="274">
        <f t="shared" si="44"/>
        <v>0</v>
      </c>
      <c r="Y153" s="274">
        <f t="shared" si="44"/>
        <v>0</v>
      </c>
      <c r="Z153" s="274">
        <f t="shared" si="44"/>
        <v>0</v>
      </c>
      <c r="AA153" s="274">
        <f t="shared" si="44"/>
        <v>0</v>
      </c>
      <c r="AB153" s="274">
        <f t="shared" si="44"/>
        <v>0</v>
      </c>
      <c r="AC153" s="274">
        <f t="shared" si="45"/>
        <v>0</v>
      </c>
      <c r="AD153" s="274">
        <f t="shared" si="45"/>
        <v>0</v>
      </c>
      <c r="AE153" s="274">
        <f t="shared" si="45"/>
        <v>0</v>
      </c>
      <c r="AF153" s="277">
        <f t="shared" si="46"/>
        <v>0</v>
      </c>
      <c r="AG153" s="278">
        <f t="shared" si="47"/>
        <v>0</v>
      </c>
      <c r="AK153" s="412">
        <v>3</v>
      </c>
      <c r="AL153" s="424">
        <v>1</v>
      </c>
      <c r="AM153" s="278">
        <f t="shared" si="49"/>
        <v>0</v>
      </c>
      <c r="AQ153" s="414">
        <f t="shared" si="50"/>
        <v>81.849821843521198</v>
      </c>
      <c r="AR153" s="415">
        <f t="shared" si="51"/>
        <v>0</v>
      </c>
      <c r="AS153" s="415">
        <f t="shared" si="52"/>
        <v>0</v>
      </c>
      <c r="AW153" s="417">
        <f t="shared" si="53"/>
        <v>82.173983554029022</v>
      </c>
      <c r="AX153" s="417">
        <f t="shared" si="56"/>
        <v>0</v>
      </c>
      <c r="AY153" s="418">
        <f t="shared" si="54"/>
        <v>0</v>
      </c>
    </row>
    <row r="154" spans="1:51" s="411" customFormat="1" ht="12" customHeight="1">
      <c r="A154" s="408" t="s">
        <v>441</v>
      </c>
      <c r="B154" s="408" t="s">
        <v>442</v>
      </c>
      <c r="C154" s="272">
        <v>15.29</v>
      </c>
      <c r="D154" s="272">
        <v>15.33</v>
      </c>
      <c r="E154" s="409"/>
      <c r="F154" s="274">
        <v>3020.01</v>
      </c>
      <c r="G154" s="274">
        <v>2981.68</v>
      </c>
      <c r="H154" s="274">
        <v>3020.01</v>
      </c>
      <c r="I154" s="274">
        <v>2996.84</v>
      </c>
      <c r="J154" s="274">
        <v>3012.13</v>
      </c>
      <c r="K154" s="274">
        <v>3042.71</v>
      </c>
      <c r="L154" s="274">
        <v>3051.57</v>
      </c>
      <c r="M154" s="274">
        <v>3027.42</v>
      </c>
      <c r="N154" s="274">
        <v>3050.67</v>
      </c>
      <c r="O154" s="274">
        <v>3066</v>
      </c>
      <c r="P154" s="274">
        <v>3066</v>
      </c>
      <c r="Q154" s="274">
        <v>3066</v>
      </c>
      <c r="R154" s="410">
        <f t="shared" si="43"/>
        <v>36401.040000000001</v>
      </c>
      <c r="T154" s="274">
        <f t="shared" si="44"/>
        <v>197.51536952256379</v>
      </c>
      <c r="U154" s="274">
        <f t="shared" si="44"/>
        <v>195.00850228907782</v>
      </c>
      <c r="V154" s="274">
        <f t="shared" si="44"/>
        <v>197.51536952256379</v>
      </c>
      <c r="W154" s="274">
        <f t="shared" si="44"/>
        <v>196.00000000000003</v>
      </c>
      <c r="X154" s="274">
        <f t="shared" si="44"/>
        <v>197.00000000000003</v>
      </c>
      <c r="Y154" s="274">
        <f t="shared" si="44"/>
        <v>199</v>
      </c>
      <c r="Z154" s="274">
        <f t="shared" si="44"/>
        <v>199.57946370176589</v>
      </c>
      <c r="AA154" s="274">
        <f t="shared" si="44"/>
        <v>198.00000000000003</v>
      </c>
      <c r="AB154" s="274">
        <f t="shared" si="44"/>
        <v>199.52060170045783</v>
      </c>
      <c r="AC154" s="274">
        <f t="shared" si="45"/>
        <v>200</v>
      </c>
      <c r="AD154" s="274">
        <f t="shared" si="45"/>
        <v>200</v>
      </c>
      <c r="AE154" s="274">
        <f t="shared" si="45"/>
        <v>200</v>
      </c>
      <c r="AF154" s="277">
        <f t="shared" si="46"/>
        <v>2379.1393067364288</v>
      </c>
      <c r="AG154" s="278">
        <f t="shared" si="47"/>
        <v>198.26160889470239</v>
      </c>
      <c r="AJ154" s="412">
        <v>32</v>
      </c>
      <c r="AL154" s="412" t="str">
        <f>RIGHT(B154,2)</f>
        <v xml:space="preserve"> 1</v>
      </c>
      <c r="AM154" s="278">
        <f t="shared" si="49"/>
        <v>198.26160889470239</v>
      </c>
      <c r="AQ154" s="414">
        <f t="shared" si="50"/>
        <v>16.643557087958349</v>
      </c>
      <c r="AR154" s="415">
        <f t="shared" si="51"/>
        <v>39597.340871873399</v>
      </c>
      <c r="AS154" s="415">
        <f t="shared" si="52"/>
        <v>3196.3008718733981</v>
      </c>
      <c r="AW154" s="417">
        <f t="shared" si="53"/>
        <v>16.709472978952974</v>
      </c>
      <c r="AX154" s="417">
        <f t="shared" si="56"/>
        <v>39754.163959077268</v>
      </c>
      <c r="AY154" s="418">
        <f t="shared" si="54"/>
        <v>156.82308720386936</v>
      </c>
    </row>
    <row r="155" spans="1:51" s="411" customFormat="1" ht="12" customHeight="1">
      <c r="A155" s="408" t="s">
        <v>443</v>
      </c>
      <c r="B155" s="408" t="s">
        <v>444</v>
      </c>
      <c r="C155" s="272">
        <v>0</v>
      </c>
      <c r="D155" s="272">
        <v>0</v>
      </c>
      <c r="E155" s="409"/>
      <c r="F155" s="274">
        <v>0</v>
      </c>
      <c r="G155" s="274">
        <v>0</v>
      </c>
      <c r="H155" s="274">
        <v>0</v>
      </c>
      <c r="I155" s="274">
        <v>0</v>
      </c>
      <c r="J155" s="274">
        <v>0</v>
      </c>
      <c r="K155" s="274">
        <v>0</v>
      </c>
      <c r="L155" s="274">
        <v>0</v>
      </c>
      <c r="M155" s="274">
        <v>0</v>
      </c>
      <c r="N155" s="274">
        <v>0</v>
      </c>
      <c r="O155" s="274">
        <v>0</v>
      </c>
      <c r="P155" s="274">
        <v>0</v>
      </c>
      <c r="Q155" s="274">
        <v>0</v>
      </c>
      <c r="R155" s="410">
        <f t="shared" si="43"/>
        <v>0</v>
      </c>
      <c r="T155" s="274">
        <f t="shared" si="44"/>
        <v>0</v>
      </c>
      <c r="U155" s="274">
        <f t="shared" si="44"/>
        <v>0</v>
      </c>
      <c r="V155" s="274">
        <f t="shared" si="44"/>
        <v>0</v>
      </c>
      <c r="W155" s="274">
        <f t="shared" ref="W155:AB186" si="58">IFERROR(I155/$C155,0)</f>
        <v>0</v>
      </c>
      <c r="X155" s="274">
        <f t="shared" si="58"/>
        <v>0</v>
      </c>
      <c r="Y155" s="274">
        <f t="shared" si="58"/>
        <v>0</v>
      </c>
      <c r="Z155" s="274">
        <f t="shared" si="58"/>
        <v>0</v>
      </c>
      <c r="AA155" s="274">
        <f t="shared" si="58"/>
        <v>0</v>
      </c>
      <c r="AB155" s="274">
        <f t="shared" si="58"/>
        <v>0</v>
      </c>
      <c r="AC155" s="274">
        <f t="shared" si="45"/>
        <v>0</v>
      </c>
      <c r="AD155" s="274">
        <f t="shared" si="45"/>
        <v>0</v>
      </c>
      <c r="AE155" s="274">
        <f t="shared" si="45"/>
        <v>0</v>
      </c>
      <c r="AF155" s="277">
        <f t="shared" si="46"/>
        <v>0</v>
      </c>
      <c r="AG155" s="278">
        <f t="shared" si="47"/>
        <v>0</v>
      </c>
      <c r="AJ155" s="412">
        <v>32</v>
      </c>
      <c r="AL155" s="412" t="str">
        <f>RIGHT(B155,2)</f>
        <v xml:space="preserve"> 2</v>
      </c>
      <c r="AM155" s="278">
        <f t="shared" si="49"/>
        <v>0</v>
      </c>
      <c r="AQ155" s="414">
        <f t="shared" si="50"/>
        <v>0</v>
      </c>
      <c r="AR155" s="415">
        <f t="shared" si="51"/>
        <v>0</v>
      </c>
      <c r="AS155" s="415">
        <f t="shared" si="52"/>
        <v>0</v>
      </c>
      <c r="AW155" s="417">
        <f t="shared" si="53"/>
        <v>0</v>
      </c>
      <c r="AX155" s="417">
        <f t="shared" si="56"/>
        <v>0</v>
      </c>
      <c r="AY155" s="418">
        <f t="shared" si="54"/>
        <v>0</v>
      </c>
    </row>
    <row r="156" spans="1:51" s="411" customFormat="1" ht="12" customHeight="1">
      <c r="A156" s="408" t="s">
        <v>445</v>
      </c>
      <c r="B156" s="408" t="s">
        <v>446</v>
      </c>
      <c r="C156" s="272">
        <v>0</v>
      </c>
      <c r="D156" s="272">
        <v>0</v>
      </c>
      <c r="E156" s="409"/>
      <c r="F156" s="274">
        <v>0</v>
      </c>
      <c r="G156" s="274">
        <v>0</v>
      </c>
      <c r="H156" s="274">
        <v>0</v>
      </c>
      <c r="I156" s="274">
        <v>0</v>
      </c>
      <c r="J156" s="274">
        <v>0</v>
      </c>
      <c r="K156" s="274">
        <v>0</v>
      </c>
      <c r="L156" s="274">
        <v>0</v>
      </c>
      <c r="M156" s="274">
        <v>0</v>
      </c>
      <c r="N156" s="274">
        <v>0</v>
      </c>
      <c r="O156" s="274">
        <v>0</v>
      </c>
      <c r="P156" s="274">
        <v>0</v>
      </c>
      <c r="Q156" s="274">
        <v>0</v>
      </c>
      <c r="R156" s="410">
        <f t="shared" si="43"/>
        <v>0</v>
      </c>
      <c r="T156" s="274">
        <f t="shared" ref="T156:AB187" si="59">IFERROR(F156/$C156,0)</f>
        <v>0</v>
      </c>
      <c r="U156" s="274">
        <f t="shared" si="59"/>
        <v>0</v>
      </c>
      <c r="V156" s="274">
        <f t="shared" si="59"/>
        <v>0</v>
      </c>
      <c r="W156" s="274">
        <f t="shared" si="58"/>
        <v>0</v>
      </c>
      <c r="X156" s="274">
        <f t="shared" si="58"/>
        <v>0</v>
      </c>
      <c r="Y156" s="274">
        <f t="shared" si="58"/>
        <v>0</v>
      </c>
      <c r="Z156" s="274">
        <f t="shared" si="58"/>
        <v>0</v>
      </c>
      <c r="AA156" s="274">
        <f t="shared" si="58"/>
        <v>0</v>
      </c>
      <c r="AB156" s="274">
        <f t="shared" si="58"/>
        <v>0</v>
      </c>
      <c r="AC156" s="274">
        <f t="shared" si="45"/>
        <v>0</v>
      </c>
      <c r="AD156" s="274">
        <f t="shared" si="45"/>
        <v>0</v>
      </c>
      <c r="AE156" s="274">
        <f t="shared" si="45"/>
        <v>0</v>
      </c>
      <c r="AF156" s="277">
        <f t="shared" si="46"/>
        <v>0</v>
      </c>
      <c r="AG156" s="278">
        <f t="shared" si="47"/>
        <v>0</v>
      </c>
      <c r="AJ156" s="412">
        <v>32</v>
      </c>
      <c r="AL156" s="412" t="str">
        <f>RIGHT(B156,2)</f>
        <v xml:space="preserve"> 3</v>
      </c>
      <c r="AM156" s="278">
        <f t="shared" si="49"/>
        <v>0</v>
      </c>
      <c r="AQ156" s="414">
        <f t="shared" si="50"/>
        <v>0</v>
      </c>
      <c r="AR156" s="415">
        <f t="shared" si="51"/>
        <v>0</v>
      </c>
      <c r="AS156" s="415">
        <f t="shared" si="52"/>
        <v>0</v>
      </c>
      <c r="AW156" s="417">
        <f t="shared" si="53"/>
        <v>0</v>
      </c>
      <c r="AX156" s="417">
        <f t="shared" si="56"/>
        <v>0</v>
      </c>
      <c r="AY156" s="418">
        <f t="shared" si="54"/>
        <v>0</v>
      </c>
    </row>
    <row r="157" spans="1:51" s="411" customFormat="1" ht="12" customHeight="1">
      <c r="A157" s="408" t="s">
        <v>447</v>
      </c>
      <c r="B157" s="408" t="s">
        <v>448</v>
      </c>
      <c r="C157" s="272">
        <v>0</v>
      </c>
      <c r="D157" s="272">
        <v>0</v>
      </c>
      <c r="E157" s="409"/>
      <c r="F157" s="274">
        <v>0</v>
      </c>
      <c r="G157" s="274">
        <v>0</v>
      </c>
      <c r="H157" s="274">
        <v>0</v>
      </c>
      <c r="I157" s="274">
        <v>0</v>
      </c>
      <c r="J157" s="274">
        <v>0</v>
      </c>
      <c r="K157" s="274">
        <v>0</v>
      </c>
      <c r="L157" s="274">
        <v>0</v>
      </c>
      <c r="M157" s="274">
        <v>0</v>
      </c>
      <c r="N157" s="274">
        <v>0</v>
      </c>
      <c r="O157" s="274">
        <v>0</v>
      </c>
      <c r="P157" s="274">
        <v>0</v>
      </c>
      <c r="Q157" s="274">
        <v>0</v>
      </c>
      <c r="R157" s="410">
        <f t="shared" si="43"/>
        <v>0</v>
      </c>
      <c r="T157" s="274">
        <f t="shared" si="59"/>
        <v>0</v>
      </c>
      <c r="U157" s="274">
        <f t="shared" si="59"/>
        <v>0</v>
      </c>
      <c r="V157" s="274">
        <f t="shared" si="59"/>
        <v>0</v>
      </c>
      <c r="W157" s="274">
        <f t="shared" si="58"/>
        <v>0</v>
      </c>
      <c r="X157" s="274">
        <f t="shared" si="58"/>
        <v>0</v>
      </c>
      <c r="Y157" s="274">
        <f t="shared" si="58"/>
        <v>0</v>
      </c>
      <c r="Z157" s="274">
        <f t="shared" si="58"/>
        <v>0</v>
      </c>
      <c r="AA157" s="274">
        <f t="shared" si="58"/>
        <v>0</v>
      </c>
      <c r="AB157" s="274">
        <f t="shared" si="58"/>
        <v>0</v>
      </c>
      <c r="AC157" s="274">
        <f t="shared" si="45"/>
        <v>0</v>
      </c>
      <c r="AD157" s="274">
        <f t="shared" si="45"/>
        <v>0</v>
      </c>
      <c r="AE157" s="274">
        <f t="shared" si="45"/>
        <v>0</v>
      </c>
      <c r="AF157" s="277">
        <f t="shared" si="46"/>
        <v>0</v>
      </c>
      <c r="AG157" s="278">
        <f t="shared" si="47"/>
        <v>0</v>
      </c>
      <c r="AJ157" s="412">
        <v>32</v>
      </c>
      <c r="AL157" s="412" t="str">
        <f>RIGHT(B157,2)</f>
        <v xml:space="preserve"> 4</v>
      </c>
      <c r="AM157" s="278">
        <f t="shared" si="49"/>
        <v>0</v>
      </c>
      <c r="AQ157" s="414">
        <f t="shared" si="50"/>
        <v>0</v>
      </c>
      <c r="AR157" s="415">
        <f t="shared" si="51"/>
        <v>0</v>
      </c>
      <c r="AS157" s="415">
        <f t="shared" si="52"/>
        <v>0</v>
      </c>
      <c r="AW157" s="417">
        <f t="shared" si="53"/>
        <v>0</v>
      </c>
      <c r="AX157" s="417">
        <f t="shared" si="56"/>
        <v>0</v>
      </c>
      <c r="AY157" s="418">
        <f t="shared" si="54"/>
        <v>0</v>
      </c>
    </row>
    <row r="158" spans="1:51" s="411" customFormat="1" ht="12" customHeight="1">
      <c r="A158" s="408" t="s">
        <v>449</v>
      </c>
      <c r="B158" s="408" t="s">
        <v>450</v>
      </c>
      <c r="C158" s="272">
        <v>15.29</v>
      </c>
      <c r="D158" s="272">
        <v>15.33</v>
      </c>
      <c r="E158" s="409"/>
      <c r="F158" s="274">
        <v>0</v>
      </c>
      <c r="G158" s="274">
        <v>0</v>
      </c>
      <c r="H158" s="274">
        <v>0</v>
      </c>
      <c r="I158" s="274">
        <v>15.29</v>
      </c>
      <c r="J158" s="274">
        <v>0</v>
      </c>
      <c r="K158" s="274">
        <v>0</v>
      </c>
      <c r="L158" s="274">
        <v>0</v>
      </c>
      <c r="M158" s="274">
        <v>0</v>
      </c>
      <c r="N158" s="274">
        <v>0</v>
      </c>
      <c r="O158" s="274">
        <v>0</v>
      </c>
      <c r="P158" s="274">
        <v>0</v>
      </c>
      <c r="Q158" s="274">
        <v>0</v>
      </c>
      <c r="R158" s="410">
        <f t="shared" si="43"/>
        <v>15.29</v>
      </c>
      <c r="T158" s="274">
        <f t="shared" si="59"/>
        <v>0</v>
      </c>
      <c r="U158" s="274">
        <f t="shared" si="59"/>
        <v>0</v>
      </c>
      <c r="V158" s="274">
        <f t="shared" si="59"/>
        <v>0</v>
      </c>
      <c r="W158" s="274">
        <f t="shared" si="58"/>
        <v>1</v>
      </c>
      <c r="X158" s="274">
        <f t="shared" si="58"/>
        <v>0</v>
      </c>
      <c r="Y158" s="274">
        <f t="shared" si="58"/>
        <v>0</v>
      </c>
      <c r="Z158" s="274">
        <f t="shared" si="58"/>
        <v>0</v>
      </c>
      <c r="AA158" s="274">
        <f t="shared" si="58"/>
        <v>0</v>
      </c>
      <c r="AB158" s="274">
        <f t="shared" si="58"/>
        <v>0</v>
      </c>
      <c r="AC158" s="274">
        <f t="shared" si="45"/>
        <v>0</v>
      </c>
      <c r="AD158" s="274">
        <f t="shared" si="45"/>
        <v>0</v>
      </c>
      <c r="AE158" s="274">
        <f t="shared" si="45"/>
        <v>0</v>
      </c>
      <c r="AF158" s="277">
        <f t="shared" si="46"/>
        <v>1</v>
      </c>
      <c r="AG158" s="278">
        <f t="shared" si="47"/>
        <v>8.3333333333333329E-2</v>
      </c>
      <c r="AJ158" s="412">
        <v>32</v>
      </c>
      <c r="AL158" s="412">
        <v>1</v>
      </c>
      <c r="AM158" s="278">
        <f t="shared" si="49"/>
        <v>8.3333333333333329E-2</v>
      </c>
      <c r="AQ158" s="414">
        <f t="shared" si="50"/>
        <v>16.643557087958349</v>
      </c>
      <c r="AR158" s="415">
        <f t="shared" si="51"/>
        <v>16.643557087958349</v>
      </c>
      <c r="AS158" s="415">
        <f t="shared" si="52"/>
        <v>1.3535570879583503</v>
      </c>
      <c r="AW158" s="417">
        <f t="shared" si="53"/>
        <v>16.709472978952974</v>
      </c>
      <c r="AX158" s="417">
        <f t="shared" si="56"/>
        <v>16.709472978952974</v>
      </c>
      <c r="AY158" s="418">
        <f t="shared" si="54"/>
        <v>6.5915890994624249E-2</v>
      </c>
    </row>
    <row r="159" spans="1:51" s="411" customFormat="1" ht="12" customHeight="1">
      <c r="A159" s="408" t="s">
        <v>451</v>
      </c>
      <c r="B159" s="408" t="s">
        <v>452</v>
      </c>
      <c r="C159" s="272">
        <v>15.29</v>
      </c>
      <c r="D159" s="272">
        <v>15.33</v>
      </c>
      <c r="E159" s="409"/>
      <c r="F159" s="274">
        <v>199.29</v>
      </c>
      <c r="G159" s="274">
        <v>199.29</v>
      </c>
      <c r="H159" s="274">
        <v>199.29</v>
      </c>
      <c r="I159" s="274">
        <v>198.77</v>
      </c>
      <c r="J159" s="274">
        <v>198.77</v>
      </c>
      <c r="K159" s="274">
        <v>198.77</v>
      </c>
      <c r="L159" s="274">
        <v>198.77</v>
      </c>
      <c r="M159" s="274">
        <v>198.77</v>
      </c>
      <c r="N159" s="274">
        <v>199.29</v>
      </c>
      <c r="O159" s="274">
        <v>199.29</v>
      </c>
      <c r="P159" s="274">
        <v>199.29</v>
      </c>
      <c r="Q159" s="274">
        <v>199.29</v>
      </c>
      <c r="R159" s="410">
        <f t="shared" ref="R159:R190" si="60">+SUM(F159:Q159)</f>
        <v>2388.88</v>
      </c>
      <c r="T159" s="274">
        <f t="shared" si="59"/>
        <v>13.034009156311315</v>
      </c>
      <c r="U159" s="274">
        <f t="shared" si="59"/>
        <v>13.034009156311315</v>
      </c>
      <c r="V159" s="274">
        <f t="shared" si="59"/>
        <v>13.034009156311315</v>
      </c>
      <c r="W159" s="274">
        <f t="shared" si="58"/>
        <v>13.000000000000002</v>
      </c>
      <c r="X159" s="274">
        <f t="shared" si="58"/>
        <v>13.000000000000002</v>
      </c>
      <c r="Y159" s="274">
        <f t="shared" si="58"/>
        <v>13.000000000000002</v>
      </c>
      <c r="Z159" s="274">
        <f t="shared" si="58"/>
        <v>13.000000000000002</v>
      </c>
      <c r="AA159" s="274">
        <f t="shared" si="58"/>
        <v>13.000000000000002</v>
      </c>
      <c r="AB159" s="274">
        <f t="shared" si="58"/>
        <v>13.034009156311315</v>
      </c>
      <c r="AC159" s="274">
        <f t="shared" ref="AC159:AE190" si="61">IFERROR(O159/$D159,0)</f>
        <v>13</v>
      </c>
      <c r="AD159" s="274">
        <f t="shared" si="61"/>
        <v>13</v>
      </c>
      <c r="AE159" s="274">
        <f t="shared" si="61"/>
        <v>13</v>
      </c>
      <c r="AF159" s="277">
        <f t="shared" si="46"/>
        <v>156.13603662524525</v>
      </c>
      <c r="AG159" s="278">
        <f t="shared" si="47"/>
        <v>13.011336385437104</v>
      </c>
      <c r="AJ159" s="412">
        <v>32</v>
      </c>
      <c r="AL159" s="412" t="str">
        <f t="shared" ref="AL159:AL166" si="62">RIGHT(B159,2)</f>
        <v xml:space="preserve"> 1</v>
      </c>
      <c r="AM159" s="278">
        <f t="shared" si="49"/>
        <v>13.011336385437104</v>
      </c>
      <c r="AQ159" s="414">
        <f t="shared" si="50"/>
        <v>16.643557087958349</v>
      </c>
      <c r="AR159" s="415">
        <f t="shared" si="51"/>
        <v>2598.6590390598253</v>
      </c>
      <c r="AS159" s="415">
        <f t="shared" si="52"/>
        <v>209.77903905982521</v>
      </c>
      <c r="AW159" s="417">
        <f t="shared" si="53"/>
        <v>16.709472978952974</v>
      </c>
      <c r="AX159" s="417">
        <f t="shared" si="56"/>
        <v>2608.9508850303473</v>
      </c>
      <c r="AY159" s="418">
        <f t="shared" si="54"/>
        <v>10.29184597052199</v>
      </c>
    </row>
    <row r="160" spans="1:51" s="411" customFormat="1" ht="12" customHeight="1">
      <c r="A160" s="408" t="s">
        <v>453</v>
      </c>
      <c r="B160" s="408" t="s">
        <v>454</v>
      </c>
      <c r="C160" s="272">
        <v>0</v>
      </c>
      <c r="D160" s="272">
        <v>0</v>
      </c>
      <c r="E160" s="409"/>
      <c r="F160" s="274">
        <v>0</v>
      </c>
      <c r="G160" s="274">
        <v>0</v>
      </c>
      <c r="H160" s="274">
        <v>0</v>
      </c>
      <c r="I160" s="274">
        <v>0</v>
      </c>
      <c r="J160" s="274">
        <v>0</v>
      </c>
      <c r="K160" s="274">
        <v>0</v>
      </c>
      <c r="L160" s="274">
        <v>0</v>
      </c>
      <c r="M160" s="274">
        <v>0</v>
      </c>
      <c r="N160" s="274">
        <v>0</v>
      </c>
      <c r="O160" s="274">
        <v>0</v>
      </c>
      <c r="P160" s="274">
        <v>0</v>
      </c>
      <c r="Q160" s="274">
        <v>0</v>
      </c>
      <c r="R160" s="410">
        <f t="shared" si="60"/>
        <v>0</v>
      </c>
      <c r="T160" s="274">
        <f t="shared" si="59"/>
        <v>0</v>
      </c>
      <c r="U160" s="274">
        <f t="shared" si="59"/>
        <v>0</v>
      </c>
      <c r="V160" s="274">
        <f t="shared" si="59"/>
        <v>0</v>
      </c>
      <c r="W160" s="274">
        <f t="shared" si="58"/>
        <v>0</v>
      </c>
      <c r="X160" s="274">
        <f t="shared" si="58"/>
        <v>0</v>
      </c>
      <c r="Y160" s="274">
        <f t="shared" si="58"/>
        <v>0</v>
      </c>
      <c r="Z160" s="274">
        <f t="shared" si="58"/>
        <v>0</v>
      </c>
      <c r="AA160" s="274">
        <f t="shared" si="58"/>
        <v>0</v>
      </c>
      <c r="AB160" s="274">
        <f t="shared" si="58"/>
        <v>0</v>
      </c>
      <c r="AC160" s="274">
        <f t="shared" si="61"/>
        <v>0</v>
      </c>
      <c r="AD160" s="274">
        <f t="shared" si="61"/>
        <v>0</v>
      </c>
      <c r="AE160" s="274">
        <f t="shared" si="61"/>
        <v>0</v>
      </c>
      <c r="AF160" s="277">
        <f t="shared" si="46"/>
        <v>0</v>
      </c>
      <c r="AG160" s="278">
        <f t="shared" si="47"/>
        <v>0</v>
      </c>
      <c r="AJ160" s="412">
        <v>32</v>
      </c>
      <c r="AL160" s="412" t="str">
        <f t="shared" si="62"/>
        <v xml:space="preserve"> 2</v>
      </c>
      <c r="AM160" s="278">
        <f t="shared" si="49"/>
        <v>0</v>
      </c>
      <c r="AQ160" s="414">
        <f t="shared" si="50"/>
        <v>0</v>
      </c>
      <c r="AR160" s="415">
        <f t="shared" si="51"/>
        <v>0</v>
      </c>
      <c r="AS160" s="415">
        <f t="shared" si="52"/>
        <v>0</v>
      </c>
      <c r="AW160" s="417">
        <f t="shared" si="53"/>
        <v>0</v>
      </c>
      <c r="AX160" s="417">
        <f t="shared" si="56"/>
        <v>0</v>
      </c>
      <c r="AY160" s="418">
        <f t="shared" si="54"/>
        <v>0</v>
      </c>
    </row>
    <row r="161" spans="1:51" s="411" customFormat="1" ht="12" customHeight="1">
      <c r="A161" s="408" t="s">
        <v>455</v>
      </c>
      <c r="B161" s="408" t="s">
        <v>456</v>
      </c>
      <c r="C161" s="272">
        <v>0</v>
      </c>
      <c r="D161" s="272">
        <v>0</v>
      </c>
      <c r="E161" s="409"/>
      <c r="F161" s="274">
        <v>0</v>
      </c>
      <c r="G161" s="274">
        <v>0</v>
      </c>
      <c r="H161" s="274">
        <v>0</v>
      </c>
      <c r="I161" s="274">
        <v>0</v>
      </c>
      <c r="J161" s="274">
        <v>0</v>
      </c>
      <c r="K161" s="274">
        <v>0</v>
      </c>
      <c r="L161" s="274">
        <v>0</v>
      </c>
      <c r="M161" s="274">
        <v>0</v>
      </c>
      <c r="N161" s="274">
        <v>0</v>
      </c>
      <c r="O161" s="274">
        <v>0</v>
      </c>
      <c r="P161" s="274">
        <v>0</v>
      </c>
      <c r="Q161" s="274">
        <v>0</v>
      </c>
      <c r="R161" s="410">
        <f t="shared" si="60"/>
        <v>0</v>
      </c>
      <c r="T161" s="274">
        <f t="shared" si="59"/>
        <v>0</v>
      </c>
      <c r="U161" s="274">
        <f t="shared" si="59"/>
        <v>0</v>
      </c>
      <c r="V161" s="274">
        <f t="shared" si="59"/>
        <v>0</v>
      </c>
      <c r="W161" s="274">
        <f t="shared" si="58"/>
        <v>0</v>
      </c>
      <c r="X161" s="274">
        <f t="shared" si="58"/>
        <v>0</v>
      </c>
      <c r="Y161" s="274">
        <f t="shared" si="58"/>
        <v>0</v>
      </c>
      <c r="Z161" s="274">
        <f t="shared" si="58"/>
        <v>0</v>
      </c>
      <c r="AA161" s="274">
        <f t="shared" si="58"/>
        <v>0</v>
      </c>
      <c r="AB161" s="274">
        <f t="shared" si="58"/>
        <v>0</v>
      </c>
      <c r="AC161" s="274">
        <f t="shared" si="61"/>
        <v>0</v>
      </c>
      <c r="AD161" s="274">
        <f t="shared" si="61"/>
        <v>0</v>
      </c>
      <c r="AE161" s="274">
        <f t="shared" si="61"/>
        <v>0</v>
      </c>
      <c r="AF161" s="277">
        <f t="shared" si="46"/>
        <v>0</v>
      </c>
      <c r="AG161" s="278">
        <f t="shared" si="47"/>
        <v>0</v>
      </c>
      <c r="AJ161" s="412">
        <v>32</v>
      </c>
      <c r="AL161" s="412" t="str">
        <f t="shared" si="62"/>
        <v xml:space="preserve"> 3</v>
      </c>
      <c r="AM161" s="278">
        <f t="shared" si="49"/>
        <v>0</v>
      </c>
      <c r="AQ161" s="414">
        <f t="shared" si="50"/>
        <v>0</v>
      </c>
      <c r="AR161" s="415">
        <f t="shared" si="51"/>
        <v>0</v>
      </c>
      <c r="AS161" s="415">
        <f t="shared" si="52"/>
        <v>0</v>
      </c>
      <c r="AW161" s="417">
        <f t="shared" si="53"/>
        <v>0</v>
      </c>
      <c r="AX161" s="417">
        <f t="shared" si="56"/>
        <v>0</v>
      </c>
      <c r="AY161" s="418">
        <f t="shared" si="54"/>
        <v>0</v>
      </c>
    </row>
    <row r="162" spans="1:51" s="411" customFormat="1" ht="12" customHeight="1">
      <c r="A162" s="408" t="s">
        <v>457</v>
      </c>
      <c r="B162" s="408" t="s">
        <v>458</v>
      </c>
      <c r="C162" s="272">
        <v>0</v>
      </c>
      <c r="D162" s="272">
        <v>0</v>
      </c>
      <c r="E162" s="409"/>
      <c r="F162" s="274">
        <v>0</v>
      </c>
      <c r="G162" s="274">
        <v>0</v>
      </c>
      <c r="H162" s="274">
        <v>0</v>
      </c>
      <c r="I162" s="274">
        <v>0</v>
      </c>
      <c r="J162" s="274">
        <v>0</v>
      </c>
      <c r="K162" s="274">
        <v>0</v>
      </c>
      <c r="L162" s="274">
        <v>0</v>
      </c>
      <c r="M162" s="274">
        <v>0</v>
      </c>
      <c r="N162" s="274">
        <v>0</v>
      </c>
      <c r="O162" s="274">
        <v>0</v>
      </c>
      <c r="P162" s="274">
        <v>0</v>
      </c>
      <c r="Q162" s="274">
        <v>0</v>
      </c>
      <c r="R162" s="410">
        <f t="shared" si="60"/>
        <v>0</v>
      </c>
      <c r="T162" s="274">
        <f t="shared" si="59"/>
        <v>0</v>
      </c>
      <c r="U162" s="274">
        <f t="shared" si="59"/>
        <v>0</v>
      </c>
      <c r="V162" s="274">
        <f t="shared" si="59"/>
        <v>0</v>
      </c>
      <c r="W162" s="274">
        <f t="shared" si="58"/>
        <v>0</v>
      </c>
      <c r="X162" s="274">
        <f t="shared" si="58"/>
        <v>0</v>
      </c>
      <c r="Y162" s="274">
        <f t="shared" si="58"/>
        <v>0</v>
      </c>
      <c r="Z162" s="274">
        <f t="shared" si="58"/>
        <v>0</v>
      </c>
      <c r="AA162" s="274">
        <f t="shared" si="58"/>
        <v>0</v>
      </c>
      <c r="AB162" s="274">
        <f t="shared" si="58"/>
        <v>0</v>
      </c>
      <c r="AC162" s="274">
        <f t="shared" si="61"/>
        <v>0</v>
      </c>
      <c r="AD162" s="274">
        <f t="shared" si="61"/>
        <v>0</v>
      </c>
      <c r="AE162" s="274">
        <f t="shared" si="61"/>
        <v>0</v>
      </c>
      <c r="AF162" s="277">
        <f t="shared" si="46"/>
        <v>0</v>
      </c>
      <c r="AG162" s="278">
        <f t="shared" si="47"/>
        <v>0</v>
      </c>
      <c r="AJ162" s="412">
        <v>32</v>
      </c>
      <c r="AL162" s="412" t="str">
        <f t="shared" si="62"/>
        <v xml:space="preserve"> 6</v>
      </c>
      <c r="AM162" s="278">
        <f t="shared" si="49"/>
        <v>0</v>
      </c>
      <c r="AQ162" s="414">
        <f t="shared" si="50"/>
        <v>0</v>
      </c>
      <c r="AR162" s="415">
        <f t="shared" si="51"/>
        <v>0</v>
      </c>
      <c r="AS162" s="415">
        <f t="shared" si="52"/>
        <v>0</v>
      </c>
      <c r="AW162" s="417">
        <f t="shared" si="53"/>
        <v>0</v>
      </c>
      <c r="AX162" s="417">
        <f t="shared" si="56"/>
        <v>0</v>
      </c>
      <c r="AY162" s="418">
        <f t="shared" si="54"/>
        <v>0</v>
      </c>
    </row>
    <row r="163" spans="1:51" s="411" customFormat="1" ht="12" customHeight="1">
      <c r="A163" s="408" t="s">
        <v>459</v>
      </c>
      <c r="B163" s="408" t="s">
        <v>460</v>
      </c>
      <c r="C163" s="272">
        <v>0</v>
      </c>
      <c r="D163" s="272">
        <v>0</v>
      </c>
      <c r="E163" s="409"/>
      <c r="F163" s="274">
        <v>0</v>
      </c>
      <c r="G163" s="274">
        <v>0</v>
      </c>
      <c r="H163" s="274">
        <v>0</v>
      </c>
      <c r="I163" s="274">
        <v>0</v>
      </c>
      <c r="J163" s="274">
        <v>0</v>
      </c>
      <c r="K163" s="274">
        <v>0</v>
      </c>
      <c r="L163" s="274">
        <v>0</v>
      </c>
      <c r="M163" s="274">
        <v>0</v>
      </c>
      <c r="N163" s="274">
        <v>0</v>
      </c>
      <c r="O163" s="274">
        <v>0</v>
      </c>
      <c r="P163" s="274">
        <v>0</v>
      </c>
      <c r="Q163" s="274">
        <v>0</v>
      </c>
      <c r="R163" s="410">
        <f t="shared" si="60"/>
        <v>0</v>
      </c>
      <c r="T163" s="274">
        <f t="shared" si="59"/>
        <v>0</v>
      </c>
      <c r="U163" s="274">
        <f t="shared" si="59"/>
        <v>0</v>
      </c>
      <c r="V163" s="274">
        <f t="shared" si="59"/>
        <v>0</v>
      </c>
      <c r="W163" s="274">
        <f t="shared" si="58"/>
        <v>0</v>
      </c>
      <c r="X163" s="274">
        <f t="shared" si="58"/>
        <v>0</v>
      </c>
      <c r="Y163" s="274">
        <f t="shared" si="58"/>
        <v>0</v>
      </c>
      <c r="Z163" s="274">
        <f t="shared" si="58"/>
        <v>0</v>
      </c>
      <c r="AA163" s="274">
        <f t="shared" si="58"/>
        <v>0</v>
      </c>
      <c r="AB163" s="274">
        <f t="shared" si="58"/>
        <v>0</v>
      </c>
      <c r="AC163" s="274">
        <f t="shared" si="61"/>
        <v>0</v>
      </c>
      <c r="AD163" s="274">
        <f t="shared" si="61"/>
        <v>0</v>
      </c>
      <c r="AE163" s="274">
        <f t="shared" si="61"/>
        <v>0</v>
      </c>
      <c r="AF163" s="277">
        <f t="shared" si="46"/>
        <v>0</v>
      </c>
      <c r="AG163" s="278">
        <f t="shared" si="47"/>
        <v>0</v>
      </c>
      <c r="AJ163" s="412">
        <v>32</v>
      </c>
      <c r="AL163" s="412" t="str">
        <f t="shared" si="62"/>
        <v xml:space="preserve"> 9</v>
      </c>
      <c r="AM163" s="278">
        <f t="shared" si="49"/>
        <v>0</v>
      </c>
      <c r="AQ163" s="414">
        <f t="shared" si="50"/>
        <v>0</v>
      </c>
      <c r="AR163" s="415">
        <f t="shared" si="51"/>
        <v>0</v>
      </c>
      <c r="AS163" s="415">
        <f t="shared" si="52"/>
        <v>0</v>
      </c>
      <c r="AW163" s="417">
        <f t="shared" si="53"/>
        <v>0</v>
      </c>
      <c r="AX163" s="417">
        <f t="shared" si="56"/>
        <v>0</v>
      </c>
      <c r="AY163" s="418">
        <f t="shared" si="54"/>
        <v>0</v>
      </c>
    </row>
    <row r="164" spans="1:51" s="411" customFormat="1" ht="12" customHeight="1">
      <c r="A164" s="408" t="s">
        <v>461</v>
      </c>
      <c r="B164" s="408" t="s">
        <v>462</v>
      </c>
      <c r="C164" s="272">
        <v>326.14999999999998</v>
      </c>
      <c r="D164" s="272">
        <v>327.02</v>
      </c>
      <c r="E164" s="409"/>
      <c r="F164" s="274">
        <v>7848.48</v>
      </c>
      <c r="G164" s="274">
        <v>7848.48</v>
      </c>
      <c r="H164" s="274">
        <v>7848.48</v>
      </c>
      <c r="I164" s="274">
        <v>6979.61</v>
      </c>
      <c r="J164" s="274">
        <v>6686.08</v>
      </c>
      <c r="K164" s="274">
        <v>8479.9</v>
      </c>
      <c r="L164" s="274">
        <v>9784.5</v>
      </c>
      <c r="M164" s="274">
        <v>10273.73</v>
      </c>
      <c r="N164" s="274">
        <v>10722.95</v>
      </c>
      <c r="O164" s="274">
        <v>9532.65</v>
      </c>
      <c r="P164" s="274">
        <v>8666.0300000000007</v>
      </c>
      <c r="Q164" s="274">
        <v>8032.43</v>
      </c>
      <c r="R164" s="410">
        <f t="shared" si="60"/>
        <v>102703.31999999998</v>
      </c>
      <c r="T164" s="274">
        <f t="shared" si="59"/>
        <v>24.064019622872912</v>
      </c>
      <c r="U164" s="274">
        <f t="shared" si="59"/>
        <v>24.064019622872912</v>
      </c>
      <c r="V164" s="274">
        <f t="shared" si="59"/>
        <v>24.064019622872912</v>
      </c>
      <c r="W164" s="274">
        <f t="shared" si="58"/>
        <v>21.400000000000002</v>
      </c>
      <c r="X164" s="274">
        <f t="shared" si="58"/>
        <v>20.500015330369465</v>
      </c>
      <c r="Y164" s="274">
        <f t="shared" si="58"/>
        <v>26</v>
      </c>
      <c r="Z164" s="274">
        <f t="shared" si="58"/>
        <v>30.000000000000004</v>
      </c>
      <c r="AA164" s="274">
        <f t="shared" si="58"/>
        <v>31.500015330369461</v>
      </c>
      <c r="AB164" s="274">
        <f t="shared" si="58"/>
        <v>32.877357044304773</v>
      </c>
      <c r="AC164" s="274">
        <f t="shared" si="61"/>
        <v>29.150051984588099</v>
      </c>
      <c r="AD164" s="274">
        <f t="shared" si="61"/>
        <v>26.500000000000004</v>
      </c>
      <c r="AE164" s="274">
        <f t="shared" si="61"/>
        <v>24.562503822396184</v>
      </c>
      <c r="AF164" s="277">
        <f t="shared" si="46"/>
        <v>314.68200238064674</v>
      </c>
      <c r="AG164" s="278">
        <f t="shared" si="47"/>
        <v>26.223500198387228</v>
      </c>
      <c r="AK164" s="412">
        <v>4</v>
      </c>
      <c r="AL164" s="412" t="str">
        <f t="shared" si="62"/>
        <v xml:space="preserve"> 1</v>
      </c>
      <c r="AM164" s="278">
        <f t="shared" si="49"/>
        <v>26.223500198387228</v>
      </c>
      <c r="AQ164" s="414">
        <f t="shared" si="50"/>
        <v>355.0408375019008</v>
      </c>
      <c r="AR164" s="415">
        <f t="shared" si="51"/>
        <v>111724.96167199996</v>
      </c>
      <c r="AS164" s="415">
        <f t="shared" si="52"/>
        <v>9021.6416719999834</v>
      </c>
      <c r="AW164" s="417">
        <f t="shared" si="53"/>
        <v>356.44695718050889</v>
      </c>
      <c r="AX164" s="417">
        <f t="shared" si="56"/>
        <v>112167.44222805118</v>
      </c>
      <c r="AY164" s="418">
        <f t="shared" si="54"/>
        <v>442.48055605121772</v>
      </c>
    </row>
    <row r="165" spans="1:51" s="411" customFormat="1" ht="12" customHeight="1">
      <c r="A165" s="408" t="s">
        <v>463</v>
      </c>
      <c r="B165" s="408" t="s">
        <v>464</v>
      </c>
      <c r="C165" s="272">
        <v>619.54999999999995</v>
      </c>
      <c r="D165" s="272">
        <v>621.20000000000005</v>
      </c>
      <c r="E165" s="409"/>
      <c r="F165" s="274">
        <v>1173.3800000000001</v>
      </c>
      <c r="G165" s="274">
        <v>621.20000000000005</v>
      </c>
      <c r="H165" s="274">
        <v>621.20000000000005</v>
      </c>
      <c r="I165" s="274">
        <v>619.54999999999995</v>
      </c>
      <c r="J165" s="274">
        <v>929.33</v>
      </c>
      <c r="K165" s="274">
        <v>619.54999999999995</v>
      </c>
      <c r="L165" s="274">
        <v>619.54999999999995</v>
      </c>
      <c r="M165" s="274">
        <v>619.54999999999995</v>
      </c>
      <c r="N165" s="274">
        <v>621.20000000000005</v>
      </c>
      <c r="O165" s="274">
        <v>1173.3800000000001</v>
      </c>
      <c r="P165" s="274">
        <v>1242.4000000000001</v>
      </c>
      <c r="Q165" s="274">
        <v>1242.4000000000001</v>
      </c>
      <c r="R165" s="410">
        <f t="shared" si="60"/>
        <v>10102.69</v>
      </c>
      <c r="T165" s="274">
        <f t="shared" si="59"/>
        <v>1.8939230086353001</v>
      </c>
      <c r="U165" s="274">
        <f t="shared" si="59"/>
        <v>1.0026632233072392</v>
      </c>
      <c r="V165" s="274">
        <f t="shared" si="59"/>
        <v>1.0026632233072392</v>
      </c>
      <c r="W165" s="274">
        <f t="shared" si="58"/>
        <v>1</v>
      </c>
      <c r="X165" s="274">
        <f t="shared" si="58"/>
        <v>1.5000080703736585</v>
      </c>
      <c r="Y165" s="274">
        <f t="shared" si="58"/>
        <v>1</v>
      </c>
      <c r="Z165" s="274">
        <f t="shared" si="58"/>
        <v>1</v>
      </c>
      <c r="AA165" s="274">
        <f t="shared" si="58"/>
        <v>1</v>
      </c>
      <c r="AB165" s="274">
        <f t="shared" si="58"/>
        <v>1.0026632233072392</v>
      </c>
      <c r="AC165" s="274">
        <f t="shared" si="61"/>
        <v>1.8888924661944624</v>
      </c>
      <c r="AD165" s="274">
        <f t="shared" si="61"/>
        <v>2</v>
      </c>
      <c r="AE165" s="274">
        <f t="shared" si="61"/>
        <v>2</v>
      </c>
      <c r="AF165" s="277">
        <f t="shared" si="46"/>
        <v>16.290813215125141</v>
      </c>
      <c r="AG165" s="278">
        <f t="shared" si="47"/>
        <v>1.357567767927095</v>
      </c>
      <c r="AK165" s="412">
        <v>4</v>
      </c>
      <c r="AL165" s="412" t="str">
        <f t="shared" si="62"/>
        <v xml:space="preserve"> 1</v>
      </c>
      <c r="AM165" s="278">
        <f t="shared" si="49"/>
        <v>1.357567767927095</v>
      </c>
      <c r="AQ165" s="414">
        <f t="shared" si="50"/>
        <v>674.42776666925818</v>
      </c>
      <c r="AR165" s="415">
        <f t="shared" si="51"/>
        <v>10986.976773902885</v>
      </c>
      <c r="AS165" s="415">
        <f t="shared" si="52"/>
        <v>884.28677390288431</v>
      </c>
      <c r="AW165" s="417">
        <f t="shared" si="53"/>
        <v>677.09880068660073</v>
      </c>
      <c r="AX165" s="417">
        <f t="shared" si="56"/>
        <v>11030.490090170659</v>
      </c>
      <c r="AY165" s="418">
        <f t="shared" si="54"/>
        <v>43.513316267773916</v>
      </c>
    </row>
    <row r="166" spans="1:51" s="411" customFormat="1" ht="12" customHeight="1">
      <c r="A166" s="408" t="s">
        <v>465</v>
      </c>
      <c r="B166" s="408" t="s">
        <v>466</v>
      </c>
      <c r="C166" s="272">
        <v>179.79</v>
      </c>
      <c r="D166" s="272">
        <v>180.27</v>
      </c>
      <c r="E166" s="409"/>
      <c r="F166" s="274">
        <v>1081.6199999999999</v>
      </c>
      <c r="G166" s="274">
        <v>991.49</v>
      </c>
      <c r="H166" s="274">
        <v>1081.6199999999999</v>
      </c>
      <c r="I166" s="274">
        <v>1618.11</v>
      </c>
      <c r="J166" s="274">
        <v>1797.9</v>
      </c>
      <c r="K166" s="274">
        <v>1258.53</v>
      </c>
      <c r="L166" s="274">
        <v>988.86</v>
      </c>
      <c r="M166" s="274">
        <v>898.95</v>
      </c>
      <c r="N166" s="274">
        <v>630.71</v>
      </c>
      <c r="O166" s="274">
        <v>901.35</v>
      </c>
      <c r="P166" s="274">
        <v>991.48</v>
      </c>
      <c r="Q166" s="274">
        <v>1141.71</v>
      </c>
      <c r="R166" s="410">
        <f t="shared" si="60"/>
        <v>13382.330000000002</v>
      </c>
      <c r="T166" s="274">
        <f t="shared" si="59"/>
        <v>6.016018688469881</v>
      </c>
      <c r="U166" s="274">
        <f t="shared" si="59"/>
        <v>5.5147116079870964</v>
      </c>
      <c r="V166" s="274">
        <f t="shared" si="59"/>
        <v>6.016018688469881</v>
      </c>
      <c r="W166" s="274">
        <f t="shared" si="58"/>
        <v>9</v>
      </c>
      <c r="X166" s="274">
        <f t="shared" si="58"/>
        <v>10.000000000000002</v>
      </c>
      <c r="Y166" s="274">
        <f t="shared" si="58"/>
        <v>7</v>
      </c>
      <c r="Z166" s="274">
        <f t="shared" si="58"/>
        <v>5.5000834306691146</v>
      </c>
      <c r="AA166" s="274">
        <f t="shared" si="58"/>
        <v>5.0000000000000009</v>
      </c>
      <c r="AB166" s="274">
        <f t="shared" si="58"/>
        <v>3.5080371544579791</v>
      </c>
      <c r="AC166" s="274">
        <f t="shared" si="61"/>
        <v>5</v>
      </c>
      <c r="AD166" s="274">
        <f t="shared" si="61"/>
        <v>5.4999722638264821</v>
      </c>
      <c r="AE166" s="274">
        <f t="shared" si="61"/>
        <v>6.333333333333333</v>
      </c>
      <c r="AF166" s="277">
        <f t="shared" si="46"/>
        <v>74.38817516721376</v>
      </c>
      <c r="AG166" s="278">
        <f t="shared" si="47"/>
        <v>6.199014597267813</v>
      </c>
      <c r="AK166" s="412">
        <v>4</v>
      </c>
      <c r="AL166" s="412" t="str">
        <f t="shared" si="62"/>
        <v xml:space="preserve"> 1</v>
      </c>
      <c r="AM166" s="278">
        <f t="shared" si="49"/>
        <v>6.199014597267813</v>
      </c>
      <c r="AQ166" s="414">
        <f t="shared" si="50"/>
        <v>195.71650595213646</v>
      </c>
      <c r="AR166" s="415">
        <f t="shared" si="51"/>
        <v>14558.99372788256</v>
      </c>
      <c r="AS166" s="415">
        <f t="shared" si="52"/>
        <v>1176.6637278825583</v>
      </c>
      <c r="AW166" s="417">
        <f t="shared" si="53"/>
        <v>196.49163039242356</v>
      </c>
      <c r="AX166" s="417">
        <f t="shared" si="56"/>
        <v>14616.653820523028</v>
      </c>
      <c r="AY166" s="418">
        <f t="shared" si="54"/>
        <v>57.660092640468065</v>
      </c>
    </row>
    <row r="167" spans="1:51" s="411" customFormat="1" ht="12" customHeight="1">
      <c r="A167" s="408" t="s">
        <v>467</v>
      </c>
      <c r="B167" s="408" t="s">
        <v>468</v>
      </c>
      <c r="C167" s="272">
        <v>0</v>
      </c>
      <c r="D167" s="272">
        <v>0</v>
      </c>
      <c r="E167" s="409"/>
      <c r="F167" s="274">
        <v>0</v>
      </c>
      <c r="G167" s="274">
        <v>0</v>
      </c>
      <c r="H167" s="274">
        <v>0</v>
      </c>
      <c r="I167" s="274">
        <v>0</v>
      </c>
      <c r="J167" s="274">
        <v>0</v>
      </c>
      <c r="K167" s="274">
        <v>0</v>
      </c>
      <c r="L167" s="274">
        <v>0</v>
      </c>
      <c r="M167" s="274">
        <v>0</v>
      </c>
      <c r="N167" s="274">
        <v>0</v>
      </c>
      <c r="O167" s="274">
        <v>0</v>
      </c>
      <c r="P167" s="274">
        <v>0</v>
      </c>
      <c r="Q167" s="274">
        <v>0</v>
      </c>
      <c r="R167" s="410">
        <f t="shared" si="60"/>
        <v>0</v>
      </c>
      <c r="T167" s="274">
        <f t="shared" si="59"/>
        <v>0</v>
      </c>
      <c r="U167" s="274">
        <f t="shared" si="59"/>
        <v>0</v>
      </c>
      <c r="V167" s="274">
        <f t="shared" si="59"/>
        <v>0</v>
      </c>
      <c r="W167" s="274">
        <f t="shared" si="58"/>
        <v>0</v>
      </c>
      <c r="X167" s="274">
        <f t="shared" si="58"/>
        <v>0</v>
      </c>
      <c r="Y167" s="274">
        <f t="shared" si="58"/>
        <v>0</v>
      </c>
      <c r="Z167" s="274">
        <f t="shared" si="58"/>
        <v>0</v>
      </c>
      <c r="AA167" s="274">
        <f t="shared" si="58"/>
        <v>0</v>
      </c>
      <c r="AB167" s="274">
        <f t="shared" si="58"/>
        <v>0</v>
      </c>
      <c r="AC167" s="274">
        <f t="shared" si="61"/>
        <v>0</v>
      </c>
      <c r="AD167" s="274">
        <f t="shared" si="61"/>
        <v>0</v>
      </c>
      <c r="AE167" s="274">
        <f t="shared" si="61"/>
        <v>0</v>
      </c>
      <c r="AF167" s="277">
        <f t="shared" si="46"/>
        <v>0</v>
      </c>
      <c r="AG167" s="278">
        <f t="shared" si="47"/>
        <v>0</v>
      </c>
      <c r="AK167" s="412">
        <v>4</v>
      </c>
      <c r="AL167" s="424">
        <v>1</v>
      </c>
      <c r="AM167" s="278">
        <f t="shared" si="49"/>
        <v>0</v>
      </c>
      <c r="AQ167" s="414">
        <f t="shared" si="50"/>
        <v>0</v>
      </c>
      <c r="AR167" s="415">
        <f t="shared" si="51"/>
        <v>0</v>
      </c>
      <c r="AS167" s="415">
        <f t="shared" si="52"/>
        <v>0</v>
      </c>
      <c r="AW167" s="417">
        <f t="shared" si="53"/>
        <v>0</v>
      </c>
      <c r="AX167" s="417">
        <f t="shared" si="56"/>
        <v>0</v>
      </c>
      <c r="AY167" s="418">
        <f t="shared" si="54"/>
        <v>0</v>
      </c>
    </row>
    <row r="168" spans="1:51" s="411" customFormat="1" ht="12" customHeight="1">
      <c r="A168" s="408" t="s">
        <v>469</v>
      </c>
      <c r="B168" s="408" t="s">
        <v>470</v>
      </c>
      <c r="C168" s="272">
        <v>98.98</v>
      </c>
      <c r="D168" s="272">
        <v>99.25</v>
      </c>
      <c r="E168" s="409"/>
      <c r="F168" s="274">
        <v>0</v>
      </c>
      <c r="G168" s="274">
        <v>0</v>
      </c>
      <c r="H168" s="274">
        <v>0</v>
      </c>
      <c r="I168" s="274">
        <v>0</v>
      </c>
      <c r="J168" s="274">
        <v>0</v>
      </c>
      <c r="K168" s="274">
        <v>0</v>
      </c>
      <c r="L168" s="274">
        <v>0</v>
      </c>
      <c r="M168" s="274">
        <v>0</v>
      </c>
      <c r="N168" s="274">
        <v>0</v>
      </c>
      <c r="O168" s="274">
        <v>0</v>
      </c>
      <c r="P168" s="274">
        <v>0</v>
      </c>
      <c r="Q168" s="274">
        <v>0</v>
      </c>
      <c r="R168" s="410">
        <f t="shared" si="60"/>
        <v>0</v>
      </c>
      <c r="T168" s="274">
        <f t="shared" si="59"/>
        <v>0</v>
      </c>
      <c r="U168" s="274">
        <f t="shared" si="59"/>
        <v>0</v>
      </c>
      <c r="V168" s="274">
        <f t="shared" si="59"/>
        <v>0</v>
      </c>
      <c r="W168" s="274">
        <f t="shared" si="58"/>
        <v>0</v>
      </c>
      <c r="X168" s="274">
        <f t="shared" si="58"/>
        <v>0</v>
      </c>
      <c r="Y168" s="274">
        <f t="shared" si="58"/>
        <v>0</v>
      </c>
      <c r="Z168" s="274">
        <f t="shared" si="58"/>
        <v>0</v>
      </c>
      <c r="AA168" s="274">
        <f t="shared" si="58"/>
        <v>0</v>
      </c>
      <c r="AB168" s="274">
        <f t="shared" si="58"/>
        <v>0</v>
      </c>
      <c r="AC168" s="274">
        <f t="shared" si="61"/>
        <v>0</v>
      </c>
      <c r="AD168" s="274">
        <f t="shared" si="61"/>
        <v>0</v>
      </c>
      <c r="AE168" s="274">
        <f t="shared" si="61"/>
        <v>0</v>
      </c>
      <c r="AF168" s="277">
        <f t="shared" si="46"/>
        <v>0</v>
      </c>
      <c r="AG168" s="278">
        <f t="shared" si="47"/>
        <v>0</v>
      </c>
      <c r="AK168" s="412">
        <v>4</v>
      </c>
      <c r="AL168" s="412" t="str">
        <f t="shared" ref="AL168:AL173" si="63">RIGHT(B168,2)</f>
        <v xml:space="preserve"> 1</v>
      </c>
      <c r="AM168" s="278">
        <f t="shared" si="49"/>
        <v>0</v>
      </c>
      <c r="AQ168" s="414">
        <f t="shared" si="50"/>
        <v>107.75427534115239</v>
      </c>
      <c r="AR168" s="415">
        <f t="shared" si="51"/>
        <v>0</v>
      </c>
      <c r="AS168" s="415">
        <f t="shared" si="52"/>
        <v>0</v>
      </c>
      <c r="AW168" s="417">
        <f t="shared" si="53"/>
        <v>108.18103021272556</v>
      </c>
      <c r="AX168" s="417">
        <f t="shared" si="56"/>
        <v>0</v>
      </c>
      <c r="AY168" s="418">
        <f t="shared" si="54"/>
        <v>0</v>
      </c>
    </row>
    <row r="169" spans="1:51" s="411" customFormat="1" ht="12" customHeight="1">
      <c r="A169" s="408" t="s">
        <v>471</v>
      </c>
      <c r="B169" s="408" t="s">
        <v>472</v>
      </c>
      <c r="C169" s="272">
        <v>471.42</v>
      </c>
      <c r="D169" s="272">
        <v>472.69</v>
      </c>
      <c r="E169" s="409"/>
      <c r="F169" s="274">
        <v>4726.8999999999996</v>
      </c>
      <c r="G169" s="274">
        <v>4963.25</v>
      </c>
      <c r="H169" s="274">
        <v>7090.35</v>
      </c>
      <c r="I169" s="274">
        <v>7071.31</v>
      </c>
      <c r="J169" s="274">
        <v>6835.6</v>
      </c>
      <c r="K169" s="274">
        <v>8839.1299999999992</v>
      </c>
      <c r="L169" s="274">
        <v>8674.1299999999992</v>
      </c>
      <c r="M169" s="274">
        <v>8839.1299999999992</v>
      </c>
      <c r="N169" s="274">
        <v>8602.7000000000007</v>
      </c>
      <c r="O169" s="274">
        <v>7326.72</v>
      </c>
      <c r="P169" s="274">
        <v>6617.35</v>
      </c>
      <c r="Q169" s="274">
        <v>4821.18</v>
      </c>
      <c r="R169" s="410">
        <f t="shared" si="60"/>
        <v>84407.75</v>
      </c>
      <c r="T169" s="274">
        <f t="shared" si="59"/>
        <v>10.02693988375546</v>
      </c>
      <c r="U169" s="274">
        <f t="shared" si="59"/>
        <v>10.528297484196681</v>
      </c>
      <c r="V169" s="274">
        <f t="shared" si="59"/>
        <v>15.040409825633194</v>
      </c>
      <c r="W169" s="274">
        <f t="shared" si="58"/>
        <v>15.000021212506894</v>
      </c>
      <c r="X169" s="274">
        <f t="shared" si="58"/>
        <v>14.500021212506894</v>
      </c>
      <c r="Y169" s="274">
        <f t="shared" si="58"/>
        <v>18.750010606253444</v>
      </c>
      <c r="Z169" s="274">
        <f t="shared" si="58"/>
        <v>18.400004242501378</v>
      </c>
      <c r="AA169" s="274">
        <f t="shared" si="58"/>
        <v>18.750010606253444</v>
      </c>
      <c r="AB169" s="274">
        <f t="shared" si="58"/>
        <v>18.248483305757077</v>
      </c>
      <c r="AC169" s="274">
        <f t="shared" si="61"/>
        <v>15.500052888785463</v>
      </c>
      <c r="AD169" s="274">
        <f t="shared" si="61"/>
        <v>13.999344179060273</v>
      </c>
      <c r="AE169" s="274">
        <f t="shared" si="61"/>
        <v>10.199454187734034</v>
      </c>
      <c r="AF169" s="277">
        <f t="shared" si="46"/>
        <v>178.94304963494423</v>
      </c>
      <c r="AG169" s="278">
        <f t="shared" si="47"/>
        <v>14.91192080291202</v>
      </c>
      <c r="AK169" s="412">
        <v>6</v>
      </c>
      <c r="AL169" s="412" t="str">
        <f t="shared" si="63"/>
        <v xml:space="preserve"> 1</v>
      </c>
      <c r="AM169" s="278">
        <f t="shared" si="49"/>
        <v>14.91192080291202</v>
      </c>
      <c r="AQ169" s="414">
        <f t="shared" si="50"/>
        <v>513.19262882629039</v>
      </c>
      <c r="AR169" s="415">
        <f t="shared" si="51"/>
        <v>91832.254052350399</v>
      </c>
      <c r="AS169" s="415">
        <f t="shared" si="52"/>
        <v>7424.5040523503994</v>
      </c>
      <c r="AW169" s="417">
        <f t="shared" si="53"/>
        <v>515.22509996224926</v>
      </c>
      <c r="AX169" s="417">
        <f t="shared" si="56"/>
        <v>92195.950635713874</v>
      </c>
      <c r="AY169" s="418">
        <f t="shared" si="54"/>
        <v>363.69658336347493</v>
      </c>
    </row>
    <row r="170" spans="1:51" s="411" customFormat="1" ht="12" customHeight="1">
      <c r="A170" s="408" t="s">
        <v>473</v>
      </c>
      <c r="B170" s="408" t="s">
        <v>474</v>
      </c>
      <c r="C170" s="272">
        <v>884.07</v>
      </c>
      <c r="D170" s="272">
        <v>886.47</v>
      </c>
      <c r="E170" s="409"/>
      <c r="F170" s="274">
        <v>0</v>
      </c>
      <c r="G170" s="274">
        <v>0</v>
      </c>
      <c r="H170" s="274">
        <v>492.48</v>
      </c>
      <c r="I170" s="274">
        <v>0</v>
      </c>
      <c r="J170" s="274">
        <v>98.23</v>
      </c>
      <c r="K170" s="274">
        <v>1375.22</v>
      </c>
      <c r="L170" s="274">
        <v>3830.97</v>
      </c>
      <c r="M170" s="274">
        <v>4420.3500000000004</v>
      </c>
      <c r="N170" s="274">
        <v>4422.75</v>
      </c>
      <c r="O170" s="274">
        <v>1279.3900000000001</v>
      </c>
      <c r="P170" s="274">
        <v>0</v>
      </c>
      <c r="Q170" s="274">
        <v>0</v>
      </c>
      <c r="R170" s="410">
        <f t="shared" si="60"/>
        <v>15919.39</v>
      </c>
      <c r="T170" s="274">
        <f t="shared" si="59"/>
        <v>0</v>
      </c>
      <c r="U170" s="274">
        <f t="shared" si="59"/>
        <v>0</v>
      </c>
      <c r="V170" s="274">
        <f t="shared" si="59"/>
        <v>0.55705996131528046</v>
      </c>
      <c r="W170" s="274">
        <f t="shared" si="58"/>
        <v>0</v>
      </c>
      <c r="X170" s="274">
        <f t="shared" si="58"/>
        <v>0.1111111111111111</v>
      </c>
      <c r="Y170" s="274">
        <f t="shared" si="58"/>
        <v>1.5555555555555556</v>
      </c>
      <c r="Z170" s="274">
        <f t="shared" si="58"/>
        <v>4.333333333333333</v>
      </c>
      <c r="AA170" s="274">
        <f t="shared" si="58"/>
        <v>5</v>
      </c>
      <c r="AB170" s="274">
        <f t="shared" si="58"/>
        <v>5.0027147171604058</v>
      </c>
      <c r="AC170" s="274">
        <f t="shared" si="61"/>
        <v>1.4432411700339549</v>
      </c>
      <c r="AD170" s="274">
        <f t="shared" si="61"/>
        <v>0</v>
      </c>
      <c r="AE170" s="274">
        <f t="shared" si="61"/>
        <v>0</v>
      </c>
      <c r="AF170" s="277">
        <f t="shared" si="46"/>
        <v>18.003015848509641</v>
      </c>
      <c r="AG170" s="278">
        <f t="shared" si="47"/>
        <v>1.5002513207091368</v>
      </c>
      <c r="AK170" s="412">
        <v>6</v>
      </c>
      <c r="AL170" s="412" t="str">
        <f t="shared" si="63"/>
        <v xml:space="preserve"> 1</v>
      </c>
      <c r="AM170" s="278">
        <f t="shared" si="49"/>
        <v>1.5002513207091368</v>
      </c>
      <c r="AQ170" s="414">
        <f t="shared" si="50"/>
        <v>962.4275310999634</v>
      </c>
      <c r="AR170" s="415">
        <f t="shared" si="51"/>
        <v>17326.598095434649</v>
      </c>
      <c r="AS170" s="415">
        <f t="shared" si="52"/>
        <v>1407.2080954346493</v>
      </c>
      <c r="AW170" s="417">
        <f t="shared" si="53"/>
        <v>966.23917231914186</v>
      </c>
      <c r="AX170" s="417">
        <f t="shared" si="56"/>
        <v>17395.219132712347</v>
      </c>
      <c r="AY170" s="418">
        <f t="shared" si="54"/>
        <v>68.621037277698633</v>
      </c>
    </row>
    <row r="171" spans="1:51" s="411" customFormat="1" ht="12" customHeight="1">
      <c r="A171" s="408" t="s">
        <v>475</v>
      </c>
      <c r="B171" s="408" t="s">
        <v>476</v>
      </c>
      <c r="C171" s="272">
        <v>265.57</v>
      </c>
      <c r="D171" s="272">
        <v>266.29000000000002</v>
      </c>
      <c r="E171" s="409"/>
      <c r="F171" s="274">
        <v>1065.1600000000001</v>
      </c>
      <c r="G171" s="274">
        <v>1198.31</v>
      </c>
      <c r="H171" s="274">
        <v>1331.45</v>
      </c>
      <c r="I171" s="274">
        <v>531.14</v>
      </c>
      <c r="J171" s="274">
        <v>929.5</v>
      </c>
      <c r="K171" s="274">
        <v>796.71</v>
      </c>
      <c r="L171" s="274">
        <v>1150.81</v>
      </c>
      <c r="M171" s="274">
        <v>1062.28</v>
      </c>
      <c r="N171" s="274">
        <v>957.5</v>
      </c>
      <c r="O171" s="274">
        <v>798.87</v>
      </c>
      <c r="P171" s="274">
        <v>798.87</v>
      </c>
      <c r="Q171" s="274">
        <v>1065.1600000000001</v>
      </c>
      <c r="R171" s="410">
        <f t="shared" si="60"/>
        <v>11685.760000000002</v>
      </c>
      <c r="T171" s="274">
        <f t="shared" si="59"/>
        <v>4.0108445984109657</v>
      </c>
      <c r="U171" s="274">
        <f t="shared" si="59"/>
        <v>4.5122190006401324</v>
      </c>
      <c r="V171" s="274">
        <f t="shared" si="59"/>
        <v>5.0135557480137063</v>
      </c>
      <c r="W171" s="274">
        <f t="shared" si="58"/>
        <v>2</v>
      </c>
      <c r="X171" s="274">
        <f t="shared" si="58"/>
        <v>3.5000188274277968</v>
      </c>
      <c r="Y171" s="274">
        <f t="shared" si="58"/>
        <v>3</v>
      </c>
      <c r="Z171" s="274">
        <f t="shared" si="58"/>
        <v>4.3333584365703954</v>
      </c>
      <c r="AA171" s="274">
        <f t="shared" si="58"/>
        <v>4</v>
      </c>
      <c r="AB171" s="274">
        <f t="shared" si="58"/>
        <v>3.6054524230899574</v>
      </c>
      <c r="AC171" s="274">
        <f t="shared" si="61"/>
        <v>3</v>
      </c>
      <c r="AD171" s="274">
        <f t="shared" si="61"/>
        <v>3</v>
      </c>
      <c r="AE171" s="274">
        <f t="shared" si="61"/>
        <v>4</v>
      </c>
      <c r="AF171" s="277">
        <f t="shared" si="46"/>
        <v>43.975449034152959</v>
      </c>
      <c r="AG171" s="278">
        <f t="shared" si="47"/>
        <v>3.6646207528460799</v>
      </c>
      <c r="AK171" s="412">
        <v>6</v>
      </c>
      <c r="AL171" s="412" t="str">
        <f t="shared" si="63"/>
        <v xml:space="preserve"> 1</v>
      </c>
      <c r="AM171" s="278">
        <f t="shared" si="49"/>
        <v>3.6646207528460799</v>
      </c>
      <c r="AQ171" s="414">
        <f t="shared" si="50"/>
        <v>289.10716353244811</v>
      </c>
      <c r="AR171" s="415">
        <f t="shared" si="51"/>
        <v>12713.617335329696</v>
      </c>
      <c r="AS171" s="415">
        <f t="shared" si="52"/>
        <v>1027.8573353296943</v>
      </c>
      <c r="AW171" s="417">
        <f t="shared" si="53"/>
        <v>290.25215652742258</v>
      </c>
      <c r="AX171" s="417">
        <f t="shared" si="56"/>
        <v>12763.968916424659</v>
      </c>
      <c r="AY171" s="418">
        <f t="shared" si="54"/>
        <v>50.351581094962967</v>
      </c>
    </row>
    <row r="172" spans="1:51" s="411" customFormat="1" ht="12" customHeight="1">
      <c r="A172" s="408" t="s">
        <v>477</v>
      </c>
      <c r="B172" s="408" t="s">
        <v>478</v>
      </c>
      <c r="C172" s="272">
        <v>129.04</v>
      </c>
      <c r="D172" s="272">
        <v>129.38999999999999</v>
      </c>
      <c r="E172" s="409"/>
      <c r="F172" s="274">
        <v>0</v>
      </c>
      <c r="G172" s="274">
        <v>0</v>
      </c>
      <c r="H172" s="274">
        <v>0</v>
      </c>
      <c r="I172" s="274">
        <v>0</v>
      </c>
      <c r="J172" s="274">
        <v>0</v>
      </c>
      <c r="K172" s="274">
        <v>0</v>
      </c>
      <c r="L172" s="274">
        <v>0</v>
      </c>
      <c r="M172" s="274">
        <v>0</v>
      </c>
      <c r="N172" s="274">
        <v>0</v>
      </c>
      <c r="O172" s="274">
        <v>0</v>
      </c>
      <c r="P172" s="274">
        <v>0</v>
      </c>
      <c r="Q172" s="274">
        <v>0</v>
      </c>
      <c r="R172" s="410">
        <f t="shared" si="60"/>
        <v>0</v>
      </c>
      <c r="T172" s="274">
        <f t="shared" si="59"/>
        <v>0</v>
      </c>
      <c r="U172" s="274">
        <f t="shared" si="59"/>
        <v>0</v>
      </c>
      <c r="V172" s="274">
        <f t="shared" si="59"/>
        <v>0</v>
      </c>
      <c r="W172" s="274">
        <f t="shared" si="58"/>
        <v>0</v>
      </c>
      <c r="X172" s="274">
        <f t="shared" si="58"/>
        <v>0</v>
      </c>
      <c r="Y172" s="274">
        <f t="shared" si="58"/>
        <v>0</v>
      </c>
      <c r="Z172" s="274">
        <f t="shared" si="58"/>
        <v>0</v>
      </c>
      <c r="AA172" s="274">
        <f t="shared" si="58"/>
        <v>0</v>
      </c>
      <c r="AB172" s="274">
        <f t="shared" si="58"/>
        <v>0</v>
      </c>
      <c r="AC172" s="274">
        <f t="shared" si="61"/>
        <v>0</v>
      </c>
      <c r="AD172" s="274">
        <f t="shared" si="61"/>
        <v>0</v>
      </c>
      <c r="AE172" s="274">
        <f t="shared" si="61"/>
        <v>0</v>
      </c>
      <c r="AF172" s="277">
        <f t="shared" si="46"/>
        <v>0</v>
      </c>
      <c r="AG172" s="278">
        <f t="shared" si="47"/>
        <v>0</v>
      </c>
      <c r="AK172" s="412">
        <v>6</v>
      </c>
      <c r="AL172" s="412" t="str">
        <f t="shared" si="63"/>
        <v xml:space="preserve"> 1</v>
      </c>
      <c r="AM172" s="278">
        <f t="shared" si="49"/>
        <v>0</v>
      </c>
      <c r="AQ172" s="414">
        <f t="shared" si="50"/>
        <v>140.47683311225902</v>
      </c>
      <c r="AR172" s="415">
        <f t="shared" si="51"/>
        <v>0</v>
      </c>
      <c r="AS172" s="415">
        <f t="shared" si="52"/>
        <v>0</v>
      </c>
      <c r="AW172" s="417">
        <f t="shared" si="53"/>
        <v>141.03318387128019</v>
      </c>
      <c r="AX172" s="417">
        <f t="shared" si="56"/>
        <v>0</v>
      </c>
      <c r="AY172" s="418">
        <f t="shared" si="54"/>
        <v>0</v>
      </c>
    </row>
    <row r="173" spans="1:51" s="411" customFormat="1" ht="12" customHeight="1">
      <c r="A173" s="408" t="s">
        <v>479</v>
      </c>
      <c r="B173" s="408" t="s">
        <v>480</v>
      </c>
      <c r="C173" s="272">
        <v>29.62</v>
      </c>
      <c r="D173" s="272">
        <v>29.7</v>
      </c>
      <c r="E173" s="409"/>
      <c r="F173" s="274">
        <v>1402.04</v>
      </c>
      <c r="G173" s="274">
        <v>1402.04</v>
      </c>
      <c r="H173" s="274">
        <v>1402.04</v>
      </c>
      <c r="I173" s="274">
        <v>1427.98</v>
      </c>
      <c r="J173" s="274">
        <v>1427.98</v>
      </c>
      <c r="K173" s="274">
        <v>1404.28</v>
      </c>
      <c r="L173" s="274">
        <v>1383.56</v>
      </c>
      <c r="M173" s="274">
        <v>1398.37</v>
      </c>
      <c r="N173" s="274">
        <v>1358.86</v>
      </c>
      <c r="O173" s="274">
        <v>1364.92</v>
      </c>
      <c r="P173" s="274">
        <v>1402.04</v>
      </c>
      <c r="Q173" s="274">
        <v>1403.53</v>
      </c>
      <c r="R173" s="410">
        <f t="shared" si="60"/>
        <v>16777.64</v>
      </c>
      <c r="T173" s="274">
        <f t="shared" si="59"/>
        <v>47.334233625928427</v>
      </c>
      <c r="U173" s="274">
        <f t="shared" si="59"/>
        <v>47.334233625928427</v>
      </c>
      <c r="V173" s="274">
        <f t="shared" si="59"/>
        <v>47.334233625928427</v>
      </c>
      <c r="W173" s="274">
        <f t="shared" si="58"/>
        <v>48.209993247805535</v>
      </c>
      <c r="X173" s="274">
        <f t="shared" si="58"/>
        <v>48.209993247805535</v>
      </c>
      <c r="Y173" s="274">
        <f t="shared" si="58"/>
        <v>47.409858203916272</v>
      </c>
      <c r="Z173" s="274">
        <f t="shared" si="58"/>
        <v>46.710330857528696</v>
      </c>
      <c r="AA173" s="274">
        <f t="shared" si="58"/>
        <v>47.210330857528689</v>
      </c>
      <c r="AB173" s="274">
        <f t="shared" si="58"/>
        <v>45.876434841323423</v>
      </c>
      <c r="AC173" s="274">
        <f t="shared" si="61"/>
        <v>45.956902356902361</v>
      </c>
      <c r="AD173" s="274">
        <f t="shared" si="61"/>
        <v>47.20673400673401</v>
      </c>
      <c r="AE173" s="274">
        <f t="shared" si="61"/>
        <v>47.256902356902359</v>
      </c>
      <c r="AF173" s="277">
        <f t="shared" si="46"/>
        <v>566.05018085423217</v>
      </c>
      <c r="AG173" s="278">
        <f t="shared" si="47"/>
        <v>47.170848404519347</v>
      </c>
      <c r="AI173" s="412">
        <v>65</v>
      </c>
      <c r="AL173" s="412" t="str">
        <f t="shared" si="63"/>
        <v xml:space="preserve"> 1</v>
      </c>
      <c r="AM173" s="278">
        <f t="shared" si="49"/>
        <v>47.170848404519347</v>
      </c>
      <c r="AQ173" s="414">
        <f t="shared" si="50"/>
        <v>32.244856197805802</v>
      </c>
      <c r="AR173" s="415">
        <f t="shared" si="51"/>
        <v>18252.206682386684</v>
      </c>
      <c r="AS173" s="415">
        <f t="shared" si="52"/>
        <v>1474.566682386685</v>
      </c>
      <c r="AW173" s="417">
        <f t="shared" si="53"/>
        <v>32.37256017448815</v>
      </c>
      <c r="AX173" s="417">
        <f t="shared" si="56"/>
        <v>18324.493541483531</v>
      </c>
      <c r="AY173" s="418">
        <f t="shared" si="54"/>
        <v>72.286859096846456</v>
      </c>
    </row>
    <row r="174" spans="1:51" s="411" customFormat="1" ht="12" customHeight="1">
      <c r="A174" s="408" t="s">
        <v>481</v>
      </c>
      <c r="B174" s="408" t="s">
        <v>482</v>
      </c>
      <c r="C174" s="272">
        <v>29.62</v>
      </c>
      <c r="D174" s="272">
        <v>29.7</v>
      </c>
      <c r="E174" s="409"/>
      <c r="F174" s="274">
        <v>0</v>
      </c>
      <c r="G174" s="274">
        <v>0</v>
      </c>
      <c r="H174" s="274">
        <v>0</v>
      </c>
      <c r="I174" s="274">
        <v>0</v>
      </c>
      <c r="J174" s="274">
        <v>0</v>
      </c>
      <c r="K174" s="274">
        <v>0</v>
      </c>
      <c r="L174" s="274">
        <v>0</v>
      </c>
      <c r="M174" s="274">
        <v>0</v>
      </c>
      <c r="N174" s="274">
        <v>0</v>
      </c>
      <c r="O174" s="274">
        <v>0</v>
      </c>
      <c r="P174" s="274">
        <v>0</v>
      </c>
      <c r="Q174" s="274">
        <v>0</v>
      </c>
      <c r="R174" s="410">
        <f t="shared" si="60"/>
        <v>0</v>
      </c>
      <c r="T174" s="274">
        <f t="shared" si="59"/>
        <v>0</v>
      </c>
      <c r="U174" s="274">
        <f t="shared" si="59"/>
        <v>0</v>
      </c>
      <c r="V174" s="274">
        <f t="shared" si="59"/>
        <v>0</v>
      </c>
      <c r="W174" s="274">
        <f t="shared" si="58"/>
        <v>0</v>
      </c>
      <c r="X174" s="274">
        <f t="shared" si="58"/>
        <v>0</v>
      </c>
      <c r="Y174" s="274">
        <f t="shared" si="58"/>
        <v>0</v>
      </c>
      <c r="Z174" s="274">
        <f t="shared" si="58"/>
        <v>0</v>
      </c>
      <c r="AA174" s="274">
        <f t="shared" si="58"/>
        <v>0</v>
      </c>
      <c r="AB174" s="274">
        <f t="shared" si="58"/>
        <v>0</v>
      </c>
      <c r="AC174" s="274">
        <f t="shared" si="61"/>
        <v>0</v>
      </c>
      <c r="AD174" s="274">
        <f t="shared" si="61"/>
        <v>0</v>
      </c>
      <c r="AE174" s="274">
        <f t="shared" si="61"/>
        <v>0</v>
      </c>
      <c r="AF174" s="277">
        <f t="shared" si="46"/>
        <v>0</v>
      </c>
      <c r="AG174" s="278">
        <f t="shared" si="47"/>
        <v>0</v>
      </c>
      <c r="AI174" s="412">
        <v>65</v>
      </c>
      <c r="AL174" s="424">
        <v>1</v>
      </c>
      <c r="AM174" s="278">
        <f t="shared" si="49"/>
        <v>0</v>
      </c>
      <c r="AQ174" s="414">
        <f t="shared" si="50"/>
        <v>32.244856197805802</v>
      </c>
      <c r="AR174" s="415">
        <f t="shared" si="51"/>
        <v>0</v>
      </c>
      <c r="AS174" s="415">
        <f t="shared" si="52"/>
        <v>0</v>
      </c>
      <c r="AW174" s="417">
        <f t="shared" si="53"/>
        <v>32.37256017448815</v>
      </c>
      <c r="AX174" s="417">
        <f t="shared" si="56"/>
        <v>0</v>
      </c>
      <c r="AY174" s="418">
        <f t="shared" si="54"/>
        <v>0</v>
      </c>
    </row>
    <row r="175" spans="1:51" s="411" customFormat="1" ht="12" customHeight="1">
      <c r="A175" s="408" t="s">
        <v>483</v>
      </c>
      <c r="B175" s="408" t="s">
        <v>484</v>
      </c>
      <c r="C175" s="272">
        <v>29.62</v>
      </c>
      <c r="D175" s="272">
        <v>29.7</v>
      </c>
      <c r="E175" s="409"/>
      <c r="F175" s="274">
        <v>0</v>
      </c>
      <c r="G175" s="274">
        <v>0</v>
      </c>
      <c r="H175" s="274">
        <v>0</v>
      </c>
      <c r="I175" s="274">
        <v>0</v>
      </c>
      <c r="J175" s="274">
        <v>0</v>
      </c>
      <c r="K175" s="274">
        <v>0</v>
      </c>
      <c r="L175" s="274">
        <v>0</v>
      </c>
      <c r="M175" s="274">
        <v>0</v>
      </c>
      <c r="N175" s="274">
        <v>0</v>
      </c>
      <c r="O175" s="274">
        <v>0</v>
      </c>
      <c r="P175" s="274">
        <v>0</v>
      </c>
      <c r="Q175" s="274">
        <v>0</v>
      </c>
      <c r="R175" s="410">
        <f t="shared" si="60"/>
        <v>0</v>
      </c>
      <c r="T175" s="274">
        <f t="shared" si="59"/>
        <v>0</v>
      </c>
      <c r="U175" s="274">
        <f t="shared" si="59"/>
        <v>0</v>
      </c>
      <c r="V175" s="274">
        <f t="shared" si="59"/>
        <v>0</v>
      </c>
      <c r="W175" s="274">
        <f t="shared" si="58"/>
        <v>0</v>
      </c>
      <c r="X175" s="274">
        <f t="shared" si="58"/>
        <v>0</v>
      </c>
      <c r="Y175" s="274">
        <f t="shared" si="58"/>
        <v>0</v>
      </c>
      <c r="Z175" s="274">
        <f t="shared" si="58"/>
        <v>0</v>
      </c>
      <c r="AA175" s="274">
        <f t="shared" si="58"/>
        <v>0</v>
      </c>
      <c r="AB175" s="274">
        <f t="shared" si="58"/>
        <v>0</v>
      </c>
      <c r="AC175" s="274">
        <f t="shared" si="61"/>
        <v>0</v>
      </c>
      <c r="AD175" s="274">
        <f t="shared" si="61"/>
        <v>0</v>
      </c>
      <c r="AE175" s="274">
        <f t="shared" si="61"/>
        <v>0</v>
      </c>
      <c r="AF175" s="277">
        <f t="shared" si="46"/>
        <v>0</v>
      </c>
      <c r="AG175" s="278">
        <f t="shared" si="47"/>
        <v>0</v>
      </c>
      <c r="AI175" s="412">
        <v>65</v>
      </c>
      <c r="AL175" s="412" t="str">
        <f t="shared" ref="AL175:AL186" si="64">RIGHT(B175,2)</f>
        <v xml:space="preserve"> 1</v>
      </c>
      <c r="AM175" s="278">
        <f t="shared" si="49"/>
        <v>0</v>
      </c>
      <c r="AQ175" s="414">
        <f t="shared" si="50"/>
        <v>32.244856197805802</v>
      </c>
      <c r="AR175" s="415">
        <f t="shared" si="51"/>
        <v>0</v>
      </c>
      <c r="AS175" s="415">
        <f t="shared" si="52"/>
        <v>0</v>
      </c>
      <c r="AW175" s="417">
        <f t="shared" si="53"/>
        <v>32.37256017448815</v>
      </c>
      <c r="AX175" s="417">
        <f t="shared" si="56"/>
        <v>0</v>
      </c>
      <c r="AY175" s="418">
        <f t="shared" si="54"/>
        <v>0</v>
      </c>
    </row>
    <row r="176" spans="1:51" s="411" customFormat="1" ht="12" customHeight="1">
      <c r="A176" s="408" t="s">
        <v>485</v>
      </c>
      <c r="B176" s="408" t="s">
        <v>486</v>
      </c>
      <c r="C176" s="272">
        <v>0</v>
      </c>
      <c r="D176" s="272">
        <v>0</v>
      </c>
      <c r="E176" s="409"/>
      <c r="F176" s="274">
        <v>0</v>
      </c>
      <c r="G176" s="274">
        <v>0</v>
      </c>
      <c r="H176" s="274">
        <v>0</v>
      </c>
      <c r="I176" s="274">
        <v>0</v>
      </c>
      <c r="J176" s="274">
        <v>0</v>
      </c>
      <c r="K176" s="274">
        <v>0</v>
      </c>
      <c r="L176" s="274">
        <v>0</v>
      </c>
      <c r="M176" s="274">
        <v>0</v>
      </c>
      <c r="N176" s="274">
        <v>0</v>
      </c>
      <c r="O176" s="274">
        <v>0</v>
      </c>
      <c r="P176" s="274">
        <v>0</v>
      </c>
      <c r="Q176" s="274">
        <v>0</v>
      </c>
      <c r="R176" s="410">
        <f t="shared" si="60"/>
        <v>0</v>
      </c>
      <c r="T176" s="274">
        <f t="shared" si="59"/>
        <v>0</v>
      </c>
      <c r="U176" s="274">
        <f t="shared" si="59"/>
        <v>0</v>
      </c>
      <c r="V176" s="274">
        <f t="shared" si="59"/>
        <v>0</v>
      </c>
      <c r="W176" s="274">
        <f t="shared" si="58"/>
        <v>0</v>
      </c>
      <c r="X176" s="274">
        <f t="shared" si="58"/>
        <v>0</v>
      </c>
      <c r="Y176" s="274">
        <f t="shared" si="58"/>
        <v>0</v>
      </c>
      <c r="Z176" s="274">
        <f t="shared" si="58"/>
        <v>0</v>
      </c>
      <c r="AA176" s="274">
        <f t="shared" si="58"/>
        <v>0</v>
      </c>
      <c r="AB176" s="274">
        <f t="shared" si="58"/>
        <v>0</v>
      </c>
      <c r="AC176" s="274">
        <f t="shared" si="61"/>
        <v>0</v>
      </c>
      <c r="AD176" s="274">
        <f t="shared" si="61"/>
        <v>0</v>
      </c>
      <c r="AE176" s="274">
        <f t="shared" si="61"/>
        <v>0</v>
      </c>
      <c r="AF176" s="277">
        <f t="shared" si="46"/>
        <v>0</v>
      </c>
      <c r="AG176" s="278">
        <f t="shared" si="47"/>
        <v>0</v>
      </c>
      <c r="AI176" s="412">
        <v>65</v>
      </c>
      <c r="AL176" s="412" t="str">
        <f t="shared" si="64"/>
        <v xml:space="preserve"> 2</v>
      </c>
      <c r="AM176" s="278">
        <f t="shared" si="49"/>
        <v>0</v>
      </c>
      <c r="AQ176" s="414">
        <f t="shared" si="50"/>
        <v>0</v>
      </c>
      <c r="AR176" s="415">
        <f t="shared" si="51"/>
        <v>0</v>
      </c>
      <c r="AS176" s="415">
        <f t="shared" si="52"/>
        <v>0</v>
      </c>
      <c r="AW176" s="417">
        <f t="shared" si="53"/>
        <v>0</v>
      </c>
      <c r="AX176" s="417">
        <f t="shared" si="56"/>
        <v>0</v>
      </c>
      <c r="AY176" s="418">
        <f t="shared" si="54"/>
        <v>0</v>
      </c>
    </row>
    <row r="177" spans="1:51" s="411" customFormat="1" ht="12" customHeight="1">
      <c r="A177" s="408" t="s">
        <v>487</v>
      </c>
      <c r="B177" s="408" t="s">
        <v>488</v>
      </c>
      <c r="C177" s="272">
        <v>0</v>
      </c>
      <c r="D177" s="272">
        <v>0</v>
      </c>
      <c r="E177" s="409"/>
      <c r="F177" s="274">
        <v>0</v>
      </c>
      <c r="G177" s="274">
        <v>0</v>
      </c>
      <c r="H177" s="274">
        <v>0</v>
      </c>
      <c r="I177" s="274">
        <v>0</v>
      </c>
      <c r="J177" s="274">
        <v>0</v>
      </c>
      <c r="K177" s="274">
        <v>0</v>
      </c>
      <c r="L177" s="274">
        <v>0</v>
      </c>
      <c r="M177" s="274">
        <v>0</v>
      </c>
      <c r="N177" s="274">
        <v>0</v>
      </c>
      <c r="O177" s="274">
        <v>0</v>
      </c>
      <c r="P177" s="274">
        <v>0</v>
      </c>
      <c r="Q177" s="274">
        <v>0</v>
      </c>
      <c r="R177" s="410">
        <f t="shared" si="60"/>
        <v>0</v>
      </c>
      <c r="T177" s="274">
        <f t="shared" si="59"/>
        <v>0</v>
      </c>
      <c r="U177" s="274">
        <f t="shared" si="59"/>
        <v>0</v>
      </c>
      <c r="V177" s="274">
        <f t="shared" si="59"/>
        <v>0</v>
      </c>
      <c r="W177" s="274">
        <f t="shared" si="58"/>
        <v>0</v>
      </c>
      <c r="X177" s="274">
        <f t="shared" si="58"/>
        <v>0</v>
      </c>
      <c r="Y177" s="274">
        <f t="shared" si="58"/>
        <v>0</v>
      </c>
      <c r="Z177" s="274">
        <f t="shared" si="58"/>
        <v>0</v>
      </c>
      <c r="AA177" s="274">
        <f t="shared" si="58"/>
        <v>0</v>
      </c>
      <c r="AB177" s="274">
        <f t="shared" si="58"/>
        <v>0</v>
      </c>
      <c r="AC177" s="274">
        <f t="shared" si="61"/>
        <v>0</v>
      </c>
      <c r="AD177" s="274">
        <f t="shared" si="61"/>
        <v>0</v>
      </c>
      <c r="AE177" s="274">
        <f t="shared" si="61"/>
        <v>0</v>
      </c>
      <c r="AF177" s="277">
        <f t="shared" si="46"/>
        <v>0</v>
      </c>
      <c r="AG177" s="278">
        <f t="shared" si="47"/>
        <v>0</v>
      </c>
      <c r="AI177" s="412">
        <v>65</v>
      </c>
      <c r="AL177" s="412" t="str">
        <f t="shared" si="64"/>
        <v xml:space="preserve"> 3</v>
      </c>
      <c r="AM177" s="278">
        <f t="shared" si="49"/>
        <v>0</v>
      </c>
      <c r="AQ177" s="414">
        <f t="shared" si="50"/>
        <v>0</v>
      </c>
      <c r="AR177" s="415">
        <f t="shared" si="51"/>
        <v>0</v>
      </c>
      <c r="AS177" s="415">
        <f t="shared" si="52"/>
        <v>0</v>
      </c>
      <c r="AW177" s="417">
        <f t="shared" si="53"/>
        <v>0</v>
      </c>
      <c r="AX177" s="417">
        <f t="shared" si="56"/>
        <v>0</v>
      </c>
      <c r="AY177" s="418">
        <f t="shared" si="54"/>
        <v>0</v>
      </c>
    </row>
    <row r="178" spans="1:51" s="411" customFormat="1" ht="12" customHeight="1">
      <c r="A178" s="408" t="s">
        <v>489</v>
      </c>
      <c r="B178" s="408" t="s">
        <v>490</v>
      </c>
      <c r="C178" s="272">
        <v>14.84</v>
      </c>
      <c r="D178" s="272">
        <v>14.89</v>
      </c>
      <c r="E178" s="409"/>
      <c r="F178" s="274">
        <v>1950.59</v>
      </c>
      <c r="G178" s="274">
        <v>1950.59</v>
      </c>
      <c r="H178" s="274">
        <v>1943.15</v>
      </c>
      <c r="I178" s="274">
        <v>1874.79</v>
      </c>
      <c r="J178" s="274">
        <v>1884.68</v>
      </c>
      <c r="K178" s="274">
        <v>1921.78</v>
      </c>
      <c r="L178" s="274">
        <v>1914.36</v>
      </c>
      <c r="M178" s="274">
        <v>1944.04</v>
      </c>
      <c r="N178" s="274">
        <v>1965.43</v>
      </c>
      <c r="O178" s="274">
        <v>1950.59</v>
      </c>
      <c r="P178" s="274">
        <v>1935.7</v>
      </c>
      <c r="Q178" s="274">
        <v>1935.7</v>
      </c>
      <c r="R178" s="410">
        <f t="shared" si="60"/>
        <v>23171.4</v>
      </c>
      <c r="T178" s="274">
        <f t="shared" si="59"/>
        <v>131.44137466307276</v>
      </c>
      <c r="U178" s="274">
        <f t="shared" si="59"/>
        <v>131.44137466307276</v>
      </c>
      <c r="V178" s="274">
        <f t="shared" si="59"/>
        <v>130.94002695417791</v>
      </c>
      <c r="W178" s="274">
        <f t="shared" si="58"/>
        <v>126.33355795148248</v>
      </c>
      <c r="X178" s="274">
        <f t="shared" si="58"/>
        <v>127</v>
      </c>
      <c r="Y178" s="274">
        <f t="shared" si="58"/>
        <v>129.5</v>
      </c>
      <c r="Z178" s="274">
        <f t="shared" si="58"/>
        <v>129</v>
      </c>
      <c r="AA178" s="274">
        <f t="shared" si="58"/>
        <v>131</v>
      </c>
      <c r="AB178" s="274">
        <f t="shared" si="58"/>
        <v>132.44137466307279</v>
      </c>
      <c r="AC178" s="274">
        <f t="shared" si="61"/>
        <v>131</v>
      </c>
      <c r="AD178" s="274">
        <f t="shared" si="61"/>
        <v>130</v>
      </c>
      <c r="AE178" s="274">
        <f t="shared" si="61"/>
        <v>130</v>
      </c>
      <c r="AF178" s="277">
        <f t="shared" si="46"/>
        <v>1560.0977088948787</v>
      </c>
      <c r="AG178" s="278">
        <f t="shared" si="47"/>
        <v>130.00814240790655</v>
      </c>
      <c r="AI178" s="412">
        <v>65</v>
      </c>
      <c r="AL178" s="412" t="str">
        <f t="shared" si="64"/>
        <v xml:space="preserve"> 1</v>
      </c>
      <c r="AM178" s="278">
        <f t="shared" si="49"/>
        <v>130.00814240790655</v>
      </c>
      <c r="AQ178" s="414">
        <f t="shared" si="50"/>
        <v>16.165855514657522</v>
      </c>
      <c r="AR178" s="415">
        <f t="shared" si="51"/>
        <v>25220.314150742837</v>
      </c>
      <c r="AS178" s="415">
        <f t="shared" si="52"/>
        <v>2048.9141507428358</v>
      </c>
      <c r="AW178" s="417">
        <f t="shared" si="53"/>
        <v>16.229879494886482</v>
      </c>
      <c r="AX178" s="417">
        <f t="shared" si="56"/>
        <v>25320.19781561237</v>
      </c>
      <c r="AY178" s="418">
        <f t="shared" si="54"/>
        <v>99.883664869532367</v>
      </c>
    </row>
    <row r="179" spans="1:51" s="411" customFormat="1" ht="12" customHeight="1">
      <c r="A179" s="408" t="s">
        <v>491</v>
      </c>
      <c r="B179" s="408" t="s">
        <v>492</v>
      </c>
      <c r="C179" s="272">
        <v>0</v>
      </c>
      <c r="D179" s="272">
        <v>0</v>
      </c>
      <c r="E179" s="409"/>
      <c r="F179" s="274">
        <v>0</v>
      </c>
      <c r="G179" s="274">
        <v>0</v>
      </c>
      <c r="H179" s="274">
        <v>0</v>
      </c>
      <c r="I179" s="274">
        <v>0</v>
      </c>
      <c r="J179" s="274">
        <v>0</v>
      </c>
      <c r="K179" s="274">
        <v>0</v>
      </c>
      <c r="L179" s="274">
        <v>0</v>
      </c>
      <c r="M179" s="274">
        <v>0</v>
      </c>
      <c r="N179" s="274">
        <v>0</v>
      </c>
      <c r="O179" s="274">
        <v>0</v>
      </c>
      <c r="P179" s="274">
        <v>0</v>
      </c>
      <c r="Q179" s="274">
        <v>0</v>
      </c>
      <c r="R179" s="410">
        <f t="shared" si="60"/>
        <v>0</v>
      </c>
      <c r="T179" s="274">
        <f t="shared" si="59"/>
        <v>0</v>
      </c>
      <c r="U179" s="274">
        <f t="shared" si="59"/>
        <v>0</v>
      </c>
      <c r="V179" s="274">
        <f t="shared" si="59"/>
        <v>0</v>
      </c>
      <c r="W179" s="274">
        <f t="shared" si="58"/>
        <v>0</v>
      </c>
      <c r="X179" s="274">
        <f t="shared" si="58"/>
        <v>0</v>
      </c>
      <c r="Y179" s="274">
        <f t="shared" si="58"/>
        <v>0</v>
      </c>
      <c r="Z179" s="274">
        <f t="shared" si="58"/>
        <v>0</v>
      </c>
      <c r="AA179" s="274">
        <f t="shared" si="58"/>
        <v>0</v>
      </c>
      <c r="AB179" s="274">
        <f t="shared" si="58"/>
        <v>0</v>
      </c>
      <c r="AC179" s="274">
        <f t="shared" si="61"/>
        <v>0</v>
      </c>
      <c r="AD179" s="274">
        <f t="shared" si="61"/>
        <v>0</v>
      </c>
      <c r="AE179" s="274">
        <f t="shared" si="61"/>
        <v>0</v>
      </c>
      <c r="AF179" s="277">
        <f t="shared" si="46"/>
        <v>0</v>
      </c>
      <c r="AG179" s="278">
        <f t="shared" si="47"/>
        <v>0</v>
      </c>
      <c r="AI179" s="412">
        <v>65</v>
      </c>
      <c r="AL179" s="412" t="str">
        <f t="shared" si="64"/>
        <v xml:space="preserve"> 2</v>
      </c>
      <c r="AM179" s="278">
        <f t="shared" si="49"/>
        <v>0</v>
      </c>
      <c r="AQ179" s="414">
        <f t="shared" si="50"/>
        <v>0</v>
      </c>
      <c r="AR179" s="415">
        <f t="shared" si="51"/>
        <v>0</v>
      </c>
      <c r="AS179" s="415">
        <f t="shared" si="52"/>
        <v>0</v>
      </c>
      <c r="AW179" s="417">
        <f t="shared" si="53"/>
        <v>0</v>
      </c>
      <c r="AX179" s="417">
        <f t="shared" si="56"/>
        <v>0</v>
      </c>
      <c r="AY179" s="418">
        <f t="shared" si="54"/>
        <v>0</v>
      </c>
    </row>
    <row r="180" spans="1:51" s="411" customFormat="1" ht="12" customHeight="1">
      <c r="A180" s="408" t="s">
        <v>493</v>
      </c>
      <c r="B180" s="408" t="s">
        <v>494</v>
      </c>
      <c r="C180" s="272">
        <v>14.84</v>
      </c>
      <c r="D180" s="272">
        <v>14.89</v>
      </c>
      <c r="E180" s="409"/>
      <c r="F180" s="274">
        <v>0</v>
      </c>
      <c r="G180" s="274">
        <v>0</v>
      </c>
      <c r="H180" s="274">
        <v>0</v>
      </c>
      <c r="I180" s="274">
        <v>0</v>
      </c>
      <c r="J180" s="274">
        <v>0</v>
      </c>
      <c r="K180" s="274">
        <v>0</v>
      </c>
      <c r="L180" s="274">
        <v>0</v>
      </c>
      <c r="M180" s="274">
        <v>0</v>
      </c>
      <c r="N180" s="274">
        <v>0</v>
      </c>
      <c r="O180" s="274">
        <v>0</v>
      </c>
      <c r="P180" s="274">
        <v>0</v>
      </c>
      <c r="Q180" s="274">
        <v>0</v>
      </c>
      <c r="R180" s="410">
        <f t="shared" si="60"/>
        <v>0</v>
      </c>
      <c r="T180" s="274">
        <f t="shared" si="59"/>
        <v>0</v>
      </c>
      <c r="U180" s="274">
        <f t="shared" si="59"/>
        <v>0</v>
      </c>
      <c r="V180" s="274">
        <f t="shared" si="59"/>
        <v>0</v>
      </c>
      <c r="W180" s="274">
        <f t="shared" si="58"/>
        <v>0</v>
      </c>
      <c r="X180" s="274">
        <f t="shared" si="58"/>
        <v>0</v>
      </c>
      <c r="Y180" s="274">
        <f t="shared" si="58"/>
        <v>0</v>
      </c>
      <c r="Z180" s="274">
        <f t="shared" si="58"/>
        <v>0</v>
      </c>
      <c r="AA180" s="274">
        <f t="shared" si="58"/>
        <v>0</v>
      </c>
      <c r="AB180" s="274">
        <f t="shared" si="58"/>
        <v>0</v>
      </c>
      <c r="AC180" s="274">
        <f t="shared" si="61"/>
        <v>0</v>
      </c>
      <c r="AD180" s="274">
        <f t="shared" si="61"/>
        <v>0</v>
      </c>
      <c r="AE180" s="274">
        <f t="shared" si="61"/>
        <v>0</v>
      </c>
      <c r="AF180" s="277">
        <f t="shared" si="46"/>
        <v>0</v>
      </c>
      <c r="AG180" s="278">
        <f t="shared" si="47"/>
        <v>0</v>
      </c>
      <c r="AI180" s="412">
        <v>65</v>
      </c>
      <c r="AL180" s="412" t="str">
        <f t="shared" si="64"/>
        <v xml:space="preserve"> 1</v>
      </c>
      <c r="AM180" s="278">
        <f t="shared" si="49"/>
        <v>0</v>
      </c>
      <c r="AQ180" s="414">
        <f t="shared" si="50"/>
        <v>16.165855514657522</v>
      </c>
      <c r="AR180" s="415">
        <f t="shared" si="51"/>
        <v>0</v>
      </c>
      <c r="AS180" s="415">
        <f t="shared" si="52"/>
        <v>0</v>
      </c>
      <c r="AW180" s="417">
        <f t="shared" si="53"/>
        <v>16.229879494886482</v>
      </c>
      <c r="AX180" s="417">
        <f t="shared" si="56"/>
        <v>0</v>
      </c>
      <c r="AY180" s="418">
        <f t="shared" si="54"/>
        <v>0</v>
      </c>
    </row>
    <row r="181" spans="1:51" s="411" customFormat="1" ht="12" customHeight="1">
      <c r="A181" s="408" t="s">
        <v>495</v>
      </c>
      <c r="B181" s="408" t="s">
        <v>496</v>
      </c>
      <c r="C181" s="272">
        <v>14.84</v>
      </c>
      <c r="D181" s="272">
        <v>14.89</v>
      </c>
      <c r="E181" s="409"/>
      <c r="F181" s="274">
        <v>0</v>
      </c>
      <c r="G181" s="274">
        <v>0</v>
      </c>
      <c r="H181" s="274">
        <v>0</v>
      </c>
      <c r="I181" s="274">
        <v>0</v>
      </c>
      <c r="J181" s="274">
        <v>0</v>
      </c>
      <c r="K181" s="274">
        <v>0</v>
      </c>
      <c r="L181" s="274">
        <v>0</v>
      </c>
      <c r="M181" s="274">
        <v>0</v>
      </c>
      <c r="N181" s="274">
        <v>0</v>
      </c>
      <c r="O181" s="274">
        <v>0</v>
      </c>
      <c r="P181" s="274">
        <v>0</v>
      </c>
      <c r="Q181" s="274">
        <v>0</v>
      </c>
      <c r="R181" s="410">
        <f t="shared" si="60"/>
        <v>0</v>
      </c>
      <c r="T181" s="274">
        <f t="shared" si="59"/>
        <v>0</v>
      </c>
      <c r="U181" s="274">
        <f t="shared" si="59"/>
        <v>0</v>
      </c>
      <c r="V181" s="274">
        <f t="shared" si="59"/>
        <v>0</v>
      </c>
      <c r="W181" s="274">
        <f t="shared" si="58"/>
        <v>0</v>
      </c>
      <c r="X181" s="274">
        <f t="shared" si="58"/>
        <v>0</v>
      </c>
      <c r="Y181" s="274">
        <f t="shared" si="58"/>
        <v>0</v>
      </c>
      <c r="Z181" s="274">
        <f t="shared" si="58"/>
        <v>0</v>
      </c>
      <c r="AA181" s="274">
        <f t="shared" si="58"/>
        <v>0</v>
      </c>
      <c r="AB181" s="274">
        <f t="shared" si="58"/>
        <v>0</v>
      </c>
      <c r="AC181" s="274">
        <f t="shared" si="61"/>
        <v>0</v>
      </c>
      <c r="AD181" s="274">
        <f t="shared" si="61"/>
        <v>0</v>
      </c>
      <c r="AE181" s="274">
        <f t="shared" si="61"/>
        <v>0</v>
      </c>
      <c r="AF181" s="277">
        <f t="shared" si="46"/>
        <v>0</v>
      </c>
      <c r="AG181" s="278">
        <f t="shared" si="47"/>
        <v>0</v>
      </c>
      <c r="AI181" s="412">
        <v>65</v>
      </c>
      <c r="AL181" s="412" t="str">
        <f t="shared" si="64"/>
        <v xml:space="preserve"> 1</v>
      </c>
      <c r="AM181" s="278">
        <f t="shared" si="49"/>
        <v>0</v>
      </c>
      <c r="AQ181" s="414">
        <f t="shared" si="50"/>
        <v>16.165855514657522</v>
      </c>
      <c r="AR181" s="415">
        <f t="shared" si="51"/>
        <v>0</v>
      </c>
      <c r="AS181" s="415">
        <f t="shared" si="52"/>
        <v>0</v>
      </c>
      <c r="AW181" s="417">
        <f t="shared" si="53"/>
        <v>16.229879494886482</v>
      </c>
      <c r="AX181" s="417">
        <f t="shared" si="56"/>
        <v>0</v>
      </c>
      <c r="AY181" s="418">
        <f t="shared" si="54"/>
        <v>0</v>
      </c>
    </row>
    <row r="182" spans="1:51" s="411" customFormat="1" ht="12" customHeight="1">
      <c r="A182" s="408" t="s">
        <v>497</v>
      </c>
      <c r="B182" s="408" t="s">
        <v>498</v>
      </c>
      <c r="C182" s="272">
        <v>575.66999999999996</v>
      </c>
      <c r="D182" s="272">
        <v>577.20000000000005</v>
      </c>
      <c r="E182" s="409"/>
      <c r="F182" s="274">
        <v>3318.9</v>
      </c>
      <c r="G182" s="274">
        <v>3463.2</v>
      </c>
      <c r="H182" s="274">
        <v>3463.2</v>
      </c>
      <c r="I182" s="274">
        <v>3597.94</v>
      </c>
      <c r="J182" s="274">
        <v>4029.69</v>
      </c>
      <c r="K182" s="274">
        <v>4749.28</v>
      </c>
      <c r="L182" s="274">
        <v>5526.43</v>
      </c>
      <c r="M182" s="274">
        <v>5756.71</v>
      </c>
      <c r="N182" s="274">
        <v>5194.8</v>
      </c>
      <c r="O182" s="274">
        <v>5050.5</v>
      </c>
      <c r="P182" s="274">
        <v>4473.3</v>
      </c>
      <c r="Q182" s="274">
        <v>3174.6</v>
      </c>
      <c r="R182" s="410">
        <f t="shared" si="60"/>
        <v>51798.55</v>
      </c>
      <c r="T182" s="274">
        <f t="shared" si="59"/>
        <v>5.7652821929230296</v>
      </c>
      <c r="U182" s="274">
        <f t="shared" si="59"/>
        <v>6.0159466360935951</v>
      </c>
      <c r="V182" s="274">
        <f t="shared" si="59"/>
        <v>6.0159466360935951</v>
      </c>
      <c r="W182" s="274">
        <f t="shared" si="58"/>
        <v>6.2500043427658216</v>
      </c>
      <c r="X182" s="274">
        <f t="shared" si="58"/>
        <v>7.0000000000000009</v>
      </c>
      <c r="Y182" s="274">
        <f t="shared" si="58"/>
        <v>8.2500043427658216</v>
      </c>
      <c r="Z182" s="274">
        <f t="shared" si="58"/>
        <v>9.5999965257873452</v>
      </c>
      <c r="AA182" s="274">
        <f t="shared" si="58"/>
        <v>10.000017371063283</v>
      </c>
      <c r="AB182" s="274">
        <f t="shared" si="58"/>
        <v>9.0239199541403945</v>
      </c>
      <c r="AC182" s="274">
        <f t="shared" si="61"/>
        <v>8.75</v>
      </c>
      <c r="AD182" s="274">
        <f t="shared" si="61"/>
        <v>7.75</v>
      </c>
      <c r="AE182" s="274">
        <f t="shared" si="61"/>
        <v>5.4999999999999991</v>
      </c>
      <c r="AF182" s="277">
        <f t="shared" si="46"/>
        <v>89.921118001632891</v>
      </c>
      <c r="AG182" s="278">
        <f t="shared" si="47"/>
        <v>7.4934265001360743</v>
      </c>
      <c r="AK182" s="412">
        <v>8</v>
      </c>
      <c r="AL182" s="412" t="str">
        <f t="shared" si="64"/>
        <v xml:space="preserve"> 1</v>
      </c>
      <c r="AM182" s="278">
        <f t="shared" si="49"/>
        <v>7.4934265001360743</v>
      </c>
      <c r="AQ182" s="414">
        <f t="shared" si="50"/>
        <v>626.65760933917545</v>
      </c>
      <c r="AR182" s="415">
        <f t="shared" si="51"/>
        <v>56349.752836009153</v>
      </c>
      <c r="AS182" s="415">
        <f t="shared" si="52"/>
        <v>4551.2028360091499</v>
      </c>
      <c r="AW182" s="417">
        <f t="shared" si="53"/>
        <v>629.13945227995157</v>
      </c>
      <c r="AX182" s="417">
        <f t="shared" si="56"/>
        <v>56572.92292794821</v>
      </c>
      <c r="AY182" s="418">
        <f t="shared" si="54"/>
        <v>223.17009193905687</v>
      </c>
    </row>
    <row r="183" spans="1:51" s="411" customFormat="1" ht="12" customHeight="1">
      <c r="A183" s="408" t="s">
        <v>499</v>
      </c>
      <c r="B183" s="408" t="s">
        <v>498</v>
      </c>
      <c r="C183" s="272">
        <v>1082.0999999999999</v>
      </c>
      <c r="D183" s="272">
        <v>1084.98</v>
      </c>
      <c r="E183" s="409"/>
      <c r="F183" s="274">
        <v>1084.98</v>
      </c>
      <c r="G183" s="274">
        <v>1084.98</v>
      </c>
      <c r="H183" s="274">
        <v>1084.98</v>
      </c>
      <c r="I183" s="274">
        <v>0</v>
      </c>
      <c r="J183" s="274">
        <v>0</v>
      </c>
      <c r="K183" s="274">
        <v>0</v>
      </c>
      <c r="L183" s="274">
        <v>0</v>
      </c>
      <c r="M183" s="274">
        <v>120.23</v>
      </c>
      <c r="N183" s="274">
        <v>1084.98</v>
      </c>
      <c r="O183" s="274">
        <v>1084.98</v>
      </c>
      <c r="P183" s="274">
        <v>1084.98</v>
      </c>
      <c r="Q183" s="274">
        <v>1084.98</v>
      </c>
      <c r="R183" s="410">
        <f t="shared" si="60"/>
        <v>7715.0899999999983</v>
      </c>
      <c r="T183" s="274">
        <f t="shared" si="59"/>
        <v>1.0026614915442196</v>
      </c>
      <c r="U183" s="274">
        <f t="shared" si="59"/>
        <v>1.0026614915442196</v>
      </c>
      <c r="V183" s="274">
        <f t="shared" si="59"/>
        <v>1.0026614915442196</v>
      </c>
      <c r="W183" s="274">
        <f t="shared" si="58"/>
        <v>0</v>
      </c>
      <c r="X183" s="274">
        <f t="shared" si="58"/>
        <v>0</v>
      </c>
      <c r="Y183" s="274">
        <f t="shared" si="58"/>
        <v>0</v>
      </c>
      <c r="Z183" s="274">
        <f t="shared" si="58"/>
        <v>0</v>
      </c>
      <c r="AA183" s="274">
        <f t="shared" si="58"/>
        <v>0.11110803068108309</v>
      </c>
      <c r="AB183" s="274">
        <f t="shared" si="58"/>
        <v>1.0026614915442196</v>
      </c>
      <c r="AC183" s="274">
        <f t="shared" si="61"/>
        <v>1</v>
      </c>
      <c r="AD183" s="274">
        <f t="shared" si="61"/>
        <v>1</v>
      </c>
      <c r="AE183" s="274">
        <f t="shared" si="61"/>
        <v>1</v>
      </c>
      <c r="AF183" s="277">
        <f t="shared" si="46"/>
        <v>7.1217539968579615</v>
      </c>
      <c r="AG183" s="278">
        <f t="shared" si="47"/>
        <v>0.5934794997381635</v>
      </c>
      <c r="AK183" s="412">
        <v>8</v>
      </c>
      <c r="AL183" s="412" t="str">
        <f t="shared" si="64"/>
        <v xml:space="preserve"> 1</v>
      </c>
      <c r="AM183" s="278">
        <f t="shared" si="49"/>
        <v>0.5934794997381635</v>
      </c>
      <c r="AQ183" s="414">
        <f t="shared" si="50"/>
        <v>1177.9469386362068</v>
      </c>
      <c r="AR183" s="415">
        <f t="shared" si="51"/>
        <v>8389.0483183190063</v>
      </c>
      <c r="AS183" s="415">
        <f t="shared" si="52"/>
        <v>673.95831831900796</v>
      </c>
      <c r="AW183" s="417">
        <f t="shared" si="53"/>
        <v>1182.6121325965037</v>
      </c>
      <c r="AX183" s="417">
        <f t="shared" si="56"/>
        <v>8422.2726820518692</v>
      </c>
      <c r="AY183" s="418">
        <f t="shared" si="54"/>
        <v>33.224363732862912</v>
      </c>
    </row>
    <row r="184" spans="1:51" s="411" customFormat="1" ht="12" customHeight="1">
      <c r="A184" s="408" t="s">
        <v>500</v>
      </c>
      <c r="B184" s="408" t="s">
        <v>501</v>
      </c>
      <c r="C184" s="272">
        <v>323.02999999999997</v>
      </c>
      <c r="D184" s="272">
        <v>323.89999999999998</v>
      </c>
      <c r="E184" s="409"/>
      <c r="F184" s="274">
        <v>971.7</v>
      </c>
      <c r="G184" s="274">
        <v>971.7</v>
      </c>
      <c r="H184" s="274">
        <v>971.7</v>
      </c>
      <c r="I184" s="274">
        <v>807.58</v>
      </c>
      <c r="J184" s="274">
        <v>969.09</v>
      </c>
      <c r="K184" s="274">
        <v>646.05999999999995</v>
      </c>
      <c r="L184" s="274">
        <v>452.24</v>
      </c>
      <c r="M184" s="274">
        <v>323.02999999999997</v>
      </c>
      <c r="N184" s="274">
        <v>647.79999999999995</v>
      </c>
      <c r="O184" s="274">
        <v>647.79999999999995</v>
      </c>
      <c r="P184" s="274">
        <v>971.7</v>
      </c>
      <c r="Q184" s="274">
        <v>809.75</v>
      </c>
      <c r="R184" s="410">
        <f t="shared" si="60"/>
        <v>9190.15</v>
      </c>
      <c r="T184" s="274">
        <f t="shared" si="59"/>
        <v>3.0080797449153334</v>
      </c>
      <c r="U184" s="274">
        <f t="shared" si="59"/>
        <v>3.0080797449153334</v>
      </c>
      <c r="V184" s="274">
        <f t="shared" si="59"/>
        <v>3.0080797449153334</v>
      </c>
      <c r="W184" s="274">
        <f t="shared" si="58"/>
        <v>2.5000154784385353</v>
      </c>
      <c r="X184" s="274">
        <f t="shared" si="58"/>
        <v>3.0000000000000004</v>
      </c>
      <c r="Y184" s="274">
        <f t="shared" si="58"/>
        <v>2</v>
      </c>
      <c r="Z184" s="274">
        <f t="shared" si="58"/>
        <v>1.399993808624586</v>
      </c>
      <c r="AA184" s="274">
        <f t="shared" si="58"/>
        <v>1</v>
      </c>
      <c r="AB184" s="274">
        <f t="shared" si="58"/>
        <v>2.0053864966102219</v>
      </c>
      <c r="AC184" s="274">
        <f t="shared" si="61"/>
        <v>2</v>
      </c>
      <c r="AD184" s="274">
        <f t="shared" si="61"/>
        <v>3.0000000000000004</v>
      </c>
      <c r="AE184" s="274">
        <f t="shared" si="61"/>
        <v>2.5</v>
      </c>
      <c r="AF184" s="277">
        <f t="shared" si="46"/>
        <v>28.429635018419344</v>
      </c>
      <c r="AG184" s="278">
        <f t="shared" si="47"/>
        <v>2.3691362515349454</v>
      </c>
      <c r="AK184" s="412">
        <v>8</v>
      </c>
      <c r="AL184" s="412" t="str">
        <f t="shared" si="64"/>
        <v xml:space="preserve"> 1</v>
      </c>
      <c r="AM184" s="278">
        <f t="shared" si="49"/>
        <v>2.3691362515349454</v>
      </c>
      <c r="AQ184" s="414">
        <f t="shared" si="50"/>
        <v>351.65349907304039</v>
      </c>
      <c r="AR184" s="415">
        <f t="shared" si="51"/>
        <v>9997.3806315966049</v>
      </c>
      <c r="AS184" s="415">
        <f t="shared" si="52"/>
        <v>807.23063159660524</v>
      </c>
      <c r="AW184" s="417">
        <f t="shared" si="53"/>
        <v>353.04620338440105</v>
      </c>
      <c r="AX184" s="417">
        <f t="shared" si="56"/>
        <v>10036.974706857167</v>
      </c>
      <c r="AY184" s="418">
        <f t="shared" si="54"/>
        <v>39.594075260562022</v>
      </c>
    </row>
    <row r="185" spans="1:51" s="411" customFormat="1" ht="12" customHeight="1">
      <c r="A185" s="408" t="s">
        <v>502</v>
      </c>
      <c r="B185" s="408" t="s">
        <v>503</v>
      </c>
      <c r="C185" s="272">
        <v>42.65</v>
      </c>
      <c r="D185" s="272">
        <v>42.78</v>
      </c>
      <c r="E185" s="409"/>
      <c r="F185" s="274">
        <v>1368.96</v>
      </c>
      <c r="G185" s="274">
        <v>1379.66</v>
      </c>
      <c r="H185" s="274">
        <v>1368.96</v>
      </c>
      <c r="I185" s="274">
        <v>1076.9100000000001</v>
      </c>
      <c r="J185" s="274">
        <v>1098.24</v>
      </c>
      <c r="K185" s="274">
        <v>1162.21</v>
      </c>
      <c r="L185" s="274">
        <v>1258.2</v>
      </c>
      <c r="M185" s="274">
        <v>1300.8399999999999</v>
      </c>
      <c r="N185" s="274">
        <v>1368.96</v>
      </c>
      <c r="O185" s="274">
        <v>1368.96</v>
      </c>
      <c r="P185" s="274">
        <v>1347.57</v>
      </c>
      <c r="Q185" s="274">
        <v>1351.85</v>
      </c>
      <c r="R185" s="410">
        <f t="shared" si="60"/>
        <v>15451.319999999998</v>
      </c>
      <c r="T185" s="274">
        <f t="shared" si="59"/>
        <v>32.097538100820636</v>
      </c>
      <c r="U185" s="274">
        <f t="shared" si="59"/>
        <v>32.348417350527555</v>
      </c>
      <c r="V185" s="274">
        <f t="shared" si="59"/>
        <v>32.097538100820636</v>
      </c>
      <c r="W185" s="274">
        <f t="shared" si="58"/>
        <v>25.249941383352876</v>
      </c>
      <c r="X185" s="274">
        <f t="shared" si="58"/>
        <v>25.750058616647127</v>
      </c>
      <c r="Y185" s="274">
        <f t="shared" si="58"/>
        <v>27.249941383352873</v>
      </c>
      <c r="Z185" s="274">
        <f t="shared" si="58"/>
        <v>29.50058616647128</v>
      </c>
      <c r="AA185" s="274">
        <f t="shared" si="58"/>
        <v>30.500351699882767</v>
      </c>
      <c r="AB185" s="274">
        <f t="shared" si="58"/>
        <v>32.097538100820636</v>
      </c>
      <c r="AC185" s="274">
        <f t="shared" si="61"/>
        <v>32</v>
      </c>
      <c r="AD185" s="274">
        <f t="shared" si="61"/>
        <v>31.499999999999996</v>
      </c>
      <c r="AE185" s="274">
        <f t="shared" si="61"/>
        <v>31.600046750818137</v>
      </c>
      <c r="AF185" s="277">
        <f t="shared" si="46"/>
        <v>361.99195765351453</v>
      </c>
      <c r="AG185" s="278">
        <f t="shared" si="47"/>
        <v>30.16599647112621</v>
      </c>
      <c r="AI185" s="412">
        <v>95</v>
      </c>
      <c r="AL185" s="412" t="str">
        <f t="shared" si="64"/>
        <v xml:space="preserve"> 1</v>
      </c>
      <c r="AM185" s="278">
        <f t="shared" si="49"/>
        <v>30.16599647112621</v>
      </c>
      <c r="AQ185" s="414">
        <f t="shared" si="50"/>
        <v>46.445621149566747</v>
      </c>
      <c r="AR185" s="415">
        <f t="shared" si="51"/>
        <v>16812.941324365143</v>
      </c>
      <c r="AS185" s="415">
        <f t="shared" si="52"/>
        <v>1361.6213243651455</v>
      </c>
      <c r="AW185" s="417">
        <f t="shared" si="53"/>
        <v>46.629566473555663</v>
      </c>
      <c r="AX185" s="417">
        <f t="shared" si="56"/>
        <v>16879.528052297101</v>
      </c>
      <c r="AY185" s="418">
        <f t="shared" si="54"/>
        <v>66.586727931957284</v>
      </c>
    </row>
    <row r="186" spans="1:51" s="411" customFormat="1" ht="12" customHeight="1">
      <c r="A186" s="408" t="s">
        <v>504</v>
      </c>
      <c r="B186" s="408" t="s">
        <v>505</v>
      </c>
      <c r="C186" s="272">
        <v>0</v>
      </c>
      <c r="D186" s="272">
        <v>0</v>
      </c>
      <c r="E186" s="409"/>
      <c r="F186" s="274">
        <v>0</v>
      </c>
      <c r="G186" s="274">
        <v>0</v>
      </c>
      <c r="H186" s="274">
        <v>0</v>
      </c>
      <c r="I186" s="274">
        <v>0</v>
      </c>
      <c r="J186" s="274">
        <v>0</v>
      </c>
      <c r="K186" s="274">
        <v>0</v>
      </c>
      <c r="L186" s="274">
        <v>0</v>
      </c>
      <c r="M186" s="274">
        <v>0</v>
      </c>
      <c r="N186" s="274">
        <v>0</v>
      </c>
      <c r="O186" s="274">
        <v>0</v>
      </c>
      <c r="P186" s="274">
        <v>0</v>
      </c>
      <c r="Q186" s="274">
        <v>0</v>
      </c>
      <c r="R186" s="410">
        <f t="shared" si="60"/>
        <v>0</v>
      </c>
      <c r="T186" s="274">
        <f t="shared" si="59"/>
        <v>0</v>
      </c>
      <c r="U186" s="274">
        <f t="shared" si="59"/>
        <v>0</v>
      </c>
      <c r="V186" s="274">
        <f t="shared" si="59"/>
        <v>0</v>
      </c>
      <c r="W186" s="274">
        <f t="shared" si="58"/>
        <v>0</v>
      </c>
      <c r="X186" s="274">
        <f t="shared" si="58"/>
        <v>0</v>
      </c>
      <c r="Y186" s="274">
        <f t="shared" si="58"/>
        <v>0</v>
      </c>
      <c r="Z186" s="274">
        <f t="shared" si="58"/>
        <v>0</v>
      </c>
      <c r="AA186" s="274">
        <f t="shared" si="58"/>
        <v>0</v>
      </c>
      <c r="AB186" s="274">
        <f t="shared" si="58"/>
        <v>0</v>
      </c>
      <c r="AC186" s="274">
        <f t="shared" si="61"/>
        <v>0</v>
      </c>
      <c r="AD186" s="274">
        <f t="shared" si="61"/>
        <v>0</v>
      </c>
      <c r="AE186" s="274">
        <f t="shared" si="61"/>
        <v>0</v>
      </c>
      <c r="AF186" s="277">
        <f t="shared" si="46"/>
        <v>0</v>
      </c>
      <c r="AG186" s="278">
        <f t="shared" si="47"/>
        <v>0</v>
      </c>
      <c r="AI186" s="412">
        <v>95</v>
      </c>
      <c r="AL186" s="412" t="str">
        <f t="shared" si="64"/>
        <v xml:space="preserve"> 2</v>
      </c>
      <c r="AM186" s="278">
        <f t="shared" si="49"/>
        <v>0</v>
      </c>
      <c r="AQ186" s="414">
        <f t="shared" si="50"/>
        <v>0</v>
      </c>
      <c r="AR186" s="415">
        <f t="shared" si="51"/>
        <v>0</v>
      </c>
      <c r="AS186" s="415">
        <f t="shared" si="52"/>
        <v>0</v>
      </c>
      <c r="AW186" s="417">
        <f t="shared" si="53"/>
        <v>0</v>
      </c>
      <c r="AX186" s="417">
        <f t="shared" si="56"/>
        <v>0</v>
      </c>
      <c r="AY186" s="418">
        <f t="shared" si="54"/>
        <v>0</v>
      </c>
    </row>
    <row r="187" spans="1:51" s="411" customFormat="1" ht="12" customHeight="1">
      <c r="A187" s="408" t="s">
        <v>506</v>
      </c>
      <c r="B187" s="408" t="s">
        <v>507</v>
      </c>
      <c r="C187" s="272">
        <v>42.65</v>
      </c>
      <c r="D187" s="272">
        <v>42.78</v>
      </c>
      <c r="E187" s="409"/>
      <c r="F187" s="274">
        <v>0</v>
      </c>
      <c r="G187" s="274">
        <v>0</v>
      </c>
      <c r="H187" s="274">
        <v>0</v>
      </c>
      <c r="I187" s="274">
        <v>0</v>
      </c>
      <c r="J187" s="274">
        <v>0</v>
      </c>
      <c r="K187" s="274">
        <v>0</v>
      </c>
      <c r="L187" s="274">
        <v>0</v>
      </c>
      <c r="M187" s="274">
        <v>0</v>
      </c>
      <c r="N187" s="274">
        <v>0</v>
      </c>
      <c r="O187" s="274">
        <v>0</v>
      </c>
      <c r="P187" s="274">
        <v>0</v>
      </c>
      <c r="Q187" s="274">
        <v>0</v>
      </c>
      <c r="R187" s="410">
        <f t="shared" si="60"/>
        <v>0</v>
      </c>
      <c r="T187" s="274">
        <f t="shared" si="59"/>
        <v>0</v>
      </c>
      <c r="U187" s="274">
        <f t="shared" si="59"/>
        <v>0</v>
      </c>
      <c r="V187" s="274">
        <f t="shared" si="59"/>
        <v>0</v>
      </c>
      <c r="W187" s="274">
        <f t="shared" si="59"/>
        <v>0</v>
      </c>
      <c r="X187" s="274">
        <f t="shared" si="59"/>
        <v>0</v>
      </c>
      <c r="Y187" s="274">
        <f t="shared" si="59"/>
        <v>0</v>
      </c>
      <c r="Z187" s="274">
        <f t="shared" si="59"/>
        <v>0</v>
      </c>
      <c r="AA187" s="274">
        <f t="shared" si="59"/>
        <v>0</v>
      </c>
      <c r="AB187" s="274">
        <f t="shared" si="59"/>
        <v>0</v>
      </c>
      <c r="AC187" s="274">
        <f t="shared" si="61"/>
        <v>0</v>
      </c>
      <c r="AD187" s="274">
        <f t="shared" si="61"/>
        <v>0</v>
      </c>
      <c r="AE187" s="274">
        <f t="shared" si="61"/>
        <v>0</v>
      </c>
      <c r="AF187" s="277">
        <f t="shared" si="46"/>
        <v>0</v>
      </c>
      <c r="AG187" s="278">
        <f t="shared" si="47"/>
        <v>0</v>
      </c>
      <c r="AI187" s="412">
        <v>95</v>
      </c>
      <c r="AL187" s="424">
        <v>1</v>
      </c>
      <c r="AM187" s="278">
        <f t="shared" si="49"/>
        <v>0</v>
      </c>
      <c r="AQ187" s="414">
        <f t="shared" si="50"/>
        <v>46.445621149566747</v>
      </c>
      <c r="AR187" s="415">
        <f t="shared" si="51"/>
        <v>0</v>
      </c>
      <c r="AS187" s="415">
        <f t="shared" si="52"/>
        <v>0</v>
      </c>
      <c r="AW187" s="417">
        <f t="shared" si="53"/>
        <v>46.629566473555663</v>
      </c>
      <c r="AX187" s="417">
        <f t="shared" si="56"/>
        <v>0</v>
      </c>
      <c r="AY187" s="418">
        <f t="shared" si="54"/>
        <v>0</v>
      </c>
    </row>
    <row r="188" spans="1:51" s="411" customFormat="1" ht="12" customHeight="1">
      <c r="A188" s="408" t="s">
        <v>508</v>
      </c>
      <c r="B188" s="408" t="s">
        <v>509</v>
      </c>
      <c r="C188" s="272">
        <v>42.65</v>
      </c>
      <c r="D188" s="272">
        <v>42.78</v>
      </c>
      <c r="E188" s="409"/>
      <c r="F188" s="274">
        <v>0</v>
      </c>
      <c r="G188" s="274">
        <v>0</v>
      </c>
      <c r="H188" s="274">
        <v>0</v>
      </c>
      <c r="I188" s="274">
        <v>0</v>
      </c>
      <c r="J188" s="274">
        <v>0</v>
      </c>
      <c r="K188" s="274">
        <v>0</v>
      </c>
      <c r="L188" s="274">
        <v>0</v>
      </c>
      <c r="M188" s="274">
        <v>0</v>
      </c>
      <c r="N188" s="274">
        <v>0</v>
      </c>
      <c r="O188" s="274">
        <v>0</v>
      </c>
      <c r="P188" s="274">
        <v>0</v>
      </c>
      <c r="Q188" s="274">
        <v>0</v>
      </c>
      <c r="R188" s="410">
        <f t="shared" si="60"/>
        <v>0</v>
      </c>
      <c r="T188" s="274">
        <f t="shared" ref="T188:AB216" si="65">IFERROR(F188/$C188,0)</f>
        <v>0</v>
      </c>
      <c r="U188" s="274">
        <f t="shared" si="65"/>
        <v>0</v>
      </c>
      <c r="V188" s="274">
        <f t="shared" si="65"/>
        <v>0</v>
      </c>
      <c r="W188" s="274">
        <f t="shared" si="65"/>
        <v>0</v>
      </c>
      <c r="X188" s="274">
        <f t="shared" si="65"/>
        <v>0</v>
      </c>
      <c r="Y188" s="274">
        <f t="shared" si="65"/>
        <v>0</v>
      </c>
      <c r="Z188" s="274">
        <f t="shared" si="65"/>
        <v>0</v>
      </c>
      <c r="AA188" s="274">
        <f t="shared" si="65"/>
        <v>0</v>
      </c>
      <c r="AB188" s="274">
        <f t="shared" si="65"/>
        <v>0</v>
      </c>
      <c r="AC188" s="274">
        <f t="shared" si="61"/>
        <v>0</v>
      </c>
      <c r="AD188" s="274">
        <f t="shared" si="61"/>
        <v>0</v>
      </c>
      <c r="AE188" s="274">
        <f t="shared" si="61"/>
        <v>0</v>
      </c>
      <c r="AF188" s="277">
        <f t="shared" si="46"/>
        <v>0</v>
      </c>
      <c r="AG188" s="278">
        <f t="shared" si="47"/>
        <v>0</v>
      </c>
      <c r="AI188" s="412">
        <v>95</v>
      </c>
      <c r="AL188" s="412" t="str">
        <f t="shared" ref="AL188:AL193" si="66">RIGHT(B188,2)</f>
        <v xml:space="preserve"> 1</v>
      </c>
      <c r="AM188" s="278">
        <f t="shared" si="49"/>
        <v>0</v>
      </c>
      <c r="AQ188" s="414">
        <f t="shared" si="50"/>
        <v>46.445621149566747</v>
      </c>
      <c r="AR188" s="415">
        <f t="shared" si="51"/>
        <v>0</v>
      </c>
      <c r="AS188" s="415">
        <f t="shared" si="52"/>
        <v>0</v>
      </c>
      <c r="AW188" s="417">
        <f t="shared" si="53"/>
        <v>46.629566473555663</v>
      </c>
      <c r="AX188" s="417">
        <f t="shared" si="56"/>
        <v>0</v>
      </c>
      <c r="AY188" s="418">
        <f t="shared" si="54"/>
        <v>0</v>
      </c>
    </row>
    <row r="189" spans="1:51" s="411" customFormat="1" ht="12" customHeight="1">
      <c r="A189" s="408" t="s">
        <v>510</v>
      </c>
      <c r="B189" s="408" t="s">
        <v>511</v>
      </c>
      <c r="C189" s="272">
        <v>0</v>
      </c>
      <c r="D189" s="272">
        <v>0</v>
      </c>
      <c r="E189" s="409"/>
      <c r="F189" s="274">
        <v>0</v>
      </c>
      <c r="G189" s="274">
        <v>0</v>
      </c>
      <c r="H189" s="274">
        <v>0</v>
      </c>
      <c r="I189" s="274">
        <v>0</v>
      </c>
      <c r="J189" s="274">
        <v>0</v>
      </c>
      <c r="K189" s="274">
        <v>0</v>
      </c>
      <c r="L189" s="274">
        <v>0</v>
      </c>
      <c r="M189" s="274">
        <v>0</v>
      </c>
      <c r="N189" s="274">
        <v>0</v>
      </c>
      <c r="O189" s="274">
        <v>0</v>
      </c>
      <c r="P189" s="274">
        <v>0</v>
      </c>
      <c r="Q189" s="274">
        <v>0</v>
      </c>
      <c r="R189" s="410">
        <f t="shared" si="60"/>
        <v>0</v>
      </c>
      <c r="T189" s="274">
        <f t="shared" si="65"/>
        <v>0</v>
      </c>
      <c r="U189" s="274">
        <f t="shared" si="65"/>
        <v>0</v>
      </c>
      <c r="V189" s="274">
        <f t="shared" si="65"/>
        <v>0</v>
      </c>
      <c r="W189" s="274">
        <f t="shared" si="65"/>
        <v>0</v>
      </c>
      <c r="X189" s="274">
        <f t="shared" si="65"/>
        <v>0</v>
      </c>
      <c r="Y189" s="274">
        <f t="shared" si="65"/>
        <v>0</v>
      </c>
      <c r="Z189" s="274">
        <f t="shared" si="65"/>
        <v>0</v>
      </c>
      <c r="AA189" s="274">
        <f t="shared" si="65"/>
        <v>0</v>
      </c>
      <c r="AB189" s="274">
        <f t="shared" si="65"/>
        <v>0</v>
      </c>
      <c r="AC189" s="274">
        <f t="shared" si="61"/>
        <v>0</v>
      </c>
      <c r="AD189" s="274">
        <f t="shared" si="61"/>
        <v>0</v>
      </c>
      <c r="AE189" s="274">
        <f t="shared" si="61"/>
        <v>0</v>
      </c>
      <c r="AF189" s="277">
        <f t="shared" si="46"/>
        <v>0</v>
      </c>
      <c r="AG189" s="278">
        <f t="shared" si="47"/>
        <v>0</v>
      </c>
      <c r="AI189" s="412">
        <v>95</v>
      </c>
      <c r="AL189" s="412" t="str">
        <f t="shared" si="66"/>
        <v xml:space="preserve"> 2</v>
      </c>
      <c r="AM189" s="278">
        <f t="shared" si="49"/>
        <v>0</v>
      </c>
      <c r="AQ189" s="414">
        <f t="shared" si="50"/>
        <v>0</v>
      </c>
      <c r="AR189" s="415">
        <f t="shared" si="51"/>
        <v>0</v>
      </c>
      <c r="AS189" s="415">
        <f t="shared" si="52"/>
        <v>0</v>
      </c>
      <c r="AW189" s="417">
        <f t="shared" si="53"/>
        <v>0</v>
      </c>
      <c r="AX189" s="417">
        <f t="shared" si="56"/>
        <v>0</v>
      </c>
      <c r="AY189" s="418">
        <f t="shared" si="54"/>
        <v>0</v>
      </c>
    </row>
    <row r="190" spans="1:51" s="411" customFormat="1" ht="12" customHeight="1">
      <c r="A190" s="408" t="s">
        <v>512</v>
      </c>
      <c r="B190" s="408" t="s">
        <v>513</v>
      </c>
      <c r="C190" s="272">
        <v>85.3</v>
      </c>
      <c r="D190" s="272">
        <v>85.66</v>
      </c>
      <c r="E190" s="409"/>
      <c r="F190" s="274">
        <v>0</v>
      </c>
      <c r="G190" s="274">
        <v>0</v>
      </c>
      <c r="H190" s="274">
        <v>0</v>
      </c>
      <c r="I190" s="274">
        <v>0</v>
      </c>
      <c r="J190" s="274">
        <v>0</v>
      </c>
      <c r="K190" s="274">
        <v>0</v>
      </c>
      <c r="L190" s="274">
        <v>0</v>
      </c>
      <c r="M190" s="274">
        <v>0</v>
      </c>
      <c r="N190" s="274">
        <v>0</v>
      </c>
      <c r="O190" s="274">
        <v>0</v>
      </c>
      <c r="P190" s="274">
        <v>0</v>
      </c>
      <c r="Q190" s="274">
        <v>0</v>
      </c>
      <c r="R190" s="410">
        <f t="shared" si="60"/>
        <v>0</v>
      </c>
      <c r="T190" s="274">
        <f t="shared" si="65"/>
        <v>0</v>
      </c>
      <c r="U190" s="274">
        <f t="shared" si="65"/>
        <v>0</v>
      </c>
      <c r="V190" s="274">
        <f t="shared" si="65"/>
        <v>0</v>
      </c>
      <c r="W190" s="274">
        <f t="shared" si="65"/>
        <v>0</v>
      </c>
      <c r="X190" s="274">
        <f t="shared" si="65"/>
        <v>0</v>
      </c>
      <c r="Y190" s="274">
        <f t="shared" si="65"/>
        <v>0</v>
      </c>
      <c r="Z190" s="274">
        <f t="shared" si="65"/>
        <v>0</v>
      </c>
      <c r="AA190" s="274">
        <f t="shared" si="65"/>
        <v>0</v>
      </c>
      <c r="AB190" s="274">
        <f t="shared" si="65"/>
        <v>0</v>
      </c>
      <c r="AC190" s="274">
        <f t="shared" si="61"/>
        <v>0</v>
      </c>
      <c r="AD190" s="274">
        <f t="shared" si="61"/>
        <v>0</v>
      </c>
      <c r="AE190" s="274">
        <f t="shared" si="61"/>
        <v>0</v>
      </c>
      <c r="AF190" s="277">
        <f t="shared" si="46"/>
        <v>0</v>
      </c>
      <c r="AG190" s="278">
        <f t="shared" si="47"/>
        <v>0</v>
      </c>
      <c r="AI190" s="412">
        <v>95</v>
      </c>
      <c r="AL190" s="412" t="str">
        <f t="shared" si="66"/>
        <v xml:space="preserve"> 1</v>
      </c>
      <c r="AM190" s="278">
        <f t="shared" si="49"/>
        <v>0</v>
      </c>
      <c r="AQ190" s="414">
        <f t="shared" si="50"/>
        <v>92.999810838520034</v>
      </c>
      <c r="AR190" s="415">
        <f t="shared" si="51"/>
        <v>0</v>
      </c>
      <c r="AS190" s="415">
        <f t="shared" si="52"/>
        <v>0</v>
      </c>
      <c r="AW190" s="417">
        <f t="shared" si="53"/>
        <v>93.368131466217335</v>
      </c>
      <c r="AX190" s="417">
        <f t="shared" si="56"/>
        <v>0</v>
      </c>
      <c r="AY190" s="418">
        <f t="shared" si="54"/>
        <v>0</v>
      </c>
    </row>
    <row r="191" spans="1:51" s="411" customFormat="1" ht="12" customHeight="1">
      <c r="A191" s="408" t="s">
        <v>514</v>
      </c>
      <c r="B191" s="408" t="s">
        <v>515</v>
      </c>
      <c r="C191" s="272">
        <v>0</v>
      </c>
      <c r="D191" s="272">
        <v>0</v>
      </c>
      <c r="E191" s="409"/>
      <c r="F191" s="274">
        <v>21.37</v>
      </c>
      <c r="G191" s="274">
        <v>21.37</v>
      </c>
      <c r="H191" s="274">
        <v>21.37</v>
      </c>
      <c r="I191" s="274">
        <v>21.37</v>
      </c>
      <c r="J191" s="274">
        <v>21.37</v>
      </c>
      <c r="K191" s="274">
        <v>21.37</v>
      </c>
      <c r="L191" s="274">
        <v>21.37</v>
      </c>
      <c r="M191" s="274">
        <v>21.37</v>
      </c>
      <c r="N191" s="274">
        <v>21.37</v>
      </c>
      <c r="O191" s="274">
        <v>21.37</v>
      </c>
      <c r="P191" s="274">
        <v>21.37</v>
      </c>
      <c r="Q191" s="274">
        <v>21.37</v>
      </c>
      <c r="R191" s="410">
        <f t="shared" ref="R191:R222" si="67">+SUM(F191:Q191)</f>
        <v>256.44</v>
      </c>
      <c r="T191" s="274">
        <f t="shared" si="65"/>
        <v>0</v>
      </c>
      <c r="U191" s="274">
        <f t="shared" si="65"/>
        <v>0</v>
      </c>
      <c r="V191" s="274">
        <f t="shared" si="65"/>
        <v>0</v>
      </c>
      <c r="W191" s="274">
        <f t="shared" si="65"/>
        <v>0</v>
      </c>
      <c r="X191" s="274">
        <f t="shared" si="65"/>
        <v>0</v>
      </c>
      <c r="Y191" s="274">
        <f t="shared" si="65"/>
        <v>0</v>
      </c>
      <c r="Z191" s="274">
        <f t="shared" si="65"/>
        <v>0</v>
      </c>
      <c r="AA191" s="274">
        <f t="shared" si="65"/>
        <v>0</v>
      </c>
      <c r="AB191" s="274">
        <f t="shared" si="65"/>
        <v>0</v>
      </c>
      <c r="AC191" s="274">
        <f t="shared" ref="AC191:AE222" si="68">IFERROR(O191/$D191,0)</f>
        <v>0</v>
      </c>
      <c r="AD191" s="274">
        <f t="shared" si="68"/>
        <v>0</v>
      </c>
      <c r="AE191" s="274">
        <f t="shared" si="68"/>
        <v>0</v>
      </c>
      <c r="AF191" s="277">
        <f t="shared" ref="AF191:AF250" si="69">+SUM(T191:AE191)</f>
        <v>0</v>
      </c>
      <c r="AG191" s="278">
        <f t="shared" ref="AG191:AG250" si="70">AVERAGE(T191:AE191)</f>
        <v>0</v>
      </c>
      <c r="AI191" s="412">
        <v>95</v>
      </c>
      <c r="AL191" s="412" t="str">
        <f t="shared" si="66"/>
        <v xml:space="preserve"> 1</v>
      </c>
      <c r="AM191" s="278">
        <f t="shared" ref="AM191:AM193" si="71">AG191*AL191</f>
        <v>0</v>
      </c>
      <c r="AQ191" s="414">
        <f t="shared" ref="AQ191:AQ250" si="72">+IFERROR(D191*(1+$AU$1),0)</f>
        <v>0</v>
      </c>
      <c r="AR191" s="415">
        <f t="shared" ref="AR191:AR250" si="73">AG191*AQ191*12</f>
        <v>0</v>
      </c>
      <c r="AS191" s="415">
        <f t="shared" ref="AS191:AS250" si="74">AR191-R191</f>
        <v>-256.44</v>
      </c>
      <c r="AW191" s="417">
        <f t="shared" ref="AW191:AW250" si="75">IFERROR(AQ191*(1+$AX$4),0)</f>
        <v>0</v>
      </c>
      <c r="AX191" s="417">
        <f t="shared" si="56"/>
        <v>0</v>
      </c>
      <c r="AY191" s="418">
        <f t="shared" ref="AY191:AY250" si="76">AX191-AR191</f>
        <v>0</v>
      </c>
    </row>
    <row r="192" spans="1:51" s="411" customFormat="1" ht="12" customHeight="1">
      <c r="A192" s="408" t="s">
        <v>516</v>
      </c>
      <c r="B192" s="408" t="s">
        <v>517</v>
      </c>
      <c r="C192" s="272">
        <v>21.37</v>
      </c>
      <c r="D192" s="272">
        <v>21.44</v>
      </c>
      <c r="E192" s="409"/>
      <c r="F192" s="274">
        <v>85.76</v>
      </c>
      <c r="G192" s="274">
        <v>85.76</v>
      </c>
      <c r="H192" s="274">
        <v>85.76</v>
      </c>
      <c r="I192" s="274">
        <v>170.96</v>
      </c>
      <c r="J192" s="274">
        <v>170.96</v>
      </c>
      <c r="K192" s="274">
        <v>149.59</v>
      </c>
      <c r="L192" s="274">
        <v>117.54</v>
      </c>
      <c r="M192" s="274">
        <v>106.85</v>
      </c>
      <c r="N192" s="274">
        <v>107.2</v>
      </c>
      <c r="O192" s="274">
        <v>107.2</v>
      </c>
      <c r="P192" s="274">
        <v>107.2</v>
      </c>
      <c r="Q192" s="274">
        <v>107.2</v>
      </c>
      <c r="R192" s="410">
        <f t="shared" si="67"/>
        <v>1401.9800000000002</v>
      </c>
      <c r="T192" s="274">
        <f t="shared" si="65"/>
        <v>4.0131024801123072</v>
      </c>
      <c r="U192" s="274">
        <f t="shared" si="65"/>
        <v>4.0131024801123072</v>
      </c>
      <c r="V192" s="274">
        <f t="shared" si="65"/>
        <v>4.0131024801123072</v>
      </c>
      <c r="W192" s="274">
        <f t="shared" si="65"/>
        <v>8</v>
      </c>
      <c r="X192" s="274">
        <f t="shared" si="65"/>
        <v>8</v>
      </c>
      <c r="Y192" s="274">
        <f t="shared" si="65"/>
        <v>7</v>
      </c>
      <c r="Z192" s="274">
        <f t="shared" si="65"/>
        <v>5.5002339728591485</v>
      </c>
      <c r="AA192" s="274">
        <f t="shared" si="65"/>
        <v>4.9999999999999991</v>
      </c>
      <c r="AB192" s="274">
        <f t="shared" si="65"/>
        <v>5.0163781001403835</v>
      </c>
      <c r="AC192" s="274">
        <f t="shared" si="68"/>
        <v>5</v>
      </c>
      <c r="AD192" s="274">
        <f t="shared" si="68"/>
        <v>5</v>
      </c>
      <c r="AE192" s="274">
        <f t="shared" si="68"/>
        <v>5</v>
      </c>
      <c r="AF192" s="277">
        <f t="shared" si="69"/>
        <v>65.555919513336448</v>
      </c>
      <c r="AG192" s="278">
        <f t="shared" si="70"/>
        <v>5.4629932927780374</v>
      </c>
      <c r="AI192" s="412">
        <v>95</v>
      </c>
      <c r="AL192" s="412" t="str">
        <f t="shared" si="66"/>
        <v xml:space="preserve"> 1</v>
      </c>
      <c r="AM192" s="278">
        <f t="shared" si="71"/>
        <v>5.4629932927780374</v>
      </c>
      <c r="AQ192" s="414">
        <f t="shared" si="72"/>
        <v>23.27709484447665</v>
      </c>
      <c r="AR192" s="415">
        <f t="shared" si="73"/>
        <v>1525.9513561288102</v>
      </c>
      <c r="AS192" s="415">
        <f t="shared" si="74"/>
        <v>123.97135612880993</v>
      </c>
      <c r="AW192" s="417">
        <f t="shared" si="75"/>
        <v>23.369282496330843</v>
      </c>
      <c r="AX192" s="417">
        <f t="shared" si="56"/>
        <v>1531.9948024138871</v>
      </c>
      <c r="AY192" s="418">
        <f t="shared" si="76"/>
        <v>6.0434462850769251</v>
      </c>
    </row>
    <row r="193" spans="1:51" s="411" customFormat="1" ht="12" customHeight="1">
      <c r="A193" s="408" t="s">
        <v>518</v>
      </c>
      <c r="B193" s="408" t="s">
        <v>519</v>
      </c>
      <c r="C193" s="272">
        <v>21.37</v>
      </c>
      <c r="D193" s="272">
        <v>21.44</v>
      </c>
      <c r="E193" s="409"/>
      <c r="F193" s="274">
        <v>85.76</v>
      </c>
      <c r="G193" s="274">
        <v>85.76</v>
      </c>
      <c r="H193" s="274">
        <v>85.76</v>
      </c>
      <c r="I193" s="274">
        <v>85.48</v>
      </c>
      <c r="J193" s="274">
        <v>85.48</v>
      </c>
      <c r="K193" s="274">
        <v>74.8</v>
      </c>
      <c r="L193" s="274">
        <v>85.48</v>
      </c>
      <c r="M193" s="274">
        <v>85.48</v>
      </c>
      <c r="N193" s="274">
        <v>85.76</v>
      </c>
      <c r="O193" s="274">
        <v>85.76</v>
      </c>
      <c r="P193" s="274">
        <v>85.76</v>
      </c>
      <c r="Q193" s="274">
        <v>85.76</v>
      </c>
      <c r="R193" s="410">
        <f t="shared" si="67"/>
        <v>1017.0400000000001</v>
      </c>
      <c r="T193" s="274">
        <f t="shared" si="65"/>
        <v>4.0131024801123072</v>
      </c>
      <c r="U193" s="274">
        <f t="shared" si="65"/>
        <v>4.0131024801123072</v>
      </c>
      <c r="V193" s="274">
        <f t="shared" si="65"/>
        <v>4.0131024801123072</v>
      </c>
      <c r="W193" s="274">
        <f t="shared" si="65"/>
        <v>4</v>
      </c>
      <c r="X193" s="274">
        <f t="shared" si="65"/>
        <v>4</v>
      </c>
      <c r="Y193" s="274">
        <f t="shared" si="65"/>
        <v>3.5002339728591481</v>
      </c>
      <c r="Z193" s="274">
        <f t="shared" si="65"/>
        <v>4</v>
      </c>
      <c r="AA193" s="274">
        <f t="shared" si="65"/>
        <v>4</v>
      </c>
      <c r="AB193" s="274">
        <f t="shared" si="65"/>
        <v>4.0131024801123072</v>
      </c>
      <c r="AC193" s="274">
        <f t="shared" si="68"/>
        <v>4</v>
      </c>
      <c r="AD193" s="274">
        <f t="shared" si="68"/>
        <v>4</v>
      </c>
      <c r="AE193" s="274">
        <f t="shared" si="68"/>
        <v>4</v>
      </c>
      <c r="AF193" s="277">
        <f t="shared" si="69"/>
        <v>47.552643893308378</v>
      </c>
      <c r="AG193" s="278">
        <f t="shared" si="70"/>
        <v>3.962720324442365</v>
      </c>
      <c r="AI193" s="412">
        <v>95</v>
      </c>
      <c r="AL193" s="412" t="str">
        <f t="shared" si="66"/>
        <v xml:space="preserve"> 1</v>
      </c>
      <c r="AM193" s="278">
        <f t="shared" si="71"/>
        <v>3.962720324442365</v>
      </c>
      <c r="AQ193" s="414">
        <f t="shared" si="72"/>
        <v>23.27709484447665</v>
      </c>
      <c r="AR193" s="415">
        <f t="shared" si="73"/>
        <v>1106.8874020101625</v>
      </c>
      <c r="AS193" s="415">
        <f t="shared" si="74"/>
        <v>89.847402010162455</v>
      </c>
      <c r="AW193" s="417">
        <f t="shared" si="75"/>
        <v>23.369282496330843</v>
      </c>
      <c r="AX193" s="417">
        <f t="shared" si="56"/>
        <v>1111.2711685901454</v>
      </c>
      <c r="AY193" s="418">
        <f t="shared" si="76"/>
        <v>4.3837665799828756</v>
      </c>
    </row>
    <row r="194" spans="1:51" s="182" customFormat="1" ht="12" customHeight="1">
      <c r="A194" s="239" t="s">
        <v>520</v>
      </c>
      <c r="B194" s="239" t="s">
        <v>521</v>
      </c>
      <c r="C194" s="240">
        <v>8.7899999999999991</v>
      </c>
      <c r="D194" s="240">
        <v>8.83</v>
      </c>
      <c r="E194" s="221"/>
      <c r="F194" s="222">
        <v>353.2</v>
      </c>
      <c r="G194" s="222">
        <v>353.2</v>
      </c>
      <c r="H194" s="222">
        <v>350.99</v>
      </c>
      <c r="I194" s="222">
        <v>325.23</v>
      </c>
      <c r="J194" s="222">
        <v>307.66000000000003</v>
      </c>
      <c r="K194" s="222">
        <v>304.58</v>
      </c>
      <c r="L194" s="222">
        <v>349.84</v>
      </c>
      <c r="M194" s="222">
        <v>341.05</v>
      </c>
      <c r="N194" s="222">
        <v>356.72</v>
      </c>
      <c r="O194" s="222">
        <v>377.98</v>
      </c>
      <c r="P194" s="222">
        <v>370.86</v>
      </c>
      <c r="Q194" s="222">
        <v>362.03</v>
      </c>
      <c r="R194" s="241">
        <f t="shared" si="67"/>
        <v>4153.34</v>
      </c>
      <c r="T194" s="222">
        <f t="shared" si="65"/>
        <v>40.182025028441416</v>
      </c>
      <c r="U194" s="222">
        <f t="shared" si="65"/>
        <v>40.182025028441416</v>
      </c>
      <c r="V194" s="222">
        <f t="shared" si="65"/>
        <v>39.930602957906714</v>
      </c>
      <c r="W194" s="222">
        <f t="shared" si="65"/>
        <v>37.000000000000007</v>
      </c>
      <c r="X194" s="222">
        <f t="shared" si="65"/>
        <v>35.001137656427765</v>
      </c>
      <c r="Y194" s="222">
        <f t="shared" si="65"/>
        <v>34.650739476678048</v>
      </c>
      <c r="Z194" s="222">
        <f t="shared" si="65"/>
        <v>39.799772468714451</v>
      </c>
      <c r="AA194" s="222">
        <f t="shared" si="65"/>
        <v>38.799772468714451</v>
      </c>
      <c r="AB194" s="222">
        <f t="shared" si="65"/>
        <v>40.582480091012521</v>
      </c>
      <c r="AC194" s="222">
        <f t="shared" si="68"/>
        <v>42.806342015855044</v>
      </c>
      <c r="AD194" s="222">
        <f t="shared" si="68"/>
        <v>42</v>
      </c>
      <c r="AE194" s="222">
        <f t="shared" si="68"/>
        <v>41</v>
      </c>
      <c r="AF194" s="261">
        <f t="shared" si="69"/>
        <v>471.93489719219178</v>
      </c>
      <c r="AG194" s="252">
        <f t="shared" si="70"/>
        <v>39.327908099349315</v>
      </c>
      <c r="AK194" s="242"/>
      <c r="AQ194" s="234">
        <f t="shared" si="72"/>
        <v>9.5866020278324999</v>
      </c>
      <c r="AR194" s="235">
        <f t="shared" si="73"/>
        <v>4524.2520424275881</v>
      </c>
      <c r="AS194" s="235">
        <f t="shared" si="74"/>
        <v>370.91204242758795</v>
      </c>
      <c r="AW194" s="237">
        <f t="shared" si="75"/>
        <v>9.6245692370616283</v>
      </c>
      <c r="AX194" s="237">
        <f t="shared" si="56"/>
        <v>4542.1700934118116</v>
      </c>
      <c r="AY194" s="238">
        <f t="shared" si="76"/>
        <v>17.918050984223555</v>
      </c>
    </row>
    <row r="195" spans="1:51" s="182" customFormat="1" ht="12" customHeight="1">
      <c r="A195" s="239" t="s">
        <v>522</v>
      </c>
      <c r="B195" s="239" t="s">
        <v>523</v>
      </c>
      <c r="C195" s="240">
        <v>17.579999999999998</v>
      </c>
      <c r="D195" s="240">
        <v>17.670000000000002</v>
      </c>
      <c r="E195" s="221"/>
      <c r="F195" s="222">
        <v>70.680000000000007</v>
      </c>
      <c r="G195" s="222">
        <v>70.680000000000007</v>
      </c>
      <c r="H195" s="222">
        <v>70.680000000000007</v>
      </c>
      <c r="I195" s="222">
        <v>35.159999999999997</v>
      </c>
      <c r="J195" s="222">
        <v>35.159999999999997</v>
      </c>
      <c r="K195" s="222">
        <v>35.159999999999997</v>
      </c>
      <c r="L195" s="222">
        <v>56.65</v>
      </c>
      <c r="M195" s="222">
        <v>70.319999999999993</v>
      </c>
      <c r="N195" s="222">
        <v>60.82</v>
      </c>
      <c r="O195" s="222">
        <v>53.01</v>
      </c>
      <c r="P195" s="222">
        <v>70.680000000000007</v>
      </c>
      <c r="Q195" s="222">
        <v>70.680000000000007</v>
      </c>
      <c r="R195" s="241">
        <f t="shared" si="67"/>
        <v>699.68000000000006</v>
      </c>
      <c r="T195" s="222">
        <f t="shared" si="65"/>
        <v>4.0204778156996595</v>
      </c>
      <c r="U195" s="222">
        <f t="shared" si="65"/>
        <v>4.0204778156996595</v>
      </c>
      <c r="V195" s="222">
        <f t="shared" si="65"/>
        <v>4.0204778156996595</v>
      </c>
      <c r="W195" s="222">
        <f t="shared" si="65"/>
        <v>2</v>
      </c>
      <c r="X195" s="222">
        <f t="shared" si="65"/>
        <v>2</v>
      </c>
      <c r="Y195" s="222">
        <f t="shared" si="65"/>
        <v>2</v>
      </c>
      <c r="Z195" s="222">
        <f t="shared" si="65"/>
        <v>3.2224118316268489</v>
      </c>
      <c r="AA195" s="222">
        <f t="shared" si="65"/>
        <v>4</v>
      </c>
      <c r="AB195" s="222">
        <f t="shared" si="65"/>
        <v>3.4596131968145625</v>
      </c>
      <c r="AC195" s="222">
        <f t="shared" si="68"/>
        <v>2.9999999999999996</v>
      </c>
      <c r="AD195" s="222">
        <f t="shared" si="68"/>
        <v>4</v>
      </c>
      <c r="AE195" s="222">
        <f t="shared" si="68"/>
        <v>4</v>
      </c>
      <c r="AF195" s="261">
        <f t="shared" si="69"/>
        <v>39.743458475540393</v>
      </c>
      <c r="AG195" s="252">
        <f t="shared" si="70"/>
        <v>3.3119548729616994</v>
      </c>
      <c r="AK195" s="242"/>
      <c r="AQ195" s="234">
        <f t="shared" si="72"/>
        <v>19.184060909603659</v>
      </c>
      <c r="AR195" s="235">
        <f t="shared" si="73"/>
        <v>762.44092815307067</v>
      </c>
      <c r="AS195" s="235">
        <f t="shared" si="74"/>
        <v>62.760928153070608</v>
      </c>
      <c r="AW195" s="237">
        <f t="shared" si="75"/>
        <v>19.260038326033865</v>
      </c>
      <c r="AX195" s="237">
        <f t="shared" si="56"/>
        <v>765.46053344804341</v>
      </c>
      <c r="AY195" s="238">
        <f t="shared" si="76"/>
        <v>3.0196052949727346</v>
      </c>
    </row>
    <row r="196" spans="1:51" s="182" customFormat="1" ht="12" customHeight="1">
      <c r="A196" s="239" t="s">
        <v>524</v>
      </c>
      <c r="B196" s="239" t="s">
        <v>525</v>
      </c>
      <c r="C196" s="240">
        <v>4.41</v>
      </c>
      <c r="D196" s="240">
        <v>4.43</v>
      </c>
      <c r="E196" s="221"/>
      <c r="F196" s="222">
        <v>44.3</v>
      </c>
      <c r="G196" s="222">
        <v>44.3</v>
      </c>
      <c r="H196" s="222">
        <v>44.3</v>
      </c>
      <c r="I196" s="222">
        <v>46.3</v>
      </c>
      <c r="J196" s="222">
        <v>44.83</v>
      </c>
      <c r="K196" s="222">
        <v>48.51</v>
      </c>
      <c r="L196" s="222">
        <v>52.92</v>
      </c>
      <c r="M196" s="222">
        <v>52.92</v>
      </c>
      <c r="N196" s="222">
        <v>53.16</v>
      </c>
      <c r="O196" s="222">
        <v>53.16</v>
      </c>
      <c r="P196" s="222">
        <v>48.73</v>
      </c>
      <c r="Q196" s="222">
        <v>45.78</v>
      </c>
      <c r="R196" s="241">
        <f t="shared" si="67"/>
        <v>579.20999999999992</v>
      </c>
      <c r="T196" s="222">
        <f t="shared" si="65"/>
        <v>10.045351473922901</v>
      </c>
      <c r="U196" s="222">
        <f t="shared" si="65"/>
        <v>10.045351473922901</v>
      </c>
      <c r="V196" s="222">
        <f t="shared" si="65"/>
        <v>10.045351473922901</v>
      </c>
      <c r="W196" s="222">
        <f t="shared" si="65"/>
        <v>10.498866213151926</v>
      </c>
      <c r="X196" s="222">
        <f t="shared" si="65"/>
        <v>10.165532879818594</v>
      </c>
      <c r="Y196" s="222">
        <f t="shared" si="65"/>
        <v>11</v>
      </c>
      <c r="Z196" s="222">
        <f t="shared" si="65"/>
        <v>12</v>
      </c>
      <c r="AA196" s="222">
        <f t="shared" si="65"/>
        <v>12</v>
      </c>
      <c r="AB196" s="222">
        <f t="shared" si="65"/>
        <v>12.054421768707481</v>
      </c>
      <c r="AC196" s="222">
        <f t="shared" si="68"/>
        <v>12</v>
      </c>
      <c r="AD196" s="222">
        <f t="shared" si="68"/>
        <v>11</v>
      </c>
      <c r="AE196" s="222">
        <f t="shared" si="68"/>
        <v>10.33408577878104</v>
      </c>
      <c r="AF196" s="261">
        <f t="shared" si="69"/>
        <v>131.18896106222775</v>
      </c>
      <c r="AG196" s="252">
        <f t="shared" si="70"/>
        <v>10.932413421852312</v>
      </c>
      <c r="AK196" s="242"/>
      <c r="AQ196" s="234">
        <f t="shared" si="72"/>
        <v>4.8095862948242329</v>
      </c>
      <c r="AR196" s="235">
        <f t="shared" si="73"/>
        <v>630.9646291571205</v>
      </c>
      <c r="AS196" s="235">
        <f t="shared" si="74"/>
        <v>51.754629157120576</v>
      </c>
      <c r="AW196" s="237">
        <f t="shared" si="75"/>
        <v>4.8286343963967173</v>
      </c>
      <c r="AX196" s="237">
        <f t="shared" si="56"/>
        <v>633.46352981262248</v>
      </c>
      <c r="AY196" s="238">
        <f t="shared" si="76"/>
        <v>2.4989006555019841</v>
      </c>
    </row>
    <row r="197" spans="1:51" s="182" customFormat="1" ht="12" customHeight="1">
      <c r="A197" s="239" t="s">
        <v>526</v>
      </c>
      <c r="B197" s="239" t="s">
        <v>527</v>
      </c>
      <c r="C197" s="240">
        <v>0</v>
      </c>
      <c r="D197" s="240">
        <v>0</v>
      </c>
      <c r="E197" s="221"/>
      <c r="F197" s="222">
        <v>0</v>
      </c>
      <c r="G197" s="222">
        <v>0</v>
      </c>
      <c r="H197" s="222">
        <v>0</v>
      </c>
      <c r="I197" s="222">
        <v>0</v>
      </c>
      <c r="J197" s="222">
        <v>0</v>
      </c>
      <c r="K197" s="222">
        <v>0</v>
      </c>
      <c r="L197" s="222">
        <v>0</v>
      </c>
      <c r="M197" s="222">
        <v>0</v>
      </c>
      <c r="N197" s="222">
        <v>0</v>
      </c>
      <c r="O197" s="222">
        <v>0</v>
      </c>
      <c r="P197" s="222">
        <v>0</v>
      </c>
      <c r="Q197" s="222">
        <v>0</v>
      </c>
      <c r="R197" s="241">
        <f t="shared" si="67"/>
        <v>0</v>
      </c>
      <c r="T197" s="222">
        <f t="shared" si="65"/>
        <v>0</v>
      </c>
      <c r="U197" s="222">
        <f t="shared" si="65"/>
        <v>0</v>
      </c>
      <c r="V197" s="222">
        <f t="shared" si="65"/>
        <v>0</v>
      </c>
      <c r="W197" s="222">
        <f t="shared" si="65"/>
        <v>0</v>
      </c>
      <c r="X197" s="222">
        <f t="shared" si="65"/>
        <v>0</v>
      </c>
      <c r="Y197" s="222">
        <f t="shared" si="65"/>
        <v>0</v>
      </c>
      <c r="Z197" s="222">
        <f t="shared" si="65"/>
        <v>0</v>
      </c>
      <c r="AA197" s="222">
        <f t="shared" si="65"/>
        <v>0</v>
      </c>
      <c r="AB197" s="222">
        <f t="shared" si="65"/>
        <v>0</v>
      </c>
      <c r="AC197" s="222">
        <f t="shared" si="68"/>
        <v>0</v>
      </c>
      <c r="AD197" s="222">
        <f t="shared" si="68"/>
        <v>0</v>
      </c>
      <c r="AE197" s="222">
        <f t="shared" si="68"/>
        <v>0</v>
      </c>
      <c r="AF197" s="261">
        <f t="shared" si="69"/>
        <v>0</v>
      </c>
      <c r="AG197" s="252">
        <f t="shared" si="70"/>
        <v>0</v>
      </c>
      <c r="AK197" s="242"/>
      <c r="AQ197" s="234">
        <f t="shared" si="72"/>
        <v>0</v>
      </c>
      <c r="AR197" s="235">
        <f t="shared" si="73"/>
        <v>0</v>
      </c>
      <c r="AS197" s="235">
        <f t="shared" si="74"/>
        <v>0</v>
      </c>
      <c r="AW197" s="237">
        <f t="shared" si="75"/>
        <v>0</v>
      </c>
      <c r="AX197" s="237">
        <f t="shared" si="56"/>
        <v>0</v>
      </c>
      <c r="AY197" s="238">
        <f t="shared" si="76"/>
        <v>0</v>
      </c>
    </row>
    <row r="198" spans="1:51" s="411" customFormat="1" ht="12" customHeight="1">
      <c r="A198" s="408" t="s">
        <v>528</v>
      </c>
      <c r="B198" s="408" t="s">
        <v>529</v>
      </c>
      <c r="C198" s="272">
        <v>33.24</v>
      </c>
      <c r="D198" s="272">
        <v>33.85</v>
      </c>
      <c r="E198" s="409"/>
      <c r="F198" s="274">
        <v>0</v>
      </c>
      <c r="G198" s="274">
        <v>0</v>
      </c>
      <c r="H198" s="274">
        <v>135.4</v>
      </c>
      <c r="I198" s="274">
        <v>0</v>
      </c>
      <c r="J198" s="274">
        <v>66.48</v>
      </c>
      <c r="K198" s="274">
        <v>132.96</v>
      </c>
      <c r="L198" s="274">
        <v>166.2</v>
      </c>
      <c r="M198" s="274">
        <v>0</v>
      </c>
      <c r="N198" s="274">
        <v>132.96</v>
      </c>
      <c r="O198" s="274">
        <v>135.4</v>
      </c>
      <c r="P198" s="274">
        <v>0</v>
      </c>
      <c r="Q198" s="274">
        <v>0</v>
      </c>
      <c r="R198" s="410">
        <f t="shared" si="67"/>
        <v>769.4</v>
      </c>
      <c r="T198" s="274">
        <f t="shared" si="65"/>
        <v>0</v>
      </c>
      <c r="U198" s="274">
        <f t="shared" si="65"/>
        <v>0</v>
      </c>
      <c r="V198" s="274">
        <f t="shared" si="65"/>
        <v>4.0734055354993979</v>
      </c>
      <c r="W198" s="274">
        <f t="shared" si="65"/>
        <v>0</v>
      </c>
      <c r="X198" s="274">
        <f t="shared" si="65"/>
        <v>2</v>
      </c>
      <c r="Y198" s="274">
        <f t="shared" si="65"/>
        <v>4</v>
      </c>
      <c r="Z198" s="274">
        <f t="shared" si="65"/>
        <v>4.9999999999999991</v>
      </c>
      <c r="AA198" s="274">
        <f t="shared" si="65"/>
        <v>0</v>
      </c>
      <c r="AB198" s="274">
        <f t="shared" si="65"/>
        <v>4</v>
      </c>
      <c r="AC198" s="274">
        <f t="shared" si="68"/>
        <v>4</v>
      </c>
      <c r="AD198" s="274">
        <f t="shared" si="68"/>
        <v>0</v>
      </c>
      <c r="AE198" s="274">
        <f t="shared" si="68"/>
        <v>0</v>
      </c>
      <c r="AF198" s="277">
        <f t="shared" si="69"/>
        <v>23.073405535499397</v>
      </c>
      <c r="AG198" s="278">
        <f t="shared" si="70"/>
        <v>1.9227837946249497</v>
      </c>
      <c r="AK198" s="412"/>
      <c r="AQ198" s="414">
        <f t="shared" si="72"/>
        <v>36.750450582347696</v>
      </c>
      <c r="AR198" s="415">
        <f t="shared" si="73"/>
        <v>847.95804989883845</v>
      </c>
      <c r="AS198" s="415">
        <f t="shared" si="74"/>
        <v>78.558049898838476</v>
      </c>
      <c r="AW198" s="417">
        <f t="shared" si="75"/>
        <v>36.895998717388018</v>
      </c>
      <c r="AX198" s="417">
        <f t="shared" si="56"/>
        <v>851.31634104355931</v>
      </c>
      <c r="AY198" s="418">
        <f t="shared" si="76"/>
        <v>3.3582911447208517</v>
      </c>
    </row>
    <row r="199" spans="1:51" s="411" customFormat="1" ht="12" customHeight="1">
      <c r="A199" s="408" t="s">
        <v>530</v>
      </c>
      <c r="B199" s="408" t="s">
        <v>531</v>
      </c>
      <c r="C199" s="272">
        <v>3.38</v>
      </c>
      <c r="D199" s="272">
        <v>3.39</v>
      </c>
      <c r="E199" s="409"/>
      <c r="F199" s="274">
        <v>2745.8999999999996</v>
      </c>
      <c r="G199" s="274">
        <v>3420.51</v>
      </c>
      <c r="H199" s="274">
        <v>2766.24</v>
      </c>
      <c r="I199" s="274">
        <v>2818.92</v>
      </c>
      <c r="J199" s="274">
        <v>3140.02</v>
      </c>
      <c r="K199" s="274">
        <v>2589.08</v>
      </c>
      <c r="L199" s="274">
        <v>3369.86</v>
      </c>
      <c r="M199" s="274">
        <v>2734.42</v>
      </c>
      <c r="N199" s="274">
        <v>2908.62</v>
      </c>
      <c r="O199" s="274">
        <v>3400.17</v>
      </c>
      <c r="P199" s="274">
        <v>2511.9899999999998</v>
      </c>
      <c r="Q199" s="274">
        <v>2810.3100000000004</v>
      </c>
      <c r="R199" s="410">
        <f t="shared" si="67"/>
        <v>35216.039999999994</v>
      </c>
      <c r="T199" s="274">
        <f t="shared" si="65"/>
        <v>812.3964497041419</v>
      </c>
      <c r="U199" s="274">
        <f t="shared" si="65"/>
        <v>1011.9852071005918</v>
      </c>
      <c r="V199" s="274">
        <f t="shared" si="65"/>
        <v>818.41420118343194</v>
      </c>
      <c r="W199" s="274">
        <f t="shared" si="65"/>
        <v>834</v>
      </c>
      <c r="X199" s="274">
        <f t="shared" si="65"/>
        <v>929</v>
      </c>
      <c r="Y199" s="274">
        <f t="shared" si="65"/>
        <v>766</v>
      </c>
      <c r="Z199" s="274">
        <f t="shared" si="65"/>
        <v>997.00000000000011</v>
      </c>
      <c r="AA199" s="274">
        <f t="shared" si="65"/>
        <v>809</v>
      </c>
      <c r="AB199" s="274">
        <f t="shared" si="65"/>
        <v>860.53846153846155</v>
      </c>
      <c r="AC199" s="274">
        <f t="shared" si="68"/>
        <v>1003</v>
      </c>
      <c r="AD199" s="274">
        <f t="shared" si="68"/>
        <v>740.99999999999989</v>
      </c>
      <c r="AE199" s="274">
        <f t="shared" si="68"/>
        <v>829.00000000000011</v>
      </c>
      <c r="AF199" s="277">
        <f t="shared" si="69"/>
        <v>10411.334319526628</v>
      </c>
      <c r="AG199" s="278">
        <f t="shared" si="70"/>
        <v>867.61119329388566</v>
      </c>
      <c r="AH199" s="425">
        <f>+AG199/4.33</f>
        <v>200.37210006787197</v>
      </c>
      <c r="AJ199" s="411">
        <v>32</v>
      </c>
      <c r="AK199" s="412"/>
      <c r="AL199" s="411">
        <v>1</v>
      </c>
      <c r="AM199" s="411">
        <f>+AH199*AL199</f>
        <v>200.37210006787197</v>
      </c>
      <c r="AQ199" s="414">
        <f t="shared" si="72"/>
        <v>3.680473485204097</v>
      </c>
      <c r="AR199" s="415">
        <f t="shared" si="73"/>
        <v>38318.639908613193</v>
      </c>
      <c r="AS199" s="415">
        <f t="shared" si="74"/>
        <v>3102.5999086131997</v>
      </c>
      <c r="AW199" s="417">
        <f t="shared" si="75"/>
        <v>3.6950497976941024</v>
      </c>
      <c r="AX199" s="417">
        <f t="shared" si="56"/>
        <v>38470.398771092536</v>
      </c>
      <c r="AY199" s="418">
        <f t="shared" si="76"/>
        <v>151.7588624793425</v>
      </c>
    </row>
    <row r="200" spans="1:51" s="182" customFormat="1" ht="12" customHeight="1">
      <c r="A200" s="239" t="s">
        <v>532</v>
      </c>
      <c r="B200" s="239" t="s">
        <v>533</v>
      </c>
      <c r="C200" s="240">
        <v>16</v>
      </c>
      <c r="D200" s="240">
        <v>16.04</v>
      </c>
      <c r="E200" s="221"/>
      <c r="F200" s="222">
        <v>0</v>
      </c>
      <c r="G200" s="222">
        <v>0</v>
      </c>
      <c r="H200" s="222">
        <v>0</v>
      </c>
      <c r="I200" s="222">
        <v>0</v>
      </c>
      <c r="J200" s="222">
        <v>0</v>
      </c>
      <c r="K200" s="222">
        <v>0</v>
      </c>
      <c r="L200" s="222">
        <v>0</v>
      </c>
      <c r="M200" s="222">
        <v>0</v>
      </c>
      <c r="N200" s="222">
        <v>0</v>
      </c>
      <c r="O200" s="222">
        <v>0</v>
      </c>
      <c r="P200" s="222">
        <v>0</v>
      </c>
      <c r="Q200" s="222">
        <v>0</v>
      </c>
      <c r="R200" s="241">
        <f t="shared" si="67"/>
        <v>0</v>
      </c>
      <c r="T200" s="222">
        <f t="shared" si="65"/>
        <v>0</v>
      </c>
      <c r="U200" s="222">
        <f t="shared" si="65"/>
        <v>0</v>
      </c>
      <c r="V200" s="222">
        <f t="shared" si="65"/>
        <v>0</v>
      </c>
      <c r="W200" s="222">
        <f t="shared" si="65"/>
        <v>0</v>
      </c>
      <c r="X200" s="222">
        <f t="shared" si="65"/>
        <v>0</v>
      </c>
      <c r="Y200" s="222">
        <f t="shared" si="65"/>
        <v>0</v>
      </c>
      <c r="Z200" s="222">
        <f t="shared" si="65"/>
        <v>0</v>
      </c>
      <c r="AA200" s="222">
        <f t="shared" si="65"/>
        <v>0</v>
      </c>
      <c r="AB200" s="222">
        <f t="shared" si="65"/>
        <v>0</v>
      </c>
      <c r="AC200" s="222">
        <f t="shared" si="68"/>
        <v>0</v>
      </c>
      <c r="AD200" s="222">
        <f t="shared" si="68"/>
        <v>0</v>
      </c>
      <c r="AE200" s="222">
        <f t="shared" si="68"/>
        <v>0</v>
      </c>
      <c r="AF200" s="261">
        <f t="shared" si="69"/>
        <v>0</v>
      </c>
      <c r="AG200" s="252">
        <f t="shared" si="70"/>
        <v>0</v>
      </c>
      <c r="AK200" s="242"/>
      <c r="AQ200" s="234">
        <f t="shared" si="72"/>
        <v>17.414393717602866</v>
      </c>
      <c r="AR200" s="235">
        <f t="shared" si="73"/>
        <v>0</v>
      </c>
      <c r="AS200" s="235">
        <f t="shared" si="74"/>
        <v>0</v>
      </c>
      <c r="AW200" s="237">
        <f t="shared" si="75"/>
        <v>17.483362464605722</v>
      </c>
      <c r="AX200" s="237">
        <f t="shared" si="56"/>
        <v>0</v>
      </c>
      <c r="AY200" s="238">
        <f t="shared" si="76"/>
        <v>0</v>
      </c>
    </row>
    <row r="201" spans="1:51" s="182" customFormat="1" ht="12" customHeight="1">
      <c r="A201" s="239" t="s">
        <v>534</v>
      </c>
      <c r="B201" s="239" t="s">
        <v>535</v>
      </c>
      <c r="C201" s="240">
        <v>16</v>
      </c>
      <c r="D201" s="240">
        <v>16.04</v>
      </c>
      <c r="E201" s="221"/>
      <c r="F201" s="222">
        <v>0</v>
      </c>
      <c r="G201" s="222">
        <v>0</v>
      </c>
      <c r="H201" s="222">
        <v>0</v>
      </c>
      <c r="I201" s="222">
        <v>0</v>
      </c>
      <c r="J201" s="222">
        <v>0</v>
      </c>
      <c r="K201" s="222">
        <v>0</v>
      </c>
      <c r="L201" s="222">
        <v>0</v>
      </c>
      <c r="M201" s="222">
        <v>0</v>
      </c>
      <c r="N201" s="222">
        <v>0</v>
      </c>
      <c r="O201" s="222">
        <v>0</v>
      </c>
      <c r="P201" s="222">
        <v>0</v>
      </c>
      <c r="Q201" s="222">
        <v>0</v>
      </c>
      <c r="R201" s="241">
        <f t="shared" si="67"/>
        <v>0</v>
      </c>
      <c r="T201" s="222">
        <f t="shared" si="65"/>
        <v>0</v>
      </c>
      <c r="U201" s="222">
        <f t="shared" si="65"/>
        <v>0</v>
      </c>
      <c r="V201" s="222">
        <f t="shared" si="65"/>
        <v>0</v>
      </c>
      <c r="W201" s="222">
        <f t="shared" si="65"/>
        <v>0</v>
      </c>
      <c r="X201" s="222">
        <f t="shared" si="65"/>
        <v>0</v>
      </c>
      <c r="Y201" s="222">
        <f t="shared" si="65"/>
        <v>0</v>
      </c>
      <c r="Z201" s="222">
        <f t="shared" si="65"/>
        <v>0</v>
      </c>
      <c r="AA201" s="222">
        <f t="shared" si="65"/>
        <v>0</v>
      </c>
      <c r="AB201" s="222">
        <f t="shared" si="65"/>
        <v>0</v>
      </c>
      <c r="AC201" s="222">
        <f t="shared" si="68"/>
        <v>0</v>
      </c>
      <c r="AD201" s="222">
        <f t="shared" si="68"/>
        <v>0</v>
      </c>
      <c r="AE201" s="222">
        <f t="shared" si="68"/>
        <v>0</v>
      </c>
      <c r="AF201" s="261">
        <f t="shared" si="69"/>
        <v>0</v>
      </c>
      <c r="AG201" s="252">
        <f t="shared" si="70"/>
        <v>0</v>
      </c>
      <c r="AK201" s="242"/>
      <c r="AQ201" s="234">
        <f t="shared" si="72"/>
        <v>17.414393717602866</v>
      </c>
      <c r="AR201" s="235">
        <f t="shared" si="73"/>
        <v>0</v>
      </c>
      <c r="AS201" s="235">
        <f t="shared" si="74"/>
        <v>0</v>
      </c>
      <c r="AW201" s="237">
        <f t="shared" si="75"/>
        <v>17.483362464605722</v>
      </c>
      <c r="AX201" s="237">
        <f t="shared" si="56"/>
        <v>0</v>
      </c>
      <c r="AY201" s="238">
        <f t="shared" si="76"/>
        <v>0</v>
      </c>
    </row>
    <row r="202" spans="1:51" s="182" customFormat="1" ht="12" customHeight="1">
      <c r="A202" s="239" t="s">
        <v>536</v>
      </c>
      <c r="B202" s="239" t="s">
        <v>315</v>
      </c>
      <c r="C202" s="240">
        <v>75</v>
      </c>
      <c r="D202" s="240">
        <v>75</v>
      </c>
      <c r="E202" s="221"/>
      <c r="F202" s="222">
        <v>0</v>
      </c>
      <c r="G202" s="222">
        <v>0</v>
      </c>
      <c r="H202" s="222">
        <v>0</v>
      </c>
      <c r="I202" s="222">
        <v>0</v>
      </c>
      <c r="J202" s="222">
        <v>0</v>
      </c>
      <c r="K202" s="222">
        <v>0</v>
      </c>
      <c r="L202" s="222">
        <v>0</v>
      </c>
      <c r="M202" s="222">
        <v>0</v>
      </c>
      <c r="N202" s="222">
        <v>0</v>
      </c>
      <c r="O202" s="222">
        <v>0</v>
      </c>
      <c r="P202" s="222">
        <v>0</v>
      </c>
      <c r="Q202" s="222">
        <v>0</v>
      </c>
      <c r="R202" s="241">
        <f t="shared" si="67"/>
        <v>0</v>
      </c>
      <c r="T202" s="222">
        <f t="shared" si="65"/>
        <v>0</v>
      </c>
      <c r="U202" s="222">
        <f t="shared" si="65"/>
        <v>0</v>
      </c>
      <c r="V202" s="222">
        <f t="shared" si="65"/>
        <v>0</v>
      </c>
      <c r="W202" s="222">
        <f t="shared" si="65"/>
        <v>0</v>
      </c>
      <c r="X202" s="222">
        <f t="shared" si="65"/>
        <v>0</v>
      </c>
      <c r="Y202" s="222">
        <f t="shared" si="65"/>
        <v>0</v>
      </c>
      <c r="Z202" s="222">
        <f t="shared" si="65"/>
        <v>0</v>
      </c>
      <c r="AA202" s="222">
        <f t="shared" si="65"/>
        <v>0</v>
      </c>
      <c r="AB202" s="222">
        <f t="shared" si="65"/>
        <v>0</v>
      </c>
      <c r="AC202" s="222">
        <f t="shared" si="68"/>
        <v>0</v>
      </c>
      <c r="AD202" s="222">
        <f t="shared" si="68"/>
        <v>0</v>
      </c>
      <c r="AE202" s="222">
        <f t="shared" si="68"/>
        <v>0</v>
      </c>
      <c r="AF202" s="261">
        <f t="shared" si="69"/>
        <v>0</v>
      </c>
      <c r="AG202" s="252">
        <f t="shared" si="70"/>
        <v>0</v>
      </c>
      <c r="AK202" s="242"/>
      <c r="AQ202" s="234">
        <f t="shared" si="72"/>
        <v>81.426404539913648</v>
      </c>
      <c r="AR202" s="235">
        <f t="shared" si="73"/>
        <v>0</v>
      </c>
      <c r="AS202" s="235">
        <f t="shared" si="74"/>
        <v>0</v>
      </c>
      <c r="AW202" s="237">
        <f t="shared" si="75"/>
        <v>81.748889329515535</v>
      </c>
      <c r="AX202" s="237">
        <f t="shared" si="56"/>
        <v>0</v>
      </c>
      <c r="AY202" s="238">
        <f t="shared" si="76"/>
        <v>0</v>
      </c>
    </row>
    <row r="203" spans="1:51" s="182" customFormat="1" ht="12" customHeight="1">
      <c r="A203" s="239" t="s">
        <v>537</v>
      </c>
      <c r="B203" s="239" t="s">
        <v>538</v>
      </c>
      <c r="C203" s="240">
        <v>0</v>
      </c>
      <c r="D203" s="240">
        <v>0</v>
      </c>
      <c r="E203" s="221"/>
      <c r="F203" s="222">
        <v>0</v>
      </c>
      <c r="G203" s="222">
        <v>0</v>
      </c>
      <c r="H203" s="222">
        <v>0</v>
      </c>
      <c r="I203" s="222">
        <v>0</v>
      </c>
      <c r="J203" s="222">
        <v>0</v>
      </c>
      <c r="K203" s="222">
        <v>0</v>
      </c>
      <c r="L203" s="222">
        <v>0</v>
      </c>
      <c r="M203" s="222">
        <v>0</v>
      </c>
      <c r="N203" s="222">
        <v>0</v>
      </c>
      <c r="O203" s="222">
        <v>0</v>
      </c>
      <c r="P203" s="222">
        <v>0</v>
      </c>
      <c r="Q203" s="222">
        <v>0</v>
      </c>
      <c r="R203" s="241">
        <f t="shared" si="67"/>
        <v>0</v>
      </c>
      <c r="T203" s="222">
        <f t="shared" si="65"/>
        <v>0</v>
      </c>
      <c r="U203" s="222">
        <f t="shared" si="65"/>
        <v>0</v>
      </c>
      <c r="V203" s="222">
        <f t="shared" si="65"/>
        <v>0</v>
      </c>
      <c r="W203" s="222">
        <f t="shared" si="65"/>
        <v>0</v>
      </c>
      <c r="X203" s="222">
        <f t="shared" si="65"/>
        <v>0</v>
      </c>
      <c r="Y203" s="222">
        <f t="shared" si="65"/>
        <v>0</v>
      </c>
      <c r="Z203" s="222">
        <f t="shared" si="65"/>
        <v>0</v>
      </c>
      <c r="AA203" s="222">
        <f t="shared" si="65"/>
        <v>0</v>
      </c>
      <c r="AB203" s="222">
        <f t="shared" si="65"/>
        <v>0</v>
      </c>
      <c r="AC203" s="222">
        <f t="shared" si="68"/>
        <v>0</v>
      </c>
      <c r="AD203" s="222">
        <f t="shared" si="68"/>
        <v>0</v>
      </c>
      <c r="AE203" s="222">
        <f t="shared" si="68"/>
        <v>0</v>
      </c>
      <c r="AF203" s="261">
        <f t="shared" si="69"/>
        <v>0</v>
      </c>
      <c r="AG203" s="252">
        <f t="shared" si="70"/>
        <v>0</v>
      </c>
      <c r="AK203" s="242"/>
      <c r="AQ203" s="234">
        <f t="shared" si="72"/>
        <v>0</v>
      </c>
      <c r="AR203" s="235">
        <f t="shared" si="73"/>
        <v>0</v>
      </c>
      <c r="AS203" s="235">
        <f t="shared" si="74"/>
        <v>0</v>
      </c>
      <c r="AW203" s="237">
        <f t="shared" si="75"/>
        <v>0</v>
      </c>
      <c r="AX203" s="237">
        <f t="shared" si="56"/>
        <v>0</v>
      </c>
      <c r="AY203" s="238">
        <f t="shared" si="76"/>
        <v>0</v>
      </c>
    </row>
    <row r="204" spans="1:51" s="182" customFormat="1" ht="12" customHeight="1">
      <c r="A204" s="239" t="s">
        <v>539</v>
      </c>
      <c r="B204" s="239" t="s">
        <v>540</v>
      </c>
      <c r="C204" s="240">
        <v>46.37</v>
      </c>
      <c r="D204" s="240">
        <v>46.49</v>
      </c>
      <c r="E204" s="221"/>
      <c r="F204" s="222">
        <v>46.49</v>
      </c>
      <c r="G204" s="222">
        <v>0</v>
      </c>
      <c r="H204" s="222">
        <v>46.49</v>
      </c>
      <c r="I204" s="222">
        <v>0</v>
      </c>
      <c r="J204" s="222">
        <v>46.37</v>
      </c>
      <c r="K204" s="222">
        <v>0</v>
      </c>
      <c r="L204" s="222">
        <v>46.37</v>
      </c>
      <c r="M204" s="222">
        <v>92.74</v>
      </c>
      <c r="N204" s="222">
        <v>0</v>
      </c>
      <c r="O204" s="222">
        <v>0</v>
      </c>
      <c r="P204" s="222">
        <v>0</v>
      </c>
      <c r="Q204" s="222">
        <v>0</v>
      </c>
      <c r="R204" s="241">
        <f t="shared" si="67"/>
        <v>278.45999999999998</v>
      </c>
      <c r="T204" s="222">
        <f t="shared" si="65"/>
        <v>1.0025878800948891</v>
      </c>
      <c r="U204" s="222">
        <f t="shared" si="65"/>
        <v>0</v>
      </c>
      <c r="V204" s="222">
        <f t="shared" si="65"/>
        <v>1.0025878800948891</v>
      </c>
      <c r="W204" s="222">
        <f t="shared" si="65"/>
        <v>0</v>
      </c>
      <c r="X204" s="222">
        <f t="shared" si="65"/>
        <v>1</v>
      </c>
      <c r="Y204" s="222">
        <f t="shared" si="65"/>
        <v>0</v>
      </c>
      <c r="Z204" s="222">
        <f t="shared" si="65"/>
        <v>1</v>
      </c>
      <c r="AA204" s="222">
        <f t="shared" si="65"/>
        <v>2</v>
      </c>
      <c r="AB204" s="222">
        <f t="shared" si="65"/>
        <v>0</v>
      </c>
      <c r="AC204" s="222">
        <f t="shared" si="68"/>
        <v>0</v>
      </c>
      <c r="AD204" s="222">
        <f t="shared" si="68"/>
        <v>0</v>
      </c>
      <c r="AE204" s="222">
        <f t="shared" si="68"/>
        <v>0</v>
      </c>
      <c r="AF204" s="261">
        <f t="shared" si="69"/>
        <v>6.0051757601897782</v>
      </c>
      <c r="AG204" s="252">
        <f t="shared" si="70"/>
        <v>0.50043131334914814</v>
      </c>
      <c r="AK204" s="242"/>
      <c r="AQ204" s="234">
        <f t="shared" si="72"/>
        <v>50.473513960807807</v>
      </c>
      <c r="AR204" s="235">
        <f t="shared" si="73"/>
        <v>303.10232256904339</v>
      </c>
      <c r="AS204" s="235">
        <f t="shared" si="74"/>
        <v>24.642322569043415</v>
      </c>
      <c r="AW204" s="237">
        <f t="shared" si="75"/>
        <v>50.673411532389032</v>
      </c>
      <c r="AX204" s="237">
        <f t="shared" si="56"/>
        <v>304.30274262042377</v>
      </c>
      <c r="AY204" s="238">
        <f t="shared" si="76"/>
        <v>1.2004200513803767</v>
      </c>
    </row>
    <row r="205" spans="1:51" s="182" customFormat="1" ht="12" customHeight="1">
      <c r="A205" s="239" t="s">
        <v>541</v>
      </c>
      <c r="B205" s="239" t="s">
        <v>542</v>
      </c>
      <c r="C205" s="240">
        <v>46.37</v>
      </c>
      <c r="D205" s="240">
        <v>46.49</v>
      </c>
      <c r="E205" s="221"/>
      <c r="F205" s="222">
        <v>0</v>
      </c>
      <c r="G205" s="222">
        <v>46.49</v>
      </c>
      <c r="H205" s="222">
        <v>139.47</v>
      </c>
      <c r="I205" s="222">
        <v>46.37</v>
      </c>
      <c r="J205" s="222">
        <v>92.74</v>
      </c>
      <c r="K205" s="222">
        <v>46.37</v>
      </c>
      <c r="L205" s="222">
        <v>231.85</v>
      </c>
      <c r="M205" s="222">
        <v>139.11000000000001</v>
      </c>
      <c r="N205" s="222">
        <v>46.37</v>
      </c>
      <c r="O205" s="222">
        <v>46.49</v>
      </c>
      <c r="P205" s="222">
        <v>0</v>
      </c>
      <c r="Q205" s="222">
        <v>0</v>
      </c>
      <c r="R205" s="241">
        <f t="shared" si="67"/>
        <v>835.26</v>
      </c>
      <c r="T205" s="222">
        <f t="shared" si="65"/>
        <v>0</v>
      </c>
      <c r="U205" s="222">
        <f t="shared" si="65"/>
        <v>1.0025878800948891</v>
      </c>
      <c r="V205" s="222">
        <f t="shared" si="65"/>
        <v>3.0077636402846668</v>
      </c>
      <c r="W205" s="222">
        <f t="shared" si="65"/>
        <v>1</v>
      </c>
      <c r="X205" s="222">
        <f t="shared" si="65"/>
        <v>2</v>
      </c>
      <c r="Y205" s="222">
        <f t="shared" si="65"/>
        <v>1</v>
      </c>
      <c r="Z205" s="222">
        <f t="shared" si="65"/>
        <v>5</v>
      </c>
      <c r="AA205" s="222">
        <f t="shared" si="65"/>
        <v>3.0000000000000004</v>
      </c>
      <c r="AB205" s="222">
        <f t="shared" si="65"/>
        <v>1</v>
      </c>
      <c r="AC205" s="222">
        <f t="shared" si="68"/>
        <v>1</v>
      </c>
      <c r="AD205" s="222">
        <f t="shared" si="68"/>
        <v>0</v>
      </c>
      <c r="AE205" s="222">
        <f t="shared" si="68"/>
        <v>0</v>
      </c>
      <c r="AF205" s="261">
        <f t="shared" si="69"/>
        <v>18.010351520379558</v>
      </c>
      <c r="AG205" s="252">
        <f t="shared" si="70"/>
        <v>1.5008626266982965</v>
      </c>
      <c r="AK205" s="242"/>
      <c r="AQ205" s="234">
        <f t="shared" si="72"/>
        <v>50.473513960807807</v>
      </c>
      <c r="AR205" s="235">
        <f t="shared" si="73"/>
        <v>909.04572890293366</v>
      </c>
      <c r="AS205" s="235">
        <f t="shared" si="74"/>
        <v>73.78572890293367</v>
      </c>
      <c r="AW205" s="237">
        <f t="shared" si="75"/>
        <v>50.673411532389032</v>
      </c>
      <c r="AX205" s="237">
        <f t="shared" ref="AX205:AX268" si="77">AG205*AW205*12</f>
        <v>912.64595443518192</v>
      </c>
      <c r="AY205" s="238">
        <f t="shared" si="76"/>
        <v>3.6002255322482597</v>
      </c>
    </row>
    <row r="206" spans="1:51" s="182" customFormat="1" ht="12" customHeight="1">
      <c r="A206" s="239" t="s">
        <v>543</v>
      </c>
      <c r="B206" s="239" t="s">
        <v>544</v>
      </c>
      <c r="C206" s="240">
        <v>46.37</v>
      </c>
      <c r="D206" s="240">
        <v>46.49</v>
      </c>
      <c r="E206" s="221"/>
      <c r="F206" s="222">
        <v>185.96</v>
      </c>
      <c r="G206" s="222">
        <v>92.98</v>
      </c>
      <c r="H206" s="222">
        <v>418.41</v>
      </c>
      <c r="I206" s="222">
        <v>417.33</v>
      </c>
      <c r="J206" s="222">
        <v>370.96</v>
      </c>
      <c r="K206" s="222">
        <v>556.44000000000005</v>
      </c>
      <c r="L206" s="222">
        <v>1854.8</v>
      </c>
      <c r="M206" s="222">
        <v>-834.66</v>
      </c>
      <c r="N206" s="222">
        <v>556.44000000000005</v>
      </c>
      <c r="O206" s="222">
        <v>418.29</v>
      </c>
      <c r="P206" s="222">
        <v>232.45</v>
      </c>
      <c r="Q206" s="222">
        <v>92.98</v>
      </c>
      <c r="R206" s="241">
        <f t="shared" si="67"/>
        <v>4362.38</v>
      </c>
      <c r="T206" s="222">
        <f t="shared" si="65"/>
        <v>4.0103515203795563</v>
      </c>
      <c r="U206" s="222">
        <f t="shared" si="65"/>
        <v>2.0051757601897782</v>
      </c>
      <c r="V206" s="222">
        <f t="shared" si="65"/>
        <v>9.0232909208540022</v>
      </c>
      <c r="W206" s="222">
        <f t="shared" si="65"/>
        <v>9</v>
      </c>
      <c r="X206" s="222">
        <f t="shared" si="65"/>
        <v>8</v>
      </c>
      <c r="Y206" s="222">
        <f t="shared" si="65"/>
        <v>12.000000000000002</v>
      </c>
      <c r="Z206" s="222">
        <f t="shared" si="65"/>
        <v>40</v>
      </c>
      <c r="AA206" s="222">
        <f t="shared" si="65"/>
        <v>-18</v>
      </c>
      <c r="AB206" s="222">
        <f t="shared" si="65"/>
        <v>12.000000000000002</v>
      </c>
      <c r="AC206" s="222">
        <f t="shared" si="68"/>
        <v>8.9974187997418795</v>
      </c>
      <c r="AD206" s="222">
        <f t="shared" si="68"/>
        <v>4.9999999999999991</v>
      </c>
      <c r="AE206" s="222">
        <f t="shared" si="68"/>
        <v>2</v>
      </c>
      <c r="AF206" s="261">
        <f t="shared" si="69"/>
        <v>94.036237001165219</v>
      </c>
      <c r="AG206" s="252">
        <f t="shared" si="70"/>
        <v>7.8363530834304349</v>
      </c>
      <c r="AK206" s="242"/>
      <c r="AQ206" s="234">
        <f t="shared" si="72"/>
        <v>50.473513960807807</v>
      </c>
      <c r="AR206" s="235">
        <f t="shared" si="73"/>
        <v>4746.3393211001448</v>
      </c>
      <c r="AS206" s="235">
        <f t="shared" si="74"/>
        <v>383.95932110014473</v>
      </c>
      <c r="AW206" s="237">
        <f t="shared" si="75"/>
        <v>50.673411532389032</v>
      </c>
      <c r="AX206" s="237">
        <f t="shared" si="77"/>
        <v>4765.1369365173141</v>
      </c>
      <c r="AY206" s="238">
        <f t="shared" si="76"/>
        <v>18.797615417169254</v>
      </c>
    </row>
    <row r="207" spans="1:51" s="182" customFormat="1" ht="12" customHeight="1">
      <c r="A207" s="239" t="s">
        <v>545</v>
      </c>
      <c r="B207" s="239" t="s">
        <v>546</v>
      </c>
      <c r="C207" s="240">
        <v>55.18</v>
      </c>
      <c r="D207" s="240">
        <v>55.33</v>
      </c>
      <c r="E207" s="221"/>
      <c r="F207" s="222">
        <v>0</v>
      </c>
      <c r="G207" s="222">
        <v>0</v>
      </c>
      <c r="H207" s="222">
        <v>0</v>
      </c>
      <c r="I207" s="222">
        <v>0</v>
      </c>
      <c r="J207" s="222">
        <v>0</v>
      </c>
      <c r="K207" s="222">
        <v>0</v>
      </c>
      <c r="L207" s="222">
        <v>0</v>
      </c>
      <c r="M207" s="222">
        <v>0</v>
      </c>
      <c r="N207" s="222">
        <v>0</v>
      </c>
      <c r="O207" s="222">
        <v>0</v>
      </c>
      <c r="P207" s="222">
        <v>0</v>
      </c>
      <c r="Q207" s="222">
        <v>0</v>
      </c>
      <c r="R207" s="241">
        <f t="shared" si="67"/>
        <v>0</v>
      </c>
      <c r="T207" s="222">
        <f t="shared" si="65"/>
        <v>0</v>
      </c>
      <c r="U207" s="222">
        <f t="shared" si="65"/>
        <v>0</v>
      </c>
      <c r="V207" s="222">
        <f t="shared" si="65"/>
        <v>0</v>
      </c>
      <c r="W207" s="222">
        <f t="shared" si="65"/>
        <v>0</v>
      </c>
      <c r="X207" s="222">
        <f t="shared" si="65"/>
        <v>0</v>
      </c>
      <c r="Y207" s="222">
        <f t="shared" si="65"/>
        <v>0</v>
      </c>
      <c r="Z207" s="222">
        <f t="shared" si="65"/>
        <v>0</v>
      </c>
      <c r="AA207" s="222">
        <f t="shared" si="65"/>
        <v>0</v>
      </c>
      <c r="AB207" s="222">
        <f t="shared" si="65"/>
        <v>0</v>
      </c>
      <c r="AC207" s="222">
        <f t="shared" si="68"/>
        <v>0</v>
      </c>
      <c r="AD207" s="222">
        <f t="shared" si="68"/>
        <v>0</v>
      </c>
      <c r="AE207" s="222">
        <f t="shared" si="68"/>
        <v>0</v>
      </c>
      <c r="AF207" s="261">
        <f t="shared" si="69"/>
        <v>0</v>
      </c>
      <c r="AG207" s="252">
        <f t="shared" si="70"/>
        <v>0</v>
      </c>
      <c r="AK207" s="242"/>
      <c r="AQ207" s="234">
        <f t="shared" si="72"/>
        <v>60.070972842578961</v>
      </c>
      <c r="AR207" s="235">
        <f t="shared" si="73"/>
        <v>0</v>
      </c>
      <c r="AS207" s="235">
        <f t="shared" si="74"/>
        <v>0</v>
      </c>
      <c r="AW207" s="237">
        <f t="shared" si="75"/>
        <v>60.308880621361261</v>
      </c>
      <c r="AX207" s="237">
        <f t="shared" si="77"/>
        <v>0</v>
      </c>
      <c r="AY207" s="238">
        <f t="shared" si="76"/>
        <v>0</v>
      </c>
    </row>
    <row r="208" spans="1:51" s="182" customFormat="1" ht="12" customHeight="1">
      <c r="A208" s="239" t="s">
        <v>547</v>
      </c>
      <c r="B208" s="239" t="s">
        <v>548</v>
      </c>
      <c r="C208" s="240">
        <v>55.18</v>
      </c>
      <c r="D208" s="240">
        <v>55.33</v>
      </c>
      <c r="E208" s="221"/>
      <c r="F208" s="222">
        <v>0</v>
      </c>
      <c r="G208" s="222">
        <v>0</v>
      </c>
      <c r="H208" s="222">
        <v>0</v>
      </c>
      <c r="I208" s="222">
        <v>0</v>
      </c>
      <c r="J208" s="222">
        <v>0</v>
      </c>
      <c r="K208" s="222">
        <v>0</v>
      </c>
      <c r="L208" s="222">
        <v>0</v>
      </c>
      <c r="M208" s="222">
        <v>0</v>
      </c>
      <c r="N208" s="222">
        <v>0</v>
      </c>
      <c r="O208" s="222">
        <v>0</v>
      </c>
      <c r="P208" s="222">
        <v>0</v>
      </c>
      <c r="Q208" s="222">
        <v>0</v>
      </c>
      <c r="R208" s="241">
        <f t="shared" si="67"/>
        <v>0</v>
      </c>
      <c r="T208" s="222">
        <f t="shared" si="65"/>
        <v>0</v>
      </c>
      <c r="U208" s="222">
        <f t="shared" si="65"/>
        <v>0</v>
      </c>
      <c r="V208" s="222">
        <f t="shared" si="65"/>
        <v>0</v>
      </c>
      <c r="W208" s="222">
        <f t="shared" si="65"/>
        <v>0</v>
      </c>
      <c r="X208" s="222">
        <f t="shared" si="65"/>
        <v>0</v>
      </c>
      <c r="Y208" s="222">
        <f t="shared" si="65"/>
        <v>0</v>
      </c>
      <c r="Z208" s="222">
        <f t="shared" si="65"/>
        <v>0</v>
      </c>
      <c r="AA208" s="222">
        <f t="shared" si="65"/>
        <v>0</v>
      </c>
      <c r="AB208" s="222">
        <f t="shared" si="65"/>
        <v>0</v>
      </c>
      <c r="AC208" s="222">
        <f t="shared" si="68"/>
        <v>0</v>
      </c>
      <c r="AD208" s="222">
        <f t="shared" si="68"/>
        <v>0</v>
      </c>
      <c r="AE208" s="222">
        <f t="shared" si="68"/>
        <v>0</v>
      </c>
      <c r="AF208" s="261">
        <f t="shared" si="69"/>
        <v>0</v>
      </c>
      <c r="AG208" s="252">
        <f t="shared" si="70"/>
        <v>0</v>
      </c>
      <c r="AK208" s="242"/>
      <c r="AQ208" s="234">
        <f t="shared" si="72"/>
        <v>60.070972842578961</v>
      </c>
      <c r="AR208" s="235">
        <f t="shared" si="73"/>
        <v>0</v>
      </c>
      <c r="AS208" s="235">
        <f t="shared" si="74"/>
        <v>0</v>
      </c>
      <c r="AW208" s="237">
        <f t="shared" si="75"/>
        <v>60.308880621361261</v>
      </c>
      <c r="AX208" s="237">
        <f t="shared" si="77"/>
        <v>0</v>
      </c>
      <c r="AY208" s="238">
        <f t="shared" si="76"/>
        <v>0</v>
      </c>
    </row>
    <row r="209" spans="1:51" s="182" customFormat="1" ht="12" customHeight="1">
      <c r="A209" s="239" t="s">
        <v>549</v>
      </c>
      <c r="B209" s="239" t="s">
        <v>550</v>
      </c>
      <c r="C209" s="240">
        <v>55.18</v>
      </c>
      <c r="D209" s="240">
        <v>55.33</v>
      </c>
      <c r="E209" s="221"/>
      <c r="F209" s="222">
        <v>0</v>
      </c>
      <c r="G209" s="222">
        <v>0</v>
      </c>
      <c r="H209" s="222">
        <v>0</v>
      </c>
      <c r="I209" s="222">
        <v>0</v>
      </c>
      <c r="J209" s="222">
        <v>0</v>
      </c>
      <c r="K209" s="222">
        <v>0</v>
      </c>
      <c r="L209" s="222">
        <v>0</v>
      </c>
      <c r="M209" s="222">
        <v>0</v>
      </c>
      <c r="N209" s="222">
        <v>0</v>
      </c>
      <c r="O209" s="222">
        <v>0</v>
      </c>
      <c r="P209" s="222">
        <v>0</v>
      </c>
      <c r="Q209" s="222">
        <v>0</v>
      </c>
      <c r="R209" s="241">
        <f t="shared" si="67"/>
        <v>0</v>
      </c>
      <c r="T209" s="222">
        <f t="shared" si="65"/>
        <v>0</v>
      </c>
      <c r="U209" s="222">
        <f t="shared" si="65"/>
        <v>0</v>
      </c>
      <c r="V209" s="222">
        <f t="shared" si="65"/>
        <v>0</v>
      </c>
      <c r="W209" s="222">
        <f t="shared" si="65"/>
        <v>0</v>
      </c>
      <c r="X209" s="222">
        <f t="shared" si="65"/>
        <v>0</v>
      </c>
      <c r="Y209" s="222">
        <f t="shared" si="65"/>
        <v>0</v>
      </c>
      <c r="Z209" s="222">
        <f t="shared" si="65"/>
        <v>0</v>
      </c>
      <c r="AA209" s="222">
        <f t="shared" si="65"/>
        <v>0</v>
      </c>
      <c r="AB209" s="222">
        <f t="shared" si="65"/>
        <v>0</v>
      </c>
      <c r="AC209" s="222">
        <f t="shared" si="68"/>
        <v>0</v>
      </c>
      <c r="AD209" s="222">
        <f t="shared" si="68"/>
        <v>0</v>
      </c>
      <c r="AE209" s="222">
        <f t="shared" si="68"/>
        <v>0</v>
      </c>
      <c r="AF209" s="261">
        <f t="shared" si="69"/>
        <v>0</v>
      </c>
      <c r="AG209" s="252">
        <f t="shared" si="70"/>
        <v>0</v>
      </c>
      <c r="AK209" s="242"/>
      <c r="AQ209" s="234">
        <f t="shared" si="72"/>
        <v>60.070972842578961</v>
      </c>
      <c r="AR209" s="235">
        <f t="shared" si="73"/>
        <v>0</v>
      </c>
      <c r="AS209" s="235">
        <f t="shared" si="74"/>
        <v>0</v>
      </c>
      <c r="AW209" s="237">
        <f t="shared" si="75"/>
        <v>60.308880621361261</v>
      </c>
      <c r="AX209" s="237">
        <f t="shared" si="77"/>
        <v>0</v>
      </c>
      <c r="AY209" s="238">
        <f t="shared" si="76"/>
        <v>0</v>
      </c>
    </row>
    <row r="210" spans="1:51" s="182" customFormat="1" ht="12" customHeight="1">
      <c r="A210" s="239" t="s">
        <v>551</v>
      </c>
      <c r="B210" s="239" t="s">
        <v>552</v>
      </c>
      <c r="C210" s="240">
        <v>106.77</v>
      </c>
      <c r="D210" s="240">
        <v>106.77</v>
      </c>
      <c r="E210" s="221"/>
      <c r="F210" s="222">
        <v>0</v>
      </c>
      <c r="G210" s="222">
        <v>0</v>
      </c>
      <c r="H210" s="222">
        <v>0</v>
      </c>
      <c r="I210" s="222">
        <v>0</v>
      </c>
      <c r="J210" s="222">
        <v>0</v>
      </c>
      <c r="K210" s="222">
        <v>0</v>
      </c>
      <c r="L210" s="222">
        <v>0</v>
      </c>
      <c r="M210" s="222">
        <v>0</v>
      </c>
      <c r="N210" s="222">
        <v>0</v>
      </c>
      <c r="O210" s="222">
        <v>0</v>
      </c>
      <c r="P210" s="222">
        <v>0</v>
      </c>
      <c r="Q210" s="222">
        <v>0</v>
      </c>
      <c r="R210" s="241">
        <f t="shared" si="67"/>
        <v>0</v>
      </c>
      <c r="T210" s="222">
        <f t="shared" si="65"/>
        <v>0</v>
      </c>
      <c r="U210" s="222">
        <f t="shared" si="65"/>
        <v>0</v>
      </c>
      <c r="V210" s="222">
        <f t="shared" si="65"/>
        <v>0</v>
      </c>
      <c r="W210" s="222">
        <f t="shared" si="65"/>
        <v>0</v>
      </c>
      <c r="X210" s="222">
        <f t="shared" si="65"/>
        <v>0</v>
      </c>
      <c r="Y210" s="222">
        <f t="shared" si="65"/>
        <v>0</v>
      </c>
      <c r="Z210" s="222">
        <f t="shared" si="65"/>
        <v>0</v>
      </c>
      <c r="AA210" s="222">
        <f t="shared" si="65"/>
        <v>0</v>
      </c>
      <c r="AB210" s="222">
        <f t="shared" si="65"/>
        <v>0</v>
      </c>
      <c r="AC210" s="222">
        <f t="shared" si="68"/>
        <v>0</v>
      </c>
      <c r="AD210" s="222">
        <f t="shared" si="68"/>
        <v>0</v>
      </c>
      <c r="AE210" s="222">
        <f t="shared" si="68"/>
        <v>0</v>
      </c>
      <c r="AF210" s="261">
        <f t="shared" si="69"/>
        <v>0</v>
      </c>
      <c r="AG210" s="252">
        <f t="shared" si="70"/>
        <v>0</v>
      </c>
      <c r="AK210" s="242"/>
      <c r="AQ210" s="234">
        <f t="shared" si="72"/>
        <v>115.91862950302107</v>
      </c>
      <c r="AR210" s="235">
        <f t="shared" si="73"/>
        <v>0</v>
      </c>
      <c r="AS210" s="235">
        <f t="shared" si="74"/>
        <v>0</v>
      </c>
      <c r="AW210" s="237">
        <f t="shared" si="75"/>
        <v>116.37771884949831</v>
      </c>
      <c r="AX210" s="237">
        <f t="shared" si="77"/>
        <v>0</v>
      </c>
      <c r="AY210" s="238">
        <f t="shared" si="76"/>
        <v>0</v>
      </c>
    </row>
    <row r="211" spans="1:51" s="411" customFormat="1" ht="12" customHeight="1">
      <c r="A211" s="408" t="s">
        <v>553</v>
      </c>
      <c r="B211" s="408" t="s">
        <v>554</v>
      </c>
      <c r="C211" s="272">
        <v>15.29</v>
      </c>
      <c r="D211" s="272">
        <v>15.33</v>
      </c>
      <c r="E211" s="409"/>
      <c r="F211" s="274">
        <v>0</v>
      </c>
      <c r="G211" s="274">
        <v>0</v>
      </c>
      <c r="H211" s="274">
        <v>0</v>
      </c>
      <c r="I211" s="274">
        <v>0</v>
      </c>
      <c r="J211" s="274">
        <v>0</v>
      </c>
      <c r="K211" s="274">
        <v>0</v>
      </c>
      <c r="L211" s="274">
        <v>0</v>
      </c>
      <c r="M211" s="274">
        <v>0</v>
      </c>
      <c r="N211" s="274">
        <v>0</v>
      </c>
      <c r="O211" s="274">
        <v>0</v>
      </c>
      <c r="P211" s="274">
        <v>0</v>
      </c>
      <c r="Q211" s="274">
        <v>0</v>
      </c>
      <c r="R211" s="410">
        <f t="shared" si="67"/>
        <v>0</v>
      </c>
      <c r="T211" s="274">
        <f t="shared" si="65"/>
        <v>0</v>
      </c>
      <c r="U211" s="274">
        <f t="shared" si="65"/>
        <v>0</v>
      </c>
      <c r="V211" s="274">
        <f t="shared" si="65"/>
        <v>0</v>
      </c>
      <c r="W211" s="274">
        <f t="shared" si="65"/>
        <v>0</v>
      </c>
      <c r="X211" s="274">
        <f t="shared" si="65"/>
        <v>0</v>
      </c>
      <c r="Y211" s="274">
        <f t="shared" si="65"/>
        <v>0</v>
      </c>
      <c r="Z211" s="274">
        <f t="shared" si="65"/>
        <v>0</v>
      </c>
      <c r="AA211" s="274">
        <f t="shared" si="65"/>
        <v>0</v>
      </c>
      <c r="AB211" s="274">
        <f t="shared" si="65"/>
        <v>0</v>
      </c>
      <c r="AC211" s="274">
        <f t="shared" si="68"/>
        <v>0</v>
      </c>
      <c r="AD211" s="274">
        <f t="shared" si="68"/>
        <v>0</v>
      </c>
      <c r="AE211" s="274">
        <f t="shared" si="68"/>
        <v>0</v>
      </c>
      <c r="AF211" s="277">
        <f t="shared" si="69"/>
        <v>0</v>
      </c>
      <c r="AG211" s="278">
        <f t="shared" si="70"/>
        <v>0</v>
      </c>
      <c r="AK211" s="412"/>
      <c r="AQ211" s="414">
        <f t="shared" si="72"/>
        <v>16.643557087958349</v>
      </c>
      <c r="AR211" s="415">
        <f t="shared" si="73"/>
        <v>0</v>
      </c>
      <c r="AS211" s="415">
        <f t="shared" si="74"/>
        <v>0</v>
      </c>
      <c r="AW211" s="417">
        <f t="shared" si="75"/>
        <v>16.709472978952974</v>
      </c>
      <c r="AX211" s="417">
        <f t="shared" si="77"/>
        <v>0</v>
      </c>
      <c r="AY211" s="418">
        <f t="shared" si="76"/>
        <v>0</v>
      </c>
    </row>
    <row r="212" spans="1:51" s="182" customFormat="1" ht="12" customHeight="1">
      <c r="A212" s="239" t="s">
        <v>555</v>
      </c>
      <c r="B212" s="239" t="s">
        <v>556</v>
      </c>
      <c r="C212" s="240">
        <v>0</v>
      </c>
      <c r="D212" s="240">
        <v>0</v>
      </c>
      <c r="E212" s="221"/>
      <c r="F212" s="222">
        <v>0</v>
      </c>
      <c r="G212" s="222">
        <v>0</v>
      </c>
      <c r="H212" s="222">
        <v>0</v>
      </c>
      <c r="I212" s="222">
        <v>0</v>
      </c>
      <c r="J212" s="222">
        <v>0</v>
      </c>
      <c r="K212" s="222">
        <v>0</v>
      </c>
      <c r="L212" s="222">
        <v>0</v>
      </c>
      <c r="M212" s="222">
        <v>0</v>
      </c>
      <c r="N212" s="222">
        <v>0</v>
      </c>
      <c r="O212" s="222">
        <v>0</v>
      </c>
      <c r="P212" s="222">
        <v>0</v>
      </c>
      <c r="Q212" s="222">
        <v>0</v>
      </c>
      <c r="R212" s="241">
        <f t="shared" si="67"/>
        <v>0</v>
      </c>
      <c r="T212" s="222">
        <f t="shared" si="65"/>
        <v>0</v>
      </c>
      <c r="U212" s="222">
        <f t="shared" si="65"/>
        <v>0</v>
      </c>
      <c r="V212" s="222">
        <f t="shared" si="65"/>
        <v>0</v>
      </c>
      <c r="W212" s="222">
        <f t="shared" si="65"/>
        <v>0</v>
      </c>
      <c r="X212" s="222">
        <f t="shared" si="65"/>
        <v>0</v>
      </c>
      <c r="Y212" s="222">
        <f t="shared" si="65"/>
        <v>0</v>
      </c>
      <c r="Z212" s="222">
        <f t="shared" si="65"/>
        <v>0</v>
      </c>
      <c r="AA212" s="222">
        <f t="shared" si="65"/>
        <v>0</v>
      </c>
      <c r="AB212" s="222">
        <f t="shared" si="65"/>
        <v>0</v>
      </c>
      <c r="AC212" s="222">
        <f t="shared" si="68"/>
        <v>0</v>
      </c>
      <c r="AD212" s="222">
        <f t="shared" si="68"/>
        <v>0</v>
      </c>
      <c r="AE212" s="222">
        <f t="shared" si="68"/>
        <v>0</v>
      </c>
      <c r="AF212" s="261">
        <f t="shared" si="69"/>
        <v>0</v>
      </c>
      <c r="AG212" s="252">
        <f t="shared" si="70"/>
        <v>0</v>
      </c>
      <c r="AK212" s="242"/>
      <c r="AQ212" s="234">
        <f t="shared" si="72"/>
        <v>0</v>
      </c>
      <c r="AR212" s="235">
        <f t="shared" si="73"/>
        <v>0</v>
      </c>
      <c r="AS212" s="235">
        <f t="shared" si="74"/>
        <v>0</v>
      </c>
      <c r="AW212" s="237">
        <f t="shared" si="75"/>
        <v>0</v>
      </c>
      <c r="AX212" s="237">
        <f t="shared" si="77"/>
        <v>0</v>
      </c>
      <c r="AY212" s="238">
        <f t="shared" si="76"/>
        <v>0</v>
      </c>
    </row>
    <row r="213" spans="1:51" s="182" customFormat="1" ht="12" customHeight="1">
      <c r="A213" s="239" t="s">
        <v>557</v>
      </c>
      <c r="B213" s="239" t="s">
        <v>558</v>
      </c>
      <c r="C213" s="240">
        <v>4.08</v>
      </c>
      <c r="D213" s="240">
        <v>4.0999999999999996</v>
      </c>
      <c r="E213" s="221"/>
      <c r="F213" s="222">
        <v>168.1</v>
      </c>
      <c r="G213" s="222">
        <v>166.05</v>
      </c>
      <c r="H213" s="222">
        <v>168.1</v>
      </c>
      <c r="I213" s="222">
        <v>142.80000000000001</v>
      </c>
      <c r="J213" s="222">
        <v>144.16</v>
      </c>
      <c r="K213" s="222">
        <v>142.80000000000001</v>
      </c>
      <c r="L213" s="222">
        <v>145.52000000000001</v>
      </c>
      <c r="M213" s="222">
        <v>150.96</v>
      </c>
      <c r="N213" s="222">
        <v>151.69999999999999</v>
      </c>
      <c r="O213" s="222">
        <v>164</v>
      </c>
      <c r="P213" s="222">
        <v>168.1</v>
      </c>
      <c r="Q213" s="222">
        <v>172.2</v>
      </c>
      <c r="R213" s="241">
        <f t="shared" si="67"/>
        <v>1884.49</v>
      </c>
      <c r="T213" s="222">
        <f t="shared" si="65"/>
        <v>41.200980392156858</v>
      </c>
      <c r="U213" s="222">
        <f t="shared" si="65"/>
        <v>40.69852941176471</v>
      </c>
      <c r="V213" s="222">
        <f t="shared" si="65"/>
        <v>41.200980392156858</v>
      </c>
      <c r="W213" s="222">
        <f t="shared" si="65"/>
        <v>35</v>
      </c>
      <c r="X213" s="222">
        <f t="shared" si="65"/>
        <v>35.333333333333329</v>
      </c>
      <c r="Y213" s="222">
        <f t="shared" si="65"/>
        <v>35</v>
      </c>
      <c r="Z213" s="222">
        <f t="shared" si="65"/>
        <v>35.666666666666671</v>
      </c>
      <c r="AA213" s="222">
        <f t="shared" si="65"/>
        <v>37</v>
      </c>
      <c r="AB213" s="222">
        <f t="shared" si="65"/>
        <v>37.181372549019606</v>
      </c>
      <c r="AC213" s="222">
        <f t="shared" si="68"/>
        <v>40</v>
      </c>
      <c r="AD213" s="222">
        <f t="shared" si="68"/>
        <v>41</v>
      </c>
      <c r="AE213" s="222">
        <f t="shared" si="68"/>
        <v>42</v>
      </c>
      <c r="AF213" s="261">
        <f t="shared" si="69"/>
        <v>461.28186274509807</v>
      </c>
      <c r="AG213" s="252">
        <f t="shared" si="70"/>
        <v>38.440155228758172</v>
      </c>
      <c r="AK213" s="242"/>
      <c r="AQ213" s="234">
        <f t="shared" si="72"/>
        <v>4.4513101148486127</v>
      </c>
      <c r="AR213" s="235">
        <f t="shared" si="73"/>
        <v>2053.3086214334644</v>
      </c>
      <c r="AS213" s="235">
        <f t="shared" si="74"/>
        <v>168.81862143346439</v>
      </c>
      <c r="AW213" s="237">
        <f t="shared" si="75"/>
        <v>4.4689392833468489</v>
      </c>
      <c r="AX213" s="237">
        <f t="shared" si="77"/>
        <v>2061.440637116978</v>
      </c>
      <c r="AY213" s="238">
        <f t="shared" si="76"/>
        <v>8.1320156835136004</v>
      </c>
    </row>
    <row r="214" spans="1:51" s="182" customFormat="1" ht="12" customHeight="1">
      <c r="A214" s="239" t="s">
        <v>559</v>
      </c>
      <c r="B214" s="239" t="s">
        <v>560</v>
      </c>
      <c r="C214" s="240">
        <v>8.14</v>
      </c>
      <c r="D214" s="240">
        <v>8.18</v>
      </c>
      <c r="E214" s="221"/>
      <c r="F214" s="222">
        <v>667.07</v>
      </c>
      <c r="G214" s="222">
        <v>670.77</v>
      </c>
      <c r="H214" s="222">
        <v>676.89</v>
      </c>
      <c r="I214" s="222">
        <v>659.34</v>
      </c>
      <c r="J214" s="222">
        <v>675.62</v>
      </c>
      <c r="K214" s="222">
        <v>673.6</v>
      </c>
      <c r="L214" s="222">
        <v>711.44</v>
      </c>
      <c r="M214" s="222">
        <v>702.08</v>
      </c>
      <c r="N214" s="222">
        <v>719.84</v>
      </c>
      <c r="O214" s="222">
        <v>687.12</v>
      </c>
      <c r="P214" s="222">
        <v>670.76</v>
      </c>
      <c r="Q214" s="222">
        <v>671.17</v>
      </c>
      <c r="R214" s="241">
        <f t="shared" si="67"/>
        <v>8185.7</v>
      </c>
      <c r="T214" s="222">
        <f t="shared" si="65"/>
        <v>81.949631449631454</v>
      </c>
      <c r="U214" s="222">
        <f t="shared" si="65"/>
        <v>82.404176904176893</v>
      </c>
      <c r="V214" s="222">
        <f t="shared" si="65"/>
        <v>83.156019656019652</v>
      </c>
      <c r="W214" s="222">
        <f t="shared" si="65"/>
        <v>81</v>
      </c>
      <c r="X214" s="222">
        <f t="shared" si="65"/>
        <v>83</v>
      </c>
      <c r="Y214" s="222">
        <f t="shared" si="65"/>
        <v>82.751842751842744</v>
      </c>
      <c r="Z214" s="222">
        <f t="shared" si="65"/>
        <v>87.400491400491404</v>
      </c>
      <c r="AA214" s="222">
        <f t="shared" si="65"/>
        <v>86.250614250614248</v>
      </c>
      <c r="AB214" s="222">
        <f t="shared" si="65"/>
        <v>88.432432432432435</v>
      </c>
      <c r="AC214" s="222">
        <f t="shared" si="68"/>
        <v>84</v>
      </c>
      <c r="AD214" s="222">
        <f t="shared" si="68"/>
        <v>82</v>
      </c>
      <c r="AE214" s="222">
        <f t="shared" si="68"/>
        <v>82.05012224938875</v>
      </c>
      <c r="AF214" s="261">
        <f t="shared" si="69"/>
        <v>1004.3953310945975</v>
      </c>
      <c r="AG214" s="252">
        <f t="shared" si="70"/>
        <v>83.699610924549788</v>
      </c>
      <c r="AK214" s="242"/>
      <c r="AQ214" s="234">
        <f t="shared" si="72"/>
        <v>8.8809065218199148</v>
      </c>
      <c r="AR214" s="235">
        <f t="shared" si="73"/>
        <v>8919.9410464034827</v>
      </c>
      <c r="AS214" s="235">
        <f t="shared" si="74"/>
        <v>734.24104640348287</v>
      </c>
      <c r="AW214" s="237">
        <f t="shared" si="75"/>
        <v>8.9160788628724941</v>
      </c>
      <c r="AX214" s="237">
        <f t="shared" si="77"/>
        <v>8955.2679815403608</v>
      </c>
      <c r="AY214" s="238">
        <f t="shared" si="76"/>
        <v>35.326935136878092</v>
      </c>
    </row>
    <row r="215" spans="1:51" s="411" customFormat="1" ht="12" customHeight="1">
      <c r="A215" s="408" t="s">
        <v>561</v>
      </c>
      <c r="B215" s="408" t="s">
        <v>562</v>
      </c>
      <c r="C215" s="272">
        <v>4.87</v>
      </c>
      <c r="D215" s="272">
        <v>4.88</v>
      </c>
      <c r="E215" s="409"/>
      <c r="F215" s="274">
        <v>180.56</v>
      </c>
      <c r="G215" s="274">
        <v>136.69</v>
      </c>
      <c r="H215" s="274">
        <v>155.80000000000001</v>
      </c>
      <c r="I215" s="274">
        <v>189.93</v>
      </c>
      <c r="J215" s="274">
        <v>228.89000000000001</v>
      </c>
      <c r="K215" s="274">
        <v>180.19</v>
      </c>
      <c r="L215" s="274">
        <v>569.79</v>
      </c>
      <c r="M215" s="274">
        <v>609.65</v>
      </c>
      <c r="N215" s="274">
        <v>394.47</v>
      </c>
      <c r="O215" s="274">
        <v>429.44</v>
      </c>
      <c r="P215" s="274">
        <v>253.76</v>
      </c>
      <c r="Q215" s="274">
        <v>287.91999999999996</v>
      </c>
      <c r="R215" s="410">
        <f t="shared" si="67"/>
        <v>3617.09</v>
      </c>
      <c r="T215" s="274">
        <f t="shared" si="65"/>
        <v>37.075975359342912</v>
      </c>
      <c r="U215" s="274">
        <f t="shared" si="65"/>
        <v>28.067761806981519</v>
      </c>
      <c r="V215" s="274">
        <f t="shared" si="65"/>
        <v>31.991786447638606</v>
      </c>
      <c r="W215" s="274">
        <f t="shared" si="65"/>
        <v>39</v>
      </c>
      <c r="X215" s="274">
        <f t="shared" si="65"/>
        <v>47</v>
      </c>
      <c r="Y215" s="274">
        <f t="shared" si="65"/>
        <v>37</v>
      </c>
      <c r="Z215" s="274">
        <f t="shared" si="65"/>
        <v>116.99999999999999</v>
      </c>
      <c r="AA215" s="274">
        <f t="shared" si="65"/>
        <v>125.18480492813141</v>
      </c>
      <c r="AB215" s="274">
        <f t="shared" si="65"/>
        <v>81</v>
      </c>
      <c r="AC215" s="274">
        <f t="shared" si="68"/>
        <v>88</v>
      </c>
      <c r="AD215" s="274">
        <f t="shared" si="68"/>
        <v>52</v>
      </c>
      <c r="AE215" s="274">
        <f t="shared" si="68"/>
        <v>58.999999999999993</v>
      </c>
      <c r="AF215" s="277">
        <f t="shared" si="69"/>
        <v>742.32032854209444</v>
      </c>
      <c r="AG215" s="278">
        <f t="shared" si="70"/>
        <v>61.860027378507873</v>
      </c>
      <c r="AK215" s="412"/>
      <c r="AQ215" s="414">
        <f t="shared" si="72"/>
        <v>5.2981447220637143</v>
      </c>
      <c r="AR215" s="415">
        <f t="shared" si="73"/>
        <v>3932.9205307459001</v>
      </c>
      <c r="AS215" s="415">
        <f t="shared" si="74"/>
        <v>315.83053074589998</v>
      </c>
      <c r="AW215" s="417">
        <f t="shared" si="75"/>
        <v>5.3191277323738104</v>
      </c>
      <c r="AX215" s="417">
        <f t="shared" si="77"/>
        <v>3948.4966458530926</v>
      </c>
      <c r="AY215" s="418">
        <f t="shared" si="76"/>
        <v>15.576115107192436</v>
      </c>
    </row>
    <row r="216" spans="1:51" s="411" customFormat="1" ht="12" customHeight="1">
      <c r="A216" s="408" t="s">
        <v>563</v>
      </c>
      <c r="B216" s="408" t="s">
        <v>564</v>
      </c>
      <c r="C216" s="272">
        <v>24.99</v>
      </c>
      <c r="D216" s="272">
        <v>25.06</v>
      </c>
      <c r="E216" s="409"/>
      <c r="F216" s="274">
        <v>125.3</v>
      </c>
      <c r="G216" s="274">
        <v>25.06</v>
      </c>
      <c r="H216" s="274">
        <v>125.3</v>
      </c>
      <c r="I216" s="274">
        <v>0</v>
      </c>
      <c r="J216" s="274">
        <v>0</v>
      </c>
      <c r="K216" s="274">
        <v>74.97</v>
      </c>
      <c r="L216" s="274">
        <v>112.46</v>
      </c>
      <c r="M216" s="274">
        <v>299.88</v>
      </c>
      <c r="N216" s="274">
        <v>149.94</v>
      </c>
      <c r="O216" s="274">
        <v>175.42</v>
      </c>
      <c r="P216" s="274">
        <v>125.3</v>
      </c>
      <c r="Q216" s="274">
        <v>250.6</v>
      </c>
      <c r="R216" s="410">
        <f t="shared" si="67"/>
        <v>1464.23</v>
      </c>
      <c r="T216" s="274">
        <f t="shared" si="65"/>
        <v>5.0140056022408963</v>
      </c>
      <c r="U216" s="274">
        <f t="shared" si="65"/>
        <v>1.0028011204481793</v>
      </c>
      <c r="V216" s="274">
        <f t="shared" si="65"/>
        <v>5.0140056022408963</v>
      </c>
      <c r="W216" s="274">
        <f t="shared" ref="W216:AB247" si="78">IFERROR(I216/$C216,0)</f>
        <v>0</v>
      </c>
      <c r="X216" s="274">
        <f t="shared" si="78"/>
        <v>0</v>
      </c>
      <c r="Y216" s="274">
        <f t="shared" si="78"/>
        <v>3</v>
      </c>
      <c r="Z216" s="274">
        <f t="shared" si="78"/>
        <v>4.5002000800320126</v>
      </c>
      <c r="AA216" s="274">
        <f t="shared" si="78"/>
        <v>12</v>
      </c>
      <c r="AB216" s="274">
        <f t="shared" si="78"/>
        <v>6</v>
      </c>
      <c r="AC216" s="274">
        <f t="shared" si="68"/>
        <v>7</v>
      </c>
      <c r="AD216" s="274">
        <f t="shared" si="68"/>
        <v>5</v>
      </c>
      <c r="AE216" s="274">
        <f t="shared" si="68"/>
        <v>10</v>
      </c>
      <c r="AF216" s="277">
        <f t="shared" si="69"/>
        <v>58.531012404961984</v>
      </c>
      <c r="AG216" s="278">
        <f t="shared" si="70"/>
        <v>4.8775843670801651</v>
      </c>
      <c r="AK216" s="412"/>
      <c r="AQ216" s="414">
        <f t="shared" si="72"/>
        <v>27.207275970269812</v>
      </c>
      <c r="AR216" s="415">
        <f t="shared" si="73"/>
        <v>1592.4694073210862</v>
      </c>
      <c r="AS216" s="415">
        <f t="shared" si="74"/>
        <v>128.23940732108622</v>
      </c>
      <c r="AW216" s="417">
        <f t="shared" si="75"/>
        <v>27.31502888796879</v>
      </c>
      <c r="AX216" s="417">
        <f t="shared" si="77"/>
        <v>1598.776294683596</v>
      </c>
      <c r="AY216" s="418">
        <f t="shared" si="76"/>
        <v>6.3068873625097694</v>
      </c>
    </row>
    <row r="217" spans="1:51" s="182" customFormat="1" ht="12" customHeight="1">
      <c r="A217" s="239" t="s">
        <v>565</v>
      </c>
      <c r="B217" s="239" t="s">
        <v>331</v>
      </c>
      <c r="C217" s="240">
        <v>0</v>
      </c>
      <c r="D217" s="240">
        <v>0</v>
      </c>
      <c r="E217" s="221"/>
      <c r="F217" s="222">
        <v>0</v>
      </c>
      <c r="G217" s="222">
        <v>0</v>
      </c>
      <c r="H217" s="222">
        <v>0</v>
      </c>
      <c r="I217" s="222">
        <v>0</v>
      </c>
      <c r="J217" s="222">
        <v>0</v>
      </c>
      <c r="K217" s="222">
        <v>0</v>
      </c>
      <c r="L217" s="222">
        <v>0</v>
      </c>
      <c r="M217" s="222">
        <v>0</v>
      </c>
      <c r="N217" s="222">
        <v>0</v>
      </c>
      <c r="O217" s="222">
        <v>0</v>
      </c>
      <c r="P217" s="222">
        <v>0</v>
      </c>
      <c r="Q217" s="222">
        <v>0</v>
      </c>
      <c r="R217" s="241">
        <f t="shared" si="67"/>
        <v>0</v>
      </c>
      <c r="T217" s="222">
        <f t="shared" ref="T217:AB248" si="79">IFERROR(F217/$C217,0)</f>
        <v>0</v>
      </c>
      <c r="U217" s="222">
        <f t="shared" si="79"/>
        <v>0</v>
      </c>
      <c r="V217" s="222">
        <f t="shared" si="79"/>
        <v>0</v>
      </c>
      <c r="W217" s="222">
        <f t="shared" si="78"/>
        <v>0</v>
      </c>
      <c r="X217" s="222">
        <f t="shared" si="78"/>
        <v>0</v>
      </c>
      <c r="Y217" s="222">
        <f t="shared" si="78"/>
        <v>0</v>
      </c>
      <c r="Z217" s="222">
        <f t="shared" si="78"/>
        <v>0</v>
      </c>
      <c r="AA217" s="222">
        <f t="shared" si="78"/>
        <v>0</v>
      </c>
      <c r="AB217" s="222">
        <f t="shared" si="78"/>
        <v>0</v>
      </c>
      <c r="AC217" s="222">
        <f t="shared" si="68"/>
        <v>0</v>
      </c>
      <c r="AD217" s="222">
        <f t="shared" si="68"/>
        <v>0</v>
      </c>
      <c r="AE217" s="222">
        <f t="shared" si="68"/>
        <v>0</v>
      </c>
      <c r="AF217" s="261">
        <f t="shared" si="69"/>
        <v>0</v>
      </c>
      <c r="AG217" s="252">
        <f t="shared" si="70"/>
        <v>0</v>
      </c>
      <c r="AK217" s="242"/>
      <c r="AQ217" s="234">
        <f t="shared" si="72"/>
        <v>0</v>
      </c>
      <c r="AR217" s="235">
        <f t="shared" si="73"/>
        <v>0</v>
      </c>
      <c r="AS217" s="235">
        <f t="shared" si="74"/>
        <v>0</v>
      </c>
      <c r="AW217" s="237">
        <f t="shared" si="75"/>
        <v>0</v>
      </c>
      <c r="AX217" s="237">
        <f t="shared" si="77"/>
        <v>0</v>
      </c>
      <c r="AY217" s="238">
        <f t="shared" si="76"/>
        <v>0</v>
      </c>
    </row>
    <row r="218" spans="1:51" s="182" customFormat="1" ht="12" customHeight="1">
      <c r="A218" s="239" t="s">
        <v>566</v>
      </c>
      <c r="B218" s="239" t="s">
        <v>567</v>
      </c>
      <c r="C218" s="240">
        <v>0</v>
      </c>
      <c r="D218" s="240">
        <v>0</v>
      </c>
      <c r="E218" s="221"/>
      <c r="F218" s="222">
        <v>0</v>
      </c>
      <c r="G218" s="222">
        <v>0</v>
      </c>
      <c r="H218" s="222">
        <v>0</v>
      </c>
      <c r="I218" s="222">
        <v>0</v>
      </c>
      <c r="J218" s="222">
        <v>0</v>
      </c>
      <c r="K218" s="222">
        <v>0</v>
      </c>
      <c r="L218" s="222">
        <v>0</v>
      </c>
      <c r="M218" s="222">
        <v>0</v>
      </c>
      <c r="N218" s="222">
        <v>0</v>
      </c>
      <c r="O218" s="222">
        <v>0</v>
      </c>
      <c r="P218" s="222">
        <v>0</v>
      </c>
      <c r="Q218" s="222">
        <v>0</v>
      </c>
      <c r="R218" s="241">
        <f t="shared" si="67"/>
        <v>0</v>
      </c>
      <c r="T218" s="222">
        <f t="shared" si="79"/>
        <v>0</v>
      </c>
      <c r="U218" s="222">
        <f t="shared" si="79"/>
        <v>0</v>
      </c>
      <c r="V218" s="222">
        <f t="shared" si="79"/>
        <v>0</v>
      </c>
      <c r="W218" s="222">
        <f t="shared" si="78"/>
        <v>0</v>
      </c>
      <c r="X218" s="222">
        <f t="shared" si="78"/>
        <v>0</v>
      </c>
      <c r="Y218" s="222">
        <f t="shared" si="78"/>
        <v>0</v>
      </c>
      <c r="Z218" s="222">
        <f t="shared" si="78"/>
        <v>0</v>
      </c>
      <c r="AA218" s="222">
        <f t="shared" si="78"/>
        <v>0</v>
      </c>
      <c r="AB218" s="222">
        <f t="shared" si="78"/>
        <v>0</v>
      </c>
      <c r="AC218" s="222">
        <f t="shared" si="68"/>
        <v>0</v>
      </c>
      <c r="AD218" s="222">
        <f t="shared" si="68"/>
        <v>0</v>
      </c>
      <c r="AE218" s="222">
        <f t="shared" si="68"/>
        <v>0</v>
      </c>
      <c r="AF218" s="261">
        <f t="shared" si="69"/>
        <v>0</v>
      </c>
      <c r="AG218" s="252">
        <f t="shared" si="70"/>
        <v>0</v>
      </c>
      <c r="AK218" s="242"/>
      <c r="AQ218" s="234">
        <f t="shared" si="72"/>
        <v>0</v>
      </c>
      <c r="AR218" s="235">
        <f t="shared" si="73"/>
        <v>0</v>
      </c>
      <c r="AS218" s="235">
        <f t="shared" si="74"/>
        <v>0</v>
      </c>
      <c r="AW218" s="237">
        <f t="shared" si="75"/>
        <v>0</v>
      </c>
      <c r="AX218" s="237">
        <f t="shared" si="77"/>
        <v>0</v>
      </c>
      <c r="AY218" s="238">
        <f t="shared" si="76"/>
        <v>0</v>
      </c>
    </row>
    <row r="219" spans="1:51" s="182" customFormat="1" ht="12" customHeight="1">
      <c r="A219" s="239" t="s">
        <v>568</v>
      </c>
      <c r="B219" s="239" t="s">
        <v>569</v>
      </c>
      <c r="C219" s="240">
        <v>8.7899999999999991</v>
      </c>
      <c r="D219" s="240">
        <v>8.83</v>
      </c>
      <c r="E219" s="221"/>
      <c r="F219" s="222">
        <v>0</v>
      </c>
      <c r="G219" s="222">
        <v>0</v>
      </c>
      <c r="H219" s="222">
        <v>0</v>
      </c>
      <c r="I219" s="222">
        <v>0</v>
      </c>
      <c r="J219" s="222">
        <v>8.7899999999999991</v>
      </c>
      <c r="K219" s="222">
        <v>26.37</v>
      </c>
      <c r="L219" s="222">
        <v>26.37</v>
      </c>
      <c r="M219" s="222">
        <v>8.7899999999999991</v>
      </c>
      <c r="N219" s="222">
        <v>35.159999999999997</v>
      </c>
      <c r="O219" s="222">
        <v>0</v>
      </c>
      <c r="P219" s="222">
        <v>0</v>
      </c>
      <c r="Q219" s="222">
        <v>0</v>
      </c>
      <c r="R219" s="241">
        <f t="shared" si="67"/>
        <v>105.47999999999999</v>
      </c>
      <c r="T219" s="222">
        <f t="shared" si="79"/>
        <v>0</v>
      </c>
      <c r="U219" s="222">
        <f t="shared" si="79"/>
        <v>0</v>
      </c>
      <c r="V219" s="222">
        <f t="shared" si="79"/>
        <v>0</v>
      </c>
      <c r="W219" s="222">
        <f t="shared" si="78"/>
        <v>0</v>
      </c>
      <c r="X219" s="222">
        <f t="shared" si="78"/>
        <v>1</v>
      </c>
      <c r="Y219" s="222">
        <f t="shared" si="78"/>
        <v>3.0000000000000004</v>
      </c>
      <c r="Z219" s="222">
        <f t="shared" si="78"/>
        <v>3.0000000000000004</v>
      </c>
      <c r="AA219" s="222">
        <f t="shared" si="78"/>
        <v>1</v>
      </c>
      <c r="AB219" s="222">
        <f t="shared" si="78"/>
        <v>4</v>
      </c>
      <c r="AC219" s="222">
        <f t="shared" si="68"/>
        <v>0</v>
      </c>
      <c r="AD219" s="222">
        <f t="shared" si="68"/>
        <v>0</v>
      </c>
      <c r="AE219" s="222">
        <f t="shared" si="68"/>
        <v>0</v>
      </c>
      <c r="AF219" s="261">
        <f t="shared" si="69"/>
        <v>12</v>
      </c>
      <c r="AG219" s="252">
        <f t="shared" si="70"/>
        <v>1</v>
      </c>
      <c r="AK219" s="242"/>
      <c r="AQ219" s="234">
        <f t="shared" si="72"/>
        <v>9.5866020278324999</v>
      </c>
      <c r="AR219" s="235">
        <f t="shared" si="73"/>
        <v>115.03922433399001</v>
      </c>
      <c r="AS219" s="235">
        <f t="shared" si="74"/>
        <v>9.5592243339900165</v>
      </c>
      <c r="AW219" s="237">
        <f t="shared" si="75"/>
        <v>9.6245692370616283</v>
      </c>
      <c r="AX219" s="237">
        <f t="shared" si="77"/>
        <v>115.49483084473954</v>
      </c>
      <c r="AY219" s="238">
        <f t="shared" si="76"/>
        <v>0.45560651074953284</v>
      </c>
    </row>
    <row r="220" spans="1:51" s="182" customFormat="1" ht="12" customHeight="1">
      <c r="A220" s="239" t="s">
        <v>570</v>
      </c>
      <c r="B220" s="239" t="s">
        <v>571</v>
      </c>
      <c r="C220" s="240">
        <v>4.41</v>
      </c>
      <c r="D220" s="240">
        <v>4.43</v>
      </c>
      <c r="E220" s="221"/>
      <c r="F220" s="222">
        <v>0</v>
      </c>
      <c r="G220" s="222">
        <v>0</v>
      </c>
      <c r="H220" s="222">
        <v>0</v>
      </c>
      <c r="I220" s="222">
        <v>0</v>
      </c>
      <c r="J220" s="222">
        <v>0</v>
      </c>
      <c r="K220" s="222">
        <v>0</v>
      </c>
      <c r="L220" s="222">
        <v>0</v>
      </c>
      <c r="M220" s="222">
        <v>0</v>
      </c>
      <c r="N220" s="222">
        <v>0</v>
      </c>
      <c r="O220" s="222">
        <v>0</v>
      </c>
      <c r="P220" s="222">
        <v>0</v>
      </c>
      <c r="Q220" s="222">
        <v>0</v>
      </c>
      <c r="R220" s="241">
        <f t="shared" si="67"/>
        <v>0</v>
      </c>
      <c r="T220" s="222">
        <f t="shared" si="79"/>
        <v>0</v>
      </c>
      <c r="U220" s="222">
        <f t="shared" si="79"/>
        <v>0</v>
      </c>
      <c r="V220" s="222">
        <f t="shared" si="79"/>
        <v>0</v>
      </c>
      <c r="W220" s="222">
        <f t="shared" si="78"/>
        <v>0</v>
      </c>
      <c r="X220" s="222">
        <f t="shared" si="78"/>
        <v>0</v>
      </c>
      <c r="Y220" s="222">
        <f t="shared" si="78"/>
        <v>0</v>
      </c>
      <c r="Z220" s="222">
        <f t="shared" si="78"/>
        <v>0</v>
      </c>
      <c r="AA220" s="222">
        <f t="shared" si="78"/>
        <v>0</v>
      </c>
      <c r="AB220" s="222">
        <f t="shared" si="78"/>
        <v>0</v>
      </c>
      <c r="AC220" s="222">
        <f t="shared" si="68"/>
        <v>0</v>
      </c>
      <c r="AD220" s="222">
        <f t="shared" si="68"/>
        <v>0</v>
      </c>
      <c r="AE220" s="222">
        <f t="shared" si="68"/>
        <v>0</v>
      </c>
      <c r="AF220" s="261">
        <f t="shared" si="69"/>
        <v>0</v>
      </c>
      <c r="AG220" s="252">
        <f t="shared" si="70"/>
        <v>0</v>
      </c>
      <c r="AK220" s="242"/>
      <c r="AQ220" s="234">
        <f t="shared" si="72"/>
        <v>4.8095862948242329</v>
      </c>
      <c r="AR220" s="235">
        <f t="shared" si="73"/>
        <v>0</v>
      </c>
      <c r="AS220" s="235">
        <f t="shared" si="74"/>
        <v>0</v>
      </c>
      <c r="AW220" s="237">
        <f t="shared" si="75"/>
        <v>4.8286343963967173</v>
      </c>
      <c r="AX220" s="237">
        <f t="shared" si="77"/>
        <v>0</v>
      </c>
      <c r="AY220" s="238">
        <f t="shared" si="76"/>
        <v>0</v>
      </c>
    </row>
    <row r="221" spans="1:51" s="411" customFormat="1" ht="12" customHeight="1">
      <c r="A221" s="408" t="s">
        <v>572</v>
      </c>
      <c r="B221" s="408" t="s">
        <v>573</v>
      </c>
      <c r="C221" s="272">
        <v>0</v>
      </c>
      <c r="D221" s="272">
        <v>0</v>
      </c>
      <c r="E221" s="409"/>
      <c r="F221" s="274">
        <v>0</v>
      </c>
      <c r="G221" s="274">
        <v>0</v>
      </c>
      <c r="H221" s="274">
        <v>0</v>
      </c>
      <c r="I221" s="274">
        <v>0</v>
      </c>
      <c r="J221" s="274">
        <v>0</v>
      </c>
      <c r="K221" s="274">
        <v>0</v>
      </c>
      <c r="L221" s="274">
        <v>0</v>
      </c>
      <c r="M221" s="274">
        <v>0</v>
      </c>
      <c r="N221" s="274">
        <v>0</v>
      </c>
      <c r="O221" s="274">
        <v>0</v>
      </c>
      <c r="P221" s="274">
        <v>0</v>
      </c>
      <c r="Q221" s="274">
        <v>0</v>
      </c>
      <c r="R221" s="410">
        <f t="shared" si="67"/>
        <v>0</v>
      </c>
      <c r="T221" s="274">
        <f t="shared" si="79"/>
        <v>0</v>
      </c>
      <c r="U221" s="274">
        <f t="shared" si="79"/>
        <v>0</v>
      </c>
      <c r="V221" s="274">
        <f t="shared" si="79"/>
        <v>0</v>
      </c>
      <c r="W221" s="274">
        <f t="shared" si="78"/>
        <v>0</v>
      </c>
      <c r="X221" s="274">
        <f t="shared" si="78"/>
        <v>0</v>
      </c>
      <c r="Y221" s="274">
        <f t="shared" si="78"/>
        <v>0</v>
      </c>
      <c r="Z221" s="274">
        <f t="shared" si="78"/>
        <v>0</v>
      </c>
      <c r="AA221" s="274">
        <f t="shared" si="78"/>
        <v>0</v>
      </c>
      <c r="AB221" s="274">
        <f t="shared" si="78"/>
        <v>0</v>
      </c>
      <c r="AC221" s="274">
        <f t="shared" si="68"/>
        <v>0</v>
      </c>
      <c r="AD221" s="274">
        <f t="shared" si="68"/>
        <v>0</v>
      </c>
      <c r="AE221" s="274">
        <f t="shared" si="68"/>
        <v>0</v>
      </c>
      <c r="AF221" s="277">
        <f t="shared" si="69"/>
        <v>0</v>
      </c>
      <c r="AG221" s="278">
        <f t="shared" si="70"/>
        <v>0</v>
      </c>
      <c r="AK221" s="412"/>
      <c r="AQ221" s="414">
        <f t="shared" si="72"/>
        <v>0</v>
      </c>
      <c r="AR221" s="415">
        <f t="shared" si="73"/>
        <v>0</v>
      </c>
      <c r="AS221" s="415">
        <f t="shared" si="74"/>
        <v>0</v>
      </c>
      <c r="AW221" s="417">
        <f t="shared" si="75"/>
        <v>0</v>
      </c>
      <c r="AX221" s="417">
        <f t="shared" si="77"/>
        <v>0</v>
      </c>
      <c r="AY221" s="418">
        <f t="shared" si="76"/>
        <v>0</v>
      </c>
    </row>
    <row r="222" spans="1:51" s="411" customFormat="1" ht="12" customHeight="1">
      <c r="A222" s="408" t="s">
        <v>574</v>
      </c>
      <c r="B222" s="408" t="s">
        <v>575</v>
      </c>
      <c r="C222" s="272">
        <v>0</v>
      </c>
      <c r="D222" s="272">
        <v>0</v>
      </c>
      <c r="E222" s="409"/>
      <c r="F222" s="274">
        <v>0</v>
      </c>
      <c r="G222" s="274">
        <v>0</v>
      </c>
      <c r="H222" s="274">
        <v>0</v>
      </c>
      <c r="I222" s="274">
        <v>0</v>
      </c>
      <c r="J222" s="274">
        <v>0</v>
      </c>
      <c r="K222" s="274">
        <v>0</v>
      </c>
      <c r="L222" s="274">
        <v>0</v>
      </c>
      <c r="M222" s="274">
        <v>0</v>
      </c>
      <c r="N222" s="274">
        <v>0</v>
      </c>
      <c r="O222" s="274">
        <v>0</v>
      </c>
      <c r="P222" s="274">
        <v>0</v>
      </c>
      <c r="Q222" s="274">
        <v>0</v>
      </c>
      <c r="R222" s="410">
        <f t="shared" si="67"/>
        <v>0</v>
      </c>
      <c r="T222" s="274">
        <f t="shared" si="79"/>
        <v>0</v>
      </c>
      <c r="U222" s="274">
        <f t="shared" si="79"/>
        <v>0</v>
      </c>
      <c r="V222" s="274">
        <f t="shared" si="79"/>
        <v>0</v>
      </c>
      <c r="W222" s="274">
        <f t="shared" si="78"/>
        <v>0</v>
      </c>
      <c r="X222" s="274">
        <f t="shared" si="78"/>
        <v>0</v>
      </c>
      <c r="Y222" s="274">
        <f t="shared" si="78"/>
        <v>0</v>
      </c>
      <c r="Z222" s="274">
        <f t="shared" si="78"/>
        <v>0</v>
      </c>
      <c r="AA222" s="274">
        <f t="shared" si="78"/>
        <v>0</v>
      </c>
      <c r="AB222" s="274">
        <f t="shared" si="78"/>
        <v>0</v>
      </c>
      <c r="AC222" s="274">
        <f t="shared" si="68"/>
        <v>0</v>
      </c>
      <c r="AD222" s="274">
        <f t="shared" si="68"/>
        <v>0</v>
      </c>
      <c r="AE222" s="274">
        <f t="shared" si="68"/>
        <v>0</v>
      </c>
      <c r="AF222" s="277">
        <f t="shared" si="69"/>
        <v>0</v>
      </c>
      <c r="AG222" s="278">
        <f t="shared" si="70"/>
        <v>0</v>
      </c>
      <c r="AK222" s="412"/>
      <c r="AQ222" s="414">
        <f t="shared" si="72"/>
        <v>0</v>
      </c>
      <c r="AR222" s="415">
        <f t="shared" si="73"/>
        <v>0</v>
      </c>
      <c r="AS222" s="415">
        <f t="shared" si="74"/>
        <v>0</v>
      </c>
      <c r="AW222" s="417">
        <f t="shared" si="75"/>
        <v>0</v>
      </c>
      <c r="AX222" s="417">
        <f t="shared" si="77"/>
        <v>0</v>
      </c>
      <c r="AY222" s="418">
        <f t="shared" si="76"/>
        <v>0</v>
      </c>
    </row>
    <row r="223" spans="1:51" s="182" customFormat="1" ht="12" customHeight="1">
      <c r="A223" s="239" t="s">
        <v>576</v>
      </c>
      <c r="B223" s="239" t="s">
        <v>577</v>
      </c>
      <c r="C223" s="240">
        <v>20.25</v>
      </c>
      <c r="D223" s="240">
        <v>20.3</v>
      </c>
      <c r="E223" s="221"/>
      <c r="F223" s="222">
        <v>0</v>
      </c>
      <c r="G223" s="222">
        <v>0</v>
      </c>
      <c r="H223" s="222">
        <v>0</v>
      </c>
      <c r="I223" s="222">
        <v>0</v>
      </c>
      <c r="J223" s="222">
        <v>0</v>
      </c>
      <c r="K223" s="222">
        <v>0</v>
      </c>
      <c r="L223" s="222">
        <v>0</v>
      </c>
      <c r="M223" s="222">
        <v>0</v>
      </c>
      <c r="N223" s="222">
        <v>0</v>
      </c>
      <c r="O223" s="222">
        <v>0</v>
      </c>
      <c r="P223" s="222">
        <v>0</v>
      </c>
      <c r="Q223" s="222">
        <v>0</v>
      </c>
      <c r="R223" s="241">
        <f t="shared" ref="R223:R250" si="80">+SUM(F223:Q223)</f>
        <v>0</v>
      </c>
      <c r="T223" s="222">
        <f t="shared" si="79"/>
        <v>0</v>
      </c>
      <c r="U223" s="222">
        <f t="shared" si="79"/>
        <v>0</v>
      </c>
      <c r="V223" s="222">
        <f t="shared" si="79"/>
        <v>0</v>
      </c>
      <c r="W223" s="222">
        <f t="shared" si="78"/>
        <v>0</v>
      </c>
      <c r="X223" s="222">
        <f t="shared" si="78"/>
        <v>0</v>
      </c>
      <c r="Y223" s="222">
        <f t="shared" si="78"/>
        <v>0</v>
      </c>
      <c r="Z223" s="222">
        <f t="shared" si="78"/>
        <v>0</v>
      </c>
      <c r="AA223" s="222">
        <f t="shared" si="78"/>
        <v>0</v>
      </c>
      <c r="AB223" s="222">
        <f t="shared" si="78"/>
        <v>0</v>
      </c>
      <c r="AC223" s="222">
        <f t="shared" ref="AC223:AE250" si="81">IFERROR(O223/$D223,0)</f>
        <v>0</v>
      </c>
      <c r="AD223" s="222">
        <f t="shared" si="81"/>
        <v>0</v>
      </c>
      <c r="AE223" s="222">
        <f t="shared" si="81"/>
        <v>0</v>
      </c>
      <c r="AF223" s="261">
        <f t="shared" si="69"/>
        <v>0</v>
      </c>
      <c r="AG223" s="252">
        <f t="shared" si="70"/>
        <v>0</v>
      </c>
      <c r="AK223" s="242"/>
      <c r="AQ223" s="234">
        <f t="shared" si="72"/>
        <v>22.039413495469962</v>
      </c>
      <c r="AR223" s="235">
        <f t="shared" si="73"/>
        <v>0</v>
      </c>
      <c r="AS223" s="235">
        <f t="shared" si="74"/>
        <v>0</v>
      </c>
      <c r="AW223" s="237">
        <f t="shared" si="75"/>
        <v>22.126699378522204</v>
      </c>
      <c r="AX223" s="237">
        <f t="shared" si="77"/>
        <v>0</v>
      </c>
      <c r="AY223" s="238">
        <f t="shared" si="76"/>
        <v>0</v>
      </c>
    </row>
    <row r="224" spans="1:51" s="182" customFormat="1" ht="12" customHeight="1">
      <c r="A224" s="239" t="s">
        <v>578</v>
      </c>
      <c r="B224" s="239" t="s">
        <v>579</v>
      </c>
      <c r="C224" s="240">
        <v>11.44</v>
      </c>
      <c r="D224" s="240">
        <v>11.47</v>
      </c>
      <c r="E224" s="221"/>
      <c r="F224" s="222">
        <v>22.94</v>
      </c>
      <c r="G224" s="222">
        <v>22.94</v>
      </c>
      <c r="H224" s="222">
        <v>57.35</v>
      </c>
      <c r="I224" s="222">
        <v>0</v>
      </c>
      <c r="J224" s="222">
        <v>0</v>
      </c>
      <c r="K224" s="222">
        <v>0</v>
      </c>
      <c r="L224" s="222">
        <v>0</v>
      </c>
      <c r="M224" s="222">
        <v>11.44</v>
      </c>
      <c r="N224" s="222">
        <v>11.47</v>
      </c>
      <c r="O224" s="222">
        <v>34.409999999999997</v>
      </c>
      <c r="P224" s="222">
        <v>11.47</v>
      </c>
      <c r="Q224" s="222">
        <v>45.88</v>
      </c>
      <c r="R224" s="241">
        <f t="shared" si="80"/>
        <v>217.9</v>
      </c>
      <c r="T224" s="222">
        <f t="shared" si="79"/>
        <v>2.0052447552447554</v>
      </c>
      <c r="U224" s="222">
        <f t="shared" si="79"/>
        <v>2.0052447552447554</v>
      </c>
      <c r="V224" s="222">
        <f t="shared" si="79"/>
        <v>5.0131118881118883</v>
      </c>
      <c r="W224" s="222">
        <f t="shared" si="78"/>
        <v>0</v>
      </c>
      <c r="X224" s="222">
        <f t="shared" si="78"/>
        <v>0</v>
      </c>
      <c r="Y224" s="222">
        <f t="shared" si="78"/>
        <v>0</v>
      </c>
      <c r="Z224" s="222">
        <f t="shared" si="78"/>
        <v>0</v>
      </c>
      <c r="AA224" s="222">
        <f t="shared" si="78"/>
        <v>1</v>
      </c>
      <c r="AB224" s="222">
        <f t="shared" si="78"/>
        <v>1.0026223776223777</v>
      </c>
      <c r="AC224" s="222">
        <f t="shared" si="81"/>
        <v>2.9999999999999996</v>
      </c>
      <c r="AD224" s="222">
        <f t="shared" si="81"/>
        <v>1</v>
      </c>
      <c r="AE224" s="222">
        <f t="shared" si="81"/>
        <v>4</v>
      </c>
      <c r="AF224" s="261">
        <f t="shared" si="69"/>
        <v>19.02622377622378</v>
      </c>
      <c r="AG224" s="252">
        <f t="shared" si="70"/>
        <v>1.5855186480186483</v>
      </c>
      <c r="AK224" s="242"/>
      <c r="AQ224" s="234">
        <f t="shared" si="72"/>
        <v>12.452811467637462</v>
      </c>
      <c r="AR224" s="235">
        <f t="shared" si="73"/>
        <v>236.92997762639601</v>
      </c>
      <c r="AS224" s="235">
        <f t="shared" si="74"/>
        <v>19.029977626396004</v>
      </c>
      <c r="AW224" s="237">
        <f t="shared" si="75"/>
        <v>12.502130141460578</v>
      </c>
      <c r="AX224" s="237">
        <f t="shared" si="77"/>
        <v>237.86832575090119</v>
      </c>
      <c r="AY224" s="238">
        <f t="shared" si="76"/>
        <v>0.93834812450518257</v>
      </c>
    </row>
    <row r="225" spans="1:51" s="182" customFormat="1" ht="12" customHeight="1">
      <c r="A225" s="239" t="s">
        <v>580</v>
      </c>
      <c r="B225" s="239" t="s">
        <v>581</v>
      </c>
      <c r="C225" s="240">
        <v>0.5</v>
      </c>
      <c r="D225" s="240">
        <v>0.5</v>
      </c>
      <c r="E225" s="221"/>
      <c r="F225" s="222">
        <v>0</v>
      </c>
      <c r="G225" s="222">
        <v>14</v>
      </c>
      <c r="H225" s="222">
        <v>23.5</v>
      </c>
      <c r="I225" s="222">
        <v>0</v>
      </c>
      <c r="J225" s="222">
        <v>6.5</v>
      </c>
      <c r="K225" s="222">
        <v>15</v>
      </c>
      <c r="L225" s="222">
        <v>4.2699999999999996</v>
      </c>
      <c r="M225" s="222">
        <v>39</v>
      </c>
      <c r="N225" s="222">
        <v>16.5</v>
      </c>
      <c r="O225" s="222">
        <v>7.5</v>
      </c>
      <c r="P225" s="222">
        <v>0</v>
      </c>
      <c r="Q225" s="222">
        <v>0</v>
      </c>
      <c r="R225" s="241">
        <f t="shared" si="80"/>
        <v>126.27</v>
      </c>
      <c r="T225" s="222">
        <f t="shared" si="79"/>
        <v>0</v>
      </c>
      <c r="U225" s="222">
        <f t="shared" si="79"/>
        <v>28</v>
      </c>
      <c r="V225" s="222">
        <f t="shared" si="79"/>
        <v>47</v>
      </c>
      <c r="W225" s="222">
        <f t="shared" si="78"/>
        <v>0</v>
      </c>
      <c r="X225" s="222">
        <f t="shared" si="78"/>
        <v>13</v>
      </c>
      <c r="Y225" s="222">
        <f t="shared" si="78"/>
        <v>30</v>
      </c>
      <c r="Z225" s="222">
        <f t="shared" si="78"/>
        <v>8.5399999999999991</v>
      </c>
      <c r="AA225" s="222">
        <f t="shared" si="78"/>
        <v>78</v>
      </c>
      <c r="AB225" s="222">
        <f t="shared" si="78"/>
        <v>33</v>
      </c>
      <c r="AC225" s="222">
        <f t="shared" si="81"/>
        <v>15</v>
      </c>
      <c r="AD225" s="222">
        <f t="shared" si="81"/>
        <v>0</v>
      </c>
      <c r="AE225" s="222">
        <f t="shared" si="81"/>
        <v>0</v>
      </c>
      <c r="AF225" s="261">
        <f t="shared" si="69"/>
        <v>252.54</v>
      </c>
      <c r="AG225" s="252">
        <f t="shared" si="70"/>
        <v>21.044999999999998</v>
      </c>
      <c r="AK225" s="242"/>
      <c r="AQ225" s="234">
        <f t="shared" si="72"/>
        <v>0.54284269693275766</v>
      </c>
      <c r="AR225" s="235">
        <f t="shared" si="73"/>
        <v>137.08949468339861</v>
      </c>
      <c r="AS225" s="235">
        <f t="shared" si="74"/>
        <v>10.819494683398617</v>
      </c>
      <c r="AW225" s="237">
        <f t="shared" si="75"/>
        <v>0.5449925955301036</v>
      </c>
      <c r="AX225" s="237">
        <f t="shared" si="77"/>
        <v>137.63243007517235</v>
      </c>
      <c r="AY225" s="238">
        <f t="shared" si="76"/>
        <v>0.54293539177373873</v>
      </c>
    </row>
    <row r="226" spans="1:51" s="182" customFormat="1" ht="12" customHeight="1">
      <c r="A226" s="239" t="s">
        <v>582</v>
      </c>
      <c r="B226" s="239" t="s">
        <v>583</v>
      </c>
      <c r="C226" s="240">
        <v>0.61</v>
      </c>
      <c r="D226" s="240">
        <v>0.61</v>
      </c>
      <c r="E226" s="221"/>
      <c r="F226" s="222">
        <v>29.28</v>
      </c>
      <c r="G226" s="222">
        <v>12.2</v>
      </c>
      <c r="H226" s="222">
        <v>43.31</v>
      </c>
      <c r="I226" s="222">
        <v>43.92</v>
      </c>
      <c r="J226" s="222">
        <v>15.86</v>
      </c>
      <c r="K226" s="222">
        <v>48.19</v>
      </c>
      <c r="L226" s="222">
        <v>10.37</v>
      </c>
      <c r="M226" s="222">
        <v>144.57</v>
      </c>
      <c r="N226" s="222">
        <v>39.65</v>
      </c>
      <c r="O226" s="222">
        <v>47.58</v>
      </c>
      <c r="P226" s="222">
        <v>21.35</v>
      </c>
      <c r="Q226" s="222">
        <v>18.91</v>
      </c>
      <c r="R226" s="241">
        <f t="shared" si="80"/>
        <v>475.19</v>
      </c>
      <c r="T226" s="222">
        <f t="shared" si="79"/>
        <v>48</v>
      </c>
      <c r="U226" s="222">
        <f t="shared" si="79"/>
        <v>20</v>
      </c>
      <c r="V226" s="222">
        <f t="shared" si="79"/>
        <v>71</v>
      </c>
      <c r="W226" s="222">
        <f t="shared" si="78"/>
        <v>72</v>
      </c>
      <c r="X226" s="222">
        <f t="shared" si="78"/>
        <v>26</v>
      </c>
      <c r="Y226" s="222">
        <f t="shared" si="78"/>
        <v>79</v>
      </c>
      <c r="Z226" s="222">
        <f t="shared" si="78"/>
        <v>17</v>
      </c>
      <c r="AA226" s="222">
        <f t="shared" si="78"/>
        <v>237</v>
      </c>
      <c r="AB226" s="222">
        <f t="shared" si="78"/>
        <v>65</v>
      </c>
      <c r="AC226" s="222">
        <f t="shared" si="81"/>
        <v>78</v>
      </c>
      <c r="AD226" s="222">
        <f t="shared" si="81"/>
        <v>35</v>
      </c>
      <c r="AE226" s="222">
        <f t="shared" si="81"/>
        <v>31</v>
      </c>
      <c r="AF226" s="261">
        <f t="shared" si="69"/>
        <v>779</v>
      </c>
      <c r="AG226" s="252">
        <f t="shared" si="70"/>
        <v>64.916666666666671</v>
      </c>
      <c r="AK226" s="242"/>
      <c r="AQ226" s="234">
        <f t="shared" si="72"/>
        <v>0.66226809025796429</v>
      </c>
      <c r="AR226" s="235">
        <f t="shared" si="73"/>
        <v>515.90684231095418</v>
      </c>
      <c r="AS226" s="235">
        <f t="shared" si="74"/>
        <v>40.716842310954178</v>
      </c>
      <c r="AW226" s="237">
        <f t="shared" si="75"/>
        <v>0.6648909665467263</v>
      </c>
      <c r="AX226" s="237">
        <f t="shared" si="77"/>
        <v>517.95006293989979</v>
      </c>
      <c r="AY226" s="238">
        <f t="shared" si="76"/>
        <v>2.043220628945619</v>
      </c>
    </row>
    <row r="227" spans="1:51" s="182" customFormat="1" ht="12" customHeight="1">
      <c r="A227" s="239" t="s">
        <v>584</v>
      </c>
      <c r="B227" s="239" t="s">
        <v>585</v>
      </c>
      <c r="C227" s="240">
        <v>0.61</v>
      </c>
      <c r="D227" s="240">
        <v>0.61</v>
      </c>
      <c r="E227" s="221"/>
      <c r="F227" s="222">
        <v>119.56</v>
      </c>
      <c r="G227" s="222">
        <v>81.739999999999995</v>
      </c>
      <c r="H227" s="222">
        <v>137.25</v>
      </c>
      <c r="I227" s="222">
        <v>135.41999999999999</v>
      </c>
      <c r="J227" s="222">
        <v>241.56</v>
      </c>
      <c r="K227" s="222">
        <v>375.15</v>
      </c>
      <c r="L227" s="222">
        <v>58.56</v>
      </c>
      <c r="M227" s="222">
        <v>691.13</v>
      </c>
      <c r="N227" s="222">
        <v>349.53</v>
      </c>
      <c r="O227" s="222">
        <v>370.88</v>
      </c>
      <c r="P227" s="222">
        <v>314.14999999999998</v>
      </c>
      <c r="Q227" s="222">
        <v>172.87</v>
      </c>
      <c r="R227" s="241">
        <f t="shared" si="80"/>
        <v>3047.7999999999997</v>
      </c>
      <c r="T227" s="222">
        <f t="shared" si="79"/>
        <v>196</v>
      </c>
      <c r="U227" s="222">
        <f t="shared" si="79"/>
        <v>134</v>
      </c>
      <c r="V227" s="222">
        <f t="shared" si="79"/>
        <v>225</v>
      </c>
      <c r="W227" s="222">
        <f t="shared" si="78"/>
        <v>221.99999999999997</v>
      </c>
      <c r="X227" s="222">
        <f t="shared" si="78"/>
        <v>396</v>
      </c>
      <c r="Y227" s="222">
        <f t="shared" si="78"/>
        <v>615</v>
      </c>
      <c r="Z227" s="222">
        <f t="shared" si="78"/>
        <v>96</v>
      </c>
      <c r="AA227" s="222">
        <f t="shared" si="78"/>
        <v>1133</v>
      </c>
      <c r="AB227" s="222">
        <f t="shared" si="78"/>
        <v>573</v>
      </c>
      <c r="AC227" s="222">
        <f t="shared" si="81"/>
        <v>608</v>
      </c>
      <c r="AD227" s="222">
        <f t="shared" si="81"/>
        <v>515</v>
      </c>
      <c r="AE227" s="222">
        <f t="shared" si="81"/>
        <v>283.39344262295083</v>
      </c>
      <c r="AF227" s="261">
        <f t="shared" si="69"/>
        <v>4996.3934426229507</v>
      </c>
      <c r="AG227" s="252">
        <f t="shared" si="70"/>
        <v>416.36612021857923</v>
      </c>
      <c r="AK227" s="242"/>
      <c r="AQ227" s="234">
        <f t="shared" si="72"/>
        <v>0.66226809025796429</v>
      </c>
      <c r="AR227" s="235">
        <f t="shared" si="73"/>
        <v>3308.9519434233171</v>
      </c>
      <c r="AS227" s="235">
        <f t="shared" si="74"/>
        <v>261.15194342331733</v>
      </c>
      <c r="AW227" s="237">
        <f t="shared" si="75"/>
        <v>0.6648909665467263</v>
      </c>
      <c r="AX227" s="237">
        <f t="shared" si="77"/>
        <v>3322.0568653132987</v>
      </c>
      <c r="AY227" s="238">
        <f t="shared" si="76"/>
        <v>13.104921889981597</v>
      </c>
    </row>
    <row r="228" spans="1:51" s="182" customFormat="1" ht="12" customHeight="1">
      <c r="A228" s="239" t="s">
        <v>586</v>
      </c>
      <c r="B228" s="239" t="s">
        <v>587</v>
      </c>
      <c r="C228" s="240">
        <v>0.94</v>
      </c>
      <c r="D228" s="240">
        <v>0.94</v>
      </c>
      <c r="E228" s="221"/>
      <c r="F228" s="222">
        <v>0</v>
      </c>
      <c r="G228" s="222">
        <v>0</v>
      </c>
      <c r="H228" s="222">
        <v>0</v>
      </c>
      <c r="I228" s="222">
        <v>0</v>
      </c>
      <c r="J228" s="222">
        <v>0</v>
      </c>
      <c r="K228" s="222">
        <v>0</v>
      </c>
      <c r="L228" s="222">
        <v>0</v>
      </c>
      <c r="M228" s="222">
        <v>0</v>
      </c>
      <c r="N228" s="222">
        <v>0</v>
      </c>
      <c r="O228" s="222">
        <v>0</v>
      </c>
      <c r="P228" s="222">
        <v>0</v>
      </c>
      <c r="Q228" s="222">
        <v>0</v>
      </c>
      <c r="R228" s="241">
        <f t="shared" si="80"/>
        <v>0</v>
      </c>
      <c r="T228" s="222">
        <f t="shared" si="79"/>
        <v>0</v>
      </c>
      <c r="U228" s="222">
        <f t="shared" si="79"/>
        <v>0</v>
      </c>
      <c r="V228" s="222">
        <f t="shared" si="79"/>
        <v>0</v>
      </c>
      <c r="W228" s="222">
        <f t="shared" si="78"/>
        <v>0</v>
      </c>
      <c r="X228" s="222">
        <f t="shared" si="78"/>
        <v>0</v>
      </c>
      <c r="Y228" s="222">
        <f t="shared" si="78"/>
        <v>0</v>
      </c>
      <c r="Z228" s="222">
        <f t="shared" si="78"/>
        <v>0</v>
      </c>
      <c r="AA228" s="222">
        <f t="shared" si="78"/>
        <v>0</v>
      </c>
      <c r="AB228" s="222">
        <f t="shared" si="78"/>
        <v>0</v>
      </c>
      <c r="AC228" s="222">
        <f t="shared" si="81"/>
        <v>0</v>
      </c>
      <c r="AD228" s="222">
        <f t="shared" si="81"/>
        <v>0</v>
      </c>
      <c r="AE228" s="222">
        <f t="shared" si="81"/>
        <v>0</v>
      </c>
      <c r="AF228" s="261">
        <f t="shared" si="69"/>
        <v>0</v>
      </c>
      <c r="AG228" s="252">
        <f t="shared" si="70"/>
        <v>0</v>
      </c>
      <c r="AK228" s="242"/>
      <c r="AQ228" s="234">
        <f t="shared" si="72"/>
        <v>1.0205442702335843</v>
      </c>
      <c r="AR228" s="235">
        <f t="shared" si="73"/>
        <v>0</v>
      </c>
      <c r="AS228" s="235">
        <f t="shared" si="74"/>
        <v>0</v>
      </c>
      <c r="AW228" s="237">
        <f t="shared" si="75"/>
        <v>1.0245860795965946</v>
      </c>
      <c r="AX228" s="237">
        <f t="shared" si="77"/>
        <v>0</v>
      </c>
      <c r="AY228" s="238">
        <f t="shared" si="76"/>
        <v>0</v>
      </c>
    </row>
    <row r="229" spans="1:51" s="182" customFormat="1" ht="12" customHeight="1">
      <c r="A229" s="239" t="s">
        <v>588</v>
      </c>
      <c r="B229" s="239" t="s">
        <v>589</v>
      </c>
      <c r="C229" s="240">
        <v>1.1000000000000001</v>
      </c>
      <c r="D229" s="240">
        <v>1.1000000000000001</v>
      </c>
      <c r="E229" s="221"/>
      <c r="F229" s="222">
        <v>0</v>
      </c>
      <c r="G229" s="222">
        <v>0</v>
      </c>
      <c r="H229" s="222">
        <v>0</v>
      </c>
      <c r="I229" s="222">
        <v>0</v>
      </c>
      <c r="J229" s="222">
        <v>0</v>
      </c>
      <c r="K229" s="222">
        <v>0</v>
      </c>
      <c r="L229" s="222">
        <v>0</v>
      </c>
      <c r="M229" s="222">
        <v>0</v>
      </c>
      <c r="N229" s="222">
        <v>0</v>
      </c>
      <c r="O229" s="222">
        <v>0</v>
      </c>
      <c r="P229" s="222">
        <v>0</v>
      </c>
      <c r="Q229" s="222">
        <v>0</v>
      </c>
      <c r="R229" s="241">
        <f t="shared" si="80"/>
        <v>0</v>
      </c>
      <c r="T229" s="222">
        <f t="shared" si="79"/>
        <v>0</v>
      </c>
      <c r="U229" s="222">
        <f t="shared" si="79"/>
        <v>0</v>
      </c>
      <c r="V229" s="222">
        <f t="shared" si="79"/>
        <v>0</v>
      </c>
      <c r="W229" s="222">
        <f t="shared" si="78"/>
        <v>0</v>
      </c>
      <c r="X229" s="222">
        <f t="shared" si="78"/>
        <v>0</v>
      </c>
      <c r="Y229" s="222">
        <f t="shared" si="78"/>
        <v>0</v>
      </c>
      <c r="Z229" s="222">
        <f t="shared" si="78"/>
        <v>0</v>
      </c>
      <c r="AA229" s="222">
        <f t="shared" si="78"/>
        <v>0</v>
      </c>
      <c r="AB229" s="222">
        <f t="shared" si="78"/>
        <v>0</v>
      </c>
      <c r="AC229" s="222">
        <f t="shared" si="81"/>
        <v>0</v>
      </c>
      <c r="AD229" s="222">
        <f t="shared" si="81"/>
        <v>0</v>
      </c>
      <c r="AE229" s="222">
        <f t="shared" si="81"/>
        <v>0</v>
      </c>
      <c r="AF229" s="261">
        <f t="shared" si="69"/>
        <v>0</v>
      </c>
      <c r="AG229" s="252">
        <f t="shared" si="70"/>
        <v>0</v>
      </c>
      <c r="AK229" s="242"/>
      <c r="AQ229" s="234">
        <f t="shared" si="72"/>
        <v>1.194253933252067</v>
      </c>
      <c r="AR229" s="235">
        <f t="shared" si="73"/>
        <v>0</v>
      </c>
      <c r="AS229" s="235">
        <f t="shared" si="74"/>
        <v>0</v>
      </c>
      <c r="AW229" s="237">
        <f t="shared" si="75"/>
        <v>1.198983710166228</v>
      </c>
      <c r="AX229" s="237">
        <f t="shared" si="77"/>
        <v>0</v>
      </c>
      <c r="AY229" s="238">
        <f t="shared" si="76"/>
        <v>0</v>
      </c>
    </row>
    <row r="230" spans="1:51" s="182" customFormat="1" ht="12" customHeight="1">
      <c r="A230" s="239" t="s">
        <v>590</v>
      </c>
      <c r="B230" s="239" t="s">
        <v>591</v>
      </c>
      <c r="C230" s="240">
        <v>1.66</v>
      </c>
      <c r="D230" s="240">
        <v>1.66</v>
      </c>
      <c r="E230" s="221"/>
      <c r="F230" s="222">
        <v>0</v>
      </c>
      <c r="G230" s="222">
        <v>0</v>
      </c>
      <c r="H230" s="222">
        <v>0</v>
      </c>
      <c r="I230" s="222">
        <v>0</v>
      </c>
      <c r="J230" s="222">
        <v>0</v>
      </c>
      <c r="K230" s="222">
        <v>0</v>
      </c>
      <c r="L230" s="222">
        <v>0</v>
      </c>
      <c r="M230" s="222">
        <v>0</v>
      </c>
      <c r="N230" s="222">
        <v>0</v>
      </c>
      <c r="O230" s="222">
        <v>0</v>
      </c>
      <c r="P230" s="222">
        <v>0</v>
      </c>
      <c r="Q230" s="222">
        <v>0</v>
      </c>
      <c r="R230" s="241">
        <f t="shared" si="80"/>
        <v>0</v>
      </c>
      <c r="T230" s="222">
        <f t="shared" si="79"/>
        <v>0</v>
      </c>
      <c r="U230" s="222">
        <f t="shared" si="79"/>
        <v>0</v>
      </c>
      <c r="V230" s="222">
        <f t="shared" si="79"/>
        <v>0</v>
      </c>
      <c r="W230" s="222">
        <f t="shared" si="78"/>
        <v>0</v>
      </c>
      <c r="X230" s="222">
        <f t="shared" si="78"/>
        <v>0</v>
      </c>
      <c r="Y230" s="222">
        <f t="shared" si="78"/>
        <v>0</v>
      </c>
      <c r="Z230" s="222">
        <f t="shared" si="78"/>
        <v>0</v>
      </c>
      <c r="AA230" s="222">
        <f t="shared" si="78"/>
        <v>0</v>
      </c>
      <c r="AB230" s="222">
        <f t="shared" si="78"/>
        <v>0</v>
      </c>
      <c r="AC230" s="222">
        <f t="shared" si="81"/>
        <v>0</v>
      </c>
      <c r="AD230" s="222">
        <f t="shared" si="81"/>
        <v>0</v>
      </c>
      <c r="AE230" s="222">
        <f t="shared" si="81"/>
        <v>0</v>
      </c>
      <c r="AF230" s="261">
        <f t="shared" si="69"/>
        <v>0</v>
      </c>
      <c r="AG230" s="252">
        <f t="shared" si="70"/>
        <v>0</v>
      </c>
      <c r="AK230" s="242"/>
      <c r="AQ230" s="234">
        <f t="shared" si="72"/>
        <v>1.8022377538167553</v>
      </c>
      <c r="AR230" s="235">
        <f t="shared" si="73"/>
        <v>0</v>
      </c>
      <c r="AS230" s="235">
        <f t="shared" si="74"/>
        <v>0</v>
      </c>
      <c r="AW230" s="237">
        <f t="shared" si="75"/>
        <v>1.8093754171599437</v>
      </c>
      <c r="AX230" s="237">
        <f t="shared" si="77"/>
        <v>0</v>
      </c>
      <c r="AY230" s="238">
        <f t="shared" si="76"/>
        <v>0</v>
      </c>
    </row>
    <row r="231" spans="1:51" s="182" customFormat="1" ht="12" customHeight="1">
      <c r="A231" s="239" t="s">
        <v>592</v>
      </c>
      <c r="B231" s="239" t="s">
        <v>593</v>
      </c>
      <c r="C231" s="240">
        <v>27.64</v>
      </c>
      <c r="D231" s="240">
        <v>27.71</v>
      </c>
      <c r="E231" s="221"/>
      <c r="F231" s="222">
        <v>0</v>
      </c>
      <c r="G231" s="222">
        <v>0</v>
      </c>
      <c r="H231" s="222">
        <v>0</v>
      </c>
      <c r="I231" s="222">
        <v>0</v>
      </c>
      <c r="J231" s="222">
        <v>0</v>
      </c>
      <c r="K231" s="222">
        <v>0</v>
      </c>
      <c r="L231" s="222">
        <v>0</v>
      </c>
      <c r="M231" s="222">
        <v>0</v>
      </c>
      <c r="N231" s="222">
        <v>0</v>
      </c>
      <c r="O231" s="222">
        <v>0</v>
      </c>
      <c r="P231" s="222">
        <v>0</v>
      </c>
      <c r="Q231" s="222">
        <v>0</v>
      </c>
      <c r="R231" s="241">
        <f t="shared" si="80"/>
        <v>0</v>
      </c>
      <c r="T231" s="222">
        <f t="shared" si="79"/>
        <v>0</v>
      </c>
      <c r="U231" s="222">
        <f t="shared" si="79"/>
        <v>0</v>
      </c>
      <c r="V231" s="222">
        <f t="shared" si="79"/>
        <v>0</v>
      </c>
      <c r="W231" s="222">
        <f t="shared" si="78"/>
        <v>0</v>
      </c>
      <c r="X231" s="222">
        <f t="shared" si="78"/>
        <v>0</v>
      </c>
      <c r="Y231" s="222">
        <f t="shared" si="78"/>
        <v>0</v>
      </c>
      <c r="Z231" s="222">
        <f t="shared" si="78"/>
        <v>0</v>
      </c>
      <c r="AA231" s="222">
        <f t="shared" si="78"/>
        <v>0</v>
      </c>
      <c r="AB231" s="222">
        <f t="shared" si="78"/>
        <v>0</v>
      </c>
      <c r="AC231" s="222">
        <f t="shared" si="81"/>
        <v>0</v>
      </c>
      <c r="AD231" s="222">
        <f t="shared" si="81"/>
        <v>0</v>
      </c>
      <c r="AE231" s="222">
        <f t="shared" si="81"/>
        <v>0</v>
      </c>
      <c r="AF231" s="261">
        <f t="shared" si="69"/>
        <v>0</v>
      </c>
      <c r="AG231" s="252">
        <f t="shared" si="70"/>
        <v>0</v>
      </c>
      <c r="AK231" s="242"/>
      <c r="AQ231" s="234">
        <f t="shared" si="72"/>
        <v>30.084342264013429</v>
      </c>
      <c r="AR231" s="235">
        <f t="shared" si="73"/>
        <v>0</v>
      </c>
      <c r="AS231" s="235">
        <f t="shared" si="74"/>
        <v>0</v>
      </c>
      <c r="AW231" s="237">
        <f t="shared" si="75"/>
        <v>30.203489644278338</v>
      </c>
      <c r="AX231" s="237">
        <f t="shared" si="77"/>
        <v>0</v>
      </c>
      <c r="AY231" s="238">
        <f t="shared" si="76"/>
        <v>0</v>
      </c>
    </row>
    <row r="232" spans="1:51" s="182" customFormat="1" ht="12" customHeight="1">
      <c r="A232" s="239" t="s">
        <v>594</v>
      </c>
      <c r="B232" s="239" t="s">
        <v>595</v>
      </c>
      <c r="C232" s="240">
        <v>27.64</v>
      </c>
      <c r="D232" s="240">
        <v>27.71</v>
      </c>
      <c r="E232" s="221"/>
      <c r="F232" s="222">
        <v>0</v>
      </c>
      <c r="G232" s="222">
        <v>0</v>
      </c>
      <c r="H232" s="222">
        <v>0</v>
      </c>
      <c r="I232" s="222">
        <v>0</v>
      </c>
      <c r="J232" s="222">
        <v>0</v>
      </c>
      <c r="K232" s="222">
        <v>0</v>
      </c>
      <c r="L232" s="222">
        <v>0</v>
      </c>
      <c r="M232" s="222">
        <v>0</v>
      </c>
      <c r="N232" s="222">
        <v>0</v>
      </c>
      <c r="O232" s="222">
        <v>0</v>
      </c>
      <c r="P232" s="222">
        <v>0</v>
      </c>
      <c r="Q232" s="222">
        <v>0</v>
      </c>
      <c r="R232" s="241">
        <f t="shared" si="80"/>
        <v>0</v>
      </c>
      <c r="T232" s="222">
        <f t="shared" si="79"/>
        <v>0</v>
      </c>
      <c r="U232" s="222">
        <f t="shared" si="79"/>
        <v>0</v>
      </c>
      <c r="V232" s="222">
        <f t="shared" si="79"/>
        <v>0</v>
      </c>
      <c r="W232" s="222">
        <f t="shared" si="78"/>
        <v>0</v>
      </c>
      <c r="X232" s="222">
        <f t="shared" si="78"/>
        <v>0</v>
      </c>
      <c r="Y232" s="222">
        <f t="shared" si="78"/>
        <v>0</v>
      </c>
      <c r="Z232" s="222">
        <f t="shared" si="78"/>
        <v>0</v>
      </c>
      <c r="AA232" s="222">
        <f t="shared" si="78"/>
        <v>0</v>
      </c>
      <c r="AB232" s="222">
        <f t="shared" si="78"/>
        <v>0</v>
      </c>
      <c r="AC232" s="222">
        <f t="shared" si="81"/>
        <v>0</v>
      </c>
      <c r="AD232" s="222">
        <f t="shared" si="81"/>
        <v>0</v>
      </c>
      <c r="AE232" s="222">
        <f t="shared" si="81"/>
        <v>0</v>
      </c>
      <c r="AF232" s="261">
        <f t="shared" si="69"/>
        <v>0</v>
      </c>
      <c r="AG232" s="252">
        <f t="shared" si="70"/>
        <v>0</v>
      </c>
      <c r="AK232" s="242"/>
      <c r="AQ232" s="234">
        <f t="shared" si="72"/>
        <v>30.084342264013429</v>
      </c>
      <c r="AR232" s="235">
        <f t="shared" si="73"/>
        <v>0</v>
      </c>
      <c r="AS232" s="235">
        <f t="shared" si="74"/>
        <v>0</v>
      </c>
      <c r="AW232" s="237">
        <f t="shared" si="75"/>
        <v>30.203489644278338</v>
      </c>
      <c r="AX232" s="237">
        <f t="shared" si="77"/>
        <v>0</v>
      </c>
      <c r="AY232" s="238">
        <f t="shared" si="76"/>
        <v>0</v>
      </c>
    </row>
    <row r="233" spans="1:51" s="182" customFormat="1" ht="12" customHeight="1">
      <c r="A233" s="239" t="s">
        <v>596</v>
      </c>
      <c r="B233" s="239" t="s">
        <v>597</v>
      </c>
      <c r="C233" s="240">
        <v>27.64</v>
      </c>
      <c r="D233" s="240">
        <v>27.71</v>
      </c>
      <c r="E233" s="221"/>
      <c r="F233" s="222">
        <v>0</v>
      </c>
      <c r="G233" s="222">
        <v>0</v>
      </c>
      <c r="H233" s="222">
        <v>0</v>
      </c>
      <c r="I233" s="222">
        <v>0</v>
      </c>
      <c r="J233" s="222">
        <v>0</v>
      </c>
      <c r="K233" s="222">
        <v>0</v>
      </c>
      <c r="L233" s="222">
        <v>0</v>
      </c>
      <c r="M233" s="222">
        <v>0</v>
      </c>
      <c r="N233" s="222">
        <v>0</v>
      </c>
      <c r="O233" s="222">
        <v>0</v>
      </c>
      <c r="P233" s="222">
        <v>0</v>
      </c>
      <c r="Q233" s="222">
        <v>27.71</v>
      </c>
      <c r="R233" s="241">
        <f t="shared" si="80"/>
        <v>27.71</v>
      </c>
      <c r="T233" s="222">
        <f t="shared" si="79"/>
        <v>0</v>
      </c>
      <c r="U233" s="222">
        <f t="shared" si="79"/>
        <v>0</v>
      </c>
      <c r="V233" s="222">
        <f t="shared" si="79"/>
        <v>0</v>
      </c>
      <c r="W233" s="222">
        <f t="shared" si="78"/>
        <v>0</v>
      </c>
      <c r="X233" s="222">
        <f t="shared" si="78"/>
        <v>0</v>
      </c>
      <c r="Y233" s="222">
        <f t="shared" si="78"/>
        <v>0</v>
      </c>
      <c r="Z233" s="222">
        <f t="shared" si="78"/>
        <v>0</v>
      </c>
      <c r="AA233" s="222">
        <f t="shared" si="78"/>
        <v>0</v>
      </c>
      <c r="AB233" s="222">
        <f t="shared" si="78"/>
        <v>0</v>
      </c>
      <c r="AC233" s="222">
        <f t="shared" si="81"/>
        <v>0</v>
      </c>
      <c r="AD233" s="222">
        <f t="shared" si="81"/>
        <v>0</v>
      </c>
      <c r="AE233" s="222">
        <f t="shared" si="81"/>
        <v>1</v>
      </c>
      <c r="AF233" s="261">
        <f t="shared" si="69"/>
        <v>1</v>
      </c>
      <c r="AG233" s="252">
        <f t="shared" si="70"/>
        <v>8.3333333333333329E-2</v>
      </c>
      <c r="AK233" s="242"/>
      <c r="AQ233" s="234">
        <f t="shared" si="72"/>
        <v>30.084342264013429</v>
      </c>
      <c r="AR233" s="235">
        <f t="shared" si="73"/>
        <v>30.084342264013426</v>
      </c>
      <c r="AS233" s="235">
        <f t="shared" si="74"/>
        <v>2.3743422640134249</v>
      </c>
      <c r="AW233" s="237">
        <f t="shared" si="75"/>
        <v>30.203489644278338</v>
      </c>
      <c r="AX233" s="237">
        <f t="shared" si="77"/>
        <v>30.203489644278335</v>
      </c>
      <c r="AY233" s="238">
        <f t="shared" si="76"/>
        <v>0.11914738026490923</v>
      </c>
    </row>
    <row r="234" spans="1:51" s="182" customFormat="1" ht="12" customHeight="1">
      <c r="A234" s="239" t="s">
        <v>598</v>
      </c>
      <c r="B234" s="239" t="s">
        <v>599</v>
      </c>
      <c r="C234" s="240">
        <v>13.82</v>
      </c>
      <c r="D234" s="240">
        <v>13.86</v>
      </c>
      <c r="E234" s="221"/>
      <c r="F234" s="222">
        <v>0</v>
      </c>
      <c r="G234" s="222">
        <v>0</v>
      </c>
      <c r="H234" s="222">
        <v>0</v>
      </c>
      <c r="I234" s="222">
        <v>0</v>
      </c>
      <c r="J234" s="222">
        <v>0</v>
      </c>
      <c r="K234" s="222">
        <v>0</v>
      </c>
      <c r="L234" s="222">
        <v>0</v>
      </c>
      <c r="M234" s="222">
        <v>0</v>
      </c>
      <c r="N234" s="222">
        <v>0</v>
      </c>
      <c r="O234" s="222">
        <v>0</v>
      </c>
      <c r="P234" s="222">
        <v>0</v>
      </c>
      <c r="Q234" s="222">
        <v>0</v>
      </c>
      <c r="R234" s="241">
        <f t="shared" si="80"/>
        <v>0</v>
      </c>
      <c r="T234" s="222">
        <f t="shared" si="79"/>
        <v>0</v>
      </c>
      <c r="U234" s="222">
        <f t="shared" si="79"/>
        <v>0</v>
      </c>
      <c r="V234" s="222">
        <f t="shared" si="79"/>
        <v>0</v>
      </c>
      <c r="W234" s="222">
        <f t="shared" si="78"/>
        <v>0</v>
      </c>
      <c r="X234" s="222">
        <f t="shared" si="78"/>
        <v>0</v>
      </c>
      <c r="Y234" s="222">
        <f t="shared" si="78"/>
        <v>0</v>
      </c>
      <c r="Z234" s="222">
        <f t="shared" si="78"/>
        <v>0</v>
      </c>
      <c r="AA234" s="222">
        <f t="shared" si="78"/>
        <v>0</v>
      </c>
      <c r="AB234" s="222">
        <f t="shared" si="78"/>
        <v>0</v>
      </c>
      <c r="AC234" s="222">
        <f t="shared" si="81"/>
        <v>0</v>
      </c>
      <c r="AD234" s="222">
        <f t="shared" si="81"/>
        <v>0</v>
      </c>
      <c r="AE234" s="222">
        <f t="shared" si="81"/>
        <v>0</v>
      </c>
      <c r="AF234" s="261">
        <f t="shared" si="69"/>
        <v>0</v>
      </c>
      <c r="AG234" s="252">
        <f t="shared" si="70"/>
        <v>0</v>
      </c>
      <c r="AK234" s="242"/>
      <c r="AQ234" s="234">
        <f t="shared" si="72"/>
        <v>15.047599558976042</v>
      </c>
      <c r="AR234" s="235">
        <f t="shared" si="73"/>
        <v>0</v>
      </c>
      <c r="AS234" s="235">
        <f t="shared" si="74"/>
        <v>0</v>
      </c>
      <c r="AW234" s="237">
        <f t="shared" si="75"/>
        <v>15.107194748094471</v>
      </c>
      <c r="AX234" s="237">
        <f t="shared" si="77"/>
        <v>0</v>
      </c>
      <c r="AY234" s="238">
        <f t="shared" si="76"/>
        <v>0</v>
      </c>
    </row>
    <row r="235" spans="1:51" s="182" customFormat="1" ht="12" customHeight="1">
      <c r="A235" s="239" t="s">
        <v>600</v>
      </c>
      <c r="B235" s="239" t="s">
        <v>601</v>
      </c>
      <c r="C235" s="240">
        <v>13.82</v>
      </c>
      <c r="D235" s="240">
        <v>13.86</v>
      </c>
      <c r="E235" s="221"/>
      <c r="F235" s="222">
        <v>0</v>
      </c>
      <c r="G235" s="222">
        <v>0</v>
      </c>
      <c r="H235" s="222">
        <v>0</v>
      </c>
      <c r="I235" s="222">
        <v>0</v>
      </c>
      <c r="J235" s="222">
        <v>0</v>
      </c>
      <c r="K235" s="222">
        <v>0</v>
      </c>
      <c r="L235" s="222">
        <v>0</v>
      </c>
      <c r="M235" s="222">
        <v>13.82</v>
      </c>
      <c r="N235" s="222">
        <v>0</v>
      </c>
      <c r="O235" s="222">
        <v>0</v>
      </c>
      <c r="P235" s="222">
        <v>0</v>
      </c>
      <c r="Q235" s="222">
        <v>0</v>
      </c>
      <c r="R235" s="241">
        <f t="shared" si="80"/>
        <v>13.82</v>
      </c>
      <c r="T235" s="222">
        <f t="shared" si="79"/>
        <v>0</v>
      </c>
      <c r="U235" s="222">
        <f t="shared" si="79"/>
        <v>0</v>
      </c>
      <c r="V235" s="222">
        <f t="shared" si="79"/>
        <v>0</v>
      </c>
      <c r="W235" s="222">
        <f t="shared" si="78"/>
        <v>0</v>
      </c>
      <c r="X235" s="222">
        <f t="shared" si="78"/>
        <v>0</v>
      </c>
      <c r="Y235" s="222">
        <f t="shared" si="78"/>
        <v>0</v>
      </c>
      <c r="Z235" s="222">
        <f t="shared" si="78"/>
        <v>0</v>
      </c>
      <c r="AA235" s="222">
        <f t="shared" si="78"/>
        <v>1</v>
      </c>
      <c r="AB235" s="222">
        <f t="shared" si="78"/>
        <v>0</v>
      </c>
      <c r="AC235" s="222">
        <f t="shared" si="81"/>
        <v>0</v>
      </c>
      <c r="AD235" s="222">
        <f t="shared" si="81"/>
        <v>0</v>
      </c>
      <c r="AE235" s="222">
        <f t="shared" si="81"/>
        <v>0</v>
      </c>
      <c r="AF235" s="261">
        <f t="shared" si="69"/>
        <v>1</v>
      </c>
      <c r="AG235" s="252">
        <f t="shared" si="70"/>
        <v>8.3333333333333329E-2</v>
      </c>
      <c r="AK235" s="242"/>
      <c r="AQ235" s="234">
        <f t="shared" si="72"/>
        <v>15.047599558976042</v>
      </c>
      <c r="AR235" s="235">
        <f t="shared" si="73"/>
        <v>15.047599558976042</v>
      </c>
      <c r="AS235" s="235">
        <f t="shared" si="74"/>
        <v>1.227599558976042</v>
      </c>
      <c r="AW235" s="237">
        <f t="shared" si="75"/>
        <v>15.107194748094471</v>
      </c>
      <c r="AX235" s="237">
        <f t="shared" si="77"/>
        <v>15.10719474809447</v>
      </c>
      <c r="AY235" s="238">
        <f t="shared" si="76"/>
        <v>5.9595189118427427E-2</v>
      </c>
    </row>
    <row r="236" spans="1:51" s="182" customFormat="1" ht="12" customHeight="1">
      <c r="A236" s="239" t="s">
        <v>602</v>
      </c>
      <c r="B236" s="239" t="s">
        <v>603</v>
      </c>
      <c r="C236" s="240">
        <v>0</v>
      </c>
      <c r="D236" s="240">
        <v>0</v>
      </c>
      <c r="E236" s="221"/>
      <c r="F236" s="222">
        <v>0</v>
      </c>
      <c r="G236" s="222">
        <v>0</v>
      </c>
      <c r="H236" s="222">
        <v>0</v>
      </c>
      <c r="I236" s="222">
        <v>0</v>
      </c>
      <c r="J236" s="222">
        <v>0</v>
      </c>
      <c r="K236" s="222">
        <v>0</v>
      </c>
      <c r="L236" s="222">
        <v>0</v>
      </c>
      <c r="M236" s="222">
        <v>0</v>
      </c>
      <c r="N236" s="222">
        <v>0</v>
      </c>
      <c r="O236" s="222">
        <v>0</v>
      </c>
      <c r="P236" s="222">
        <v>0</v>
      </c>
      <c r="Q236" s="222">
        <v>0</v>
      </c>
      <c r="R236" s="241">
        <f t="shared" si="80"/>
        <v>0</v>
      </c>
      <c r="T236" s="222">
        <f t="shared" si="79"/>
        <v>0</v>
      </c>
      <c r="U236" s="222">
        <f t="shared" si="79"/>
        <v>0</v>
      </c>
      <c r="V236" s="222">
        <f t="shared" si="79"/>
        <v>0</v>
      </c>
      <c r="W236" s="222">
        <f t="shared" si="78"/>
        <v>0</v>
      </c>
      <c r="X236" s="222">
        <f t="shared" si="78"/>
        <v>0</v>
      </c>
      <c r="Y236" s="222">
        <f t="shared" si="78"/>
        <v>0</v>
      </c>
      <c r="Z236" s="222">
        <f t="shared" si="78"/>
        <v>0</v>
      </c>
      <c r="AA236" s="222">
        <f t="shared" si="78"/>
        <v>0</v>
      </c>
      <c r="AB236" s="222">
        <f t="shared" si="78"/>
        <v>0</v>
      </c>
      <c r="AC236" s="222">
        <f t="shared" si="81"/>
        <v>0</v>
      </c>
      <c r="AD236" s="222">
        <f t="shared" si="81"/>
        <v>0</v>
      </c>
      <c r="AE236" s="222">
        <f t="shared" si="81"/>
        <v>0</v>
      </c>
      <c r="AF236" s="261">
        <f t="shared" si="69"/>
        <v>0</v>
      </c>
      <c r="AG236" s="252">
        <f t="shared" si="70"/>
        <v>0</v>
      </c>
      <c r="AK236" s="242"/>
      <c r="AQ236" s="234">
        <f t="shared" si="72"/>
        <v>0</v>
      </c>
      <c r="AR236" s="235">
        <f t="shared" si="73"/>
        <v>0</v>
      </c>
      <c r="AS236" s="235">
        <f t="shared" si="74"/>
        <v>0</v>
      </c>
      <c r="AW236" s="237">
        <f t="shared" si="75"/>
        <v>0</v>
      </c>
      <c r="AX236" s="237">
        <f t="shared" si="77"/>
        <v>0</v>
      </c>
      <c r="AY236" s="238">
        <f t="shared" si="76"/>
        <v>0</v>
      </c>
    </row>
    <row r="237" spans="1:51" s="411" customFormat="1" ht="12" customHeight="1">
      <c r="A237" s="408" t="s">
        <v>604</v>
      </c>
      <c r="B237" s="408" t="s">
        <v>605</v>
      </c>
      <c r="C237" s="272">
        <v>11.75</v>
      </c>
      <c r="D237" s="272">
        <v>11.78</v>
      </c>
      <c r="E237" s="409"/>
      <c r="F237" s="274">
        <v>0</v>
      </c>
      <c r="G237" s="274">
        <v>0</v>
      </c>
      <c r="H237" s="274">
        <v>0</v>
      </c>
      <c r="I237" s="274">
        <v>0</v>
      </c>
      <c r="J237" s="274">
        <v>0</v>
      </c>
      <c r="K237" s="274">
        <v>0</v>
      </c>
      <c r="L237" s="274">
        <v>0</v>
      </c>
      <c r="M237" s="274">
        <v>0</v>
      </c>
      <c r="N237" s="274">
        <v>0</v>
      </c>
      <c r="O237" s="274">
        <v>0</v>
      </c>
      <c r="P237" s="274">
        <v>0</v>
      </c>
      <c r="Q237" s="274">
        <v>0</v>
      </c>
      <c r="R237" s="410">
        <f t="shared" si="80"/>
        <v>0</v>
      </c>
      <c r="T237" s="274">
        <f t="shared" si="79"/>
        <v>0</v>
      </c>
      <c r="U237" s="274">
        <f t="shared" si="79"/>
        <v>0</v>
      </c>
      <c r="V237" s="274">
        <f t="shared" si="79"/>
        <v>0</v>
      </c>
      <c r="W237" s="274">
        <f t="shared" si="78"/>
        <v>0</v>
      </c>
      <c r="X237" s="274">
        <f t="shared" si="78"/>
        <v>0</v>
      </c>
      <c r="Y237" s="274">
        <f t="shared" si="78"/>
        <v>0</v>
      </c>
      <c r="Z237" s="274">
        <f t="shared" si="78"/>
        <v>0</v>
      </c>
      <c r="AA237" s="274">
        <f t="shared" si="78"/>
        <v>0</v>
      </c>
      <c r="AB237" s="274">
        <f t="shared" si="78"/>
        <v>0</v>
      </c>
      <c r="AC237" s="274">
        <f t="shared" si="81"/>
        <v>0</v>
      </c>
      <c r="AD237" s="274">
        <f t="shared" si="81"/>
        <v>0</v>
      </c>
      <c r="AE237" s="274">
        <f t="shared" si="81"/>
        <v>0</v>
      </c>
      <c r="AF237" s="277">
        <f t="shared" si="69"/>
        <v>0</v>
      </c>
      <c r="AG237" s="278">
        <f t="shared" si="70"/>
        <v>0</v>
      </c>
      <c r="AK237" s="412"/>
      <c r="AQ237" s="414">
        <f t="shared" si="72"/>
        <v>12.78937393973577</v>
      </c>
      <c r="AR237" s="415">
        <f t="shared" si="73"/>
        <v>0</v>
      </c>
      <c r="AS237" s="415">
        <f t="shared" si="74"/>
        <v>0</v>
      </c>
      <c r="AW237" s="417">
        <f t="shared" si="75"/>
        <v>12.840025550689239</v>
      </c>
      <c r="AX237" s="417">
        <f t="shared" si="77"/>
        <v>0</v>
      </c>
      <c r="AY237" s="418">
        <f t="shared" si="76"/>
        <v>0</v>
      </c>
    </row>
    <row r="238" spans="1:51" s="230" customFormat="1" ht="12" customHeight="1">
      <c r="A238" s="226" t="s">
        <v>606</v>
      </c>
      <c r="B238" s="226" t="s">
        <v>607</v>
      </c>
      <c r="C238" s="227">
        <v>126.56</v>
      </c>
      <c r="D238" s="227">
        <v>126.9</v>
      </c>
      <c r="E238" s="228"/>
      <c r="F238" s="225">
        <v>0</v>
      </c>
      <c r="G238" s="225">
        <v>0</v>
      </c>
      <c r="H238" s="225">
        <v>0</v>
      </c>
      <c r="I238" s="225">
        <v>0</v>
      </c>
      <c r="J238" s="225">
        <v>0</v>
      </c>
      <c r="K238" s="225">
        <v>0</v>
      </c>
      <c r="L238" s="225">
        <v>0</v>
      </c>
      <c r="M238" s="225">
        <v>0</v>
      </c>
      <c r="N238" s="225">
        <v>31.64</v>
      </c>
      <c r="O238" s="225">
        <v>0</v>
      </c>
      <c r="P238" s="225">
        <v>0</v>
      </c>
      <c r="Q238" s="225">
        <v>0</v>
      </c>
      <c r="R238" s="229">
        <f t="shared" si="80"/>
        <v>31.64</v>
      </c>
      <c r="T238" s="225">
        <f t="shared" si="79"/>
        <v>0</v>
      </c>
      <c r="U238" s="225">
        <f t="shared" si="79"/>
        <v>0</v>
      </c>
      <c r="V238" s="225">
        <f t="shared" si="79"/>
        <v>0</v>
      </c>
      <c r="W238" s="225">
        <f t="shared" si="78"/>
        <v>0</v>
      </c>
      <c r="X238" s="225">
        <f t="shared" si="78"/>
        <v>0</v>
      </c>
      <c r="Y238" s="225">
        <f t="shared" si="78"/>
        <v>0</v>
      </c>
      <c r="Z238" s="225">
        <f t="shared" si="78"/>
        <v>0</v>
      </c>
      <c r="AA238" s="225">
        <f t="shared" si="78"/>
        <v>0</v>
      </c>
      <c r="AB238" s="225">
        <f t="shared" si="78"/>
        <v>0.25</v>
      </c>
      <c r="AC238" s="225">
        <f t="shared" si="81"/>
        <v>0</v>
      </c>
      <c r="AD238" s="225">
        <f t="shared" si="81"/>
        <v>0</v>
      </c>
      <c r="AE238" s="225">
        <f t="shared" si="81"/>
        <v>0</v>
      </c>
      <c r="AF238" s="231">
        <f t="shared" si="69"/>
        <v>0.25</v>
      </c>
      <c r="AG238" s="232">
        <f t="shared" si="70"/>
        <v>2.0833333333333332E-2</v>
      </c>
      <c r="AK238" s="233"/>
      <c r="AQ238" s="234">
        <f t="shared" si="72"/>
        <v>137.77347648153389</v>
      </c>
      <c r="AR238" s="235">
        <f t="shared" si="73"/>
        <v>34.443369120383466</v>
      </c>
      <c r="AS238" s="235">
        <f t="shared" si="74"/>
        <v>2.803369120383465</v>
      </c>
      <c r="AW238" s="237">
        <f t="shared" si="75"/>
        <v>138.31912074554029</v>
      </c>
      <c r="AX238" s="237">
        <f t="shared" si="77"/>
        <v>34.579780186385072</v>
      </c>
      <c r="AY238" s="238">
        <f t="shared" si="76"/>
        <v>0.13641106600160668</v>
      </c>
    </row>
    <row r="239" spans="1:51" s="411" customFormat="1" ht="12" customHeight="1">
      <c r="A239" s="408" t="s">
        <v>608</v>
      </c>
      <c r="B239" s="408" t="s">
        <v>609</v>
      </c>
      <c r="C239" s="272">
        <v>30.57</v>
      </c>
      <c r="D239" s="272">
        <v>30.65</v>
      </c>
      <c r="E239" s="409"/>
      <c r="F239" s="274">
        <v>30.65</v>
      </c>
      <c r="G239" s="274">
        <v>30.65</v>
      </c>
      <c r="H239" s="274">
        <v>183.9</v>
      </c>
      <c r="I239" s="274">
        <v>30.57</v>
      </c>
      <c r="J239" s="274">
        <v>91.71</v>
      </c>
      <c r="K239" s="274">
        <v>213.99</v>
      </c>
      <c r="L239" s="274">
        <v>183.42</v>
      </c>
      <c r="M239" s="274">
        <v>122.28</v>
      </c>
      <c r="N239" s="274">
        <v>61.14</v>
      </c>
      <c r="O239" s="274">
        <v>30.57</v>
      </c>
      <c r="P239" s="274">
        <v>0</v>
      </c>
      <c r="Q239" s="274">
        <v>91.95</v>
      </c>
      <c r="R239" s="410">
        <f t="shared" si="80"/>
        <v>1070.83</v>
      </c>
      <c r="T239" s="274">
        <f t="shared" si="79"/>
        <v>1.0026169447170428</v>
      </c>
      <c r="U239" s="274">
        <f t="shared" si="79"/>
        <v>1.0026169447170428</v>
      </c>
      <c r="V239" s="274">
        <f t="shared" si="79"/>
        <v>6.0157016683022571</v>
      </c>
      <c r="W239" s="274">
        <f t="shared" si="78"/>
        <v>1</v>
      </c>
      <c r="X239" s="274">
        <f t="shared" si="78"/>
        <v>2.9999999999999996</v>
      </c>
      <c r="Y239" s="274">
        <f t="shared" si="78"/>
        <v>7</v>
      </c>
      <c r="Z239" s="274">
        <f t="shared" si="78"/>
        <v>5.9999999999999991</v>
      </c>
      <c r="AA239" s="274">
        <f t="shared" si="78"/>
        <v>4</v>
      </c>
      <c r="AB239" s="274">
        <f t="shared" si="78"/>
        <v>2</v>
      </c>
      <c r="AC239" s="274">
        <f t="shared" si="81"/>
        <v>0.9973898858075041</v>
      </c>
      <c r="AD239" s="274">
        <f t="shared" si="81"/>
        <v>0</v>
      </c>
      <c r="AE239" s="274">
        <f t="shared" si="81"/>
        <v>3.0000000000000004</v>
      </c>
      <c r="AF239" s="277">
        <f t="shared" si="69"/>
        <v>35.018325443543851</v>
      </c>
      <c r="AG239" s="278">
        <f t="shared" si="70"/>
        <v>2.9181937869619876</v>
      </c>
      <c r="AK239" s="412"/>
      <c r="AQ239" s="414">
        <f t="shared" si="72"/>
        <v>33.276257321978044</v>
      </c>
      <c r="AR239" s="415">
        <f t="shared" si="73"/>
        <v>1165.2788084441361</v>
      </c>
      <c r="AS239" s="415">
        <f t="shared" si="74"/>
        <v>94.448808444136148</v>
      </c>
      <c r="AW239" s="417">
        <f t="shared" si="75"/>
        <v>33.408046105995346</v>
      </c>
      <c r="AX239" s="417">
        <f t="shared" si="77"/>
        <v>1169.893830972663</v>
      </c>
      <c r="AY239" s="418">
        <f t="shared" si="76"/>
        <v>4.6150225285268789</v>
      </c>
    </row>
    <row r="240" spans="1:51" s="411" customFormat="1" ht="12" customHeight="1">
      <c r="A240" s="408" t="s">
        <v>610</v>
      </c>
      <c r="B240" s="408" t="s">
        <v>611</v>
      </c>
      <c r="C240" s="272">
        <v>43.33</v>
      </c>
      <c r="D240" s="272">
        <v>43.45</v>
      </c>
      <c r="E240" s="409"/>
      <c r="F240" s="274">
        <v>0</v>
      </c>
      <c r="G240" s="274">
        <v>0</v>
      </c>
      <c r="H240" s="274">
        <v>0</v>
      </c>
      <c r="I240" s="274">
        <v>0</v>
      </c>
      <c r="J240" s="274">
        <v>216.65</v>
      </c>
      <c r="K240" s="274">
        <v>43.33</v>
      </c>
      <c r="L240" s="274">
        <v>259.98</v>
      </c>
      <c r="M240" s="274">
        <v>129.99</v>
      </c>
      <c r="N240" s="274">
        <v>129.99</v>
      </c>
      <c r="O240" s="274">
        <v>43.45</v>
      </c>
      <c r="P240" s="274">
        <v>43.45</v>
      </c>
      <c r="Q240" s="274">
        <v>43.45</v>
      </c>
      <c r="R240" s="410">
        <f t="shared" si="80"/>
        <v>910.29000000000019</v>
      </c>
      <c r="T240" s="274">
        <f t="shared" si="79"/>
        <v>0</v>
      </c>
      <c r="U240" s="274">
        <f t="shared" si="79"/>
        <v>0</v>
      </c>
      <c r="V240" s="274">
        <f t="shared" si="79"/>
        <v>0</v>
      </c>
      <c r="W240" s="274">
        <f t="shared" si="78"/>
        <v>0</v>
      </c>
      <c r="X240" s="274">
        <f t="shared" si="78"/>
        <v>5</v>
      </c>
      <c r="Y240" s="274">
        <f t="shared" si="78"/>
        <v>1</v>
      </c>
      <c r="Z240" s="274">
        <f t="shared" si="78"/>
        <v>6.0000000000000009</v>
      </c>
      <c r="AA240" s="274">
        <f t="shared" si="78"/>
        <v>3.0000000000000004</v>
      </c>
      <c r="AB240" s="274">
        <f t="shared" si="78"/>
        <v>3.0000000000000004</v>
      </c>
      <c r="AC240" s="274">
        <f t="shared" si="81"/>
        <v>1</v>
      </c>
      <c r="AD240" s="274">
        <f t="shared" si="81"/>
        <v>1</v>
      </c>
      <c r="AE240" s="274">
        <f t="shared" si="81"/>
        <v>1</v>
      </c>
      <c r="AF240" s="277">
        <f t="shared" si="69"/>
        <v>21</v>
      </c>
      <c r="AG240" s="278">
        <f t="shared" si="70"/>
        <v>1.75</v>
      </c>
      <c r="AK240" s="412"/>
      <c r="AQ240" s="414">
        <f t="shared" si="72"/>
        <v>47.173030363456647</v>
      </c>
      <c r="AR240" s="415">
        <f t="shared" si="73"/>
        <v>990.63363763258963</v>
      </c>
      <c r="AS240" s="415">
        <f t="shared" si="74"/>
        <v>80.343637632589434</v>
      </c>
      <c r="AW240" s="417">
        <f t="shared" si="75"/>
        <v>47.359856551566004</v>
      </c>
      <c r="AX240" s="417">
        <f t="shared" si="77"/>
        <v>994.55698758288611</v>
      </c>
      <c r="AY240" s="418">
        <f t="shared" si="76"/>
        <v>3.9233499502964833</v>
      </c>
    </row>
    <row r="241" spans="1:51" s="411" customFormat="1" ht="12" customHeight="1">
      <c r="A241" s="408" t="s">
        <v>612</v>
      </c>
      <c r="B241" s="408" t="s">
        <v>613</v>
      </c>
      <c r="C241" s="272">
        <v>55.77</v>
      </c>
      <c r="D241" s="272">
        <v>55.92</v>
      </c>
      <c r="E241" s="409"/>
      <c r="F241" s="274">
        <v>279.60000000000002</v>
      </c>
      <c r="G241" s="274">
        <v>279.60000000000002</v>
      </c>
      <c r="H241" s="274">
        <v>-55.92</v>
      </c>
      <c r="I241" s="274">
        <v>0</v>
      </c>
      <c r="J241" s="274">
        <v>55.77</v>
      </c>
      <c r="K241" s="274">
        <v>55.77</v>
      </c>
      <c r="L241" s="274">
        <v>167.31</v>
      </c>
      <c r="M241" s="274">
        <v>55.77</v>
      </c>
      <c r="N241" s="274">
        <v>0</v>
      </c>
      <c r="O241" s="274">
        <v>223.68</v>
      </c>
      <c r="P241" s="274">
        <v>111.84</v>
      </c>
      <c r="Q241" s="274">
        <v>391.44</v>
      </c>
      <c r="R241" s="410">
        <f t="shared" si="80"/>
        <v>1564.8600000000001</v>
      </c>
      <c r="T241" s="274">
        <f t="shared" si="79"/>
        <v>5.0134480903711678</v>
      </c>
      <c r="U241" s="274">
        <f t="shared" si="79"/>
        <v>5.0134480903711678</v>
      </c>
      <c r="V241" s="274">
        <f t="shared" si="79"/>
        <v>-1.0026896180742335</v>
      </c>
      <c r="W241" s="274">
        <f t="shared" si="78"/>
        <v>0</v>
      </c>
      <c r="X241" s="274">
        <f t="shared" si="78"/>
        <v>1</v>
      </c>
      <c r="Y241" s="274">
        <f t="shared" si="78"/>
        <v>1</v>
      </c>
      <c r="Z241" s="274">
        <f t="shared" si="78"/>
        <v>3</v>
      </c>
      <c r="AA241" s="274">
        <f t="shared" si="78"/>
        <v>1</v>
      </c>
      <c r="AB241" s="274">
        <f t="shared" si="78"/>
        <v>0</v>
      </c>
      <c r="AC241" s="274">
        <f t="shared" si="81"/>
        <v>4</v>
      </c>
      <c r="AD241" s="274">
        <f t="shared" si="81"/>
        <v>2</v>
      </c>
      <c r="AE241" s="274">
        <f t="shared" si="81"/>
        <v>7</v>
      </c>
      <c r="AF241" s="277">
        <f t="shared" si="69"/>
        <v>28.024206562668102</v>
      </c>
      <c r="AG241" s="278">
        <f t="shared" si="70"/>
        <v>2.3353505468890083</v>
      </c>
      <c r="AK241" s="412"/>
      <c r="AQ241" s="414">
        <f t="shared" si="72"/>
        <v>60.711527224959617</v>
      </c>
      <c r="AR241" s="415">
        <f t="shared" si="73"/>
        <v>1701.3923796873162</v>
      </c>
      <c r="AS241" s="415">
        <f t="shared" si="74"/>
        <v>136.53237968731605</v>
      </c>
      <c r="AW241" s="417">
        <f t="shared" si="75"/>
        <v>60.951971884086781</v>
      </c>
      <c r="AX241" s="417">
        <f t="shared" si="77"/>
        <v>1708.1306504815864</v>
      </c>
      <c r="AY241" s="418">
        <f t="shared" si="76"/>
        <v>6.7382707942701927</v>
      </c>
    </row>
    <row r="242" spans="1:51" s="411" customFormat="1" ht="12" customHeight="1">
      <c r="A242" s="408" t="s">
        <v>614</v>
      </c>
      <c r="B242" s="408" t="s">
        <v>615</v>
      </c>
      <c r="C242" s="272">
        <v>75.19</v>
      </c>
      <c r="D242" s="272">
        <v>75.39</v>
      </c>
      <c r="E242" s="409"/>
      <c r="F242" s="274">
        <v>75.39</v>
      </c>
      <c r="G242" s="274">
        <v>301.56</v>
      </c>
      <c r="H242" s="274">
        <v>150.78</v>
      </c>
      <c r="I242" s="274">
        <v>0</v>
      </c>
      <c r="J242" s="274">
        <v>75.19</v>
      </c>
      <c r="K242" s="274">
        <v>451.14</v>
      </c>
      <c r="L242" s="274">
        <v>150.38</v>
      </c>
      <c r="M242" s="274">
        <v>375.95</v>
      </c>
      <c r="N242" s="274">
        <v>451.14</v>
      </c>
      <c r="O242" s="274">
        <v>376.95</v>
      </c>
      <c r="P242" s="274">
        <v>376.95</v>
      </c>
      <c r="Q242" s="274">
        <v>376.95</v>
      </c>
      <c r="R242" s="410">
        <f t="shared" si="80"/>
        <v>3162.3799999999997</v>
      </c>
      <c r="T242" s="274">
        <f t="shared" si="79"/>
        <v>1.0026599281819391</v>
      </c>
      <c r="U242" s="274">
        <f t="shared" si="79"/>
        <v>4.0106397127277562</v>
      </c>
      <c r="V242" s="274">
        <f t="shared" si="79"/>
        <v>2.0053198563638781</v>
      </c>
      <c r="W242" s="274">
        <f t="shared" si="78"/>
        <v>0</v>
      </c>
      <c r="X242" s="274">
        <f t="shared" si="78"/>
        <v>1</v>
      </c>
      <c r="Y242" s="274">
        <f t="shared" si="78"/>
        <v>6</v>
      </c>
      <c r="Z242" s="274">
        <f t="shared" si="78"/>
        <v>2</v>
      </c>
      <c r="AA242" s="274">
        <f t="shared" si="78"/>
        <v>5</v>
      </c>
      <c r="AB242" s="274">
        <f t="shared" si="78"/>
        <v>6</v>
      </c>
      <c r="AC242" s="274">
        <f t="shared" si="81"/>
        <v>5</v>
      </c>
      <c r="AD242" s="274">
        <f t="shared" si="81"/>
        <v>5</v>
      </c>
      <c r="AE242" s="274">
        <f t="shared" si="81"/>
        <v>5</v>
      </c>
      <c r="AF242" s="277">
        <f t="shared" si="69"/>
        <v>42.018619497273576</v>
      </c>
      <c r="AG242" s="278">
        <f t="shared" si="70"/>
        <v>3.501551624772798</v>
      </c>
      <c r="AK242" s="412"/>
      <c r="AQ242" s="414">
        <f t="shared" si="72"/>
        <v>81.849821843521198</v>
      </c>
      <c r="AR242" s="415">
        <f t="shared" si="73"/>
        <v>3439.2165199625483</v>
      </c>
      <c r="AS242" s="415">
        <f t="shared" si="74"/>
        <v>276.83651996254866</v>
      </c>
      <c r="AW242" s="417">
        <f t="shared" si="75"/>
        <v>82.173983554029022</v>
      </c>
      <c r="AX242" s="417">
        <f t="shared" si="77"/>
        <v>3452.8373475319622</v>
      </c>
      <c r="AY242" s="418">
        <f t="shared" si="76"/>
        <v>13.620827569413905</v>
      </c>
    </row>
    <row r="243" spans="1:51" s="411" customFormat="1" ht="12" customHeight="1">
      <c r="A243" s="408" t="s">
        <v>616</v>
      </c>
      <c r="B243" s="408" t="s">
        <v>617</v>
      </c>
      <c r="C243" s="272">
        <v>98.98</v>
      </c>
      <c r="D243" s="272">
        <v>99.25</v>
      </c>
      <c r="E243" s="409"/>
      <c r="F243" s="274">
        <v>99.25</v>
      </c>
      <c r="G243" s="274">
        <v>0</v>
      </c>
      <c r="H243" s="274">
        <v>99.25</v>
      </c>
      <c r="I243" s="274">
        <v>0</v>
      </c>
      <c r="J243" s="274">
        <v>395.92</v>
      </c>
      <c r="K243" s="274">
        <v>197.96</v>
      </c>
      <c r="L243" s="274">
        <v>0</v>
      </c>
      <c r="M243" s="274">
        <v>296.94</v>
      </c>
      <c r="N243" s="274">
        <v>494.9</v>
      </c>
      <c r="O243" s="274">
        <v>0</v>
      </c>
      <c r="P243" s="274">
        <v>0</v>
      </c>
      <c r="Q243" s="274">
        <v>0</v>
      </c>
      <c r="R243" s="410">
        <f t="shared" si="80"/>
        <v>1584.2200000000003</v>
      </c>
      <c r="T243" s="274">
        <f t="shared" si="79"/>
        <v>1.0027278238027884</v>
      </c>
      <c r="U243" s="274">
        <f t="shared" si="79"/>
        <v>0</v>
      </c>
      <c r="V243" s="274">
        <f t="shared" si="79"/>
        <v>1.0027278238027884</v>
      </c>
      <c r="W243" s="274">
        <f t="shared" si="78"/>
        <v>0</v>
      </c>
      <c r="X243" s="274">
        <f t="shared" si="78"/>
        <v>4</v>
      </c>
      <c r="Y243" s="274">
        <f t="shared" si="78"/>
        <v>2</v>
      </c>
      <c r="Z243" s="274">
        <f t="shared" si="78"/>
        <v>0</v>
      </c>
      <c r="AA243" s="274">
        <f t="shared" si="78"/>
        <v>3</v>
      </c>
      <c r="AB243" s="274">
        <f t="shared" si="78"/>
        <v>5</v>
      </c>
      <c r="AC243" s="274">
        <f t="shared" si="81"/>
        <v>0</v>
      </c>
      <c r="AD243" s="274">
        <f t="shared" si="81"/>
        <v>0</v>
      </c>
      <c r="AE243" s="274">
        <f t="shared" si="81"/>
        <v>0</v>
      </c>
      <c r="AF243" s="277">
        <f t="shared" si="69"/>
        <v>16.005455647605576</v>
      </c>
      <c r="AG243" s="278">
        <f t="shared" si="70"/>
        <v>1.3337879706337981</v>
      </c>
      <c r="AK243" s="412"/>
      <c r="AQ243" s="414">
        <f t="shared" si="72"/>
        <v>107.75427534115239</v>
      </c>
      <c r="AR243" s="415">
        <f t="shared" si="73"/>
        <v>1724.6562748126939</v>
      </c>
      <c r="AS243" s="415">
        <f t="shared" si="74"/>
        <v>140.43627481269368</v>
      </c>
      <c r="AW243" s="417">
        <f t="shared" si="75"/>
        <v>108.18103021272556</v>
      </c>
      <c r="AX243" s="417">
        <f t="shared" si="77"/>
        <v>1731.4866809820578</v>
      </c>
      <c r="AY243" s="418">
        <f t="shared" si="76"/>
        <v>6.8304061693638687</v>
      </c>
    </row>
    <row r="244" spans="1:51" s="411" customFormat="1" ht="12" customHeight="1">
      <c r="A244" s="408" t="s">
        <v>618</v>
      </c>
      <c r="B244" s="408" t="s">
        <v>619</v>
      </c>
      <c r="C244" s="272">
        <v>129.04</v>
      </c>
      <c r="D244" s="272">
        <v>129.38999999999999</v>
      </c>
      <c r="E244" s="409"/>
      <c r="F244" s="274">
        <v>0</v>
      </c>
      <c r="G244" s="274">
        <v>0</v>
      </c>
      <c r="H244" s="274">
        <v>0</v>
      </c>
      <c r="I244" s="274">
        <v>129.04</v>
      </c>
      <c r="J244" s="274">
        <v>0</v>
      </c>
      <c r="K244" s="274">
        <v>129.04</v>
      </c>
      <c r="L244" s="274">
        <v>387.12</v>
      </c>
      <c r="M244" s="274">
        <v>258.08</v>
      </c>
      <c r="N244" s="274">
        <v>129.04</v>
      </c>
      <c r="O244" s="274">
        <v>0</v>
      </c>
      <c r="P244" s="274">
        <v>0</v>
      </c>
      <c r="Q244" s="274">
        <v>0</v>
      </c>
      <c r="R244" s="410">
        <f t="shared" si="80"/>
        <v>1032.32</v>
      </c>
      <c r="T244" s="274">
        <f t="shared" si="79"/>
        <v>0</v>
      </c>
      <c r="U244" s="274">
        <f t="shared" si="79"/>
        <v>0</v>
      </c>
      <c r="V244" s="274">
        <f t="shared" si="79"/>
        <v>0</v>
      </c>
      <c r="W244" s="274">
        <f t="shared" si="78"/>
        <v>1</v>
      </c>
      <c r="X244" s="274">
        <f t="shared" si="78"/>
        <v>0</v>
      </c>
      <c r="Y244" s="274">
        <f t="shared" si="78"/>
        <v>1</v>
      </c>
      <c r="Z244" s="274">
        <f t="shared" si="78"/>
        <v>3</v>
      </c>
      <c r="AA244" s="274">
        <f t="shared" si="78"/>
        <v>2</v>
      </c>
      <c r="AB244" s="274">
        <f t="shared" si="78"/>
        <v>1</v>
      </c>
      <c r="AC244" s="274">
        <f t="shared" si="81"/>
        <v>0</v>
      </c>
      <c r="AD244" s="274">
        <f t="shared" si="81"/>
        <v>0</v>
      </c>
      <c r="AE244" s="274">
        <f t="shared" si="81"/>
        <v>0</v>
      </c>
      <c r="AF244" s="277">
        <f t="shared" si="69"/>
        <v>8</v>
      </c>
      <c r="AG244" s="278">
        <f t="shared" si="70"/>
        <v>0.66666666666666663</v>
      </c>
      <c r="AK244" s="412"/>
      <c r="AQ244" s="414">
        <f t="shared" si="72"/>
        <v>140.47683311225902</v>
      </c>
      <c r="AR244" s="415">
        <f t="shared" si="73"/>
        <v>1123.8146648980721</v>
      </c>
      <c r="AS244" s="415">
        <f t="shared" si="74"/>
        <v>91.494664898072187</v>
      </c>
      <c r="AW244" s="417">
        <f t="shared" si="75"/>
        <v>141.03318387128019</v>
      </c>
      <c r="AX244" s="417">
        <f t="shared" si="77"/>
        <v>1128.2654709702415</v>
      </c>
      <c r="AY244" s="418">
        <f t="shared" si="76"/>
        <v>4.450806072169371</v>
      </c>
    </row>
    <row r="245" spans="1:51" s="411" customFormat="1" ht="12" customHeight="1">
      <c r="A245" s="408" t="s">
        <v>620</v>
      </c>
      <c r="B245" s="408" t="s">
        <v>621</v>
      </c>
      <c r="C245" s="272">
        <v>169.14</v>
      </c>
      <c r="D245" s="272">
        <v>169.6</v>
      </c>
      <c r="E245" s="409"/>
      <c r="F245" s="274">
        <v>0</v>
      </c>
      <c r="G245" s="274">
        <v>0</v>
      </c>
      <c r="H245" s="274">
        <v>0</v>
      </c>
      <c r="I245" s="274">
        <v>0</v>
      </c>
      <c r="J245" s="274">
        <v>338.28</v>
      </c>
      <c r="K245" s="274">
        <v>0</v>
      </c>
      <c r="L245" s="274">
        <v>0</v>
      </c>
      <c r="M245" s="274">
        <v>338.28</v>
      </c>
      <c r="N245" s="274">
        <v>0</v>
      </c>
      <c r="O245" s="274">
        <v>0</v>
      </c>
      <c r="P245" s="274">
        <v>0</v>
      </c>
      <c r="Q245" s="274">
        <v>0</v>
      </c>
      <c r="R245" s="410">
        <f t="shared" si="80"/>
        <v>676.56</v>
      </c>
      <c r="T245" s="274">
        <f t="shared" si="79"/>
        <v>0</v>
      </c>
      <c r="U245" s="274">
        <f t="shared" si="79"/>
        <v>0</v>
      </c>
      <c r="V245" s="274">
        <f t="shared" si="79"/>
        <v>0</v>
      </c>
      <c r="W245" s="274">
        <f t="shared" si="78"/>
        <v>0</v>
      </c>
      <c r="X245" s="274">
        <f t="shared" si="78"/>
        <v>2</v>
      </c>
      <c r="Y245" s="274">
        <f t="shared" si="78"/>
        <v>0</v>
      </c>
      <c r="Z245" s="274">
        <f t="shared" si="78"/>
        <v>0</v>
      </c>
      <c r="AA245" s="274">
        <f t="shared" si="78"/>
        <v>2</v>
      </c>
      <c r="AB245" s="274">
        <f t="shared" si="78"/>
        <v>0</v>
      </c>
      <c r="AC245" s="274">
        <f t="shared" si="81"/>
        <v>0</v>
      </c>
      <c r="AD245" s="274">
        <f t="shared" si="81"/>
        <v>0</v>
      </c>
      <c r="AE245" s="274">
        <f t="shared" si="81"/>
        <v>0</v>
      </c>
      <c r="AF245" s="277">
        <f t="shared" si="69"/>
        <v>4</v>
      </c>
      <c r="AG245" s="278">
        <f t="shared" si="70"/>
        <v>0.33333333333333331</v>
      </c>
      <c r="AK245" s="412"/>
      <c r="AQ245" s="414">
        <f t="shared" si="72"/>
        <v>184.13224279959138</v>
      </c>
      <c r="AR245" s="415">
        <f t="shared" si="73"/>
        <v>736.52897119836553</v>
      </c>
      <c r="AS245" s="415">
        <f t="shared" si="74"/>
        <v>59.96897119836558</v>
      </c>
      <c r="AW245" s="417">
        <f t="shared" si="75"/>
        <v>184.86148840381111</v>
      </c>
      <c r="AX245" s="417">
        <f t="shared" si="77"/>
        <v>739.44595361524443</v>
      </c>
      <c r="AY245" s="418">
        <f t="shared" si="76"/>
        <v>2.9169824168789091</v>
      </c>
    </row>
    <row r="246" spans="1:51" s="411" customFormat="1" ht="12" customHeight="1">
      <c r="A246" s="408" t="s">
        <v>622</v>
      </c>
      <c r="B246" s="408" t="s">
        <v>623</v>
      </c>
      <c r="C246" s="272">
        <v>14.72</v>
      </c>
      <c r="D246" s="272">
        <v>14.76</v>
      </c>
      <c r="E246" s="409"/>
      <c r="F246" s="274">
        <v>0</v>
      </c>
      <c r="G246" s="274">
        <v>0</v>
      </c>
      <c r="H246" s="274">
        <v>0</v>
      </c>
      <c r="I246" s="274">
        <v>0</v>
      </c>
      <c r="J246" s="274">
        <v>0</v>
      </c>
      <c r="K246" s="274">
        <v>0</v>
      </c>
      <c r="L246" s="274">
        <v>0</v>
      </c>
      <c r="M246" s="274">
        <v>0</v>
      </c>
      <c r="N246" s="274">
        <v>0</v>
      </c>
      <c r="O246" s="274">
        <v>0</v>
      </c>
      <c r="P246" s="274">
        <v>0</v>
      </c>
      <c r="Q246" s="274">
        <v>0</v>
      </c>
      <c r="R246" s="410">
        <f t="shared" si="80"/>
        <v>0</v>
      </c>
      <c r="T246" s="274">
        <f t="shared" si="79"/>
        <v>0</v>
      </c>
      <c r="U246" s="274">
        <f t="shared" si="79"/>
        <v>0</v>
      </c>
      <c r="V246" s="274">
        <f t="shared" si="79"/>
        <v>0</v>
      </c>
      <c r="W246" s="274">
        <f t="shared" si="78"/>
        <v>0</v>
      </c>
      <c r="X246" s="274">
        <f t="shared" si="78"/>
        <v>0</v>
      </c>
      <c r="Y246" s="274">
        <f t="shared" si="78"/>
        <v>0</v>
      </c>
      <c r="Z246" s="274">
        <f t="shared" si="78"/>
        <v>0</v>
      </c>
      <c r="AA246" s="274">
        <f t="shared" si="78"/>
        <v>0</v>
      </c>
      <c r="AB246" s="274">
        <f t="shared" si="78"/>
        <v>0</v>
      </c>
      <c r="AC246" s="274">
        <f t="shared" si="81"/>
        <v>0</v>
      </c>
      <c r="AD246" s="274">
        <f t="shared" si="81"/>
        <v>0</v>
      </c>
      <c r="AE246" s="274">
        <f t="shared" si="81"/>
        <v>0</v>
      </c>
      <c r="AF246" s="277">
        <f t="shared" si="69"/>
        <v>0</v>
      </c>
      <c r="AG246" s="278">
        <f t="shared" si="70"/>
        <v>0</v>
      </c>
      <c r="AK246" s="412"/>
      <c r="AQ246" s="414">
        <f t="shared" si="72"/>
        <v>16.024716413455007</v>
      </c>
      <c r="AR246" s="415">
        <f t="shared" si="73"/>
        <v>0</v>
      </c>
      <c r="AS246" s="415">
        <f t="shared" si="74"/>
        <v>0</v>
      </c>
      <c r="AW246" s="417">
        <f t="shared" si="75"/>
        <v>16.088181420048659</v>
      </c>
      <c r="AX246" s="417">
        <f t="shared" si="77"/>
        <v>0</v>
      </c>
      <c r="AY246" s="418">
        <f t="shared" si="76"/>
        <v>0</v>
      </c>
    </row>
    <row r="247" spans="1:51" s="182" customFormat="1" ht="12" customHeight="1">
      <c r="A247" s="239" t="s">
        <v>624</v>
      </c>
      <c r="B247" s="239" t="s">
        <v>625</v>
      </c>
      <c r="C247" s="240">
        <v>126.56</v>
      </c>
      <c r="D247" s="240">
        <v>126.9</v>
      </c>
      <c r="E247" s="221"/>
      <c r="F247" s="222">
        <v>0</v>
      </c>
      <c r="G247" s="222">
        <v>0</v>
      </c>
      <c r="H247" s="222">
        <v>0</v>
      </c>
      <c r="I247" s="222">
        <v>0</v>
      </c>
      <c r="J247" s="222">
        <v>126.56</v>
      </c>
      <c r="K247" s="222">
        <v>63.28</v>
      </c>
      <c r="L247" s="222">
        <v>189.84</v>
      </c>
      <c r="M247" s="222">
        <v>158.19999999999999</v>
      </c>
      <c r="N247" s="222">
        <v>316.39999999999998</v>
      </c>
      <c r="O247" s="222">
        <v>31.73</v>
      </c>
      <c r="P247" s="222">
        <v>0</v>
      </c>
      <c r="Q247" s="222">
        <v>63.45</v>
      </c>
      <c r="R247" s="241">
        <f t="shared" si="80"/>
        <v>949.46</v>
      </c>
      <c r="T247" s="222">
        <f t="shared" si="79"/>
        <v>0</v>
      </c>
      <c r="U247" s="222">
        <f t="shared" si="79"/>
        <v>0</v>
      </c>
      <c r="V247" s="222">
        <f t="shared" si="79"/>
        <v>0</v>
      </c>
      <c r="W247" s="222">
        <f t="shared" si="78"/>
        <v>0</v>
      </c>
      <c r="X247" s="222">
        <f t="shared" si="78"/>
        <v>1</v>
      </c>
      <c r="Y247" s="222">
        <f t="shared" si="78"/>
        <v>0.5</v>
      </c>
      <c r="Z247" s="222">
        <f t="shared" si="78"/>
        <v>1.5</v>
      </c>
      <c r="AA247" s="222">
        <f t="shared" si="78"/>
        <v>1.2499999999999998</v>
      </c>
      <c r="AB247" s="222">
        <f t="shared" si="78"/>
        <v>2.4999999999999996</v>
      </c>
      <c r="AC247" s="222">
        <f t="shared" si="81"/>
        <v>0.25003940110323086</v>
      </c>
      <c r="AD247" s="222">
        <f t="shared" si="81"/>
        <v>0</v>
      </c>
      <c r="AE247" s="222">
        <f t="shared" si="81"/>
        <v>0.5</v>
      </c>
      <c r="AF247" s="261">
        <f t="shared" si="69"/>
        <v>7.5000394011032308</v>
      </c>
      <c r="AG247" s="252">
        <f t="shared" si="70"/>
        <v>0.62500328342526923</v>
      </c>
      <c r="AK247" s="242"/>
      <c r="AQ247" s="234">
        <f t="shared" si="72"/>
        <v>137.77347648153389</v>
      </c>
      <c r="AR247" s="235">
        <f t="shared" si="73"/>
        <v>1033.3065020384734</v>
      </c>
      <c r="AS247" s="235">
        <f t="shared" si="74"/>
        <v>83.846502038473318</v>
      </c>
      <c r="AW247" s="237">
        <f t="shared" si="75"/>
        <v>138.31912074554029</v>
      </c>
      <c r="AX247" s="237">
        <f t="shared" si="77"/>
        <v>1037.3988555175074</v>
      </c>
      <c r="AY247" s="238">
        <f t="shared" si="76"/>
        <v>4.0923534790340454</v>
      </c>
    </row>
    <row r="248" spans="1:51" s="182" customFormat="1" ht="12" customHeight="1">
      <c r="A248" s="239" t="s">
        <v>626</v>
      </c>
      <c r="B248" s="239" t="s">
        <v>627</v>
      </c>
      <c r="C248" s="240">
        <v>4</v>
      </c>
      <c r="D248" s="240">
        <v>2.82</v>
      </c>
      <c r="E248" s="221"/>
      <c r="F248" s="222">
        <v>0</v>
      </c>
      <c r="G248" s="222">
        <v>0</v>
      </c>
      <c r="H248" s="222">
        <v>0</v>
      </c>
      <c r="I248" s="222">
        <v>0</v>
      </c>
      <c r="J248" s="222">
        <v>0</v>
      </c>
      <c r="K248" s="222">
        <v>0</v>
      </c>
      <c r="L248" s="222">
        <v>0</v>
      </c>
      <c r="M248" s="222">
        <v>0</v>
      </c>
      <c r="N248" s="222">
        <v>0</v>
      </c>
      <c r="O248" s="222">
        <v>0</v>
      </c>
      <c r="P248" s="222">
        <v>0</v>
      </c>
      <c r="Q248" s="222">
        <v>0</v>
      </c>
      <c r="R248" s="241">
        <f t="shared" si="80"/>
        <v>0</v>
      </c>
      <c r="T248" s="222">
        <f t="shared" si="79"/>
        <v>0</v>
      </c>
      <c r="U248" s="222">
        <f t="shared" si="79"/>
        <v>0</v>
      </c>
      <c r="V248" s="222">
        <f t="shared" si="79"/>
        <v>0</v>
      </c>
      <c r="W248" s="222">
        <f t="shared" si="79"/>
        <v>0</v>
      </c>
      <c r="X248" s="222">
        <f t="shared" si="79"/>
        <v>0</v>
      </c>
      <c r="Y248" s="222">
        <f t="shared" si="79"/>
        <v>0</v>
      </c>
      <c r="Z248" s="222">
        <f t="shared" si="79"/>
        <v>0</v>
      </c>
      <c r="AA248" s="222">
        <f t="shared" si="79"/>
        <v>0</v>
      </c>
      <c r="AB248" s="222">
        <f t="shared" si="79"/>
        <v>0</v>
      </c>
      <c r="AC248" s="222">
        <f t="shared" si="81"/>
        <v>0</v>
      </c>
      <c r="AD248" s="222">
        <f t="shared" si="81"/>
        <v>0</v>
      </c>
      <c r="AE248" s="222">
        <f t="shared" si="81"/>
        <v>0</v>
      </c>
      <c r="AF248" s="261">
        <f t="shared" si="69"/>
        <v>0</v>
      </c>
      <c r="AG248" s="252">
        <f t="shared" si="70"/>
        <v>0</v>
      </c>
      <c r="AK248" s="242"/>
      <c r="AQ248" s="234">
        <f t="shared" si="72"/>
        <v>3.0616328107007531</v>
      </c>
      <c r="AR248" s="235">
        <f t="shared" si="73"/>
        <v>0</v>
      </c>
      <c r="AS248" s="235">
        <f t="shared" si="74"/>
        <v>0</v>
      </c>
      <c r="AW248" s="237">
        <f t="shared" si="75"/>
        <v>3.0737582387897842</v>
      </c>
      <c r="AX248" s="237">
        <f t="shared" si="77"/>
        <v>0</v>
      </c>
      <c r="AY248" s="238">
        <f t="shared" si="76"/>
        <v>0</v>
      </c>
    </row>
    <row r="249" spans="1:51" s="182" customFormat="1" ht="12" customHeight="1">
      <c r="A249" s="239" t="s">
        <v>628</v>
      </c>
      <c r="B249" s="239" t="s">
        <v>629</v>
      </c>
      <c r="C249" s="240">
        <v>4</v>
      </c>
      <c r="D249" s="240">
        <v>2.82</v>
      </c>
      <c r="E249" s="221"/>
      <c r="F249" s="222">
        <v>0</v>
      </c>
      <c r="G249" s="222">
        <v>0</v>
      </c>
      <c r="H249" s="222">
        <v>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2">
        <v>0</v>
      </c>
      <c r="O249" s="222">
        <v>0</v>
      </c>
      <c r="P249" s="222">
        <v>0</v>
      </c>
      <c r="Q249" s="222">
        <v>0</v>
      </c>
      <c r="R249" s="241">
        <f t="shared" si="80"/>
        <v>0</v>
      </c>
      <c r="T249" s="222">
        <f t="shared" ref="T249:AB250" si="82">IFERROR(F249/$C249,0)</f>
        <v>0</v>
      </c>
      <c r="U249" s="222">
        <f t="shared" si="82"/>
        <v>0</v>
      </c>
      <c r="V249" s="222">
        <f t="shared" si="82"/>
        <v>0</v>
      </c>
      <c r="W249" s="222">
        <f t="shared" si="82"/>
        <v>0</v>
      </c>
      <c r="X249" s="222">
        <f t="shared" si="82"/>
        <v>0</v>
      </c>
      <c r="Y249" s="222">
        <f t="shared" si="82"/>
        <v>0</v>
      </c>
      <c r="Z249" s="222">
        <f t="shared" si="82"/>
        <v>0</v>
      </c>
      <c r="AA249" s="222">
        <f t="shared" si="82"/>
        <v>0</v>
      </c>
      <c r="AB249" s="222">
        <f t="shared" si="82"/>
        <v>0</v>
      </c>
      <c r="AC249" s="222">
        <f t="shared" si="81"/>
        <v>0</v>
      </c>
      <c r="AD249" s="222">
        <f t="shared" si="81"/>
        <v>0</v>
      </c>
      <c r="AE249" s="222">
        <f t="shared" si="81"/>
        <v>0</v>
      </c>
      <c r="AF249" s="261">
        <f t="shared" si="69"/>
        <v>0</v>
      </c>
      <c r="AG249" s="252">
        <f t="shared" si="70"/>
        <v>0</v>
      </c>
      <c r="AK249" s="242"/>
      <c r="AQ249" s="234">
        <f t="shared" si="72"/>
        <v>3.0616328107007531</v>
      </c>
      <c r="AR249" s="235">
        <f t="shared" si="73"/>
        <v>0</v>
      </c>
      <c r="AS249" s="235">
        <f t="shared" si="74"/>
        <v>0</v>
      </c>
      <c r="AW249" s="237">
        <f t="shared" si="75"/>
        <v>3.0737582387897842</v>
      </c>
      <c r="AX249" s="237">
        <f t="shared" si="77"/>
        <v>0</v>
      </c>
      <c r="AY249" s="238">
        <f t="shared" si="76"/>
        <v>0</v>
      </c>
    </row>
    <row r="250" spans="1:51" s="182" customFormat="1" ht="12" customHeight="1">
      <c r="A250" s="239" t="s">
        <v>630</v>
      </c>
      <c r="B250" s="239" t="s">
        <v>631</v>
      </c>
      <c r="C250" s="240">
        <v>2.5499999999999998</v>
      </c>
      <c r="D250" s="240">
        <v>2.5499999999999998</v>
      </c>
      <c r="E250" s="221"/>
      <c r="F250" s="222">
        <v>12.75</v>
      </c>
      <c r="G250" s="222">
        <v>12.75</v>
      </c>
      <c r="H250" s="222">
        <v>12.75</v>
      </c>
      <c r="I250" s="222">
        <v>10.84</v>
      </c>
      <c r="J250" s="222">
        <v>12.11</v>
      </c>
      <c r="K250" s="222">
        <v>12.75</v>
      </c>
      <c r="L250" s="222">
        <v>12.75</v>
      </c>
      <c r="M250" s="222">
        <v>12.75</v>
      </c>
      <c r="N250" s="222">
        <v>12.75</v>
      </c>
      <c r="O250" s="222">
        <v>12.75</v>
      </c>
      <c r="P250" s="222">
        <v>12.75</v>
      </c>
      <c r="Q250" s="222">
        <v>12.75</v>
      </c>
      <c r="R250" s="241">
        <f t="shared" si="80"/>
        <v>150.44999999999999</v>
      </c>
      <c r="T250" s="222">
        <f t="shared" si="82"/>
        <v>5</v>
      </c>
      <c r="U250" s="222">
        <f t="shared" si="82"/>
        <v>5</v>
      </c>
      <c r="V250" s="222">
        <f t="shared" si="82"/>
        <v>5</v>
      </c>
      <c r="W250" s="222">
        <f t="shared" si="82"/>
        <v>4.2509803921568627</v>
      </c>
      <c r="X250" s="222">
        <f t="shared" si="82"/>
        <v>4.7490196078431373</v>
      </c>
      <c r="Y250" s="222">
        <f t="shared" si="82"/>
        <v>5</v>
      </c>
      <c r="Z250" s="222">
        <f t="shared" si="82"/>
        <v>5</v>
      </c>
      <c r="AA250" s="222">
        <f t="shared" si="82"/>
        <v>5</v>
      </c>
      <c r="AB250" s="222">
        <f t="shared" si="82"/>
        <v>5</v>
      </c>
      <c r="AC250" s="222">
        <f t="shared" si="81"/>
        <v>5</v>
      </c>
      <c r="AD250" s="222">
        <f t="shared" si="81"/>
        <v>5</v>
      </c>
      <c r="AE250" s="222">
        <f t="shared" si="81"/>
        <v>5</v>
      </c>
      <c r="AF250" s="261">
        <f t="shared" si="69"/>
        <v>59</v>
      </c>
      <c r="AG250" s="252">
        <f t="shared" si="70"/>
        <v>4.916666666666667</v>
      </c>
      <c r="AK250" s="242"/>
      <c r="AN250" s="245" t="s">
        <v>632</v>
      </c>
      <c r="AO250" s="246">
        <f>SUM(AM127:AM153,AM164:AM172,AM182:AM184)</f>
        <v>577.29586092604313</v>
      </c>
      <c r="AQ250" s="234">
        <f t="shared" si="72"/>
        <v>2.7684977543570639</v>
      </c>
      <c r="AR250" s="235">
        <f t="shared" si="73"/>
        <v>163.34136750706676</v>
      </c>
      <c r="AS250" s="235">
        <f t="shared" si="74"/>
        <v>12.891367507066775</v>
      </c>
      <c r="AW250" s="237">
        <f t="shared" si="75"/>
        <v>2.779462237203528</v>
      </c>
      <c r="AX250" s="237">
        <f t="shared" si="77"/>
        <v>163.98827199500818</v>
      </c>
      <c r="AY250" s="238">
        <f t="shared" si="76"/>
        <v>0.64690448794141275</v>
      </c>
    </row>
    <row r="251" spans="1:51" s="184" customFormat="1" ht="12" customHeight="1">
      <c r="A251" s="262"/>
      <c r="B251" s="262"/>
      <c r="C251" s="240"/>
      <c r="D251" s="240"/>
      <c r="E251" s="221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4"/>
      <c r="T251" s="223"/>
      <c r="U251" s="223"/>
      <c r="V251" s="223"/>
      <c r="W251" s="223"/>
      <c r="X251" s="223"/>
      <c r="Y251" s="223"/>
      <c r="Z251" s="223"/>
      <c r="AA251" s="223"/>
      <c r="AB251" s="223"/>
      <c r="AC251" s="223"/>
      <c r="AD251" s="223"/>
      <c r="AE251" s="223"/>
      <c r="AF251" s="185"/>
      <c r="AK251" s="215"/>
      <c r="AN251" s="245" t="s">
        <v>390</v>
      </c>
      <c r="AO251" s="246">
        <f>SUM(AM173:AM181,AM185:AM193)</f>
        <v>216.77070090077251</v>
      </c>
      <c r="AP251" s="182"/>
      <c r="AQ251" s="263"/>
      <c r="AR251" s="263"/>
      <c r="AS251" s="263"/>
      <c r="AT251" s="182"/>
      <c r="AW251" s="237"/>
      <c r="AX251" s="237"/>
      <c r="AY251" s="238"/>
    </row>
    <row r="252" spans="1:51" s="184" customFormat="1" ht="12" customHeight="1">
      <c r="A252" s="262"/>
      <c r="B252" s="264" t="s">
        <v>141</v>
      </c>
      <c r="C252" s="240">
        <v>0</v>
      </c>
      <c r="D252" s="240">
        <v>0</v>
      </c>
      <c r="E252" s="221"/>
      <c r="F252" s="265">
        <f t="shared" ref="F252:Q252" si="83">SUM(F127:F250)</f>
        <v>89386.39999999998</v>
      </c>
      <c r="G252" s="265">
        <f t="shared" si="83"/>
        <v>90999.919999999969</v>
      </c>
      <c r="H252" s="265">
        <f t="shared" si="83"/>
        <v>94364.129999999976</v>
      </c>
      <c r="I252" s="265">
        <f t="shared" si="83"/>
        <v>82964.239999999962</v>
      </c>
      <c r="J252" s="265">
        <f t="shared" si="83"/>
        <v>86558.969999999987</v>
      </c>
      <c r="K252" s="265">
        <f t="shared" si="83"/>
        <v>94172.910000000033</v>
      </c>
      <c r="L252" s="265">
        <f t="shared" si="83"/>
        <v>105245.34999999998</v>
      </c>
      <c r="M252" s="265">
        <f t="shared" si="83"/>
        <v>105128.62000000002</v>
      </c>
      <c r="N252" s="265">
        <f t="shared" si="83"/>
        <v>107938.10999999999</v>
      </c>
      <c r="O252" s="265">
        <f t="shared" si="83"/>
        <v>103073.39999999998</v>
      </c>
      <c r="P252" s="265">
        <f t="shared" si="83"/>
        <v>95568.419999999955</v>
      </c>
      <c r="Q252" s="265">
        <f t="shared" si="83"/>
        <v>90716.359999999971</v>
      </c>
      <c r="R252" s="249">
        <f>SUM(R127:R251)</f>
        <v>1146116.8299999996</v>
      </c>
      <c r="T252" s="250">
        <f t="shared" ref="T252:AF252" si="84">+SUM(T127:T193,T199)</f>
        <v>1802.9077552341782</v>
      </c>
      <c r="U252" s="250">
        <f t="shared" si="84"/>
        <v>2009.4647332742493</v>
      </c>
      <c r="V252" s="250">
        <f t="shared" si="84"/>
        <v>1831.3963096641546</v>
      </c>
      <c r="W252" s="250">
        <f t="shared" si="84"/>
        <v>1782.6615995493678</v>
      </c>
      <c r="X252" s="250">
        <f t="shared" si="84"/>
        <v>1883.9558672357505</v>
      </c>
      <c r="Y252" s="250">
        <f t="shared" si="84"/>
        <v>1759.6114456047185</v>
      </c>
      <c r="Z252" s="250">
        <f t="shared" si="84"/>
        <v>2028.531051068001</v>
      </c>
      <c r="AA252" s="250">
        <f t="shared" si="84"/>
        <v>1842.3898069896811</v>
      </c>
      <c r="AB252" s="250">
        <f t="shared" si="84"/>
        <v>1898.8306034618727</v>
      </c>
      <c r="AC252" s="250">
        <f t="shared" si="84"/>
        <v>2051.7407014202936</v>
      </c>
      <c r="AD252" s="250">
        <f t="shared" si="84"/>
        <v>1760.8291383807073</v>
      </c>
      <c r="AE252" s="250">
        <f t="shared" si="84"/>
        <v>1824.0893929271142</v>
      </c>
      <c r="AF252" s="250">
        <f t="shared" si="84"/>
        <v>22476.408404810092</v>
      </c>
      <c r="AG252" s="250">
        <f>+SUM(AG127:AG193,AH199)</f>
        <v>1205.7949405081604</v>
      </c>
      <c r="AK252" s="215"/>
      <c r="AN252" s="245" t="s">
        <v>391</v>
      </c>
      <c r="AO252" s="246">
        <f>SUM(AM154:AM163,AM199)</f>
        <v>411.72837868134479</v>
      </c>
      <c r="AP252" s="182"/>
      <c r="AQ252" s="263"/>
      <c r="AR252" s="266">
        <f>SUM(AR127:AR250)</f>
        <v>1246559.0167872617</v>
      </c>
      <c r="AS252" s="266">
        <f>SUM(AS127:AS250)</f>
        <v>100442.18678726177</v>
      </c>
      <c r="AT252" s="236">
        <f t="shared" ref="AT252" si="85">AS252/R252</f>
        <v>8.7636953020977626E-2</v>
      </c>
      <c r="AW252" s="237"/>
      <c r="AX252" s="266">
        <f>SUM(AX127:AX250)</f>
        <v>1251495.9451034067</v>
      </c>
      <c r="AY252" s="266">
        <f>SUM(AY127:AY250)</f>
        <v>4936.9283161450148</v>
      </c>
    </row>
    <row r="253" spans="1:51" s="184" customFormat="1" ht="12" customHeight="1">
      <c r="A253" s="262"/>
      <c r="B253" s="262"/>
      <c r="C253" s="240"/>
      <c r="D253" s="240"/>
      <c r="E253" s="221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4"/>
      <c r="T253" s="223"/>
      <c r="U253" s="223"/>
      <c r="V253" s="223"/>
      <c r="W253" s="223"/>
      <c r="X253" s="223"/>
      <c r="Y253" s="223"/>
      <c r="Z253" s="223"/>
      <c r="AA253" s="223"/>
      <c r="AB253" s="223"/>
      <c r="AC253" s="223"/>
      <c r="AD253" s="223"/>
      <c r="AE253" s="223"/>
      <c r="AF253" s="185"/>
      <c r="AK253" s="215"/>
      <c r="AN253" s="267" t="s">
        <v>149</v>
      </c>
      <c r="AO253" s="224">
        <f>SUM(AO250:AO252)-SUM(AM127:AM201)</f>
        <v>0</v>
      </c>
      <c r="AP253" s="182"/>
      <c r="AQ253" s="263"/>
      <c r="AR253" s="263"/>
      <c r="AS253" s="263"/>
      <c r="AT253" s="182"/>
      <c r="AW253" s="237"/>
      <c r="AX253" s="237"/>
      <c r="AY253" s="238"/>
    </row>
    <row r="254" spans="1:51" ht="12" customHeight="1">
      <c r="A254" s="260" t="s">
        <v>142</v>
      </c>
      <c r="B254" s="260" t="s">
        <v>142</v>
      </c>
      <c r="C254" s="240">
        <v>0</v>
      </c>
      <c r="D254" s="240">
        <v>0</v>
      </c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T254" s="223"/>
      <c r="U254" s="223"/>
      <c r="V254" s="223"/>
      <c r="W254" s="223"/>
      <c r="X254" s="223"/>
      <c r="Y254" s="223"/>
      <c r="Z254" s="223"/>
      <c r="AA254" s="223"/>
      <c r="AB254" s="223"/>
      <c r="AC254" s="223"/>
      <c r="AD254" s="223"/>
      <c r="AE254" s="223"/>
      <c r="AQ254" s="268"/>
      <c r="AR254" s="268"/>
      <c r="AS254" s="268"/>
      <c r="AT254" s="188"/>
      <c r="AW254" s="237"/>
      <c r="AX254" s="237"/>
      <c r="AY254" s="238"/>
    </row>
    <row r="255" spans="1:51" ht="12" customHeight="1">
      <c r="A255" s="269"/>
      <c r="B255" s="269"/>
      <c r="C255" s="240"/>
      <c r="D255" s="240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T255" s="223"/>
      <c r="U255" s="223"/>
      <c r="V255" s="223"/>
      <c r="W255" s="223"/>
      <c r="X255" s="223"/>
      <c r="Y255" s="223"/>
      <c r="Z255" s="223"/>
      <c r="AA255" s="223"/>
      <c r="AB255" s="223"/>
      <c r="AC255" s="223"/>
      <c r="AD255" s="223"/>
      <c r="AE255" s="223"/>
      <c r="AQ255" s="268"/>
      <c r="AR255" s="268"/>
      <c r="AS255" s="268"/>
      <c r="AT255" s="188"/>
      <c r="AW255" s="237"/>
      <c r="AX255" s="237"/>
      <c r="AY255" s="238"/>
    </row>
    <row r="256" spans="1:51" ht="12" customHeight="1">
      <c r="A256" s="270" t="s">
        <v>143</v>
      </c>
      <c r="B256" s="270" t="s">
        <v>143</v>
      </c>
      <c r="C256" s="240">
        <v>0</v>
      </c>
      <c r="D256" s="240">
        <v>0</v>
      </c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T256" s="223"/>
      <c r="U256" s="223"/>
      <c r="V256" s="223"/>
      <c r="W256" s="223"/>
      <c r="X256" s="223"/>
      <c r="Y256" s="223"/>
      <c r="Z256" s="223"/>
      <c r="AA256" s="223"/>
      <c r="AB256" s="223"/>
      <c r="AC256" s="223"/>
      <c r="AD256" s="223"/>
      <c r="AE256" s="223"/>
      <c r="AQ256" s="268"/>
      <c r="AR256" s="268"/>
      <c r="AS256" s="268"/>
      <c r="AT256" s="188"/>
      <c r="AW256" s="237"/>
      <c r="AX256" s="237"/>
      <c r="AY256" s="238"/>
    </row>
    <row r="257" spans="1:51" ht="12" customHeight="1">
      <c r="A257" s="244" t="s">
        <v>633</v>
      </c>
      <c r="B257" s="244" t="s">
        <v>634</v>
      </c>
      <c r="C257" s="240">
        <v>0</v>
      </c>
      <c r="D257" s="240">
        <v>0</v>
      </c>
      <c r="F257" s="222">
        <v>0</v>
      </c>
      <c r="G257" s="222">
        <v>0</v>
      </c>
      <c r="H257" s="222">
        <v>0</v>
      </c>
      <c r="I257" s="222">
        <v>0</v>
      </c>
      <c r="J257" s="222">
        <v>0</v>
      </c>
      <c r="K257" s="222">
        <v>0</v>
      </c>
      <c r="L257" s="222">
        <v>0</v>
      </c>
      <c r="M257" s="222">
        <v>0</v>
      </c>
      <c r="N257" s="222">
        <v>0</v>
      </c>
      <c r="O257" s="222">
        <v>0</v>
      </c>
      <c r="P257" s="222">
        <v>0</v>
      </c>
      <c r="Q257" s="222">
        <v>0</v>
      </c>
      <c r="R257" s="224">
        <f t="shared" ref="R257:R288" si="86">+SUM(F257:Q257)</f>
        <v>0</v>
      </c>
      <c r="T257" s="223">
        <f t="shared" ref="T257:AB285" si="87">IFERROR(F257/$C257,0)</f>
        <v>0</v>
      </c>
      <c r="U257" s="223">
        <f t="shared" si="87"/>
        <v>0</v>
      </c>
      <c r="V257" s="223">
        <f t="shared" si="87"/>
        <v>0</v>
      </c>
      <c r="W257" s="223">
        <f t="shared" si="87"/>
        <v>0</v>
      </c>
      <c r="X257" s="223">
        <f t="shared" si="87"/>
        <v>0</v>
      </c>
      <c r="Y257" s="223">
        <f t="shared" si="87"/>
        <v>0</v>
      </c>
      <c r="Z257" s="223">
        <f t="shared" si="87"/>
        <v>0</v>
      </c>
      <c r="AA257" s="223">
        <f t="shared" si="87"/>
        <v>0</v>
      </c>
      <c r="AB257" s="223">
        <f t="shared" si="87"/>
        <v>0</v>
      </c>
      <c r="AC257" s="223">
        <f t="shared" ref="AC257:AE288" si="88">IFERROR(O257/$D257,0)</f>
        <v>0</v>
      </c>
      <c r="AD257" s="223">
        <f t="shared" si="88"/>
        <v>0</v>
      </c>
      <c r="AE257" s="223">
        <f t="shared" si="88"/>
        <v>0</v>
      </c>
      <c r="AF257" s="261">
        <f t="shared" ref="AF257:AF306" si="89">+SUM(T257:AE257)</f>
        <v>0</v>
      </c>
      <c r="AG257" s="252">
        <f t="shared" ref="AG257:AG306" si="90">AVERAGE(T257:AE257)</f>
        <v>0</v>
      </c>
      <c r="AQ257" s="234">
        <f t="shared" ref="AQ257:AQ306" si="91">+IFERROR(D257*(1+$AU$1),0)</f>
        <v>0</v>
      </c>
      <c r="AR257" s="235">
        <f t="shared" ref="AR257:AR306" si="92">AG257*AQ257*12</f>
        <v>0</v>
      </c>
      <c r="AS257" s="235">
        <f t="shared" ref="AS257:AS306" si="93">AR257-R257</f>
        <v>0</v>
      </c>
      <c r="AT257" s="188"/>
      <c r="AW257" s="237">
        <f t="shared" ref="AW257:AW306" si="94">IFERROR(AQ257*(1+$AX$4),0)</f>
        <v>0</v>
      </c>
      <c r="AX257" s="237">
        <f t="shared" si="77"/>
        <v>0</v>
      </c>
      <c r="AY257" s="238">
        <f t="shared" ref="AY257:AY306" si="95">AX257-AR257</f>
        <v>0</v>
      </c>
    </row>
    <row r="258" spans="1:51" ht="12" customHeight="1">
      <c r="A258" s="244" t="s">
        <v>635</v>
      </c>
      <c r="B258" s="244" t="s">
        <v>636</v>
      </c>
      <c r="C258" s="240">
        <v>0</v>
      </c>
      <c r="D258" s="240">
        <v>0</v>
      </c>
      <c r="F258" s="222">
        <v>0</v>
      </c>
      <c r="G258" s="222">
        <v>0</v>
      </c>
      <c r="H258" s="222">
        <v>0</v>
      </c>
      <c r="I258" s="222">
        <v>0</v>
      </c>
      <c r="J258" s="222">
        <v>0</v>
      </c>
      <c r="K258" s="222">
        <v>0</v>
      </c>
      <c r="L258" s="222">
        <v>0</v>
      </c>
      <c r="M258" s="222">
        <v>0</v>
      </c>
      <c r="N258" s="222">
        <v>0</v>
      </c>
      <c r="O258" s="222">
        <v>0</v>
      </c>
      <c r="P258" s="222">
        <v>0</v>
      </c>
      <c r="Q258" s="222">
        <v>0</v>
      </c>
      <c r="R258" s="224">
        <f t="shared" si="86"/>
        <v>0</v>
      </c>
      <c r="T258" s="223">
        <f t="shared" si="87"/>
        <v>0</v>
      </c>
      <c r="U258" s="223">
        <f t="shared" si="87"/>
        <v>0</v>
      </c>
      <c r="V258" s="223">
        <f t="shared" si="87"/>
        <v>0</v>
      </c>
      <c r="W258" s="223">
        <f t="shared" si="87"/>
        <v>0</v>
      </c>
      <c r="X258" s="223">
        <f t="shared" si="87"/>
        <v>0</v>
      </c>
      <c r="Y258" s="223">
        <f t="shared" si="87"/>
        <v>0</v>
      </c>
      <c r="Z258" s="223">
        <f t="shared" si="87"/>
        <v>0</v>
      </c>
      <c r="AA258" s="223">
        <f t="shared" si="87"/>
        <v>0</v>
      </c>
      <c r="AB258" s="223">
        <f t="shared" si="87"/>
        <v>0</v>
      </c>
      <c r="AC258" s="223">
        <f t="shared" si="88"/>
        <v>0</v>
      </c>
      <c r="AD258" s="223">
        <f t="shared" si="88"/>
        <v>0</v>
      </c>
      <c r="AE258" s="223">
        <f t="shared" si="88"/>
        <v>0</v>
      </c>
      <c r="AF258" s="261">
        <f t="shared" si="89"/>
        <v>0</v>
      </c>
      <c r="AG258" s="252">
        <f t="shared" si="90"/>
        <v>0</v>
      </c>
      <c r="AQ258" s="234">
        <f t="shared" si="91"/>
        <v>0</v>
      </c>
      <c r="AR258" s="235">
        <f t="shared" si="92"/>
        <v>0</v>
      </c>
      <c r="AS258" s="235">
        <f t="shared" si="93"/>
        <v>0</v>
      </c>
      <c r="AT258" s="188"/>
      <c r="AW258" s="237">
        <f t="shared" si="94"/>
        <v>0</v>
      </c>
      <c r="AX258" s="237">
        <f t="shared" si="77"/>
        <v>0</v>
      </c>
      <c r="AY258" s="238">
        <f t="shared" si="95"/>
        <v>0</v>
      </c>
    </row>
    <row r="259" spans="1:51" ht="12" customHeight="1">
      <c r="A259" s="244" t="s">
        <v>637</v>
      </c>
      <c r="B259" s="244" t="s">
        <v>638</v>
      </c>
      <c r="C259" s="240">
        <v>141.75</v>
      </c>
      <c r="D259" s="240">
        <v>142.13</v>
      </c>
      <c r="F259" s="222">
        <v>1137.04</v>
      </c>
      <c r="G259" s="222">
        <v>1421.3</v>
      </c>
      <c r="H259" s="222">
        <v>1563.43</v>
      </c>
      <c r="I259" s="222">
        <v>1417.5</v>
      </c>
      <c r="J259" s="222">
        <v>1842.75</v>
      </c>
      <c r="K259" s="222">
        <v>1559.25</v>
      </c>
      <c r="L259" s="222">
        <v>1417.5</v>
      </c>
      <c r="M259" s="222">
        <v>1842.75</v>
      </c>
      <c r="N259" s="222">
        <v>1277.27</v>
      </c>
      <c r="O259" s="222">
        <v>1847.69</v>
      </c>
      <c r="P259" s="222">
        <v>852.78</v>
      </c>
      <c r="Q259" s="222">
        <v>1421.3</v>
      </c>
      <c r="R259" s="224">
        <f t="shared" si="86"/>
        <v>17600.560000000001</v>
      </c>
      <c r="T259" s="223">
        <f t="shared" si="87"/>
        <v>8.0214462081128737</v>
      </c>
      <c r="U259" s="223">
        <f t="shared" si="87"/>
        <v>10.026807760141093</v>
      </c>
      <c r="V259" s="223">
        <f t="shared" si="87"/>
        <v>11.029488536155203</v>
      </c>
      <c r="W259" s="223">
        <f t="shared" si="87"/>
        <v>10</v>
      </c>
      <c r="X259" s="223">
        <f t="shared" si="87"/>
        <v>13</v>
      </c>
      <c r="Y259" s="223">
        <f t="shared" si="87"/>
        <v>11</v>
      </c>
      <c r="Z259" s="223">
        <f t="shared" si="87"/>
        <v>10</v>
      </c>
      <c r="AA259" s="223">
        <f t="shared" si="87"/>
        <v>13</v>
      </c>
      <c r="AB259" s="223">
        <f t="shared" si="87"/>
        <v>9.0107231040564368</v>
      </c>
      <c r="AC259" s="223">
        <f t="shared" si="88"/>
        <v>13</v>
      </c>
      <c r="AD259" s="223">
        <f t="shared" si="88"/>
        <v>6</v>
      </c>
      <c r="AE259" s="223">
        <f t="shared" si="88"/>
        <v>10</v>
      </c>
      <c r="AF259" s="261">
        <f t="shared" si="89"/>
        <v>124.08846560846561</v>
      </c>
      <c r="AG259" s="252">
        <f t="shared" si="90"/>
        <v>10.340705467372134</v>
      </c>
      <c r="AI259" s="255"/>
      <c r="AQ259" s="234">
        <f t="shared" si="91"/>
        <v>154.30846503010568</v>
      </c>
      <c r="AR259" s="235">
        <f t="shared" si="92"/>
        <v>19147.900655983387</v>
      </c>
      <c r="AS259" s="235">
        <f t="shared" si="93"/>
        <v>1547.3406559833857</v>
      </c>
      <c r="AT259" s="188"/>
      <c r="AW259" s="237">
        <f t="shared" si="94"/>
        <v>154.91959520538722</v>
      </c>
      <c r="AX259" s="237">
        <f t="shared" si="77"/>
        <v>19223.734861721106</v>
      </c>
      <c r="AY259" s="238">
        <f t="shared" si="95"/>
        <v>75.834205737719458</v>
      </c>
    </row>
    <row r="260" spans="1:51" ht="12" customHeight="1">
      <c r="A260" s="244" t="s">
        <v>639</v>
      </c>
      <c r="B260" s="244" t="s">
        <v>640</v>
      </c>
      <c r="C260" s="240">
        <v>141.75</v>
      </c>
      <c r="D260" s="240">
        <v>142.13</v>
      </c>
      <c r="F260" s="222">
        <v>0</v>
      </c>
      <c r="G260" s="222">
        <v>0</v>
      </c>
      <c r="H260" s="222">
        <v>0</v>
      </c>
      <c r="I260" s="222">
        <v>0</v>
      </c>
      <c r="J260" s="222">
        <v>0</v>
      </c>
      <c r="K260" s="222">
        <v>0</v>
      </c>
      <c r="L260" s="222">
        <v>0</v>
      </c>
      <c r="M260" s="222">
        <v>0</v>
      </c>
      <c r="N260" s="222">
        <v>0</v>
      </c>
      <c r="O260" s="222">
        <v>0</v>
      </c>
      <c r="P260" s="222">
        <v>0</v>
      </c>
      <c r="Q260" s="222">
        <v>0</v>
      </c>
      <c r="R260" s="224">
        <f t="shared" si="86"/>
        <v>0</v>
      </c>
      <c r="T260" s="223">
        <f t="shared" si="87"/>
        <v>0</v>
      </c>
      <c r="U260" s="223">
        <f t="shared" si="87"/>
        <v>0</v>
      </c>
      <c r="V260" s="223">
        <f t="shared" si="87"/>
        <v>0</v>
      </c>
      <c r="W260" s="223">
        <f t="shared" si="87"/>
        <v>0</v>
      </c>
      <c r="X260" s="223">
        <f t="shared" si="87"/>
        <v>0</v>
      </c>
      <c r="Y260" s="223">
        <f t="shared" si="87"/>
        <v>0</v>
      </c>
      <c r="Z260" s="223">
        <f t="shared" si="87"/>
        <v>0</v>
      </c>
      <c r="AA260" s="223">
        <f t="shared" si="87"/>
        <v>0</v>
      </c>
      <c r="AB260" s="223">
        <f t="shared" si="87"/>
        <v>0</v>
      </c>
      <c r="AC260" s="223">
        <f t="shared" si="88"/>
        <v>0</v>
      </c>
      <c r="AD260" s="223">
        <f t="shared" si="88"/>
        <v>0</v>
      </c>
      <c r="AE260" s="223">
        <f t="shared" si="88"/>
        <v>0</v>
      </c>
      <c r="AF260" s="261">
        <f t="shared" si="89"/>
        <v>0</v>
      </c>
      <c r="AG260" s="252">
        <f t="shared" si="90"/>
        <v>0</v>
      </c>
      <c r="AI260" s="255"/>
      <c r="AQ260" s="234">
        <f t="shared" si="91"/>
        <v>154.30846503010568</v>
      </c>
      <c r="AR260" s="235">
        <f t="shared" si="92"/>
        <v>0</v>
      </c>
      <c r="AS260" s="235">
        <f t="shared" si="93"/>
        <v>0</v>
      </c>
      <c r="AT260" s="188"/>
      <c r="AW260" s="237">
        <f t="shared" si="94"/>
        <v>154.91959520538722</v>
      </c>
      <c r="AX260" s="237">
        <f t="shared" si="77"/>
        <v>0</v>
      </c>
      <c r="AY260" s="238">
        <f t="shared" si="95"/>
        <v>0</v>
      </c>
    </row>
    <row r="261" spans="1:51" ht="12" customHeight="1">
      <c r="A261" s="244" t="s">
        <v>641</v>
      </c>
      <c r="B261" s="244" t="s">
        <v>642</v>
      </c>
      <c r="C261" s="240">
        <v>147.83000000000001</v>
      </c>
      <c r="D261" s="240">
        <v>148.22999999999999</v>
      </c>
      <c r="F261" s="222">
        <v>296.45999999999998</v>
      </c>
      <c r="G261" s="222">
        <v>296.45999999999998</v>
      </c>
      <c r="H261" s="222">
        <v>444.69</v>
      </c>
      <c r="I261" s="222">
        <v>443.49</v>
      </c>
      <c r="J261" s="222">
        <v>0</v>
      </c>
      <c r="K261" s="222">
        <v>443.49</v>
      </c>
      <c r="L261" s="222">
        <v>443.49</v>
      </c>
      <c r="M261" s="222">
        <v>295.66000000000003</v>
      </c>
      <c r="N261" s="222">
        <v>296.06</v>
      </c>
      <c r="O261" s="222">
        <v>444.69</v>
      </c>
      <c r="P261" s="222">
        <v>148.22999999999999</v>
      </c>
      <c r="Q261" s="222">
        <v>296.45999999999998</v>
      </c>
      <c r="R261" s="224">
        <f t="shared" si="86"/>
        <v>3849.18</v>
      </c>
      <c r="T261" s="223">
        <f t="shared" si="87"/>
        <v>2.0054116214570787</v>
      </c>
      <c r="U261" s="223">
        <f t="shared" si="87"/>
        <v>2.0054116214570787</v>
      </c>
      <c r="V261" s="223">
        <f t="shared" si="87"/>
        <v>3.0081174321856183</v>
      </c>
      <c r="W261" s="223">
        <f t="shared" si="87"/>
        <v>3</v>
      </c>
      <c r="X261" s="223">
        <f t="shared" si="87"/>
        <v>0</v>
      </c>
      <c r="Y261" s="223">
        <f t="shared" si="87"/>
        <v>3</v>
      </c>
      <c r="Z261" s="223">
        <f t="shared" si="87"/>
        <v>3</v>
      </c>
      <c r="AA261" s="223">
        <f t="shared" si="87"/>
        <v>2</v>
      </c>
      <c r="AB261" s="223">
        <f t="shared" si="87"/>
        <v>2.0027058107285396</v>
      </c>
      <c r="AC261" s="223">
        <f t="shared" si="88"/>
        <v>3</v>
      </c>
      <c r="AD261" s="223">
        <f t="shared" si="88"/>
        <v>1</v>
      </c>
      <c r="AE261" s="223">
        <f t="shared" si="88"/>
        <v>2</v>
      </c>
      <c r="AF261" s="261">
        <f t="shared" si="89"/>
        <v>26.021646485828317</v>
      </c>
      <c r="AG261" s="252">
        <f t="shared" si="90"/>
        <v>2.1684705404856932</v>
      </c>
      <c r="AI261" s="255"/>
      <c r="AQ261" s="234">
        <f t="shared" si="91"/>
        <v>160.93114593268533</v>
      </c>
      <c r="AR261" s="235">
        <f t="shared" si="92"/>
        <v>4187.6933880195857</v>
      </c>
      <c r="AS261" s="235">
        <f t="shared" si="93"/>
        <v>338.51338801958582</v>
      </c>
      <c r="AT261" s="188"/>
      <c r="AW261" s="237">
        <f t="shared" si="94"/>
        <v>161.5685048708545</v>
      </c>
      <c r="AX261" s="237">
        <f t="shared" si="77"/>
        <v>4204.2785169932067</v>
      </c>
      <c r="AY261" s="238">
        <f t="shared" si="95"/>
        <v>16.585128973621067</v>
      </c>
    </row>
    <row r="262" spans="1:51" ht="12" customHeight="1">
      <c r="A262" s="244" t="s">
        <v>643</v>
      </c>
      <c r="B262" s="244" t="s">
        <v>644</v>
      </c>
      <c r="C262" s="240">
        <v>168.08</v>
      </c>
      <c r="D262" s="240">
        <v>168.53</v>
      </c>
      <c r="F262" s="222">
        <v>4718.84</v>
      </c>
      <c r="G262" s="222">
        <v>5730.02</v>
      </c>
      <c r="H262" s="222">
        <v>6741.2</v>
      </c>
      <c r="I262" s="222">
        <v>2521.1999999999998</v>
      </c>
      <c r="J262" s="222">
        <v>5546.64</v>
      </c>
      <c r="K262" s="222">
        <v>6891.28</v>
      </c>
      <c r="L262" s="222">
        <v>9076.32</v>
      </c>
      <c r="M262" s="222">
        <v>8235.92</v>
      </c>
      <c r="N262" s="222">
        <v>6902.53</v>
      </c>
      <c r="O262" s="222">
        <v>8426.5</v>
      </c>
      <c r="P262" s="222">
        <v>4550.3100000000004</v>
      </c>
      <c r="Q262" s="222">
        <v>6235.61</v>
      </c>
      <c r="R262" s="224">
        <f t="shared" si="86"/>
        <v>75576.37</v>
      </c>
      <c r="T262" s="223">
        <f t="shared" si="87"/>
        <v>28.074964302712992</v>
      </c>
      <c r="U262" s="223">
        <f t="shared" si="87"/>
        <v>34.09102808186578</v>
      </c>
      <c r="V262" s="223">
        <f t="shared" si="87"/>
        <v>40.10709186101856</v>
      </c>
      <c r="W262" s="223">
        <f t="shared" si="87"/>
        <v>14.999999999999998</v>
      </c>
      <c r="X262" s="223">
        <f t="shared" si="87"/>
        <v>33</v>
      </c>
      <c r="Y262" s="223">
        <f t="shared" si="87"/>
        <v>40.999999999999993</v>
      </c>
      <c r="Z262" s="223">
        <f t="shared" si="87"/>
        <v>53.999999999999993</v>
      </c>
      <c r="AA262" s="223">
        <f t="shared" si="87"/>
        <v>49</v>
      </c>
      <c r="AB262" s="223">
        <f t="shared" si="87"/>
        <v>41.066932413136598</v>
      </c>
      <c r="AC262" s="223">
        <f t="shared" si="88"/>
        <v>50</v>
      </c>
      <c r="AD262" s="223">
        <f t="shared" si="88"/>
        <v>27.000000000000004</v>
      </c>
      <c r="AE262" s="223">
        <f t="shared" si="88"/>
        <v>37</v>
      </c>
      <c r="AF262" s="261">
        <f t="shared" si="89"/>
        <v>449.34001665873393</v>
      </c>
      <c r="AG262" s="252">
        <f t="shared" si="90"/>
        <v>37.44500138822783</v>
      </c>
      <c r="AI262" s="255"/>
      <c r="AQ262" s="234">
        <f t="shared" si="91"/>
        <v>182.9705594281553</v>
      </c>
      <c r="AR262" s="235">
        <f t="shared" si="92"/>
        <v>82215.994221505185</v>
      </c>
      <c r="AS262" s="235">
        <f t="shared" si="93"/>
        <v>6639.6242215051898</v>
      </c>
      <c r="AT262" s="188"/>
      <c r="AW262" s="237">
        <f t="shared" si="94"/>
        <v>183.6952042493767</v>
      </c>
      <c r="AX262" s="237">
        <f t="shared" si="77"/>
        <v>82541.60613754447</v>
      </c>
      <c r="AY262" s="238">
        <f t="shared" si="95"/>
        <v>325.61191603928455</v>
      </c>
    </row>
    <row r="263" spans="1:51" ht="12" customHeight="1">
      <c r="A263" s="244" t="s">
        <v>645</v>
      </c>
      <c r="B263" s="244" t="s">
        <v>646</v>
      </c>
      <c r="C263" s="240">
        <v>168.08</v>
      </c>
      <c r="D263" s="240">
        <v>168.53</v>
      </c>
      <c r="F263" s="222">
        <v>0</v>
      </c>
      <c r="G263" s="222">
        <v>0</v>
      </c>
      <c r="H263" s="222">
        <v>0</v>
      </c>
      <c r="I263" s="222">
        <v>0</v>
      </c>
      <c r="J263" s="222">
        <v>0</v>
      </c>
      <c r="K263" s="222">
        <v>0</v>
      </c>
      <c r="L263" s="222">
        <v>0</v>
      </c>
      <c r="M263" s="222">
        <v>0</v>
      </c>
      <c r="N263" s="222">
        <v>0</v>
      </c>
      <c r="O263" s="222">
        <v>0</v>
      </c>
      <c r="P263" s="222">
        <v>0</v>
      </c>
      <c r="Q263" s="222">
        <v>0</v>
      </c>
      <c r="R263" s="224">
        <f t="shared" si="86"/>
        <v>0</v>
      </c>
      <c r="T263" s="223">
        <f t="shared" si="87"/>
        <v>0</v>
      </c>
      <c r="U263" s="223">
        <f t="shared" si="87"/>
        <v>0</v>
      </c>
      <c r="V263" s="223">
        <f t="shared" si="87"/>
        <v>0</v>
      </c>
      <c r="W263" s="223">
        <f t="shared" si="87"/>
        <v>0</v>
      </c>
      <c r="X263" s="223">
        <f t="shared" si="87"/>
        <v>0</v>
      </c>
      <c r="Y263" s="223">
        <f t="shared" si="87"/>
        <v>0</v>
      </c>
      <c r="Z263" s="223">
        <f t="shared" si="87"/>
        <v>0</v>
      </c>
      <c r="AA263" s="223">
        <f t="shared" si="87"/>
        <v>0</v>
      </c>
      <c r="AB263" s="223">
        <f t="shared" si="87"/>
        <v>0</v>
      </c>
      <c r="AC263" s="223">
        <f t="shared" si="88"/>
        <v>0</v>
      </c>
      <c r="AD263" s="223">
        <f t="shared" si="88"/>
        <v>0</v>
      </c>
      <c r="AE263" s="223">
        <f t="shared" si="88"/>
        <v>0</v>
      </c>
      <c r="AF263" s="261">
        <f t="shared" si="89"/>
        <v>0</v>
      </c>
      <c r="AG263" s="252">
        <f t="shared" si="90"/>
        <v>0</v>
      </c>
      <c r="AI263" s="255"/>
      <c r="AQ263" s="234">
        <f t="shared" si="91"/>
        <v>182.9705594281553</v>
      </c>
      <c r="AR263" s="235">
        <f t="shared" si="92"/>
        <v>0</v>
      </c>
      <c r="AS263" s="235">
        <f t="shared" si="93"/>
        <v>0</v>
      </c>
      <c r="AT263" s="188"/>
      <c r="AW263" s="237">
        <f t="shared" si="94"/>
        <v>183.6952042493767</v>
      </c>
      <c r="AX263" s="237">
        <f t="shared" si="77"/>
        <v>0</v>
      </c>
      <c r="AY263" s="238">
        <f t="shared" si="95"/>
        <v>0</v>
      </c>
    </row>
    <row r="264" spans="1:51" ht="12" customHeight="1">
      <c r="A264" s="244" t="s">
        <v>647</v>
      </c>
      <c r="B264" s="244" t="s">
        <v>648</v>
      </c>
      <c r="C264" s="240">
        <v>0</v>
      </c>
      <c r="D264" s="240">
        <v>0</v>
      </c>
      <c r="F264" s="222">
        <v>0</v>
      </c>
      <c r="G264" s="222">
        <v>0</v>
      </c>
      <c r="H264" s="222">
        <v>0</v>
      </c>
      <c r="I264" s="222">
        <v>0</v>
      </c>
      <c r="J264" s="222">
        <v>0</v>
      </c>
      <c r="K264" s="222">
        <v>0</v>
      </c>
      <c r="L264" s="222">
        <v>0</v>
      </c>
      <c r="M264" s="222">
        <v>0</v>
      </c>
      <c r="N264" s="222">
        <v>0</v>
      </c>
      <c r="O264" s="222">
        <v>0</v>
      </c>
      <c r="P264" s="222">
        <v>0</v>
      </c>
      <c r="Q264" s="222">
        <v>0</v>
      </c>
      <c r="R264" s="224">
        <f t="shared" si="86"/>
        <v>0</v>
      </c>
      <c r="T264" s="223">
        <f t="shared" si="87"/>
        <v>0</v>
      </c>
      <c r="U264" s="223">
        <f t="shared" si="87"/>
        <v>0</v>
      </c>
      <c r="V264" s="223">
        <f t="shared" si="87"/>
        <v>0</v>
      </c>
      <c r="W264" s="223">
        <f t="shared" si="87"/>
        <v>0</v>
      </c>
      <c r="X264" s="223">
        <f t="shared" si="87"/>
        <v>0</v>
      </c>
      <c r="Y264" s="223">
        <f t="shared" si="87"/>
        <v>0</v>
      </c>
      <c r="Z264" s="223">
        <f t="shared" si="87"/>
        <v>0</v>
      </c>
      <c r="AA264" s="223">
        <f t="shared" si="87"/>
        <v>0</v>
      </c>
      <c r="AB264" s="223">
        <f t="shared" si="87"/>
        <v>0</v>
      </c>
      <c r="AC264" s="223">
        <f t="shared" si="88"/>
        <v>0</v>
      </c>
      <c r="AD264" s="223">
        <f t="shared" si="88"/>
        <v>0</v>
      </c>
      <c r="AE264" s="223">
        <f t="shared" si="88"/>
        <v>0</v>
      </c>
      <c r="AF264" s="261">
        <f t="shared" si="89"/>
        <v>0</v>
      </c>
      <c r="AG264" s="252">
        <f t="shared" si="90"/>
        <v>0</v>
      </c>
      <c r="AI264" s="255"/>
      <c r="AQ264" s="234">
        <f t="shared" si="91"/>
        <v>0</v>
      </c>
      <c r="AR264" s="235">
        <f t="shared" si="92"/>
        <v>0</v>
      </c>
      <c r="AS264" s="235">
        <f t="shared" si="93"/>
        <v>0</v>
      </c>
      <c r="AT264" s="188"/>
      <c r="AW264" s="237">
        <f t="shared" si="94"/>
        <v>0</v>
      </c>
      <c r="AX264" s="237">
        <f t="shared" si="77"/>
        <v>0</v>
      </c>
      <c r="AY264" s="238">
        <f t="shared" si="95"/>
        <v>0</v>
      </c>
    </row>
    <row r="265" spans="1:51" ht="12" customHeight="1">
      <c r="A265" s="244" t="s">
        <v>649</v>
      </c>
      <c r="B265" s="244" t="s">
        <v>650</v>
      </c>
      <c r="C265" s="240">
        <v>182.76</v>
      </c>
      <c r="D265" s="240">
        <v>183.25</v>
      </c>
      <c r="F265" s="222">
        <v>0</v>
      </c>
      <c r="G265" s="222">
        <v>0</v>
      </c>
      <c r="H265" s="222">
        <v>0</v>
      </c>
      <c r="I265" s="222">
        <v>0</v>
      </c>
      <c r="J265" s="222">
        <v>0</v>
      </c>
      <c r="K265" s="222">
        <v>0</v>
      </c>
      <c r="L265" s="222">
        <v>0</v>
      </c>
      <c r="M265" s="222">
        <v>0</v>
      </c>
      <c r="N265" s="222">
        <v>0</v>
      </c>
      <c r="O265" s="222">
        <v>0</v>
      </c>
      <c r="P265" s="222">
        <v>0</v>
      </c>
      <c r="Q265" s="222">
        <v>0</v>
      </c>
      <c r="R265" s="224">
        <f t="shared" si="86"/>
        <v>0</v>
      </c>
      <c r="T265" s="223">
        <f t="shared" si="87"/>
        <v>0</v>
      </c>
      <c r="U265" s="223">
        <f t="shared" si="87"/>
        <v>0</v>
      </c>
      <c r="V265" s="223">
        <f t="shared" si="87"/>
        <v>0</v>
      </c>
      <c r="W265" s="223">
        <f t="shared" si="87"/>
        <v>0</v>
      </c>
      <c r="X265" s="223">
        <f t="shared" si="87"/>
        <v>0</v>
      </c>
      <c r="Y265" s="223">
        <f t="shared" si="87"/>
        <v>0</v>
      </c>
      <c r="Z265" s="223">
        <f t="shared" si="87"/>
        <v>0</v>
      </c>
      <c r="AA265" s="223">
        <f t="shared" si="87"/>
        <v>0</v>
      </c>
      <c r="AB265" s="223">
        <f t="shared" si="87"/>
        <v>0</v>
      </c>
      <c r="AC265" s="223">
        <f t="shared" si="88"/>
        <v>0</v>
      </c>
      <c r="AD265" s="223">
        <f t="shared" si="88"/>
        <v>0</v>
      </c>
      <c r="AE265" s="223">
        <f t="shared" si="88"/>
        <v>0</v>
      </c>
      <c r="AF265" s="261">
        <f t="shared" si="89"/>
        <v>0</v>
      </c>
      <c r="AG265" s="252">
        <f t="shared" si="90"/>
        <v>0</v>
      </c>
      <c r="AI265" s="255"/>
      <c r="AQ265" s="234">
        <f t="shared" si="91"/>
        <v>198.95184842585567</v>
      </c>
      <c r="AR265" s="235">
        <f t="shared" si="92"/>
        <v>0</v>
      </c>
      <c r="AS265" s="235">
        <f t="shared" si="93"/>
        <v>0</v>
      </c>
      <c r="AT265" s="188"/>
      <c r="AW265" s="237">
        <f t="shared" si="94"/>
        <v>199.73978626178294</v>
      </c>
      <c r="AX265" s="237">
        <f t="shared" si="77"/>
        <v>0</v>
      </c>
      <c r="AY265" s="238">
        <f t="shared" si="95"/>
        <v>0</v>
      </c>
    </row>
    <row r="266" spans="1:51" ht="12" customHeight="1">
      <c r="A266" s="244" t="s">
        <v>651</v>
      </c>
      <c r="B266" s="244" t="s">
        <v>652</v>
      </c>
      <c r="C266" s="240">
        <v>182.76</v>
      </c>
      <c r="D266" s="240">
        <v>183.25</v>
      </c>
      <c r="F266" s="222">
        <v>0</v>
      </c>
      <c r="G266" s="222">
        <v>183.25</v>
      </c>
      <c r="H266" s="222">
        <v>183.25</v>
      </c>
      <c r="I266" s="222">
        <v>0</v>
      </c>
      <c r="J266" s="222">
        <v>0</v>
      </c>
      <c r="K266" s="222">
        <v>365.52</v>
      </c>
      <c r="L266" s="222">
        <v>1644.84</v>
      </c>
      <c r="M266" s="222">
        <v>548.28</v>
      </c>
      <c r="N266" s="222">
        <v>1099.5</v>
      </c>
      <c r="O266" s="222">
        <v>366.5</v>
      </c>
      <c r="P266" s="222">
        <v>0</v>
      </c>
      <c r="Q266" s="222">
        <v>0</v>
      </c>
      <c r="R266" s="224">
        <f t="shared" si="86"/>
        <v>4391.1399999999994</v>
      </c>
      <c r="T266" s="223">
        <f t="shared" si="87"/>
        <v>0</v>
      </c>
      <c r="U266" s="223">
        <f t="shared" si="87"/>
        <v>1.0026811118406653</v>
      </c>
      <c r="V266" s="223">
        <f t="shared" si="87"/>
        <v>1.0026811118406653</v>
      </c>
      <c r="W266" s="223">
        <f t="shared" si="87"/>
        <v>0</v>
      </c>
      <c r="X266" s="223">
        <f t="shared" si="87"/>
        <v>0</v>
      </c>
      <c r="Y266" s="223">
        <f t="shared" si="87"/>
        <v>2</v>
      </c>
      <c r="Z266" s="223">
        <f t="shared" si="87"/>
        <v>9</v>
      </c>
      <c r="AA266" s="223">
        <f t="shared" si="87"/>
        <v>3</v>
      </c>
      <c r="AB266" s="223">
        <f t="shared" si="87"/>
        <v>6.0160866710439924</v>
      </c>
      <c r="AC266" s="223">
        <f t="shared" si="88"/>
        <v>2</v>
      </c>
      <c r="AD266" s="223">
        <f t="shared" si="88"/>
        <v>0</v>
      </c>
      <c r="AE266" s="223">
        <f t="shared" si="88"/>
        <v>0</v>
      </c>
      <c r="AF266" s="261">
        <f t="shared" si="89"/>
        <v>24.021448894725324</v>
      </c>
      <c r="AG266" s="252">
        <f t="shared" si="90"/>
        <v>2.0017874078937772</v>
      </c>
      <c r="AI266" s="255"/>
      <c r="AQ266" s="234">
        <f t="shared" si="91"/>
        <v>198.95184842585567</v>
      </c>
      <c r="AR266" s="235">
        <f t="shared" si="92"/>
        <v>4779.1116594728319</v>
      </c>
      <c r="AS266" s="235">
        <f t="shared" si="93"/>
        <v>387.97165947283247</v>
      </c>
      <c r="AT266" s="188"/>
      <c r="AW266" s="237">
        <f t="shared" si="94"/>
        <v>199.73978626178294</v>
      </c>
      <c r="AX266" s="237">
        <f t="shared" si="77"/>
        <v>4798.0390679307784</v>
      </c>
      <c r="AY266" s="238">
        <f t="shared" si="95"/>
        <v>18.927408457946512</v>
      </c>
    </row>
    <row r="267" spans="1:51" ht="12" customHeight="1">
      <c r="A267" s="244" t="s">
        <v>653</v>
      </c>
      <c r="B267" s="244" t="s">
        <v>654</v>
      </c>
      <c r="C267" s="240">
        <v>202.5</v>
      </c>
      <c r="D267" s="240">
        <v>203.05</v>
      </c>
      <c r="F267" s="222">
        <v>1827.45</v>
      </c>
      <c r="G267" s="222">
        <v>1218.3</v>
      </c>
      <c r="H267" s="222">
        <v>2030.5</v>
      </c>
      <c r="I267" s="222">
        <v>1620</v>
      </c>
      <c r="J267" s="222">
        <v>1620</v>
      </c>
      <c r="K267" s="222">
        <v>2430</v>
      </c>
      <c r="L267" s="222">
        <v>2430</v>
      </c>
      <c r="M267" s="222">
        <v>2025</v>
      </c>
      <c r="N267" s="222">
        <v>1622.75</v>
      </c>
      <c r="O267" s="222">
        <v>2639.65</v>
      </c>
      <c r="P267" s="222">
        <v>1421.35</v>
      </c>
      <c r="Q267" s="222">
        <v>1827.45</v>
      </c>
      <c r="R267" s="224">
        <f t="shared" si="86"/>
        <v>22712.45</v>
      </c>
      <c r="T267" s="223">
        <f t="shared" si="87"/>
        <v>9.0244444444444447</v>
      </c>
      <c r="U267" s="223">
        <f t="shared" si="87"/>
        <v>6.0162962962962965</v>
      </c>
      <c r="V267" s="223">
        <f t="shared" si="87"/>
        <v>10.027160493827161</v>
      </c>
      <c r="W267" s="223">
        <f t="shared" si="87"/>
        <v>8</v>
      </c>
      <c r="X267" s="223">
        <f t="shared" si="87"/>
        <v>8</v>
      </c>
      <c r="Y267" s="223">
        <f t="shared" si="87"/>
        <v>12</v>
      </c>
      <c r="Z267" s="223">
        <f t="shared" si="87"/>
        <v>12</v>
      </c>
      <c r="AA267" s="223">
        <f t="shared" si="87"/>
        <v>10</v>
      </c>
      <c r="AB267" s="223">
        <f t="shared" si="87"/>
        <v>8.0135802469135804</v>
      </c>
      <c r="AC267" s="223">
        <f t="shared" si="88"/>
        <v>13</v>
      </c>
      <c r="AD267" s="223">
        <f t="shared" si="88"/>
        <v>6.9999999999999991</v>
      </c>
      <c r="AE267" s="223">
        <f t="shared" si="88"/>
        <v>9</v>
      </c>
      <c r="AF267" s="261">
        <f t="shared" si="89"/>
        <v>112.08148148148148</v>
      </c>
      <c r="AG267" s="252">
        <f t="shared" si="90"/>
        <v>9.3401234567901223</v>
      </c>
      <c r="AI267" s="255"/>
      <c r="AQ267" s="234">
        <f t="shared" si="91"/>
        <v>220.44841922439289</v>
      </c>
      <c r="AR267" s="235">
        <f t="shared" si="92"/>
        <v>24708.185416920656</v>
      </c>
      <c r="AS267" s="235">
        <f t="shared" si="93"/>
        <v>1995.7354169206556</v>
      </c>
      <c r="AT267" s="188"/>
      <c r="AW267" s="237">
        <f t="shared" si="94"/>
        <v>221.32149304477508</v>
      </c>
      <c r="AX267" s="237">
        <f t="shared" si="77"/>
        <v>24806.040824151787</v>
      </c>
      <c r="AY267" s="238">
        <f t="shared" si="95"/>
        <v>97.855407231130812</v>
      </c>
    </row>
    <row r="268" spans="1:51" ht="12" customHeight="1">
      <c r="A268" s="244" t="s">
        <v>655</v>
      </c>
      <c r="B268" s="244" t="s">
        <v>656</v>
      </c>
      <c r="C268" s="240">
        <v>231.26</v>
      </c>
      <c r="D268" s="240">
        <v>231.88</v>
      </c>
      <c r="F268" s="222">
        <v>231.88</v>
      </c>
      <c r="G268" s="222">
        <v>927.52</v>
      </c>
      <c r="H268" s="222">
        <v>1391.28</v>
      </c>
      <c r="I268" s="222">
        <v>0</v>
      </c>
      <c r="J268" s="222">
        <v>693.78</v>
      </c>
      <c r="K268" s="222">
        <v>1156.3</v>
      </c>
      <c r="L268" s="222">
        <v>1735.68</v>
      </c>
      <c r="M268" s="222">
        <v>0</v>
      </c>
      <c r="N268" s="222">
        <v>231.88</v>
      </c>
      <c r="O268" s="222">
        <v>231.88</v>
      </c>
      <c r="P268" s="222">
        <v>0</v>
      </c>
      <c r="Q268" s="222">
        <v>0</v>
      </c>
      <c r="R268" s="224">
        <f t="shared" si="86"/>
        <v>6600.2000000000007</v>
      </c>
      <c r="T268" s="223">
        <f t="shared" si="87"/>
        <v>1.0026809651474531</v>
      </c>
      <c r="U268" s="223">
        <f t="shared" si="87"/>
        <v>4.0107238605898123</v>
      </c>
      <c r="V268" s="223">
        <f t="shared" si="87"/>
        <v>6.016085790884719</v>
      </c>
      <c r="W268" s="223">
        <f t="shared" si="87"/>
        <v>0</v>
      </c>
      <c r="X268" s="223">
        <f t="shared" si="87"/>
        <v>3</v>
      </c>
      <c r="Y268" s="223">
        <f t="shared" si="87"/>
        <v>5</v>
      </c>
      <c r="Z268" s="223">
        <f t="shared" si="87"/>
        <v>7.5053186889215606</v>
      </c>
      <c r="AA268" s="223">
        <f t="shared" si="87"/>
        <v>0</v>
      </c>
      <c r="AB268" s="223">
        <f t="shared" si="87"/>
        <v>1.0026809651474531</v>
      </c>
      <c r="AC268" s="223">
        <f t="shared" si="88"/>
        <v>1</v>
      </c>
      <c r="AD268" s="223">
        <f t="shared" si="88"/>
        <v>0</v>
      </c>
      <c r="AE268" s="223">
        <f t="shared" si="88"/>
        <v>0</v>
      </c>
      <c r="AF268" s="261">
        <f t="shared" si="89"/>
        <v>28.537490270690999</v>
      </c>
      <c r="AG268" s="252">
        <f t="shared" si="90"/>
        <v>2.3781241892242497</v>
      </c>
      <c r="AI268" s="255"/>
      <c r="AQ268" s="234">
        <f t="shared" si="91"/>
        <v>251.74872912953569</v>
      </c>
      <c r="AR268" s="235">
        <f t="shared" si="92"/>
        <v>7184.2769081929473</v>
      </c>
      <c r="AS268" s="235">
        <f t="shared" si="93"/>
        <v>584.07690819294658</v>
      </c>
      <c r="AT268" s="188"/>
      <c r="AW268" s="237">
        <f t="shared" si="94"/>
        <v>252.74576610304084</v>
      </c>
      <c r="AX268" s="237">
        <f t="shared" si="77"/>
        <v>7212.7298411238698</v>
      </c>
      <c r="AY268" s="238">
        <f t="shared" si="95"/>
        <v>28.452932930922543</v>
      </c>
    </row>
    <row r="269" spans="1:51" ht="12" customHeight="1">
      <c r="A269" s="244" t="s">
        <v>657</v>
      </c>
      <c r="B269" s="244" t="s">
        <v>658</v>
      </c>
      <c r="C269" s="240">
        <v>0</v>
      </c>
      <c r="D269" s="240">
        <v>0</v>
      </c>
      <c r="F269" s="222">
        <v>0</v>
      </c>
      <c r="G269" s="222">
        <v>0</v>
      </c>
      <c r="H269" s="222">
        <v>0</v>
      </c>
      <c r="I269" s="222">
        <v>0</v>
      </c>
      <c r="J269" s="222">
        <v>0</v>
      </c>
      <c r="K269" s="222">
        <v>0</v>
      </c>
      <c r="L269" s="222">
        <v>0</v>
      </c>
      <c r="M269" s="222">
        <v>0</v>
      </c>
      <c r="N269" s="222">
        <v>0</v>
      </c>
      <c r="O269" s="222">
        <v>0</v>
      </c>
      <c r="P269" s="222">
        <v>0</v>
      </c>
      <c r="Q269" s="222">
        <v>0</v>
      </c>
      <c r="R269" s="224">
        <f t="shared" si="86"/>
        <v>0</v>
      </c>
      <c r="T269" s="223">
        <f t="shared" si="87"/>
        <v>0</v>
      </c>
      <c r="U269" s="223">
        <f t="shared" si="87"/>
        <v>0</v>
      </c>
      <c r="V269" s="223">
        <f t="shared" si="87"/>
        <v>0</v>
      </c>
      <c r="W269" s="223">
        <f t="shared" si="87"/>
        <v>0</v>
      </c>
      <c r="X269" s="223">
        <f t="shared" si="87"/>
        <v>0</v>
      </c>
      <c r="Y269" s="223">
        <f t="shared" si="87"/>
        <v>0</v>
      </c>
      <c r="Z269" s="223">
        <f t="shared" si="87"/>
        <v>0</v>
      </c>
      <c r="AA269" s="223">
        <f t="shared" si="87"/>
        <v>0</v>
      </c>
      <c r="AB269" s="223">
        <f t="shared" si="87"/>
        <v>0</v>
      </c>
      <c r="AC269" s="223">
        <f t="shared" si="88"/>
        <v>0</v>
      </c>
      <c r="AD269" s="223">
        <f t="shared" si="88"/>
        <v>0</v>
      </c>
      <c r="AE269" s="223">
        <f t="shared" si="88"/>
        <v>0</v>
      </c>
      <c r="AF269" s="261">
        <f t="shared" si="89"/>
        <v>0</v>
      </c>
      <c r="AG269" s="252">
        <f t="shared" si="90"/>
        <v>0</v>
      </c>
      <c r="AI269" s="255"/>
      <c r="AQ269" s="234">
        <f t="shared" si="91"/>
        <v>0</v>
      </c>
      <c r="AR269" s="235">
        <f t="shared" si="92"/>
        <v>0</v>
      </c>
      <c r="AS269" s="235">
        <f t="shared" si="93"/>
        <v>0</v>
      </c>
      <c r="AT269" s="188"/>
      <c r="AW269" s="237">
        <f t="shared" si="94"/>
        <v>0</v>
      </c>
      <c r="AX269" s="237">
        <f t="shared" ref="AX269:AX306" si="96">AG269*AW269*12</f>
        <v>0</v>
      </c>
      <c r="AY269" s="238">
        <f t="shared" si="95"/>
        <v>0</v>
      </c>
    </row>
    <row r="270" spans="1:51" ht="12" customHeight="1">
      <c r="A270" s="244" t="s">
        <v>659</v>
      </c>
      <c r="B270" s="244" t="s">
        <v>660</v>
      </c>
      <c r="C270" s="240">
        <v>0</v>
      </c>
      <c r="D270" s="240">
        <v>0</v>
      </c>
      <c r="F270" s="222">
        <v>0</v>
      </c>
      <c r="G270" s="222">
        <v>0</v>
      </c>
      <c r="H270" s="222">
        <v>0</v>
      </c>
      <c r="I270" s="222">
        <v>0</v>
      </c>
      <c r="J270" s="222">
        <v>0</v>
      </c>
      <c r="K270" s="222">
        <v>0</v>
      </c>
      <c r="L270" s="222">
        <v>0</v>
      </c>
      <c r="M270" s="222">
        <v>0</v>
      </c>
      <c r="N270" s="222">
        <v>0</v>
      </c>
      <c r="O270" s="222">
        <v>0</v>
      </c>
      <c r="P270" s="222">
        <v>0</v>
      </c>
      <c r="Q270" s="222">
        <v>0</v>
      </c>
      <c r="R270" s="224">
        <f t="shared" si="86"/>
        <v>0</v>
      </c>
      <c r="T270" s="223">
        <f t="shared" si="87"/>
        <v>0</v>
      </c>
      <c r="U270" s="223">
        <f t="shared" si="87"/>
        <v>0</v>
      </c>
      <c r="V270" s="223">
        <f t="shared" si="87"/>
        <v>0</v>
      </c>
      <c r="W270" s="223">
        <f t="shared" si="87"/>
        <v>0</v>
      </c>
      <c r="X270" s="223">
        <f t="shared" si="87"/>
        <v>0</v>
      </c>
      <c r="Y270" s="223">
        <f t="shared" si="87"/>
        <v>0</v>
      </c>
      <c r="Z270" s="223">
        <f t="shared" si="87"/>
        <v>0</v>
      </c>
      <c r="AA270" s="223">
        <f t="shared" si="87"/>
        <v>0</v>
      </c>
      <c r="AB270" s="223">
        <f t="shared" si="87"/>
        <v>0</v>
      </c>
      <c r="AC270" s="223">
        <f t="shared" si="88"/>
        <v>0</v>
      </c>
      <c r="AD270" s="223">
        <f t="shared" si="88"/>
        <v>0</v>
      </c>
      <c r="AE270" s="223">
        <f t="shared" si="88"/>
        <v>0</v>
      </c>
      <c r="AF270" s="261">
        <f t="shared" si="89"/>
        <v>0</v>
      </c>
      <c r="AG270" s="252">
        <f t="shared" si="90"/>
        <v>0</v>
      </c>
      <c r="AI270" s="255"/>
      <c r="AQ270" s="234">
        <f t="shared" si="91"/>
        <v>0</v>
      </c>
      <c r="AR270" s="235">
        <f t="shared" si="92"/>
        <v>0</v>
      </c>
      <c r="AS270" s="235">
        <f t="shared" si="93"/>
        <v>0</v>
      </c>
      <c r="AT270" s="188"/>
      <c r="AW270" s="237">
        <f t="shared" si="94"/>
        <v>0</v>
      </c>
      <c r="AX270" s="237">
        <f t="shared" si="96"/>
        <v>0</v>
      </c>
      <c r="AY270" s="238">
        <f t="shared" si="95"/>
        <v>0</v>
      </c>
    </row>
    <row r="271" spans="1:51" ht="12" customHeight="1">
      <c r="A271" s="244" t="s">
        <v>661</v>
      </c>
      <c r="B271" s="244" t="s">
        <v>662</v>
      </c>
      <c r="C271" s="240">
        <v>131.6</v>
      </c>
      <c r="D271" s="240">
        <v>132</v>
      </c>
      <c r="F271" s="222">
        <v>0</v>
      </c>
      <c r="G271" s="222">
        <v>0</v>
      </c>
      <c r="H271" s="222">
        <v>0</v>
      </c>
      <c r="I271" s="222">
        <v>0</v>
      </c>
      <c r="J271" s="222">
        <v>0</v>
      </c>
      <c r="K271" s="222">
        <v>0</v>
      </c>
      <c r="L271" s="222">
        <v>0</v>
      </c>
      <c r="M271" s="222">
        <v>0</v>
      </c>
      <c r="N271" s="222">
        <v>0</v>
      </c>
      <c r="O271" s="222">
        <v>0</v>
      </c>
      <c r="P271" s="222">
        <v>0</v>
      </c>
      <c r="Q271" s="222">
        <v>0</v>
      </c>
      <c r="R271" s="224">
        <f t="shared" si="86"/>
        <v>0</v>
      </c>
      <c r="T271" s="223">
        <f t="shared" si="87"/>
        <v>0</v>
      </c>
      <c r="U271" s="223">
        <f t="shared" si="87"/>
        <v>0</v>
      </c>
      <c r="V271" s="223">
        <f t="shared" si="87"/>
        <v>0</v>
      </c>
      <c r="W271" s="223">
        <f t="shared" si="87"/>
        <v>0</v>
      </c>
      <c r="X271" s="223">
        <f t="shared" si="87"/>
        <v>0</v>
      </c>
      <c r="Y271" s="223">
        <f t="shared" si="87"/>
        <v>0</v>
      </c>
      <c r="Z271" s="223">
        <f t="shared" si="87"/>
        <v>0</v>
      </c>
      <c r="AA271" s="223">
        <f t="shared" si="87"/>
        <v>0</v>
      </c>
      <c r="AB271" s="223">
        <f t="shared" si="87"/>
        <v>0</v>
      </c>
      <c r="AC271" s="223">
        <f t="shared" si="88"/>
        <v>0</v>
      </c>
      <c r="AD271" s="223">
        <f t="shared" si="88"/>
        <v>0</v>
      </c>
      <c r="AE271" s="223">
        <f t="shared" si="88"/>
        <v>0</v>
      </c>
      <c r="AF271" s="261">
        <f t="shared" si="89"/>
        <v>0</v>
      </c>
      <c r="AG271" s="252">
        <f t="shared" si="90"/>
        <v>0</v>
      </c>
      <c r="AI271" s="255"/>
      <c r="AQ271" s="234">
        <f t="shared" si="91"/>
        <v>143.31047199024803</v>
      </c>
      <c r="AR271" s="235">
        <f t="shared" si="92"/>
        <v>0</v>
      </c>
      <c r="AS271" s="235">
        <f t="shared" si="93"/>
        <v>0</v>
      </c>
      <c r="AT271" s="188"/>
      <c r="AW271" s="237">
        <f t="shared" si="94"/>
        <v>143.87804521994735</v>
      </c>
      <c r="AX271" s="237">
        <f t="shared" si="96"/>
        <v>0</v>
      </c>
      <c r="AY271" s="238">
        <f t="shared" si="95"/>
        <v>0</v>
      </c>
    </row>
    <row r="272" spans="1:51" ht="12" customHeight="1">
      <c r="A272" s="244" t="s">
        <v>663</v>
      </c>
      <c r="B272" s="244" t="s">
        <v>664</v>
      </c>
      <c r="C272" s="240">
        <v>243</v>
      </c>
      <c r="D272" s="240">
        <v>243.65</v>
      </c>
      <c r="F272" s="222">
        <v>1949.2</v>
      </c>
      <c r="G272" s="222">
        <v>1949.2</v>
      </c>
      <c r="H272" s="222">
        <v>2192.85</v>
      </c>
      <c r="I272" s="222">
        <v>486</v>
      </c>
      <c r="J272" s="222">
        <v>243</v>
      </c>
      <c r="K272" s="222">
        <v>2187</v>
      </c>
      <c r="L272" s="222">
        <v>2187</v>
      </c>
      <c r="M272" s="222">
        <v>2187</v>
      </c>
      <c r="N272" s="222">
        <v>1704.25</v>
      </c>
      <c r="O272" s="222">
        <v>2192.85</v>
      </c>
      <c r="P272" s="222">
        <v>1949.2</v>
      </c>
      <c r="Q272" s="222">
        <v>2192.85</v>
      </c>
      <c r="R272" s="224">
        <f t="shared" si="86"/>
        <v>21420.399999999998</v>
      </c>
      <c r="T272" s="223">
        <f t="shared" si="87"/>
        <v>8.0213991769547324</v>
      </c>
      <c r="U272" s="223">
        <f t="shared" si="87"/>
        <v>8.0213991769547324</v>
      </c>
      <c r="V272" s="223">
        <f t="shared" si="87"/>
        <v>9.0240740740740737</v>
      </c>
      <c r="W272" s="223">
        <f t="shared" si="87"/>
        <v>2</v>
      </c>
      <c r="X272" s="223">
        <f t="shared" si="87"/>
        <v>1</v>
      </c>
      <c r="Y272" s="223">
        <f t="shared" si="87"/>
        <v>9</v>
      </c>
      <c r="Z272" s="223">
        <f t="shared" si="87"/>
        <v>9</v>
      </c>
      <c r="AA272" s="223">
        <f t="shared" si="87"/>
        <v>9</v>
      </c>
      <c r="AB272" s="223">
        <f t="shared" si="87"/>
        <v>7.0133744855967075</v>
      </c>
      <c r="AC272" s="223">
        <f t="shared" si="88"/>
        <v>9</v>
      </c>
      <c r="AD272" s="223">
        <f t="shared" si="88"/>
        <v>8</v>
      </c>
      <c r="AE272" s="223">
        <f t="shared" si="88"/>
        <v>9</v>
      </c>
      <c r="AF272" s="261">
        <f t="shared" si="89"/>
        <v>88.080246913580254</v>
      </c>
      <c r="AG272" s="252">
        <f t="shared" si="90"/>
        <v>7.3400205761316881</v>
      </c>
      <c r="AI272" s="255"/>
      <c r="AQ272" s="234">
        <f t="shared" si="91"/>
        <v>264.52724621533281</v>
      </c>
      <c r="AR272" s="235">
        <f t="shared" si="92"/>
        <v>23299.625162015953</v>
      </c>
      <c r="AS272" s="235">
        <f t="shared" si="93"/>
        <v>1879.225162015955</v>
      </c>
      <c r="AT272" s="188"/>
      <c r="AW272" s="237">
        <f t="shared" si="94"/>
        <v>265.57489180181949</v>
      </c>
      <c r="AX272" s="237">
        <f t="shared" si="96"/>
        <v>23391.902043951621</v>
      </c>
      <c r="AY272" s="238">
        <f t="shared" si="95"/>
        <v>92.276881935667916</v>
      </c>
    </row>
    <row r="273" spans="1:51" ht="12" customHeight="1">
      <c r="A273" s="244" t="s">
        <v>665</v>
      </c>
      <c r="B273" s="244" t="s">
        <v>666</v>
      </c>
      <c r="C273" s="240">
        <v>251.1</v>
      </c>
      <c r="D273" s="240">
        <v>251.78</v>
      </c>
      <c r="F273" s="222">
        <v>251.78</v>
      </c>
      <c r="G273" s="222">
        <v>251.78</v>
      </c>
      <c r="H273" s="222">
        <v>251.78</v>
      </c>
      <c r="I273" s="222">
        <v>0</v>
      </c>
      <c r="J273" s="222">
        <v>251.1</v>
      </c>
      <c r="K273" s="222">
        <v>0</v>
      </c>
      <c r="L273" s="222">
        <v>502.2</v>
      </c>
      <c r="M273" s="222">
        <v>251.1</v>
      </c>
      <c r="N273" s="222">
        <v>251.78</v>
      </c>
      <c r="O273" s="222">
        <v>251.78</v>
      </c>
      <c r="P273" s="222">
        <v>0</v>
      </c>
      <c r="Q273" s="222">
        <v>251.78</v>
      </c>
      <c r="R273" s="224">
        <f t="shared" si="86"/>
        <v>2515.0800000000004</v>
      </c>
      <c r="T273" s="223">
        <f t="shared" si="87"/>
        <v>1.0027080844285146</v>
      </c>
      <c r="U273" s="223">
        <f t="shared" si="87"/>
        <v>1.0027080844285146</v>
      </c>
      <c r="V273" s="223">
        <f t="shared" si="87"/>
        <v>1.0027080844285146</v>
      </c>
      <c r="W273" s="223">
        <f t="shared" si="87"/>
        <v>0</v>
      </c>
      <c r="X273" s="223">
        <f t="shared" si="87"/>
        <v>1</v>
      </c>
      <c r="Y273" s="223">
        <f t="shared" si="87"/>
        <v>0</v>
      </c>
      <c r="Z273" s="223">
        <f t="shared" si="87"/>
        <v>2</v>
      </c>
      <c r="AA273" s="223">
        <f t="shared" si="87"/>
        <v>1</v>
      </c>
      <c r="AB273" s="223">
        <f t="shared" si="87"/>
        <v>1.0027080844285146</v>
      </c>
      <c r="AC273" s="223">
        <f t="shared" si="88"/>
        <v>1</v>
      </c>
      <c r="AD273" s="223">
        <f t="shared" si="88"/>
        <v>0</v>
      </c>
      <c r="AE273" s="223">
        <f t="shared" si="88"/>
        <v>1</v>
      </c>
      <c r="AF273" s="261">
        <f t="shared" si="89"/>
        <v>10.010832337714058</v>
      </c>
      <c r="AG273" s="252">
        <f t="shared" si="90"/>
        <v>0.83423602814283815</v>
      </c>
      <c r="AI273" s="255"/>
      <c r="AQ273" s="234">
        <f t="shared" si="91"/>
        <v>273.35386846745945</v>
      </c>
      <c r="AR273" s="235">
        <f t="shared" si="92"/>
        <v>2736.4997460932782</v>
      </c>
      <c r="AS273" s="235">
        <f t="shared" si="93"/>
        <v>221.41974609327781</v>
      </c>
      <c r="AT273" s="188"/>
      <c r="AW273" s="237">
        <f t="shared" si="94"/>
        <v>274.43647140513895</v>
      </c>
      <c r="AX273" s="237">
        <f t="shared" si="96"/>
        <v>2747.3375025907044</v>
      </c>
      <c r="AY273" s="238">
        <f t="shared" si="95"/>
        <v>10.837756497426199</v>
      </c>
    </row>
    <row r="274" spans="1:51" ht="12" customHeight="1">
      <c r="A274" s="244" t="s">
        <v>667</v>
      </c>
      <c r="B274" s="244" t="s">
        <v>668</v>
      </c>
      <c r="C274" s="240">
        <v>260.20999999999998</v>
      </c>
      <c r="D274" s="240">
        <v>260.91000000000003</v>
      </c>
      <c r="F274" s="222">
        <v>521.82000000000005</v>
      </c>
      <c r="G274" s="222">
        <v>260.91000000000003</v>
      </c>
      <c r="H274" s="222">
        <v>521.82000000000005</v>
      </c>
      <c r="I274" s="222">
        <v>260.20999999999998</v>
      </c>
      <c r="J274" s="222">
        <v>520.41999999999996</v>
      </c>
      <c r="K274" s="222">
        <v>260.20999999999998</v>
      </c>
      <c r="L274" s="222">
        <v>260.20999999999998</v>
      </c>
      <c r="M274" s="222">
        <v>520.41999999999996</v>
      </c>
      <c r="N274" s="222">
        <v>260.91000000000003</v>
      </c>
      <c r="O274" s="222">
        <v>782.73</v>
      </c>
      <c r="P274" s="222">
        <v>521.82000000000005</v>
      </c>
      <c r="Q274" s="222">
        <v>521.82000000000005</v>
      </c>
      <c r="R274" s="224">
        <f t="shared" si="86"/>
        <v>5213.2999999999993</v>
      </c>
      <c r="T274" s="223">
        <f t="shared" si="87"/>
        <v>2.0053802697820995</v>
      </c>
      <c r="U274" s="223">
        <f t="shared" si="87"/>
        <v>1.0026901348910497</v>
      </c>
      <c r="V274" s="223">
        <f t="shared" si="87"/>
        <v>2.0053802697820995</v>
      </c>
      <c r="W274" s="223">
        <f t="shared" si="87"/>
        <v>1</v>
      </c>
      <c r="X274" s="223">
        <f t="shared" si="87"/>
        <v>2</v>
      </c>
      <c r="Y274" s="223">
        <f t="shared" si="87"/>
        <v>1</v>
      </c>
      <c r="Z274" s="223">
        <f t="shared" si="87"/>
        <v>1</v>
      </c>
      <c r="AA274" s="223">
        <f t="shared" si="87"/>
        <v>2</v>
      </c>
      <c r="AB274" s="223">
        <f t="shared" si="87"/>
        <v>1.0026901348910497</v>
      </c>
      <c r="AC274" s="223">
        <f t="shared" si="88"/>
        <v>3</v>
      </c>
      <c r="AD274" s="223">
        <f t="shared" si="88"/>
        <v>2</v>
      </c>
      <c r="AE274" s="223">
        <f t="shared" si="88"/>
        <v>2</v>
      </c>
      <c r="AF274" s="261">
        <f t="shared" si="89"/>
        <v>20.0161408093463</v>
      </c>
      <c r="AG274" s="252">
        <f t="shared" si="90"/>
        <v>1.6680117341121916</v>
      </c>
      <c r="AI274" s="255"/>
      <c r="AQ274" s="234">
        <f t="shared" si="91"/>
        <v>283.26617611345165</v>
      </c>
      <c r="AR274" s="235">
        <f t="shared" si="92"/>
        <v>5669.8956676119351</v>
      </c>
      <c r="AS274" s="235">
        <f t="shared" si="93"/>
        <v>456.59566761193582</v>
      </c>
      <c r="AT274" s="188"/>
      <c r="AW274" s="237">
        <f t="shared" si="94"/>
        <v>284.38803619951869</v>
      </c>
      <c r="AX274" s="237">
        <f t="shared" si="96"/>
        <v>5692.350977063039</v>
      </c>
      <c r="AY274" s="238">
        <f t="shared" si="95"/>
        <v>22.455309451103858</v>
      </c>
    </row>
    <row r="275" spans="1:51" ht="12" customHeight="1">
      <c r="A275" s="244" t="s">
        <v>669</v>
      </c>
      <c r="B275" s="244" t="s">
        <v>670</v>
      </c>
      <c r="C275" s="240">
        <v>301.73</v>
      </c>
      <c r="D275" s="240">
        <v>302.54000000000002</v>
      </c>
      <c r="F275" s="222">
        <v>2420.3200000000002</v>
      </c>
      <c r="G275" s="222">
        <v>2420.3200000000002</v>
      </c>
      <c r="H275" s="222">
        <v>2722.86</v>
      </c>
      <c r="I275" s="222">
        <v>2715.57</v>
      </c>
      <c r="J275" s="222">
        <v>2715.57</v>
      </c>
      <c r="K275" s="222">
        <v>3319.03</v>
      </c>
      <c r="L275" s="222">
        <v>3017.3</v>
      </c>
      <c r="M275" s="222">
        <v>2715.57</v>
      </c>
      <c r="N275" s="222">
        <v>2418.6999999999998</v>
      </c>
      <c r="O275" s="222">
        <v>2722.86</v>
      </c>
      <c r="P275" s="222">
        <v>2420.3200000000002</v>
      </c>
      <c r="Q275" s="222">
        <v>5587.91</v>
      </c>
      <c r="R275" s="224">
        <f t="shared" si="86"/>
        <v>35196.33</v>
      </c>
      <c r="T275" s="223">
        <f t="shared" si="87"/>
        <v>8.0214761541775754</v>
      </c>
      <c r="U275" s="223">
        <f t="shared" si="87"/>
        <v>8.0214761541775754</v>
      </c>
      <c r="V275" s="223">
        <f t="shared" si="87"/>
        <v>9.0241606734497726</v>
      </c>
      <c r="W275" s="223">
        <f t="shared" si="87"/>
        <v>9</v>
      </c>
      <c r="X275" s="223">
        <f t="shared" si="87"/>
        <v>9</v>
      </c>
      <c r="Y275" s="223">
        <f t="shared" si="87"/>
        <v>11</v>
      </c>
      <c r="Z275" s="223">
        <f t="shared" si="87"/>
        <v>10</v>
      </c>
      <c r="AA275" s="223">
        <f t="shared" si="87"/>
        <v>9</v>
      </c>
      <c r="AB275" s="223">
        <f t="shared" si="87"/>
        <v>8.0161071156331811</v>
      </c>
      <c r="AC275" s="223">
        <f t="shared" si="88"/>
        <v>9</v>
      </c>
      <c r="AD275" s="223">
        <f t="shared" si="88"/>
        <v>8</v>
      </c>
      <c r="AE275" s="223">
        <f t="shared" si="88"/>
        <v>18.469987439677396</v>
      </c>
      <c r="AF275" s="261">
        <f t="shared" si="89"/>
        <v>116.5532075371155</v>
      </c>
      <c r="AG275" s="252">
        <f t="shared" si="90"/>
        <v>9.7127672947596242</v>
      </c>
      <c r="AI275" s="255"/>
      <c r="AQ275" s="234">
        <f t="shared" si="91"/>
        <v>328.46325906007303</v>
      </c>
      <c r="AR275" s="235">
        <f t="shared" si="92"/>
        <v>38283.446401546025</v>
      </c>
      <c r="AS275" s="235">
        <f t="shared" si="93"/>
        <v>3087.1164015460236</v>
      </c>
      <c r="AT275" s="188"/>
      <c r="AW275" s="237">
        <f t="shared" si="94"/>
        <v>329.76411970335511</v>
      </c>
      <c r="AX275" s="237">
        <f t="shared" si="96"/>
        <v>38435.065882079347</v>
      </c>
      <c r="AY275" s="238">
        <f t="shared" si="95"/>
        <v>151.61948053332162</v>
      </c>
    </row>
    <row r="276" spans="1:51" ht="12" customHeight="1">
      <c r="A276" s="244" t="s">
        <v>671</v>
      </c>
      <c r="B276" s="244" t="s">
        <v>672</v>
      </c>
      <c r="C276" s="240">
        <v>0</v>
      </c>
      <c r="D276" s="240">
        <v>0</v>
      </c>
      <c r="F276" s="222">
        <v>0</v>
      </c>
      <c r="G276" s="222">
        <v>0</v>
      </c>
      <c r="H276" s="222">
        <v>0</v>
      </c>
      <c r="I276" s="222">
        <v>0</v>
      </c>
      <c r="J276" s="222">
        <v>0</v>
      </c>
      <c r="K276" s="222">
        <v>0</v>
      </c>
      <c r="L276" s="222">
        <v>0</v>
      </c>
      <c r="M276" s="222">
        <v>0</v>
      </c>
      <c r="N276" s="222">
        <v>0</v>
      </c>
      <c r="O276" s="222">
        <v>0</v>
      </c>
      <c r="P276" s="222">
        <v>0</v>
      </c>
      <c r="Q276" s="222">
        <v>0</v>
      </c>
      <c r="R276" s="224">
        <f t="shared" si="86"/>
        <v>0</v>
      </c>
      <c r="T276" s="223">
        <f t="shared" si="87"/>
        <v>0</v>
      </c>
      <c r="U276" s="223">
        <f t="shared" si="87"/>
        <v>0</v>
      </c>
      <c r="V276" s="223">
        <f t="shared" si="87"/>
        <v>0</v>
      </c>
      <c r="W276" s="223">
        <f t="shared" si="87"/>
        <v>0</v>
      </c>
      <c r="X276" s="223">
        <f t="shared" si="87"/>
        <v>0</v>
      </c>
      <c r="Y276" s="223">
        <f t="shared" si="87"/>
        <v>0</v>
      </c>
      <c r="Z276" s="223">
        <f t="shared" si="87"/>
        <v>0</v>
      </c>
      <c r="AA276" s="223">
        <f t="shared" si="87"/>
        <v>0</v>
      </c>
      <c r="AB276" s="223">
        <f t="shared" si="87"/>
        <v>0</v>
      </c>
      <c r="AC276" s="223">
        <f t="shared" si="88"/>
        <v>0</v>
      </c>
      <c r="AD276" s="223">
        <f t="shared" si="88"/>
        <v>0</v>
      </c>
      <c r="AE276" s="223">
        <f t="shared" si="88"/>
        <v>0</v>
      </c>
      <c r="AF276" s="261">
        <f t="shared" si="89"/>
        <v>0</v>
      </c>
      <c r="AG276" s="252">
        <f t="shared" si="90"/>
        <v>0</v>
      </c>
      <c r="AI276" s="255"/>
      <c r="AQ276" s="234">
        <f t="shared" si="91"/>
        <v>0</v>
      </c>
      <c r="AR276" s="235">
        <f t="shared" si="92"/>
        <v>0</v>
      </c>
      <c r="AS276" s="235">
        <f t="shared" si="93"/>
        <v>0</v>
      </c>
      <c r="AT276" s="188"/>
      <c r="AW276" s="237">
        <f t="shared" si="94"/>
        <v>0</v>
      </c>
      <c r="AX276" s="237">
        <f t="shared" si="96"/>
        <v>0</v>
      </c>
      <c r="AY276" s="238">
        <f t="shared" si="95"/>
        <v>0</v>
      </c>
    </row>
    <row r="277" spans="1:51" ht="12" customHeight="1">
      <c r="A277" s="244" t="s">
        <v>673</v>
      </c>
      <c r="B277" s="244" t="s">
        <v>674</v>
      </c>
      <c r="C277" s="240">
        <v>0</v>
      </c>
      <c r="D277" s="240">
        <v>0</v>
      </c>
      <c r="F277" s="222">
        <v>0</v>
      </c>
      <c r="G277" s="222">
        <v>0</v>
      </c>
      <c r="H277" s="222">
        <v>0</v>
      </c>
      <c r="I277" s="222">
        <v>0</v>
      </c>
      <c r="J277" s="222">
        <v>0</v>
      </c>
      <c r="K277" s="222">
        <v>0</v>
      </c>
      <c r="L277" s="222">
        <v>0</v>
      </c>
      <c r="M277" s="222">
        <v>0</v>
      </c>
      <c r="N277" s="222">
        <v>0</v>
      </c>
      <c r="O277" s="222">
        <v>0</v>
      </c>
      <c r="P277" s="222">
        <v>0</v>
      </c>
      <c r="Q277" s="222">
        <v>0</v>
      </c>
      <c r="R277" s="224">
        <f t="shared" si="86"/>
        <v>0</v>
      </c>
      <c r="T277" s="223">
        <f t="shared" si="87"/>
        <v>0</v>
      </c>
      <c r="U277" s="223">
        <f t="shared" si="87"/>
        <v>0</v>
      </c>
      <c r="V277" s="223">
        <f t="shared" si="87"/>
        <v>0</v>
      </c>
      <c r="W277" s="223">
        <f t="shared" si="87"/>
        <v>0</v>
      </c>
      <c r="X277" s="223">
        <f t="shared" si="87"/>
        <v>0</v>
      </c>
      <c r="Y277" s="223">
        <f t="shared" si="87"/>
        <v>0</v>
      </c>
      <c r="Z277" s="223">
        <f t="shared" si="87"/>
        <v>0</v>
      </c>
      <c r="AA277" s="223">
        <f t="shared" si="87"/>
        <v>0</v>
      </c>
      <c r="AB277" s="223">
        <f t="shared" si="87"/>
        <v>0</v>
      </c>
      <c r="AC277" s="223">
        <f t="shared" si="88"/>
        <v>0</v>
      </c>
      <c r="AD277" s="223">
        <f t="shared" si="88"/>
        <v>0</v>
      </c>
      <c r="AE277" s="223">
        <f t="shared" si="88"/>
        <v>0</v>
      </c>
      <c r="AF277" s="261">
        <f t="shared" si="89"/>
        <v>0</v>
      </c>
      <c r="AG277" s="252">
        <f t="shared" si="90"/>
        <v>0</v>
      </c>
      <c r="AI277" s="255"/>
      <c r="AQ277" s="234">
        <f t="shared" si="91"/>
        <v>0</v>
      </c>
      <c r="AR277" s="235">
        <f t="shared" si="92"/>
        <v>0</v>
      </c>
      <c r="AS277" s="235">
        <f t="shared" si="93"/>
        <v>0</v>
      </c>
      <c r="AT277" s="188"/>
      <c r="AW277" s="237">
        <f t="shared" si="94"/>
        <v>0</v>
      </c>
      <c r="AX277" s="237">
        <f t="shared" si="96"/>
        <v>0</v>
      </c>
      <c r="AY277" s="238">
        <f t="shared" si="95"/>
        <v>0</v>
      </c>
    </row>
    <row r="278" spans="1:51" ht="12" customHeight="1">
      <c r="A278" s="244" t="s">
        <v>675</v>
      </c>
      <c r="B278" s="244" t="s">
        <v>676</v>
      </c>
      <c r="C278" s="240">
        <v>140.94</v>
      </c>
      <c r="D278" s="240">
        <v>141.32</v>
      </c>
      <c r="F278" s="222">
        <v>0</v>
      </c>
      <c r="G278" s="222">
        <v>0</v>
      </c>
      <c r="H278" s="222">
        <v>0</v>
      </c>
      <c r="I278" s="222">
        <v>0</v>
      </c>
      <c r="J278" s="222">
        <v>0</v>
      </c>
      <c r="K278" s="222">
        <v>0</v>
      </c>
      <c r="L278" s="222">
        <v>0</v>
      </c>
      <c r="M278" s="222">
        <v>140.94</v>
      </c>
      <c r="N278" s="222">
        <v>0</v>
      </c>
      <c r="O278" s="222">
        <v>0</v>
      </c>
      <c r="P278" s="222">
        <v>0</v>
      </c>
      <c r="Q278" s="222">
        <v>0</v>
      </c>
      <c r="R278" s="224">
        <f t="shared" si="86"/>
        <v>140.94</v>
      </c>
      <c r="T278" s="223">
        <f t="shared" si="87"/>
        <v>0</v>
      </c>
      <c r="U278" s="223">
        <f t="shared" si="87"/>
        <v>0</v>
      </c>
      <c r="V278" s="223">
        <f t="shared" si="87"/>
        <v>0</v>
      </c>
      <c r="W278" s="223">
        <f t="shared" si="87"/>
        <v>0</v>
      </c>
      <c r="X278" s="223">
        <f t="shared" si="87"/>
        <v>0</v>
      </c>
      <c r="Y278" s="223">
        <f t="shared" si="87"/>
        <v>0</v>
      </c>
      <c r="Z278" s="223">
        <f t="shared" si="87"/>
        <v>0</v>
      </c>
      <c r="AA278" s="223">
        <f t="shared" si="87"/>
        <v>1</v>
      </c>
      <c r="AB278" s="223">
        <f t="shared" si="87"/>
        <v>0</v>
      </c>
      <c r="AC278" s="223">
        <f t="shared" si="88"/>
        <v>0</v>
      </c>
      <c r="AD278" s="223">
        <f t="shared" si="88"/>
        <v>0</v>
      </c>
      <c r="AE278" s="223">
        <f t="shared" si="88"/>
        <v>0</v>
      </c>
      <c r="AF278" s="261">
        <f t="shared" si="89"/>
        <v>1</v>
      </c>
      <c r="AG278" s="252">
        <f t="shared" si="90"/>
        <v>8.3333333333333329E-2</v>
      </c>
      <c r="AI278" s="255"/>
      <c r="AQ278" s="234">
        <f t="shared" si="91"/>
        <v>153.42905986107462</v>
      </c>
      <c r="AR278" s="235">
        <f t="shared" si="92"/>
        <v>153.42905986107462</v>
      </c>
      <c r="AS278" s="235">
        <f t="shared" si="93"/>
        <v>12.489059861074622</v>
      </c>
      <c r="AT278" s="188"/>
      <c r="AW278" s="237">
        <f t="shared" si="94"/>
        <v>154.03670720062846</v>
      </c>
      <c r="AX278" s="237">
        <f t="shared" si="96"/>
        <v>154.03670720062846</v>
      </c>
      <c r="AY278" s="238">
        <f t="shared" si="95"/>
        <v>0.60764733955383576</v>
      </c>
    </row>
    <row r="279" spans="1:51" ht="12" customHeight="1">
      <c r="A279" s="244" t="s">
        <v>677</v>
      </c>
      <c r="B279" s="244" t="s">
        <v>678</v>
      </c>
      <c r="C279" s="240">
        <v>140.94</v>
      </c>
      <c r="D279" s="240">
        <v>141.32</v>
      </c>
      <c r="F279" s="222">
        <v>1695.84</v>
      </c>
      <c r="G279" s="222">
        <v>706.6</v>
      </c>
      <c r="H279" s="222">
        <v>989.24</v>
      </c>
      <c r="I279" s="222">
        <v>1409.4</v>
      </c>
      <c r="J279" s="222">
        <v>140.94</v>
      </c>
      <c r="K279" s="222">
        <v>845.64</v>
      </c>
      <c r="L279" s="222">
        <v>2230.38</v>
      </c>
      <c r="M279" s="222">
        <v>1127.52</v>
      </c>
      <c r="N279" s="222">
        <v>1270.3599999999999</v>
      </c>
      <c r="O279" s="222">
        <v>1554.52</v>
      </c>
      <c r="P279" s="222">
        <v>423.96</v>
      </c>
      <c r="Q279" s="222">
        <v>423.96</v>
      </c>
      <c r="R279" s="224">
        <f t="shared" si="86"/>
        <v>12818.359999999999</v>
      </c>
      <c r="T279" s="223">
        <f t="shared" si="87"/>
        <v>12.032354193273733</v>
      </c>
      <c r="U279" s="223">
        <f t="shared" si="87"/>
        <v>5.0134809138640559</v>
      </c>
      <c r="V279" s="223">
        <f t="shared" si="87"/>
        <v>7.0188732794096778</v>
      </c>
      <c r="W279" s="223">
        <f t="shared" si="87"/>
        <v>10</v>
      </c>
      <c r="X279" s="223">
        <f t="shared" si="87"/>
        <v>1</v>
      </c>
      <c r="Y279" s="223">
        <f t="shared" si="87"/>
        <v>6</v>
      </c>
      <c r="Z279" s="223">
        <f t="shared" si="87"/>
        <v>15.825031928480206</v>
      </c>
      <c r="AA279" s="223">
        <f t="shared" si="87"/>
        <v>8</v>
      </c>
      <c r="AB279" s="223">
        <f t="shared" si="87"/>
        <v>9.0134809138640559</v>
      </c>
      <c r="AC279" s="223">
        <f t="shared" si="88"/>
        <v>11</v>
      </c>
      <c r="AD279" s="223">
        <f t="shared" si="88"/>
        <v>3</v>
      </c>
      <c r="AE279" s="223">
        <f t="shared" si="88"/>
        <v>3</v>
      </c>
      <c r="AF279" s="261">
        <f t="shared" si="89"/>
        <v>90.903221228891724</v>
      </c>
      <c r="AG279" s="252">
        <f t="shared" si="90"/>
        <v>7.575268435740977</v>
      </c>
      <c r="AI279" s="255"/>
      <c r="AQ279" s="234">
        <f t="shared" si="91"/>
        <v>153.42905986107462</v>
      </c>
      <c r="AR279" s="235">
        <f t="shared" si="92"/>
        <v>13947.195771492137</v>
      </c>
      <c r="AS279" s="235">
        <f t="shared" si="93"/>
        <v>1128.8357714921385</v>
      </c>
      <c r="AT279" s="188"/>
      <c r="AW279" s="237">
        <f t="shared" si="94"/>
        <v>154.03670720062846</v>
      </c>
      <c r="AX279" s="237">
        <f t="shared" si="96"/>
        <v>14002.432872028749</v>
      </c>
      <c r="AY279" s="238">
        <f t="shared" si="95"/>
        <v>55.237100536611251</v>
      </c>
    </row>
    <row r="280" spans="1:51" ht="12" customHeight="1">
      <c r="A280" s="244" t="s">
        <v>679</v>
      </c>
      <c r="B280" s="244" t="s">
        <v>680</v>
      </c>
      <c r="C280" s="240">
        <v>140.94</v>
      </c>
      <c r="D280" s="240">
        <v>141.32</v>
      </c>
      <c r="F280" s="222">
        <v>0</v>
      </c>
      <c r="G280" s="222">
        <v>0</v>
      </c>
      <c r="H280" s="222">
        <v>0</v>
      </c>
      <c r="I280" s="222">
        <v>0</v>
      </c>
      <c r="J280" s="222">
        <v>0</v>
      </c>
      <c r="K280" s="222">
        <v>0</v>
      </c>
      <c r="L280" s="222">
        <v>0</v>
      </c>
      <c r="M280" s="222">
        <v>0</v>
      </c>
      <c r="N280" s="222">
        <v>0</v>
      </c>
      <c r="O280" s="222">
        <v>0</v>
      </c>
      <c r="P280" s="222">
        <v>0</v>
      </c>
      <c r="Q280" s="222">
        <v>0</v>
      </c>
      <c r="R280" s="224">
        <f t="shared" si="86"/>
        <v>0</v>
      </c>
      <c r="T280" s="223">
        <f t="shared" si="87"/>
        <v>0</v>
      </c>
      <c r="U280" s="223">
        <f t="shared" si="87"/>
        <v>0</v>
      </c>
      <c r="V280" s="223">
        <f t="shared" si="87"/>
        <v>0</v>
      </c>
      <c r="W280" s="223">
        <f t="shared" si="87"/>
        <v>0</v>
      </c>
      <c r="X280" s="223">
        <f t="shared" si="87"/>
        <v>0</v>
      </c>
      <c r="Y280" s="223">
        <f t="shared" si="87"/>
        <v>0</v>
      </c>
      <c r="Z280" s="223">
        <f t="shared" si="87"/>
        <v>0</v>
      </c>
      <c r="AA280" s="223">
        <f t="shared" si="87"/>
        <v>0</v>
      </c>
      <c r="AB280" s="223">
        <f t="shared" si="87"/>
        <v>0</v>
      </c>
      <c r="AC280" s="223">
        <f t="shared" si="88"/>
        <v>0</v>
      </c>
      <c r="AD280" s="223">
        <f t="shared" si="88"/>
        <v>0</v>
      </c>
      <c r="AE280" s="223">
        <f t="shared" si="88"/>
        <v>0</v>
      </c>
      <c r="AF280" s="261">
        <f t="shared" si="89"/>
        <v>0</v>
      </c>
      <c r="AG280" s="252">
        <f t="shared" si="90"/>
        <v>0</v>
      </c>
      <c r="AI280" s="255"/>
      <c r="AQ280" s="234">
        <f t="shared" si="91"/>
        <v>153.42905986107462</v>
      </c>
      <c r="AR280" s="235">
        <f t="shared" si="92"/>
        <v>0</v>
      </c>
      <c r="AS280" s="235">
        <f t="shared" si="93"/>
        <v>0</v>
      </c>
      <c r="AT280" s="188"/>
      <c r="AW280" s="237">
        <f t="shared" si="94"/>
        <v>154.03670720062846</v>
      </c>
      <c r="AX280" s="237">
        <f t="shared" si="96"/>
        <v>0</v>
      </c>
      <c r="AY280" s="238">
        <f t="shared" si="95"/>
        <v>0</v>
      </c>
    </row>
    <row r="281" spans="1:51" ht="12" customHeight="1">
      <c r="A281" s="244" t="s">
        <v>681</v>
      </c>
      <c r="B281" s="244" t="s">
        <v>682</v>
      </c>
      <c r="C281" s="240">
        <v>140.94</v>
      </c>
      <c r="D281" s="240">
        <v>141.32</v>
      </c>
      <c r="F281" s="222">
        <v>282.64</v>
      </c>
      <c r="G281" s="222">
        <v>706.6</v>
      </c>
      <c r="H281" s="222">
        <v>1271.8800000000001</v>
      </c>
      <c r="I281" s="222">
        <v>845.64</v>
      </c>
      <c r="J281" s="222">
        <v>563.76</v>
      </c>
      <c r="K281" s="222">
        <v>704.7</v>
      </c>
      <c r="L281" s="222">
        <v>1409.4</v>
      </c>
      <c r="M281" s="222">
        <v>563.76</v>
      </c>
      <c r="N281" s="222">
        <v>1271.1199999999999</v>
      </c>
      <c r="O281" s="222">
        <v>282.64</v>
      </c>
      <c r="P281" s="222">
        <v>141.32</v>
      </c>
      <c r="Q281" s="222">
        <v>565.28</v>
      </c>
      <c r="R281" s="224">
        <f t="shared" si="86"/>
        <v>8608.74</v>
      </c>
      <c r="T281" s="223">
        <f t="shared" si="87"/>
        <v>2.0053923655456223</v>
      </c>
      <c r="U281" s="223">
        <f t="shared" si="87"/>
        <v>5.0134809138640559</v>
      </c>
      <c r="V281" s="223">
        <f t="shared" si="87"/>
        <v>9.0242656449553014</v>
      </c>
      <c r="W281" s="223">
        <f t="shared" si="87"/>
        <v>6</v>
      </c>
      <c r="X281" s="223">
        <f t="shared" si="87"/>
        <v>4</v>
      </c>
      <c r="Y281" s="223">
        <f t="shared" si="87"/>
        <v>5</v>
      </c>
      <c r="Z281" s="223">
        <f t="shared" si="87"/>
        <v>10</v>
      </c>
      <c r="AA281" s="223">
        <f t="shared" si="87"/>
        <v>4</v>
      </c>
      <c r="AB281" s="223">
        <f t="shared" si="87"/>
        <v>9.0188732794096769</v>
      </c>
      <c r="AC281" s="223">
        <f t="shared" si="88"/>
        <v>2</v>
      </c>
      <c r="AD281" s="223">
        <f t="shared" si="88"/>
        <v>1</v>
      </c>
      <c r="AE281" s="223">
        <f t="shared" si="88"/>
        <v>4</v>
      </c>
      <c r="AF281" s="261">
        <f t="shared" si="89"/>
        <v>61.062012203774657</v>
      </c>
      <c r="AG281" s="252">
        <f t="shared" si="90"/>
        <v>5.0885010169812217</v>
      </c>
      <c r="AI281" s="255"/>
      <c r="AQ281" s="234">
        <f t="shared" si="91"/>
        <v>153.42905986107462</v>
      </c>
      <c r="AR281" s="235">
        <f t="shared" si="92"/>
        <v>9368.6871256506111</v>
      </c>
      <c r="AS281" s="235">
        <f t="shared" si="93"/>
        <v>759.94712565061127</v>
      </c>
      <c r="AT281" s="188"/>
      <c r="AW281" s="237">
        <f t="shared" si="94"/>
        <v>154.03670720062846</v>
      </c>
      <c r="AX281" s="237">
        <f t="shared" si="96"/>
        <v>9405.7912949140391</v>
      </c>
      <c r="AY281" s="238">
        <f t="shared" si="95"/>
        <v>37.104169263428048</v>
      </c>
    </row>
    <row r="282" spans="1:51" ht="12" customHeight="1">
      <c r="A282" s="244" t="s">
        <v>683</v>
      </c>
      <c r="B282" s="244" t="s">
        <v>684</v>
      </c>
      <c r="C282" s="240">
        <v>140.94</v>
      </c>
      <c r="D282" s="240">
        <v>141.32</v>
      </c>
      <c r="F282" s="222">
        <v>0</v>
      </c>
      <c r="G282" s="222">
        <v>0</v>
      </c>
      <c r="H282" s="222">
        <v>0</v>
      </c>
      <c r="I282" s="222">
        <v>0</v>
      </c>
      <c r="J282" s="222">
        <v>0</v>
      </c>
      <c r="K282" s="222">
        <v>0</v>
      </c>
      <c r="L282" s="222">
        <v>0</v>
      </c>
      <c r="M282" s="222">
        <v>0</v>
      </c>
      <c r="N282" s="222">
        <v>0</v>
      </c>
      <c r="O282" s="222">
        <v>0</v>
      </c>
      <c r="P282" s="222">
        <v>0</v>
      </c>
      <c r="Q282" s="222">
        <v>0</v>
      </c>
      <c r="R282" s="224">
        <f t="shared" si="86"/>
        <v>0</v>
      </c>
      <c r="T282" s="223">
        <f t="shared" si="87"/>
        <v>0</v>
      </c>
      <c r="U282" s="223">
        <f t="shared" si="87"/>
        <v>0</v>
      </c>
      <c r="V282" s="223">
        <f t="shared" si="87"/>
        <v>0</v>
      </c>
      <c r="W282" s="223">
        <f t="shared" si="87"/>
        <v>0</v>
      </c>
      <c r="X282" s="223">
        <f t="shared" si="87"/>
        <v>0</v>
      </c>
      <c r="Y282" s="223">
        <f t="shared" si="87"/>
        <v>0</v>
      </c>
      <c r="Z282" s="223">
        <f t="shared" si="87"/>
        <v>0</v>
      </c>
      <c r="AA282" s="223">
        <f t="shared" si="87"/>
        <v>0</v>
      </c>
      <c r="AB282" s="223">
        <f t="shared" si="87"/>
        <v>0</v>
      </c>
      <c r="AC282" s="223">
        <f t="shared" si="88"/>
        <v>0</v>
      </c>
      <c r="AD282" s="223">
        <f t="shared" si="88"/>
        <v>0</v>
      </c>
      <c r="AE282" s="223">
        <f t="shared" si="88"/>
        <v>0</v>
      </c>
      <c r="AF282" s="261">
        <f t="shared" si="89"/>
        <v>0</v>
      </c>
      <c r="AG282" s="252">
        <f t="shared" si="90"/>
        <v>0</v>
      </c>
      <c r="AI282" s="255"/>
      <c r="AQ282" s="234">
        <f t="shared" si="91"/>
        <v>153.42905986107462</v>
      </c>
      <c r="AR282" s="235">
        <f t="shared" si="92"/>
        <v>0</v>
      </c>
      <c r="AS282" s="235">
        <f t="shared" si="93"/>
        <v>0</v>
      </c>
      <c r="AT282" s="188"/>
      <c r="AW282" s="237">
        <f t="shared" si="94"/>
        <v>154.03670720062846</v>
      </c>
      <c r="AX282" s="237">
        <f t="shared" si="96"/>
        <v>0</v>
      </c>
      <c r="AY282" s="238">
        <f t="shared" si="95"/>
        <v>0</v>
      </c>
    </row>
    <row r="283" spans="1:51" ht="12" customHeight="1">
      <c r="A283" s="244" t="s">
        <v>685</v>
      </c>
      <c r="B283" s="244" t="s">
        <v>686</v>
      </c>
      <c r="C283" s="240">
        <v>140.94</v>
      </c>
      <c r="D283" s="240">
        <v>141.32</v>
      </c>
      <c r="F283" s="222">
        <v>141.32</v>
      </c>
      <c r="G283" s="222">
        <v>706.6</v>
      </c>
      <c r="H283" s="222">
        <v>706.6</v>
      </c>
      <c r="I283" s="222">
        <v>281.88</v>
      </c>
      <c r="J283" s="222">
        <v>422.82</v>
      </c>
      <c r="K283" s="222">
        <v>422.82</v>
      </c>
      <c r="L283" s="222">
        <v>588.42999999999995</v>
      </c>
      <c r="M283" s="222">
        <v>422.82</v>
      </c>
      <c r="N283" s="222">
        <v>987.72</v>
      </c>
      <c r="O283" s="222">
        <v>282.64</v>
      </c>
      <c r="P283" s="222">
        <v>0</v>
      </c>
      <c r="Q283" s="222">
        <v>282.64</v>
      </c>
      <c r="R283" s="224">
        <f t="shared" si="86"/>
        <v>5246.2900000000009</v>
      </c>
      <c r="T283" s="223">
        <f t="shared" si="87"/>
        <v>1.0026961827728111</v>
      </c>
      <c r="U283" s="223">
        <f t="shared" si="87"/>
        <v>5.0134809138640559</v>
      </c>
      <c r="V283" s="223">
        <f t="shared" si="87"/>
        <v>5.0134809138640559</v>
      </c>
      <c r="W283" s="223">
        <f t="shared" si="87"/>
        <v>2</v>
      </c>
      <c r="X283" s="223">
        <f t="shared" si="87"/>
        <v>3</v>
      </c>
      <c r="Y283" s="223">
        <f t="shared" si="87"/>
        <v>3</v>
      </c>
      <c r="Z283" s="223">
        <f t="shared" si="87"/>
        <v>4.1750390236980275</v>
      </c>
      <c r="AA283" s="223">
        <f t="shared" si="87"/>
        <v>3</v>
      </c>
      <c r="AB283" s="223">
        <f t="shared" si="87"/>
        <v>7.0080885483184341</v>
      </c>
      <c r="AC283" s="223">
        <f t="shared" si="88"/>
        <v>2</v>
      </c>
      <c r="AD283" s="223">
        <f t="shared" si="88"/>
        <v>0</v>
      </c>
      <c r="AE283" s="223">
        <f t="shared" si="88"/>
        <v>2</v>
      </c>
      <c r="AF283" s="261">
        <f t="shared" si="89"/>
        <v>37.212785582517384</v>
      </c>
      <c r="AG283" s="252">
        <f t="shared" si="90"/>
        <v>3.101065465209782</v>
      </c>
      <c r="AI283" s="255"/>
      <c r="AQ283" s="234">
        <f t="shared" si="91"/>
        <v>153.42905986107462</v>
      </c>
      <c r="AR283" s="235">
        <f t="shared" si="92"/>
        <v>5709.5227067373944</v>
      </c>
      <c r="AS283" s="235">
        <f t="shared" si="93"/>
        <v>463.23270673739353</v>
      </c>
      <c r="AT283" s="188"/>
      <c r="AW283" s="237">
        <f t="shared" si="94"/>
        <v>154.03670720062846</v>
      </c>
      <c r="AX283" s="237">
        <f t="shared" si="96"/>
        <v>5732.1349568939986</v>
      </c>
      <c r="AY283" s="238">
        <f t="shared" si="95"/>
        <v>22.612250156604205</v>
      </c>
    </row>
    <row r="284" spans="1:51" ht="12" customHeight="1">
      <c r="A284" s="244" t="s">
        <v>687</v>
      </c>
      <c r="B284" s="244" t="s">
        <v>688</v>
      </c>
      <c r="C284" s="240">
        <v>0</v>
      </c>
      <c r="D284" s="240">
        <v>0</v>
      </c>
      <c r="F284" s="222">
        <v>0</v>
      </c>
      <c r="G284" s="222">
        <v>0</v>
      </c>
      <c r="H284" s="222">
        <v>0</v>
      </c>
      <c r="I284" s="222">
        <v>0</v>
      </c>
      <c r="J284" s="222">
        <v>0</v>
      </c>
      <c r="K284" s="222">
        <v>0</v>
      </c>
      <c r="L284" s="222">
        <v>0</v>
      </c>
      <c r="M284" s="222">
        <v>0</v>
      </c>
      <c r="N284" s="222">
        <v>0</v>
      </c>
      <c r="O284" s="222">
        <v>0</v>
      </c>
      <c r="P284" s="222">
        <v>0</v>
      </c>
      <c r="Q284" s="222">
        <v>0</v>
      </c>
      <c r="R284" s="224">
        <f t="shared" si="86"/>
        <v>0</v>
      </c>
      <c r="T284" s="223">
        <f t="shared" si="87"/>
        <v>0</v>
      </c>
      <c r="U284" s="223">
        <f t="shared" si="87"/>
        <v>0</v>
      </c>
      <c r="V284" s="223">
        <f t="shared" si="87"/>
        <v>0</v>
      </c>
      <c r="W284" s="223">
        <f t="shared" si="87"/>
        <v>0</v>
      </c>
      <c r="X284" s="223">
        <f t="shared" si="87"/>
        <v>0</v>
      </c>
      <c r="Y284" s="223">
        <f t="shared" si="87"/>
        <v>0</v>
      </c>
      <c r="Z284" s="223">
        <f t="shared" si="87"/>
        <v>0</v>
      </c>
      <c r="AA284" s="223">
        <f t="shared" si="87"/>
        <v>0</v>
      </c>
      <c r="AB284" s="223">
        <f t="shared" si="87"/>
        <v>0</v>
      </c>
      <c r="AC284" s="223">
        <f t="shared" si="88"/>
        <v>0</v>
      </c>
      <c r="AD284" s="223">
        <f t="shared" si="88"/>
        <v>0</v>
      </c>
      <c r="AE284" s="223">
        <f t="shared" si="88"/>
        <v>0</v>
      </c>
      <c r="AF284" s="261">
        <f t="shared" si="89"/>
        <v>0</v>
      </c>
      <c r="AG284" s="252">
        <f t="shared" si="90"/>
        <v>0</v>
      </c>
      <c r="AI284" s="255"/>
      <c r="AQ284" s="234">
        <f t="shared" si="91"/>
        <v>0</v>
      </c>
      <c r="AR284" s="235">
        <f t="shared" si="92"/>
        <v>0</v>
      </c>
      <c r="AS284" s="235">
        <f t="shared" si="93"/>
        <v>0</v>
      </c>
      <c r="AT284" s="188"/>
      <c r="AW284" s="237">
        <f t="shared" si="94"/>
        <v>0</v>
      </c>
      <c r="AX284" s="237">
        <f t="shared" si="96"/>
        <v>0</v>
      </c>
      <c r="AY284" s="238">
        <f t="shared" si="95"/>
        <v>0</v>
      </c>
    </row>
    <row r="285" spans="1:51" ht="12" customHeight="1">
      <c r="A285" s="244" t="s">
        <v>689</v>
      </c>
      <c r="B285" s="244" t="s">
        <v>690</v>
      </c>
      <c r="C285" s="240">
        <v>141.75</v>
      </c>
      <c r="D285" s="240">
        <v>142.13</v>
      </c>
      <c r="F285" s="222">
        <v>0</v>
      </c>
      <c r="G285" s="222">
        <v>0</v>
      </c>
      <c r="H285" s="222">
        <v>142.13</v>
      </c>
      <c r="I285" s="222">
        <v>0</v>
      </c>
      <c r="J285" s="222">
        <v>0</v>
      </c>
      <c r="K285" s="222">
        <v>141.75</v>
      </c>
      <c r="L285" s="222">
        <v>0</v>
      </c>
      <c r="M285" s="222">
        <v>0</v>
      </c>
      <c r="N285" s="222">
        <v>0</v>
      </c>
      <c r="O285" s="222">
        <v>0</v>
      </c>
      <c r="P285" s="222">
        <v>142.13</v>
      </c>
      <c r="Q285" s="222">
        <v>142.13</v>
      </c>
      <c r="R285" s="224">
        <f t="shared" si="86"/>
        <v>568.14</v>
      </c>
      <c r="T285" s="223">
        <f t="shared" si="87"/>
        <v>0</v>
      </c>
      <c r="U285" s="223">
        <f t="shared" si="87"/>
        <v>0</v>
      </c>
      <c r="V285" s="223">
        <f t="shared" si="87"/>
        <v>1.0026807760141092</v>
      </c>
      <c r="W285" s="223">
        <f t="shared" ref="W285:AB306" si="97">IFERROR(I285/$C285,0)</f>
        <v>0</v>
      </c>
      <c r="X285" s="223">
        <f t="shared" si="97"/>
        <v>0</v>
      </c>
      <c r="Y285" s="223">
        <f t="shared" si="97"/>
        <v>1</v>
      </c>
      <c r="Z285" s="223">
        <f t="shared" si="97"/>
        <v>0</v>
      </c>
      <c r="AA285" s="223">
        <f t="shared" si="97"/>
        <v>0</v>
      </c>
      <c r="AB285" s="223">
        <f t="shared" si="97"/>
        <v>0</v>
      </c>
      <c r="AC285" s="223">
        <f t="shared" si="88"/>
        <v>0</v>
      </c>
      <c r="AD285" s="223">
        <f t="shared" si="88"/>
        <v>1</v>
      </c>
      <c r="AE285" s="223">
        <f t="shared" si="88"/>
        <v>1</v>
      </c>
      <c r="AF285" s="261">
        <f t="shared" si="89"/>
        <v>4.0026807760141097</v>
      </c>
      <c r="AG285" s="252">
        <f t="shared" si="90"/>
        <v>0.33355673133450914</v>
      </c>
      <c r="AI285" s="255"/>
      <c r="AQ285" s="234">
        <f t="shared" si="91"/>
        <v>154.30846503010568</v>
      </c>
      <c r="AR285" s="235">
        <f t="shared" si="92"/>
        <v>617.64752655224947</v>
      </c>
      <c r="AS285" s="235">
        <f t="shared" si="93"/>
        <v>49.507526552249487</v>
      </c>
      <c r="AT285" s="188"/>
      <c r="AW285" s="237">
        <f t="shared" si="94"/>
        <v>154.91959520538722</v>
      </c>
      <c r="AX285" s="237">
        <f t="shared" si="96"/>
        <v>620.0936855564911</v>
      </c>
      <c r="AY285" s="238">
        <f t="shared" si="95"/>
        <v>2.4461590042416219</v>
      </c>
    </row>
    <row r="286" spans="1:51" ht="12" customHeight="1">
      <c r="A286" s="244" t="s">
        <v>691</v>
      </c>
      <c r="B286" s="244" t="s">
        <v>692</v>
      </c>
      <c r="C286" s="240">
        <v>147.83000000000001</v>
      </c>
      <c r="D286" s="240">
        <v>148.22999999999999</v>
      </c>
      <c r="F286" s="222">
        <v>1334.07</v>
      </c>
      <c r="G286" s="222">
        <v>444.69</v>
      </c>
      <c r="H286" s="222">
        <v>1037.6099999999999</v>
      </c>
      <c r="I286" s="222">
        <v>1034.81</v>
      </c>
      <c r="J286" s="222">
        <v>1034.81</v>
      </c>
      <c r="K286" s="222">
        <v>443.49</v>
      </c>
      <c r="L286" s="222">
        <v>1577.3</v>
      </c>
      <c r="M286" s="222">
        <v>1773.96</v>
      </c>
      <c r="N286" s="222">
        <v>1184.6400000000001</v>
      </c>
      <c r="O286" s="222">
        <v>1630.13</v>
      </c>
      <c r="P286" s="222">
        <v>296.45999999999998</v>
      </c>
      <c r="Q286" s="222">
        <v>592.91999999999996</v>
      </c>
      <c r="R286" s="224">
        <f t="shared" si="86"/>
        <v>12384.889999999998</v>
      </c>
      <c r="T286" s="223">
        <f t="shared" ref="T286:V306" si="98">IFERROR(F286/$C286,0)</f>
        <v>9.0243522965568541</v>
      </c>
      <c r="U286" s="223">
        <f t="shared" si="98"/>
        <v>3.0081174321856183</v>
      </c>
      <c r="V286" s="223">
        <f t="shared" si="98"/>
        <v>7.0189406750997758</v>
      </c>
      <c r="W286" s="223">
        <f t="shared" si="97"/>
        <v>6.9999999999999991</v>
      </c>
      <c r="X286" s="223">
        <f t="shared" si="97"/>
        <v>6.9999999999999991</v>
      </c>
      <c r="Y286" s="223">
        <f t="shared" si="97"/>
        <v>3</v>
      </c>
      <c r="Z286" s="223">
        <f t="shared" si="97"/>
        <v>10.669688155313535</v>
      </c>
      <c r="AA286" s="223">
        <f t="shared" si="97"/>
        <v>12</v>
      </c>
      <c r="AB286" s="223">
        <f t="shared" si="97"/>
        <v>8.0135290536426975</v>
      </c>
      <c r="AC286" s="223">
        <f t="shared" si="88"/>
        <v>10.997301490926265</v>
      </c>
      <c r="AD286" s="223">
        <f t="shared" si="88"/>
        <v>2</v>
      </c>
      <c r="AE286" s="223">
        <f t="shared" si="88"/>
        <v>4</v>
      </c>
      <c r="AF286" s="261">
        <f t="shared" si="89"/>
        <v>83.731929103724738</v>
      </c>
      <c r="AG286" s="252">
        <f t="shared" si="90"/>
        <v>6.9776607586437285</v>
      </c>
      <c r="AI286" s="255"/>
      <c r="AQ286" s="234">
        <f t="shared" si="91"/>
        <v>160.93114593268533</v>
      </c>
      <c r="AR286" s="235">
        <f t="shared" si="92"/>
        <v>13475.075301816789</v>
      </c>
      <c r="AS286" s="235">
        <f t="shared" si="93"/>
        <v>1090.1853018167913</v>
      </c>
      <c r="AT286" s="188"/>
      <c r="AW286" s="237">
        <f t="shared" si="94"/>
        <v>161.5685048708545</v>
      </c>
      <c r="AX286" s="237">
        <f t="shared" si="96"/>
        <v>13528.442595241195</v>
      </c>
      <c r="AY286" s="238">
        <f t="shared" si="95"/>
        <v>53.367293424405943</v>
      </c>
    </row>
    <row r="287" spans="1:51" ht="12" customHeight="1">
      <c r="A287" s="244" t="s">
        <v>693</v>
      </c>
      <c r="B287" s="244" t="s">
        <v>694</v>
      </c>
      <c r="C287" s="240">
        <v>168.08</v>
      </c>
      <c r="D287" s="240">
        <v>168.53</v>
      </c>
      <c r="F287" s="222">
        <v>0</v>
      </c>
      <c r="G287" s="222">
        <v>0</v>
      </c>
      <c r="H287" s="222">
        <v>0</v>
      </c>
      <c r="I287" s="222">
        <v>0</v>
      </c>
      <c r="J287" s="222">
        <v>336.16</v>
      </c>
      <c r="K287" s="222">
        <v>0</v>
      </c>
      <c r="L287" s="222">
        <v>168.08</v>
      </c>
      <c r="M287" s="222">
        <v>168.08</v>
      </c>
      <c r="N287" s="222">
        <v>168.08</v>
      </c>
      <c r="O287" s="222">
        <v>337.06</v>
      </c>
      <c r="P287" s="222">
        <v>0</v>
      </c>
      <c r="Q287" s="222">
        <v>168.53</v>
      </c>
      <c r="R287" s="224">
        <f t="shared" si="86"/>
        <v>1345.99</v>
      </c>
      <c r="T287" s="223">
        <f t="shared" si="98"/>
        <v>0</v>
      </c>
      <c r="U287" s="223">
        <f t="shared" si="98"/>
        <v>0</v>
      </c>
      <c r="V287" s="223">
        <f t="shared" si="98"/>
        <v>0</v>
      </c>
      <c r="W287" s="223">
        <f t="shared" si="97"/>
        <v>0</v>
      </c>
      <c r="X287" s="223">
        <f t="shared" si="97"/>
        <v>2</v>
      </c>
      <c r="Y287" s="223">
        <f t="shared" si="97"/>
        <v>0</v>
      </c>
      <c r="Z287" s="223">
        <f t="shared" si="97"/>
        <v>1</v>
      </c>
      <c r="AA287" s="223">
        <f t="shared" si="97"/>
        <v>1</v>
      </c>
      <c r="AB287" s="223">
        <f t="shared" si="97"/>
        <v>1</v>
      </c>
      <c r="AC287" s="223">
        <f t="shared" si="88"/>
        <v>2</v>
      </c>
      <c r="AD287" s="223">
        <f t="shared" si="88"/>
        <v>0</v>
      </c>
      <c r="AE287" s="223">
        <f t="shared" si="88"/>
        <v>1</v>
      </c>
      <c r="AF287" s="261">
        <f t="shared" si="89"/>
        <v>8</v>
      </c>
      <c r="AG287" s="252">
        <f t="shared" si="90"/>
        <v>0.66666666666666663</v>
      </c>
      <c r="AI287" s="255"/>
      <c r="AQ287" s="234">
        <f t="shared" si="91"/>
        <v>182.9705594281553</v>
      </c>
      <c r="AR287" s="235">
        <f t="shared" si="92"/>
        <v>1463.7644754252424</v>
      </c>
      <c r="AS287" s="235">
        <f t="shared" si="93"/>
        <v>117.77447542524237</v>
      </c>
      <c r="AT287" s="188"/>
      <c r="AW287" s="237">
        <f t="shared" si="94"/>
        <v>183.6952042493767</v>
      </c>
      <c r="AX287" s="237">
        <f t="shared" si="96"/>
        <v>1469.5616339950136</v>
      </c>
      <c r="AY287" s="238">
        <f t="shared" si="95"/>
        <v>5.7971585697712271</v>
      </c>
    </row>
    <row r="288" spans="1:51" ht="12" customHeight="1">
      <c r="A288" s="244" t="s">
        <v>695</v>
      </c>
      <c r="B288" s="244" t="s">
        <v>696</v>
      </c>
      <c r="C288" s="240">
        <v>182.76</v>
      </c>
      <c r="D288" s="240">
        <v>183.25</v>
      </c>
      <c r="F288" s="222">
        <v>366.5</v>
      </c>
      <c r="G288" s="222">
        <v>916.25</v>
      </c>
      <c r="H288" s="222">
        <v>916.25</v>
      </c>
      <c r="I288" s="222">
        <v>731.04</v>
      </c>
      <c r="J288" s="222">
        <v>731.04</v>
      </c>
      <c r="K288" s="222">
        <v>365.52</v>
      </c>
      <c r="L288" s="222">
        <v>1827.6</v>
      </c>
      <c r="M288" s="222">
        <v>913.8</v>
      </c>
      <c r="N288" s="222">
        <v>732.51</v>
      </c>
      <c r="O288" s="222">
        <v>1282.75</v>
      </c>
      <c r="P288" s="222">
        <v>183.25</v>
      </c>
      <c r="Q288" s="222">
        <v>366.5</v>
      </c>
      <c r="R288" s="224">
        <f t="shared" si="86"/>
        <v>9333.01</v>
      </c>
      <c r="T288" s="223">
        <f t="shared" si="98"/>
        <v>2.0053622236813307</v>
      </c>
      <c r="U288" s="223">
        <f t="shared" si="98"/>
        <v>5.0134055592033269</v>
      </c>
      <c r="V288" s="223">
        <f t="shared" si="98"/>
        <v>5.0134055592033269</v>
      </c>
      <c r="W288" s="223">
        <f t="shared" si="97"/>
        <v>4</v>
      </c>
      <c r="X288" s="223">
        <f t="shared" si="97"/>
        <v>4</v>
      </c>
      <c r="Y288" s="223">
        <f t="shared" si="97"/>
        <v>2</v>
      </c>
      <c r="Z288" s="223">
        <f t="shared" si="97"/>
        <v>10</v>
      </c>
      <c r="AA288" s="223">
        <f t="shared" si="97"/>
        <v>5</v>
      </c>
      <c r="AB288" s="223">
        <f t="shared" si="97"/>
        <v>4.0080433355219967</v>
      </c>
      <c r="AC288" s="223">
        <f t="shared" si="88"/>
        <v>7</v>
      </c>
      <c r="AD288" s="223">
        <f t="shared" si="88"/>
        <v>1</v>
      </c>
      <c r="AE288" s="223">
        <f t="shared" si="88"/>
        <v>2</v>
      </c>
      <c r="AF288" s="261">
        <f t="shared" si="89"/>
        <v>51.040216677609983</v>
      </c>
      <c r="AG288" s="252">
        <f t="shared" si="90"/>
        <v>4.2533513898008319</v>
      </c>
      <c r="AI288" s="255"/>
      <c r="AQ288" s="234">
        <f t="shared" si="91"/>
        <v>198.95184842585567</v>
      </c>
      <c r="AR288" s="235">
        <f t="shared" si="92"/>
        <v>10154.545452066694</v>
      </c>
      <c r="AS288" s="235">
        <f t="shared" si="93"/>
        <v>821.53545206669332</v>
      </c>
      <c r="AT288" s="188"/>
      <c r="AW288" s="237">
        <f t="shared" si="94"/>
        <v>199.73978626178294</v>
      </c>
      <c r="AX288" s="237">
        <f t="shared" si="96"/>
        <v>10194.761969940908</v>
      </c>
      <c r="AY288" s="238">
        <f t="shared" si="95"/>
        <v>40.216517874214333</v>
      </c>
    </row>
    <row r="289" spans="1:51" ht="12" customHeight="1">
      <c r="A289" s="244" t="s">
        <v>697</v>
      </c>
      <c r="B289" s="244" t="s">
        <v>698</v>
      </c>
      <c r="C289" s="240">
        <v>202.5</v>
      </c>
      <c r="D289" s="240">
        <v>203.05</v>
      </c>
      <c r="F289" s="222">
        <v>0</v>
      </c>
      <c r="G289" s="222">
        <v>0</v>
      </c>
      <c r="H289" s="222">
        <v>203.05</v>
      </c>
      <c r="I289" s="222">
        <v>0</v>
      </c>
      <c r="J289" s="222">
        <v>0</v>
      </c>
      <c r="K289" s="222">
        <v>202.5</v>
      </c>
      <c r="L289" s="222">
        <v>0</v>
      </c>
      <c r="M289" s="222">
        <v>202.5</v>
      </c>
      <c r="N289" s="222">
        <v>0</v>
      </c>
      <c r="O289" s="222">
        <v>0</v>
      </c>
      <c r="P289" s="222">
        <v>0</v>
      </c>
      <c r="Q289" s="222">
        <v>203.05</v>
      </c>
      <c r="R289" s="224">
        <f t="shared" ref="R289:R306" si="99">+SUM(F289:Q289)</f>
        <v>811.09999999999991</v>
      </c>
      <c r="T289" s="223">
        <f t="shared" si="98"/>
        <v>0</v>
      </c>
      <c r="U289" s="223">
        <f t="shared" si="98"/>
        <v>0</v>
      </c>
      <c r="V289" s="223">
        <f t="shared" si="98"/>
        <v>1.0027160493827161</v>
      </c>
      <c r="W289" s="223">
        <f t="shared" si="97"/>
        <v>0</v>
      </c>
      <c r="X289" s="223">
        <f t="shared" si="97"/>
        <v>0</v>
      </c>
      <c r="Y289" s="223">
        <f t="shared" si="97"/>
        <v>1</v>
      </c>
      <c r="Z289" s="223">
        <f t="shared" si="97"/>
        <v>0</v>
      </c>
      <c r="AA289" s="223">
        <f t="shared" si="97"/>
        <v>1</v>
      </c>
      <c r="AB289" s="223">
        <f t="shared" si="97"/>
        <v>0</v>
      </c>
      <c r="AC289" s="223">
        <f t="shared" ref="AC289:AE306" si="100">IFERROR(O289/$D289,0)</f>
        <v>0</v>
      </c>
      <c r="AD289" s="223">
        <f t="shared" si="100"/>
        <v>0</v>
      </c>
      <c r="AE289" s="223">
        <f t="shared" si="100"/>
        <v>1</v>
      </c>
      <c r="AF289" s="261">
        <f t="shared" si="89"/>
        <v>4.0027160493827161</v>
      </c>
      <c r="AG289" s="252">
        <f t="shared" si="90"/>
        <v>0.33355967078189303</v>
      </c>
      <c r="AI289" s="255"/>
      <c r="AQ289" s="234">
        <f t="shared" si="91"/>
        <v>220.44841922439289</v>
      </c>
      <c r="AR289" s="235">
        <f t="shared" si="92"/>
        <v>882.39242569052681</v>
      </c>
      <c r="AS289" s="235">
        <f t="shared" si="93"/>
        <v>71.292425690526898</v>
      </c>
      <c r="AT289" s="188"/>
      <c r="AW289" s="237">
        <f t="shared" si="94"/>
        <v>221.32149304477508</v>
      </c>
      <c r="AX289" s="237">
        <f t="shared" si="96"/>
        <v>885.88709228366633</v>
      </c>
      <c r="AY289" s="238">
        <f t="shared" si="95"/>
        <v>3.4946665931395273</v>
      </c>
    </row>
    <row r="290" spans="1:51" ht="12" customHeight="1">
      <c r="A290" s="244" t="s">
        <v>699</v>
      </c>
      <c r="B290" s="244" t="s">
        <v>700</v>
      </c>
      <c r="C290" s="240">
        <v>231.26</v>
      </c>
      <c r="D290" s="240">
        <v>231.88</v>
      </c>
      <c r="F290" s="222">
        <v>463.76</v>
      </c>
      <c r="G290" s="222">
        <v>-231.88</v>
      </c>
      <c r="H290" s="222">
        <v>927.52</v>
      </c>
      <c r="I290" s="222">
        <v>231.26</v>
      </c>
      <c r="J290" s="222">
        <v>462.52</v>
      </c>
      <c r="K290" s="222">
        <v>693.78</v>
      </c>
      <c r="L290" s="222">
        <v>983.47</v>
      </c>
      <c r="M290" s="222">
        <v>231.26</v>
      </c>
      <c r="N290" s="222">
        <v>2084.44</v>
      </c>
      <c r="O290" s="222">
        <v>231.88</v>
      </c>
      <c r="P290" s="222">
        <v>0</v>
      </c>
      <c r="Q290" s="222">
        <v>463.76</v>
      </c>
      <c r="R290" s="224">
        <f t="shared" si="99"/>
        <v>6541.7700000000013</v>
      </c>
      <c r="T290" s="223">
        <f t="shared" si="98"/>
        <v>2.0053619302949062</v>
      </c>
      <c r="U290" s="223">
        <f t="shared" si="98"/>
        <v>-1.0026809651474531</v>
      </c>
      <c r="V290" s="223">
        <f t="shared" si="98"/>
        <v>4.0107238605898123</v>
      </c>
      <c r="W290" s="223">
        <f t="shared" si="97"/>
        <v>1</v>
      </c>
      <c r="X290" s="223">
        <f t="shared" si="97"/>
        <v>2</v>
      </c>
      <c r="Y290" s="223">
        <f t="shared" si="97"/>
        <v>3</v>
      </c>
      <c r="Z290" s="223">
        <f t="shared" si="97"/>
        <v>4.2526593444607803</v>
      </c>
      <c r="AA290" s="223">
        <f t="shared" si="97"/>
        <v>1</v>
      </c>
      <c r="AB290" s="223">
        <f t="shared" si="97"/>
        <v>9.0134048257372665</v>
      </c>
      <c r="AC290" s="223">
        <f t="shared" si="100"/>
        <v>1</v>
      </c>
      <c r="AD290" s="223">
        <f t="shared" si="100"/>
        <v>0</v>
      </c>
      <c r="AE290" s="223">
        <f t="shared" si="100"/>
        <v>2</v>
      </c>
      <c r="AF290" s="261">
        <f t="shared" si="89"/>
        <v>28.279468995935311</v>
      </c>
      <c r="AG290" s="252">
        <f t="shared" si="90"/>
        <v>2.3566224163279426</v>
      </c>
      <c r="AI290" s="255"/>
      <c r="AQ290" s="234">
        <f t="shared" si="91"/>
        <v>251.74872912953569</v>
      </c>
      <c r="AR290" s="235">
        <f t="shared" si="92"/>
        <v>7119.3203801848213</v>
      </c>
      <c r="AS290" s="235">
        <f t="shared" si="93"/>
        <v>577.55038018481991</v>
      </c>
      <c r="AT290" s="188"/>
      <c r="AW290" s="237">
        <f t="shared" si="94"/>
        <v>252.74576610304084</v>
      </c>
      <c r="AX290" s="237">
        <f t="shared" si="96"/>
        <v>7147.5160563648615</v>
      </c>
      <c r="AY290" s="238">
        <f t="shared" si="95"/>
        <v>28.195676180040209</v>
      </c>
    </row>
    <row r="291" spans="1:51" ht="12" customHeight="1">
      <c r="A291" s="244" t="s">
        <v>701</v>
      </c>
      <c r="B291" s="244" t="s">
        <v>331</v>
      </c>
      <c r="C291" s="240">
        <v>0</v>
      </c>
      <c r="D291" s="240">
        <v>0</v>
      </c>
      <c r="F291" s="222">
        <v>0</v>
      </c>
      <c r="G291" s="222">
        <v>0</v>
      </c>
      <c r="H291" s="222">
        <v>0</v>
      </c>
      <c r="I291" s="222">
        <v>0</v>
      </c>
      <c r="J291" s="222">
        <v>0</v>
      </c>
      <c r="K291" s="222">
        <v>0</v>
      </c>
      <c r="L291" s="222">
        <v>0</v>
      </c>
      <c r="M291" s="222">
        <v>0</v>
      </c>
      <c r="N291" s="222">
        <v>0</v>
      </c>
      <c r="O291" s="222">
        <v>0</v>
      </c>
      <c r="P291" s="222">
        <v>0</v>
      </c>
      <c r="Q291" s="222">
        <v>0</v>
      </c>
      <c r="R291" s="224">
        <f t="shared" si="99"/>
        <v>0</v>
      </c>
      <c r="T291" s="223">
        <f t="shared" si="98"/>
        <v>0</v>
      </c>
      <c r="U291" s="223">
        <f t="shared" si="98"/>
        <v>0</v>
      </c>
      <c r="V291" s="223">
        <f t="shared" si="98"/>
        <v>0</v>
      </c>
      <c r="W291" s="223">
        <f t="shared" si="97"/>
        <v>0</v>
      </c>
      <c r="X291" s="223">
        <f t="shared" si="97"/>
        <v>0</v>
      </c>
      <c r="Y291" s="223">
        <f t="shared" si="97"/>
        <v>0</v>
      </c>
      <c r="Z291" s="223">
        <f t="shared" si="97"/>
        <v>0</v>
      </c>
      <c r="AA291" s="223">
        <f t="shared" si="97"/>
        <v>0</v>
      </c>
      <c r="AB291" s="223">
        <f t="shared" si="97"/>
        <v>0</v>
      </c>
      <c r="AC291" s="223">
        <f t="shared" si="100"/>
        <v>0</v>
      </c>
      <c r="AD291" s="223">
        <f t="shared" si="100"/>
        <v>0</v>
      </c>
      <c r="AE291" s="223">
        <f t="shared" si="100"/>
        <v>0</v>
      </c>
      <c r="AF291" s="261">
        <f t="shared" si="89"/>
        <v>0</v>
      </c>
      <c r="AG291" s="252">
        <f t="shared" si="90"/>
        <v>0</v>
      </c>
      <c r="AI291" s="255"/>
      <c r="AQ291" s="234">
        <f t="shared" si="91"/>
        <v>0</v>
      </c>
      <c r="AR291" s="235">
        <f t="shared" si="92"/>
        <v>0</v>
      </c>
      <c r="AS291" s="235">
        <f t="shared" si="93"/>
        <v>0</v>
      </c>
      <c r="AT291" s="188"/>
      <c r="AW291" s="237">
        <f t="shared" si="94"/>
        <v>0</v>
      </c>
      <c r="AX291" s="237">
        <f t="shared" si="96"/>
        <v>0</v>
      </c>
      <c r="AY291" s="238">
        <f t="shared" si="95"/>
        <v>0</v>
      </c>
    </row>
    <row r="292" spans="1:51" ht="12" customHeight="1">
      <c r="A292" s="244" t="s">
        <v>702</v>
      </c>
      <c r="B292" s="244" t="s">
        <v>703</v>
      </c>
      <c r="C292" s="240">
        <v>126.56</v>
      </c>
      <c r="D292" s="240">
        <v>126.9</v>
      </c>
      <c r="F292" s="222">
        <v>0</v>
      </c>
      <c r="G292" s="222">
        <v>0</v>
      </c>
      <c r="H292" s="222">
        <v>0</v>
      </c>
      <c r="I292" s="222">
        <v>0</v>
      </c>
      <c r="J292" s="222">
        <v>0</v>
      </c>
      <c r="K292" s="222">
        <v>0</v>
      </c>
      <c r="L292" s="222">
        <v>0</v>
      </c>
      <c r="M292" s="222">
        <v>0</v>
      </c>
      <c r="N292" s="222">
        <v>0</v>
      </c>
      <c r="O292" s="222">
        <v>0</v>
      </c>
      <c r="P292" s="222">
        <v>0</v>
      </c>
      <c r="Q292" s="222">
        <v>0</v>
      </c>
      <c r="R292" s="224">
        <f t="shared" si="99"/>
        <v>0</v>
      </c>
      <c r="T292" s="223">
        <f t="shared" si="98"/>
        <v>0</v>
      </c>
      <c r="U292" s="223">
        <f t="shared" si="98"/>
        <v>0</v>
      </c>
      <c r="V292" s="223">
        <f t="shared" si="98"/>
        <v>0</v>
      </c>
      <c r="W292" s="223">
        <f t="shared" si="97"/>
        <v>0</v>
      </c>
      <c r="X292" s="223">
        <f t="shared" si="97"/>
        <v>0</v>
      </c>
      <c r="Y292" s="223">
        <f t="shared" si="97"/>
        <v>0</v>
      </c>
      <c r="Z292" s="223">
        <f t="shared" si="97"/>
        <v>0</v>
      </c>
      <c r="AA292" s="223">
        <f t="shared" si="97"/>
        <v>0</v>
      </c>
      <c r="AB292" s="223">
        <f t="shared" si="97"/>
        <v>0</v>
      </c>
      <c r="AC292" s="223">
        <f t="shared" si="100"/>
        <v>0</v>
      </c>
      <c r="AD292" s="223">
        <f t="shared" si="100"/>
        <v>0</v>
      </c>
      <c r="AE292" s="223">
        <f t="shared" si="100"/>
        <v>0</v>
      </c>
      <c r="AF292" s="261">
        <f t="shared" si="89"/>
        <v>0</v>
      </c>
      <c r="AG292" s="252">
        <f t="shared" si="90"/>
        <v>0</v>
      </c>
      <c r="AI292" s="255"/>
      <c r="AQ292" s="234">
        <f t="shared" si="91"/>
        <v>137.77347648153389</v>
      </c>
      <c r="AR292" s="235">
        <f t="shared" si="92"/>
        <v>0</v>
      </c>
      <c r="AS292" s="235">
        <f t="shared" si="93"/>
        <v>0</v>
      </c>
      <c r="AT292" s="188"/>
      <c r="AW292" s="237">
        <f t="shared" si="94"/>
        <v>138.31912074554029</v>
      </c>
      <c r="AX292" s="237">
        <f t="shared" si="96"/>
        <v>0</v>
      </c>
      <c r="AY292" s="238">
        <f t="shared" si="95"/>
        <v>0</v>
      </c>
    </row>
    <row r="293" spans="1:51" ht="12" customHeight="1">
      <c r="A293" s="244" t="s">
        <v>704</v>
      </c>
      <c r="B293" s="244" t="s">
        <v>705</v>
      </c>
      <c r="C293" s="240">
        <v>19.850000000000001</v>
      </c>
      <c r="D293" s="240">
        <v>19.899999999999999</v>
      </c>
      <c r="F293" s="222">
        <v>835.8</v>
      </c>
      <c r="G293" s="222">
        <v>875.6</v>
      </c>
      <c r="H293" s="222">
        <v>1094.5</v>
      </c>
      <c r="I293" s="222">
        <v>893.25</v>
      </c>
      <c r="J293" s="222">
        <v>972.65000000000009</v>
      </c>
      <c r="K293" s="222">
        <v>873.4</v>
      </c>
      <c r="L293" s="222">
        <v>1343.43</v>
      </c>
      <c r="M293" s="222">
        <v>1111.5999999999999</v>
      </c>
      <c r="N293" s="222">
        <v>1014.5999999999999</v>
      </c>
      <c r="O293" s="222">
        <v>895.5</v>
      </c>
      <c r="P293" s="222">
        <v>815.9</v>
      </c>
      <c r="Q293" s="222">
        <v>835.80000000000007</v>
      </c>
      <c r="R293" s="224">
        <f t="shared" si="99"/>
        <v>11562.029999999999</v>
      </c>
      <c r="T293" s="223">
        <f t="shared" si="98"/>
        <v>42.105793450881606</v>
      </c>
      <c r="U293" s="223">
        <f t="shared" si="98"/>
        <v>44.110831234256928</v>
      </c>
      <c r="V293" s="223">
        <f t="shared" si="98"/>
        <v>55.138539042821158</v>
      </c>
      <c r="W293" s="223">
        <f t="shared" si="97"/>
        <v>45</v>
      </c>
      <c r="X293" s="223">
        <f t="shared" si="97"/>
        <v>49</v>
      </c>
      <c r="Y293" s="223">
        <f t="shared" si="97"/>
        <v>43.999999999999993</v>
      </c>
      <c r="Z293" s="223">
        <f t="shared" si="97"/>
        <v>67.679093198992447</v>
      </c>
      <c r="AA293" s="223">
        <f t="shared" si="97"/>
        <v>55.999999999999993</v>
      </c>
      <c r="AB293" s="223">
        <f t="shared" si="97"/>
        <v>51.113350125944578</v>
      </c>
      <c r="AC293" s="223">
        <f t="shared" si="100"/>
        <v>45</v>
      </c>
      <c r="AD293" s="223">
        <f t="shared" si="100"/>
        <v>41</v>
      </c>
      <c r="AE293" s="223">
        <f t="shared" si="100"/>
        <v>42.000000000000007</v>
      </c>
      <c r="AF293" s="261">
        <f t="shared" si="89"/>
        <v>582.14760705289677</v>
      </c>
      <c r="AG293" s="252">
        <f t="shared" si="90"/>
        <v>48.5123005877414</v>
      </c>
      <c r="AI293" s="255"/>
      <c r="AQ293" s="234">
        <f t="shared" si="91"/>
        <v>21.605139337923752</v>
      </c>
      <c r="AR293" s="235">
        <f t="shared" si="92"/>
        <v>12577.38016561672</v>
      </c>
      <c r="AS293" s="235">
        <f t="shared" si="93"/>
        <v>1015.3501656167209</v>
      </c>
      <c r="AT293" s="188"/>
      <c r="AW293" s="237">
        <f t="shared" si="94"/>
        <v>21.69070530209812</v>
      </c>
      <c r="AX293" s="237">
        <f t="shared" si="96"/>
        <v>12627.192186906002</v>
      </c>
      <c r="AY293" s="238">
        <f t="shared" si="95"/>
        <v>49.812021289282711</v>
      </c>
    </row>
    <row r="294" spans="1:51" ht="12" customHeight="1">
      <c r="A294" s="244" t="s">
        <v>706</v>
      </c>
      <c r="B294" s="244" t="s">
        <v>707</v>
      </c>
      <c r="C294" s="240">
        <v>0</v>
      </c>
      <c r="D294" s="240">
        <v>0</v>
      </c>
      <c r="F294" s="222">
        <v>0</v>
      </c>
      <c r="G294" s="222">
        <v>0</v>
      </c>
      <c r="H294" s="222">
        <v>0</v>
      </c>
      <c r="I294" s="222">
        <v>0</v>
      </c>
      <c r="J294" s="222">
        <v>0</v>
      </c>
      <c r="K294" s="222">
        <v>0</v>
      </c>
      <c r="L294" s="222">
        <v>0</v>
      </c>
      <c r="M294" s="222">
        <v>0</v>
      </c>
      <c r="N294" s="222">
        <v>0</v>
      </c>
      <c r="O294" s="222">
        <v>0</v>
      </c>
      <c r="P294" s="222">
        <v>0</v>
      </c>
      <c r="Q294" s="222">
        <v>0</v>
      </c>
      <c r="R294" s="224">
        <f t="shared" si="99"/>
        <v>0</v>
      </c>
      <c r="T294" s="223">
        <f t="shared" si="98"/>
        <v>0</v>
      </c>
      <c r="U294" s="223">
        <f t="shared" si="98"/>
        <v>0</v>
      </c>
      <c r="V294" s="223">
        <f t="shared" si="98"/>
        <v>0</v>
      </c>
      <c r="W294" s="223">
        <f t="shared" si="97"/>
        <v>0</v>
      </c>
      <c r="X294" s="223">
        <f t="shared" si="97"/>
        <v>0</v>
      </c>
      <c r="Y294" s="223">
        <f t="shared" si="97"/>
        <v>0</v>
      </c>
      <c r="Z294" s="223">
        <f t="shared" si="97"/>
        <v>0</v>
      </c>
      <c r="AA294" s="223">
        <f t="shared" si="97"/>
        <v>0</v>
      </c>
      <c r="AB294" s="223">
        <f t="shared" si="97"/>
        <v>0</v>
      </c>
      <c r="AC294" s="223">
        <f t="shared" si="100"/>
        <v>0</v>
      </c>
      <c r="AD294" s="223">
        <f t="shared" si="100"/>
        <v>0</v>
      </c>
      <c r="AE294" s="223">
        <f t="shared" si="100"/>
        <v>0</v>
      </c>
      <c r="AF294" s="261">
        <f t="shared" si="89"/>
        <v>0</v>
      </c>
      <c r="AG294" s="252">
        <f t="shared" si="90"/>
        <v>0</v>
      </c>
      <c r="AI294" s="255"/>
      <c r="AQ294" s="234">
        <f t="shared" si="91"/>
        <v>0</v>
      </c>
      <c r="AR294" s="235">
        <f t="shared" si="92"/>
        <v>0</v>
      </c>
      <c r="AS294" s="235">
        <f t="shared" si="93"/>
        <v>0</v>
      </c>
      <c r="AT294" s="188"/>
      <c r="AW294" s="237">
        <f t="shared" si="94"/>
        <v>0</v>
      </c>
      <c r="AX294" s="237">
        <f t="shared" si="96"/>
        <v>0</v>
      </c>
      <c r="AY294" s="238">
        <f t="shared" si="95"/>
        <v>0</v>
      </c>
    </row>
    <row r="295" spans="1:51" ht="12" customHeight="1">
      <c r="A295" s="244" t="s">
        <v>708</v>
      </c>
      <c r="B295" s="244" t="s">
        <v>709</v>
      </c>
      <c r="C295" s="240">
        <v>3.7</v>
      </c>
      <c r="D295" s="240">
        <v>3.71</v>
      </c>
      <c r="F295" s="222">
        <v>7809.55</v>
      </c>
      <c r="G295" s="222">
        <v>7560.98</v>
      </c>
      <c r="H295" s="222">
        <v>10528.98</v>
      </c>
      <c r="I295" s="222">
        <v>4403</v>
      </c>
      <c r="J295" s="222">
        <v>7237.2</v>
      </c>
      <c r="K295" s="222">
        <v>9257.4</v>
      </c>
      <c r="L295" s="222">
        <v>13377.47</v>
      </c>
      <c r="M295" s="222">
        <v>11248</v>
      </c>
      <c r="N295" s="222">
        <v>9669.67</v>
      </c>
      <c r="O295" s="222">
        <v>11537.83</v>
      </c>
      <c r="P295" s="222">
        <v>5995.36</v>
      </c>
      <c r="Q295" s="222">
        <v>8911.42</v>
      </c>
      <c r="R295" s="224">
        <f t="shared" si="99"/>
        <v>107536.86</v>
      </c>
      <c r="T295" s="223">
        <f t="shared" si="98"/>
        <v>2110.6891891891892</v>
      </c>
      <c r="U295" s="223">
        <f t="shared" si="98"/>
        <v>2043.508108108108</v>
      </c>
      <c r="V295" s="223">
        <f t="shared" si="98"/>
        <v>2845.6702702702701</v>
      </c>
      <c r="W295" s="223">
        <f t="shared" si="97"/>
        <v>1190</v>
      </c>
      <c r="X295" s="223">
        <f t="shared" si="97"/>
        <v>1955.9999999999998</v>
      </c>
      <c r="Y295" s="223">
        <f t="shared" si="97"/>
        <v>2502</v>
      </c>
      <c r="Z295" s="223">
        <f t="shared" si="97"/>
        <v>3615.532432432432</v>
      </c>
      <c r="AA295" s="223">
        <f t="shared" si="97"/>
        <v>3040</v>
      </c>
      <c r="AB295" s="223">
        <f t="shared" si="97"/>
        <v>2613.4243243243241</v>
      </c>
      <c r="AC295" s="223">
        <f t="shared" si="100"/>
        <v>3109.9272237196765</v>
      </c>
      <c r="AD295" s="223">
        <f t="shared" si="100"/>
        <v>1616</v>
      </c>
      <c r="AE295" s="223">
        <f t="shared" si="100"/>
        <v>2402</v>
      </c>
      <c r="AF295" s="261">
        <f t="shared" si="89"/>
        <v>29044.751548044005</v>
      </c>
      <c r="AG295" s="252">
        <f t="shared" si="90"/>
        <v>2420.3959623370006</v>
      </c>
      <c r="AI295" s="255"/>
      <c r="AQ295" s="234">
        <f t="shared" si="91"/>
        <v>4.0278928112410615</v>
      </c>
      <c r="AR295" s="235">
        <f t="shared" si="92"/>
        <v>116989.14596464914</v>
      </c>
      <c r="AS295" s="235">
        <f t="shared" si="93"/>
        <v>9452.2859646491415</v>
      </c>
      <c r="AT295" s="188"/>
      <c r="AW295" s="237">
        <f t="shared" si="94"/>
        <v>4.0438450588333685</v>
      </c>
      <c r="AX295" s="237">
        <f t="shared" si="96"/>
        <v>117452.4750326006</v>
      </c>
      <c r="AY295" s="238">
        <f t="shared" si="95"/>
        <v>463.32906795146118</v>
      </c>
    </row>
    <row r="296" spans="1:51" s="273" customFormat="1" ht="12" customHeight="1">
      <c r="A296" s="271" t="s">
        <v>710</v>
      </c>
      <c r="B296" s="271" t="s">
        <v>711</v>
      </c>
      <c r="C296" s="272">
        <v>126.56</v>
      </c>
      <c r="D296" s="272">
        <v>126.56</v>
      </c>
      <c r="F296" s="274">
        <v>1653.13</v>
      </c>
      <c r="G296" s="274">
        <v>1653.13</v>
      </c>
      <c r="H296" s="274">
        <v>2252.61</v>
      </c>
      <c r="I296" s="274">
        <v>1518.72</v>
      </c>
      <c r="J296" s="274">
        <v>1518.72</v>
      </c>
      <c r="K296" s="274">
        <v>1518.72</v>
      </c>
      <c r="L296" s="274">
        <v>1392.16</v>
      </c>
      <c r="M296" s="274">
        <v>1392.16</v>
      </c>
      <c r="N296" s="274">
        <v>1645.28</v>
      </c>
      <c r="O296" s="274">
        <v>1771.84</v>
      </c>
      <c r="P296" s="274">
        <v>1771.84</v>
      </c>
      <c r="Q296" s="274">
        <v>1530.6499999999999</v>
      </c>
      <c r="R296" s="275">
        <f t="shared" si="99"/>
        <v>19618.960000000003</v>
      </c>
      <c r="T296" s="276">
        <f t="shared" si="98"/>
        <v>13.062025916561316</v>
      </c>
      <c r="U296" s="276">
        <f t="shared" si="98"/>
        <v>13.062025916561316</v>
      </c>
      <c r="V296" s="276">
        <f t="shared" si="98"/>
        <v>17.798751580278129</v>
      </c>
      <c r="W296" s="276">
        <f t="shared" si="97"/>
        <v>12</v>
      </c>
      <c r="X296" s="276">
        <f t="shared" si="97"/>
        <v>12</v>
      </c>
      <c r="Y296" s="276">
        <f t="shared" si="97"/>
        <v>12</v>
      </c>
      <c r="Z296" s="276">
        <f t="shared" si="97"/>
        <v>11</v>
      </c>
      <c r="AA296" s="276">
        <f t="shared" si="97"/>
        <v>11</v>
      </c>
      <c r="AB296" s="276">
        <f t="shared" si="97"/>
        <v>13</v>
      </c>
      <c r="AC296" s="276">
        <f t="shared" si="100"/>
        <v>13.999999999999998</v>
      </c>
      <c r="AD296" s="276">
        <f t="shared" si="100"/>
        <v>13.999999999999998</v>
      </c>
      <c r="AE296" s="276">
        <f t="shared" si="100"/>
        <v>12.094263590391908</v>
      </c>
      <c r="AF296" s="277">
        <f t="shared" si="89"/>
        <v>155.01706700379265</v>
      </c>
      <c r="AG296" s="278">
        <f t="shared" si="90"/>
        <v>12.91808891698272</v>
      </c>
      <c r="AH296" s="185"/>
      <c r="AI296" s="255"/>
      <c r="AK296" s="279">
        <v>20</v>
      </c>
      <c r="AL296" s="280">
        <v>1</v>
      </c>
      <c r="AM296" s="232">
        <f t="shared" ref="AM296:AM302" si="101">AG296*AL296</f>
        <v>12.91808891698272</v>
      </c>
      <c r="AP296" s="281"/>
      <c r="AQ296" s="234">
        <f t="shared" si="91"/>
        <v>137.40434344761962</v>
      </c>
      <c r="AR296" s="235">
        <f t="shared" si="92"/>
        <v>21300.018314831788</v>
      </c>
      <c r="AS296" s="235">
        <f t="shared" si="93"/>
        <v>1681.0583148317855</v>
      </c>
      <c r="AT296" s="281"/>
      <c r="AW296" s="237">
        <f t="shared" si="94"/>
        <v>137.94852578057981</v>
      </c>
      <c r="AX296" s="237">
        <f t="shared" si="96"/>
        <v>21384.375864002555</v>
      </c>
      <c r="AY296" s="238">
        <f t="shared" si="95"/>
        <v>84.357549170767015</v>
      </c>
    </row>
    <row r="297" spans="1:51" s="273" customFormat="1" ht="12" customHeight="1">
      <c r="A297" s="271" t="s">
        <v>712</v>
      </c>
      <c r="B297" s="271" t="s">
        <v>713</v>
      </c>
      <c r="C297" s="272">
        <v>238.77</v>
      </c>
      <c r="D297" s="272">
        <v>238.77</v>
      </c>
      <c r="F297" s="274">
        <v>816.4</v>
      </c>
      <c r="G297" s="274">
        <v>1271.7</v>
      </c>
      <c r="H297" s="274">
        <v>1342.35</v>
      </c>
      <c r="I297" s="274">
        <v>1059.75</v>
      </c>
      <c r="J297" s="274">
        <v>573.04999999999995</v>
      </c>
      <c r="K297" s="274">
        <v>494.55</v>
      </c>
      <c r="L297" s="274">
        <v>1705.87</v>
      </c>
      <c r="M297" s="274">
        <v>1612.52</v>
      </c>
      <c r="N297" s="274">
        <v>970.13</v>
      </c>
      <c r="O297" s="274">
        <v>902.75</v>
      </c>
      <c r="P297" s="274">
        <v>1036.2</v>
      </c>
      <c r="Q297" s="274">
        <v>541.65</v>
      </c>
      <c r="R297" s="275">
        <f t="shared" si="99"/>
        <v>12326.92</v>
      </c>
      <c r="T297" s="276">
        <f t="shared" si="98"/>
        <v>3.4191900154960839</v>
      </c>
      <c r="U297" s="276">
        <f t="shared" si="98"/>
        <v>5.3260459856765925</v>
      </c>
      <c r="V297" s="276">
        <f t="shared" si="98"/>
        <v>5.6219374293252917</v>
      </c>
      <c r="W297" s="276">
        <f t="shared" si="97"/>
        <v>4.4383716547304939</v>
      </c>
      <c r="X297" s="276">
        <f t="shared" si="97"/>
        <v>2.400008376261674</v>
      </c>
      <c r="Y297" s="276">
        <f t="shared" si="97"/>
        <v>2.0712401055408969</v>
      </c>
      <c r="Z297" s="276">
        <f t="shared" si="97"/>
        <v>7.1444067512669092</v>
      </c>
      <c r="AA297" s="276">
        <f t="shared" si="97"/>
        <v>6.7534447376136031</v>
      </c>
      <c r="AB297" s="276">
        <f t="shared" si="97"/>
        <v>4.0630313690999706</v>
      </c>
      <c r="AC297" s="276">
        <f t="shared" si="100"/>
        <v>3.7808351132889388</v>
      </c>
      <c r="AD297" s="276">
        <f t="shared" si="100"/>
        <v>4.3397411735142608</v>
      </c>
      <c r="AE297" s="276">
        <f t="shared" si="100"/>
        <v>2.2685010679733635</v>
      </c>
      <c r="AF297" s="277">
        <f t="shared" si="89"/>
        <v>51.626753779788075</v>
      </c>
      <c r="AG297" s="278">
        <f t="shared" si="90"/>
        <v>4.3022294816490065</v>
      </c>
      <c r="AH297" s="185"/>
      <c r="AI297" s="255"/>
      <c r="AK297" s="279">
        <v>20</v>
      </c>
      <c r="AL297" s="280">
        <v>1</v>
      </c>
      <c r="AM297" s="232">
        <f t="shared" si="101"/>
        <v>4.3022294816490065</v>
      </c>
      <c r="AP297" s="281"/>
      <c r="AQ297" s="234">
        <f t="shared" si="91"/>
        <v>259.22910149326913</v>
      </c>
      <c r="AR297" s="235">
        <f t="shared" si="92"/>
        <v>13383.156995348701</v>
      </c>
      <c r="AS297" s="235">
        <f t="shared" si="93"/>
        <v>1056.2369953487014</v>
      </c>
      <c r="AT297" s="281"/>
      <c r="AW297" s="237">
        <f t="shared" si="94"/>
        <v>260.25576406944572</v>
      </c>
      <c r="AX297" s="237">
        <f t="shared" si="96"/>
        <v>13436.160251383892</v>
      </c>
      <c r="AY297" s="238">
        <f t="shared" si="95"/>
        <v>53.003256035190134</v>
      </c>
    </row>
    <row r="298" spans="1:51" s="273" customFormat="1" ht="12" customHeight="1">
      <c r="A298" s="271" t="s">
        <v>714</v>
      </c>
      <c r="B298" s="271" t="s">
        <v>715</v>
      </c>
      <c r="C298" s="272">
        <v>149.85</v>
      </c>
      <c r="D298" s="272">
        <v>149.85</v>
      </c>
      <c r="F298" s="274">
        <v>3146.85</v>
      </c>
      <c r="G298" s="274">
        <v>3296.7</v>
      </c>
      <c r="H298" s="274">
        <v>3456.2200000000003</v>
      </c>
      <c r="I298" s="274">
        <v>3446.55</v>
      </c>
      <c r="J298" s="274">
        <v>3828.4300000000003</v>
      </c>
      <c r="K298" s="274">
        <v>3596.4</v>
      </c>
      <c r="L298" s="274">
        <v>4205.54</v>
      </c>
      <c r="M298" s="274">
        <v>3896.1</v>
      </c>
      <c r="N298" s="274">
        <v>3596.4</v>
      </c>
      <c r="O298" s="274">
        <v>3296.7</v>
      </c>
      <c r="P298" s="274">
        <v>3146.85</v>
      </c>
      <c r="Q298" s="274">
        <v>3296.7</v>
      </c>
      <c r="R298" s="275">
        <f t="shared" si="99"/>
        <v>42209.439999999995</v>
      </c>
      <c r="T298" s="276">
        <f t="shared" si="98"/>
        <v>21</v>
      </c>
      <c r="U298" s="276">
        <f t="shared" si="98"/>
        <v>22</v>
      </c>
      <c r="V298" s="276">
        <f t="shared" si="98"/>
        <v>23.064531197864532</v>
      </c>
      <c r="W298" s="276">
        <f t="shared" si="97"/>
        <v>23.000000000000004</v>
      </c>
      <c r="X298" s="276">
        <f t="shared" si="97"/>
        <v>25.548415081748416</v>
      </c>
      <c r="Y298" s="276">
        <f t="shared" si="97"/>
        <v>24</v>
      </c>
      <c r="Z298" s="276">
        <f t="shared" si="97"/>
        <v>28.064998331664999</v>
      </c>
      <c r="AA298" s="276">
        <f t="shared" si="97"/>
        <v>26</v>
      </c>
      <c r="AB298" s="276">
        <f t="shared" si="97"/>
        <v>24</v>
      </c>
      <c r="AC298" s="276">
        <f t="shared" si="100"/>
        <v>22</v>
      </c>
      <c r="AD298" s="276">
        <f t="shared" si="100"/>
        <v>21</v>
      </c>
      <c r="AE298" s="276">
        <f t="shared" si="100"/>
        <v>22</v>
      </c>
      <c r="AF298" s="277">
        <f t="shared" si="89"/>
        <v>281.67794461127801</v>
      </c>
      <c r="AG298" s="278">
        <f t="shared" si="90"/>
        <v>23.473162050939834</v>
      </c>
      <c r="AH298" s="185"/>
      <c r="AI298" s="255"/>
      <c r="AK298" s="279">
        <v>30</v>
      </c>
      <c r="AL298" s="280">
        <v>1</v>
      </c>
      <c r="AM298" s="232">
        <f t="shared" si="101"/>
        <v>23.473162050939834</v>
      </c>
      <c r="AP298" s="281"/>
      <c r="AQ298" s="234">
        <f t="shared" si="91"/>
        <v>162.68995627074747</v>
      </c>
      <c r="AR298" s="235">
        <f t="shared" si="92"/>
        <v>45826.172491242847</v>
      </c>
      <c r="AS298" s="235">
        <f t="shared" si="93"/>
        <v>3616.7324912428521</v>
      </c>
      <c r="AT298" s="281"/>
      <c r="AW298" s="237">
        <f t="shared" si="94"/>
        <v>163.33428088037203</v>
      </c>
      <c r="AX298" s="237">
        <f t="shared" si="96"/>
        <v>46007.66452294436</v>
      </c>
      <c r="AY298" s="238">
        <f t="shared" si="95"/>
        <v>181.49203170151304</v>
      </c>
    </row>
    <row r="299" spans="1:51" s="273" customFormat="1" ht="12" customHeight="1">
      <c r="A299" s="271" t="s">
        <v>716</v>
      </c>
      <c r="B299" s="271" t="s">
        <v>717</v>
      </c>
      <c r="C299" s="272">
        <v>294.13</v>
      </c>
      <c r="D299" s="272">
        <v>294.13</v>
      </c>
      <c r="F299" s="274">
        <v>889.64</v>
      </c>
      <c r="G299" s="274">
        <v>768.71</v>
      </c>
      <c r="H299" s="274">
        <v>850.96</v>
      </c>
      <c r="I299" s="274">
        <v>357.79</v>
      </c>
      <c r="J299" s="274">
        <v>928.32</v>
      </c>
      <c r="K299" s="274">
        <v>918.65</v>
      </c>
      <c r="L299" s="274">
        <v>1636.62</v>
      </c>
      <c r="M299" s="274">
        <v>1199.08</v>
      </c>
      <c r="N299" s="274">
        <v>1034.69</v>
      </c>
      <c r="O299" s="274">
        <v>812.28</v>
      </c>
      <c r="P299" s="274">
        <v>396.47</v>
      </c>
      <c r="Q299" s="274">
        <v>783.27</v>
      </c>
      <c r="R299" s="275">
        <f t="shared" si="99"/>
        <v>10576.48</v>
      </c>
      <c r="T299" s="276">
        <f t="shared" si="98"/>
        <v>3.0246489647434807</v>
      </c>
      <c r="U299" s="276">
        <f t="shared" si="98"/>
        <v>2.6135042328222218</v>
      </c>
      <c r="V299" s="276">
        <f t="shared" si="98"/>
        <v>2.8931424880155037</v>
      </c>
      <c r="W299" s="276">
        <f t="shared" si="97"/>
        <v>1.2164349097337912</v>
      </c>
      <c r="X299" s="276">
        <f t="shared" si="97"/>
        <v>3.1561554414714585</v>
      </c>
      <c r="Y299" s="276">
        <f t="shared" si="97"/>
        <v>3.1232788222894636</v>
      </c>
      <c r="Z299" s="276">
        <f t="shared" si="97"/>
        <v>5.5642743004793793</v>
      </c>
      <c r="AA299" s="276">
        <f t="shared" si="97"/>
        <v>4.0767007785673002</v>
      </c>
      <c r="AB299" s="276">
        <f t="shared" si="97"/>
        <v>3.5177982524733964</v>
      </c>
      <c r="AC299" s="276">
        <f t="shared" si="100"/>
        <v>2.7616360112875258</v>
      </c>
      <c r="AD299" s="276">
        <f t="shared" si="100"/>
        <v>1.3479413864617686</v>
      </c>
      <c r="AE299" s="276">
        <f t="shared" si="100"/>
        <v>2.6630061537415428</v>
      </c>
      <c r="AF299" s="277">
        <f t="shared" si="89"/>
        <v>35.95852174208683</v>
      </c>
      <c r="AG299" s="278">
        <f t="shared" si="90"/>
        <v>2.996543478507236</v>
      </c>
      <c r="AH299" s="185"/>
      <c r="AI299" s="255"/>
      <c r="AK299" s="279">
        <v>30</v>
      </c>
      <c r="AL299" s="280">
        <v>1</v>
      </c>
      <c r="AM299" s="232">
        <f t="shared" si="101"/>
        <v>2.996543478507236</v>
      </c>
      <c r="AP299" s="281"/>
      <c r="AQ299" s="234">
        <f t="shared" si="91"/>
        <v>319.33264489766401</v>
      </c>
      <c r="AR299" s="235">
        <f t="shared" si="92"/>
        <v>11482.729854510744</v>
      </c>
      <c r="AS299" s="235">
        <f t="shared" si="93"/>
        <v>906.24985451074463</v>
      </c>
      <c r="AT299" s="281"/>
      <c r="AW299" s="237">
        <f t="shared" si="94"/>
        <v>320.59734424653874</v>
      </c>
      <c r="AX299" s="237">
        <f t="shared" si="96"/>
        <v>11528.206573544459</v>
      </c>
      <c r="AY299" s="238">
        <f t="shared" si="95"/>
        <v>45.476719033715199</v>
      </c>
    </row>
    <row r="300" spans="1:51" s="273" customFormat="1" ht="12" customHeight="1">
      <c r="A300" s="271" t="s">
        <v>718</v>
      </c>
      <c r="B300" s="271" t="s">
        <v>719</v>
      </c>
      <c r="C300" s="272">
        <v>149.85</v>
      </c>
      <c r="D300" s="272">
        <v>149.85</v>
      </c>
      <c r="F300" s="274">
        <v>1198.8</v>
      </c>
      <c r="G300" s="274">
        <v>1198.8</v>
      </c>
      <c r="H300" s="274">
        <v>1198.8</v>
      </c>
      <c r="I300" s="274">
        <v>1498.5</v>
      </c>
      <c r="J300" s="274">
        <v>1498.5</v>
      </c>
      <c r="K300" s="274">
        <v>1498.5</v>
      </c>
      <c r="L300" s="274">
        <v>1498.5</v>
      </c>
      <c r="M300" s="274">
        <v>1348.65</v>
      </c>
      <c r="N300" s="274">
        <v>1348.65</v>
      </c>
      <c r="O300" s="274">
        <v>1348.65</v>
      </c>
      <c r="P300" s="274">
        <v>1348.65</v>
      </c>
      <c r="Q300" s="274">
        <v>1348.6499999999999</v>
      </c>
      <c r="R300" s="275">
        <f t="shared" si="99"/>
        <v>16333.649999999998</v>
      </c>
      <c r="T300" s="276">
        <f t="shared" si="98"/>
        <v>8</v>
      </c>
      <c r="U300" s="276">
        <f t="shared" si="98"/>
        <v>8</v>
      </c>
      <c r="V300" s="276">
        <f t="shared" si="98"/>
        <v>8</v>
      </c>
      <c r="W300" s="276">
        <f t="shared" si="97"/>
        <v>10</v>
      </c>
      <c r="X300" s="276">
        <f t="shared" si="97"/>
        <v>10</v>
      </c>
      <c r="Y300" s="276">
        <f t="shared" si="97"/>
        <v>10</v>
      </c>
      <c r="Z300" s="276">
        <f t="shared" si="97"/>
        <v>10</v>
      </c>
      <c r="AA300" s="276">
        <f t="shared" si="97"/>
        <v>9.0000000000000018</v>
      </c>
      <c r="AB300" s="276">
        <f t="shared" si="97"/>
        <v>9.0000000000000018</v>
      </c>
      <c r="AC300" s="276">
        <f t="shared" si="100"/>
        <v>9.0000000000000018</v>
      </c>
      <c r="AD300" s="276">
        <f t="shared" si="100"/>
        <v>9.0000000000000018</v>
      </c>
      <c r="AE300" s="276">
        <f t="shared" si="100"/>
        <v>9</v>
      </c>
      <c r="AF300" s="277">
        <f t="shared" si="89"/>
        <v>109</v>
      </c>
      <c r="AG300" s="278">
        <f t="shared" si="90"/>
        <v>9.0833333333333339</v>
      </c>
      <c r="AH300" s="185"/>
      <c r="AI300" s="255"/>
      <c r="AK300" s="279">
        <v>40</v>
      </c>
      <c r="AL300" s="280">
        <v>1</v>
      </c>
      <c r="AM300" s="232">
        <f t="shared" si="101"/>
        <v>9.0833333333333339</v>
      </c>
      <c r="AP300" s="281"/>
      <c r="AQ300" s="234">
        <f t="shared" si="91"/>
        <v>162.68995627074747</v>
      </c>
      <c r="AR300" s="235">
        <f t="shared" si="92"/>
        <v>17733.205233511479</v>
      </c>
      <c r="AS300" s="235">
        <f t="shared" si="93"/>
        <v>1399.5552335114808</v>
      </c>
      <c r="AT300" s="281"/>
      <c r="AW300" s="237">
        <f t="shared" si="94"/>
        <v>163.33428088037203</v>
      </c>
      <c r="AX300" s="237">
        <f t="shared" si="96"/>
        <v>17803.436615960552</v>
      </c>
      <c r="AY300" s="238">
        <f t="shared" si="95"/>
        <v>70.231382449073863</v>
      </c>
    </row>
    <row r="301" spans="1:51" s="273" customFormat="1" ht="12" customHeight="1">
      <c r="A301" s="271" t="s">
        <v>720</v>
      </c>
      <c r="B301" s="271" t="s">
        <v>721</v>
      </c>
      <c r="C301" s="272">
        <v>330.93</v>
      </c>
      <c r="D301" s="272">
        <v>330.93</v>
      </c>
      <c r="F301" s="274">
        <v>65.28</v>
      </c>
      <c r="G301" s="274">
        <v>652.79999999999995</v>
      </c>
      <c r="H301" s="274">
        <v>1098.8800000000001</v>
      </c>
      <c r="I301" s="274">
        <v>912.08</v>
      </c>
      <c r="J301" s="274">
        <v>663.44</v>
      </c>
      <c r="K301" s="274">
        <v>652.79999999999995</v>
      </c>
      <c r="L301" s="274">
        <v>4889.32</v>
      </c>
      <c r="M301" s="274">
        <v>-3394.52</v>
      </c>
      <c r="N301" s="274">
        <v>696.32</v>
      </c>
      <c r="O301" s="274">
        <v>141.44</v>
      </c>
      <c r="P301" s="274">
        <v>0</v>
      </c>
      <c r="Q301" s="274">
        <v>32.64</v>
      </c>
      <c r="R301" s="275">
        <f t="shared" si="99"/>
        <v>6410.4799999999977</v>
      </c>
      <c r="T301" s="276">
        <f t="shared" si="98"/>
        <v>0.19726226090109691</v>
      </c>
      <c r="U301" s="276">
        <f t="shared" si="98"/>
        <v>1.9726226090109689</v>
      </c>
      <c r="V301" s="276">
        <f t="shared" si="98"/>
        <v>3.3205813918351317</v>
      </c>
      <c r="W301" s="276">
        <f t="shared" si="97"/>
        <v>2.7561115643791738</v>
      </c>
      <c r="X301" s="276">
        <f t="shared" si="97"/>
        <v>2.0047744235941138</v>
      </c>
      <c r="Y301" s="276">
        <f t="shared" si="97"/>
        <v>1.9726226090109689</v>
      </c>
      <c r="Z301" s="276">
        <f t="shared" si="97"/>
        <v>14.774484029855255</v>
      </c>
      <c r="AA301" s="276">
        <f t="shared" si="97"/>
        <v>-10.257516695373644</v>
      </c>
      <c r="AB301" s="276">
        <f t="shared" si="97"/>
        <v>2.1041307829450338</v>
      </c>
      <c r="AC301" s="276">
        <f t="shared" si="100"/>
        <v>0.42740156528570994</v>
      </c>
      <c r="AD301" s="276">
        <f t="shared" si="100"/>
        <v>0</v>
      </c>
      <c r="AE301" s="276">
        <f t="shared" si="100"/>
        <v>9.8631130450548457E-2</v>
      </c>
      <c r="AF301" s="277">
        <f t="shared" si="89"/>
        <v>19.371105671894359</v>
      </c>
      <c r="AG301" s="278">
        <f t="shared" si="90"/>
        <v>1.6142588059911966</v>
      </c>
      <c r="AH301" s="185"/>
      <c r="AI301" s="255"/>
      <c r="AK301" s="279">
        <v>40</v>
      </c>
      <c r="AL301" s="280">
        <v>1</v>
      </c>
      <c r="AM301" s="232">
        <f t="shared" si="101"/>
        <v>1.6142588059911966</v>
      </c>
      <c r="AP301" s="281"/>
      <c r="AQ301" s="234">
        <f t="shared" si="91"/>
        <v>359.28586739191502</v>
      </c>
      <c r="AR301" s="235">
        <f t="shared" si="92"/>
        <v>6959.7645036670101</v>
      </c>
      <c r="AS301" s="235">
        <f t="shared" si="93"/>
        <v>549.28450366701236</v>
      </c>
      <c r="AT301" s="281"/>
      <c r="AW301" s="237">
        <f t="shared" si="94"/>
        <v>360.70879927755436</v>
      </c>
      <c r="AX301" s="237">
        <f t="shared" si="96"/>
        <v>6987.328267587638</v>
      </c>
      <c r="AY301" s="238">
        <f t="shared" si="95"/>
        <v>27.563763920627935</v>
      </c>
    </row>
    <row r="302" spans="1:51" s="273" customFormat="1" ht="12" customHeight="1">
      <c r="A302" s="271" t="s">
        <v>722</v>
      </c>
      <c r="B302" s="271" t="s">
        <v>723</v>
      </c>
      <c r="C302" s="272">
        <v>375</v>
      </c>
      <c r="D302" s="272">
        <v>480.94</v>
      </c>
      <c r="F302" s="274">
        <v>480.94</v>
      </c>
      <c r="G302" s="274">
        <v>480.94</v>
      </c>
      <c r="H302" s="274">
        <v>480.94</v>
      </c>
      <c r="I302" s="274">
        <v>375</v>
      </c>
      <c r="J302" s="274">
        <v>375</v>
      </c>
      <c r="K302" s="274">
        <v>375</v>
      </c>
      <c r="L302" s="274">
        <v>375</v>
      </c>
      <c r="M302" s="274">
        <v>375</v>
      </c>
      <c r="N302" s="274">
        <v>480.94</v>
      </c>
      <c r="O302" s="274">
        <v>480.94</v>
      </c>
      <c r="P302" s="274">
        <v>480.94</v>
      </c>
      <c r="Q302" s="274">
        <v>480.94</v>
      </c>
      <c r="R302" s="275">
        <f t="shared" si="99"/>
        <v>5241.579999999999</v>
      </c>
      <c r="T302" s="276">
        <f t="shared" si="98"/>
        <v>1.2825066666666667</v>
      </c>
      <c r="U302" s="276">
        <f t="shared" si="98"/>
        <v>1.2825066666666667</v>
      </c>
      <c r="V302" s="276">
        <f t="shared" si="98"/>
        <v>1.2825066666666667</v>
      </c>
      <c r="W302" s="276">
        <f t="shared" si="97"/>
        <v>1</v>
      </c>
      <c r="X302" s="276">
        <f t="shared" si="97"/>
        <v>1</v>
      </c>
      <c r="Y302" s="276">
        <f t="shared" si="97"/>
        <v>1</v>
      </c>
      <c r="Z302" s="276">
        <f t="shared" si="97"/>
        <v>1</v>
      </c>
      <c r="AA302" s="276">
        <f t="shared" si="97"/>
        <v>1</v>
      </c>
      <c r="AB302" s="276">
        <f t="shared" si="97"/>
        <v>1.2825066666666667</v>
      </c>
      <c r="AC302" s="276">
        <f t="shared" si="100"/>
        <v>1</v>
      </c>
      <c r="AD302" s="276">
        <f t="shared" si="100"/>
        <v>1</v>
      </c>
      <c r="AE302" s="276">
        <f t="shared" si="100"/>
        <v>1</v>
      </c>
      <c r="AF302" s="277">
        <f t="shared" si="89"/>
        <v>13.130026666666666</v>
      </c>
      <c r="AG302" s="278">
        <f t="shared" si="90"/>
        <v>1.0941688888888887</v>
      </c>
      <c r="AH302" s="185"/>
      <c r="AI302" s="255"/>
      <c r="AK302" s="279" t="s">
        <v>724</v>
      </c>
      <c r="AL302" s="282">
        <v>1</v>
      </c>
      <c r="AM302" s="283">
        <f t="shared" si="101"/>
        <v>1.0941688888888887</v>
      </c>
      <c r="AP302" s="281"/>
      <c r="AQ302" s="234">
        <f t="shared" si="91"/>
        <v>522.14953332568098</v>
      </c>
      <c r="AR302" s="235">
        <f t="shared" si="92"/>
        <v>6855.8372965537455</v>
      </c>
      <c r="AS302" s="235">
        <f t="shared" si="93"/>
        <v>1614.2572965537465</v>
      </c>
      <c r="AT302" s="281"/>
      <c r="AW302" s="237">
        <f t="shared" si="94"/>
        <v>524.21747778849601</v>
      </c>
      <c r="AX302" s="237">
        <f t="shared" si="96"/>
        <v>6882.9894624956924</v>
      </c>
      <c r="AY302" s="238">
        <f t="shared" si="95"/>
        <v>27.152165941946805</v>
      </c>
    </row>
    <row r="303" spans="1:51" ht="12" customHeight="1">
      <c r="A303" s="244" t="s">
        <v>725</v>
      </c>
      <c r="B303" s="244" t="s">
        <v>726</v>
      </c>
      <c r="C303" s="240">
        <v>126.56</v>
      </c>
      <c r="D303" s="240">
        <v>126.9</v>
      </c>
      <c r="F303" s="222">
        <v>1078.6500000000001</v>
      </c>
      <c r="G303" s="222">
        <v>1522.8</v>
      </c>
      <c r="H303" s="222">
        <v>1364.18</v>
      </c>
      <c r="I303" s="222">
        <v>1708.56</v>
      </c>
      <c r="J303" s="222">
        <v>1993.32</v>
      </c>
      <c r="K303" s="222">
        <v>1835.12</v>
      </c>
      <c r="L303" s="222">
        <v>1771.84</v>
      </c>
      <c r="M303" s="222">
        <v>1518.72</v>
      </c>
      <c r="N303" s="222">
        <v>1299.03</v>
      </c>
      <c r="O303" s="222">
        <v>1459.35</v>
      </c>
      <c r="P303" s="222">
        <v>1015.2</v>
      </c>
      <c r="Q303" s="222">
        <v>1776.6</v>
      </c>
      <c r="R303" s="224">
        <f t="shared" si="99"/>
        <v>18343.37</v>
      </c>
      <c r="T303" s="223">
        <f t="shared" si="98"/>
        <v>8.5228350189633382</v>
      </c>
      <c r="U303" s="223">
        <f t="shared" si="98"/>
        <v>12.032237673830593</v>
      </c>
      <c r="V303" s="223">
        <f t="shared" si="98"/>
        <v>10.778919089759798</v>
      </c>
      <c r="W303" s="223">
        <f t="shared" si="97"/>
        <v>13.5</v>
      </c>
      <c r="X303" s="223">
        <f t="shared" si="97"/>
        <v>15.75</v>
      </c>
      <c r="Y303" s="223">
        <f t="shared" si="97"/>
        <v>14.499999999999998</v>
      </c>
      <c r="Z303" s="223">
        <f t="shared" si="97"/>
        <v>13.999999999999998</v>
      </c>
      <c r="AA303" s="223">
        <f t="shared" si="97"/>
        <v>12</v>
      </c>
      <c r="AB303" s="223">
        <f t="shared" si="97"/>
        <v>10.264143489254108</v>
      </c>
      <c r="AC303" s="223">
        <f t="shared" si="100"/>
        <v>11.499999999999998</v>
      </c>
      <c r="AD303" s="223">
        <f t="shared" si="100"/>
        <v>8</v>
      </c>
      <c r="AE303" s="223">
        <f t="shared" si="100"/>
        <v>13.999999999999998</v>
      </c>
      <c r="AF303" s="261">
        <f t="shared" si="89"/>
        <v>144.84813527180785</v>
      </c>
      <c r="AG303" s="252">
        <f t="shared" si="90"/>
        <v>12.070677939317321</v>
      </c>
      <c r="AI303" s="255"/>
      <c r="AQ303" s="234">
        <f t="shared" si="91"/>
        <v>137.77347648153389</v>
      </c>
      <c r="AR303" s="235">
        <f t="shared" si="92"/>
        <v>19956.231158264458</v>
      </c>
      <c r="AS303" s="235">
        <f t="shared" si="93"/>
        <v>1612.8611582644589</v>
      </c>
      <c r="AT303" s="188"/>
      <c r="AW303" s="237">
        <f t="shared" si="94"/>
        <v>138.31912074554029</v>
      </c>
      <c r="AX303" s="237">
        <f t="shared" si="96"/>
        <v>20035.266712427543</v>
      </c>
      <c r="AY303" s="238">
        <f t="shared" si="95"/>
        <v>79.03555416308518</v>
      </c>
    </row>
    <row r="304" spans="1:51" ht="12" customHeight="1">
      <c r="A304" s="244" t="s">
        <v>727</v>
      </c>
      <c r="B304" s="244" t="s">
        <v>728</v>
      </c>
      <c r="C304" s="240">
        <v>0</v>
      </c>
      <c r="D304" s="240">
        <v>0</v>
      </c>
      <c r="F304" s="222">
        <v>0</v>
      </c>
      <c r="G304" s="222">
        <v>0</v>
      </c>
      <c r="H304" s="222">
        <v>0</v>
      </c>
      <c r="I304" s="222">
        <v>0</v>
      </c>
      <c r="J304" s="222">
        <v>0</v>
      </c>
      <c r="K304" s="222">
        <v>0</v>
      </c>
      <c r="L304" s="222">
        <v>0</v>
      </c>
      <c r="M304" s="222">
        <v>0</v>
      </c>
      <c r="N304" s="222">
        <v>0</v>
      </c>
      <c r="O304" s="222">
        <v>0</v>
      </c>
      <c r="P304" s="222">
        <v>0</v>
      </c>
      <c r="Q304" s="222">
        <v>0</v>
      </c>
      <c r="R304" s="224">
        <f t="shared" si="99"/>
        <v>0</v>
      </c>
      <c r="T304" s="223">
        <f t="shared" si="98"/>
        <v>0</v>
      </c>
      <c r="U304" s="223">
        <f t="shared" si="98"/>
        <v>0</v>
      </c>
      <c r="V304" s="223">
        <f t="shared" si="98"/>
        <v>0</v>
      </c>
      <c r="W304" s="223">
        <f t="shared" si="97"/>
        <v>0</v>
      </c>
      <c r="X304" s="223">
        <f t="shared" si="97"/>
        <v>0</v>
      </c>
      <c r="Y304" s="223">
        <f t="shared" si="97"/>
        <v>0</v>
      </c>
      <c r="Z304" s="223">
        <f t="shared" si="97"/>
        <v>0</v>
      </c>
      <c r="AA304" s="223">
        <f t="shared" si="97"/>
        <v>0</v>
      </c>
      <c r="AB304" s="223">
        <f t="shared" si="97"/>
        <v>0</v>
      </c>
      <c r="AC304" s="223">
        <f t="shared" si="100"/>
        <v>0</v>
      </c>
      <c r="AD304" s="223">
        <f t="shared" si="100"/>
        <v>0</v>
      </c>
      <c r="AE304" s="223">
        <f t="shared" si="100"/>
        <v>0</v>
      </c>
      <c r="AF304" s="261">
        <f t="shared" si="89"/>
        <v>0</v>
      </c>
      <c r="AG304" s="252">
        <f t="shared" si="90"/>
        <v>0</v>
      </c>
      <c r="AQ304" s="234">
        <f t="shared" si="91"/>
        <v>0</v>
      </c>
      <c r="AR304" s="235">
        <f t="shared" si="92"/>
        <v>0</v>
      </c>
      <c r="AS304" s="235">
        <f t="shared" si="93"/>
        <v>0</v>
      </c>
      <c r="AT304" s="188"/>
      <c r="AW304" s="237">
        <f t="shared" si="94"/>
        <v>0</v>
      </c>
      <c r="AX304" s="237">
        <f t="shared" si="96"/>
        <v>0</v>
      </c>
      <c r="AY304" s="238">
        <f t="shared" si="95"/>
        <v>0</v>
      </c>
    </row>
    <row r="305" spans="1:51" ht="12" customHeight="1">
      <c r="A305" s="244" t="s">
        <v>729</v>
      </c>
      <c r="B305" s="244" t="s">
        <v>730</v>
      </c>
      <c r="C305" s="240">
        <v>11.64</v>
      </c>
      <c r="D305" s="240">
        <v>11.85</v>
      </c>
      <c r="F305" s="222">
        <v>0</v>
      </c>
      <c r="G305" s="222">
        <v>0</v>
      </c>
      <c r="H305" s="222">
        <v>0</v>
      </c>
      <c r="I305" s="222">
        <v>0</v>
      </c>
      <c r="J305" s="222">
        <v>69.84</v>
      </c>
      <c r="K305" s="222">
        <v>0</v>
      </c>
      <c r="L305" s="222">
        <v>0</v>
      </c>
      <c r="M305" s="222">
        <v>0</v>
      </c>
      <c r="N305" s="222">
        <v>0</v>
      </c>
      <c r="O305" s="222">
        <v>0</v>
      </c>
      <c r="P305" s="222">
        <v>0</v>
      </c>
      <c r="Q305" s="222">
        <v>11.85</v>
      </c>
      <c r="R305" s="224">
        <f t="shared" si="99"/>
        <v>81.69</v>
      </c>
      <c r="T305" s="223">
        <f t="shared" si="98"/>
        <v>0</v>
      </c>
      <c r="U305" s="223">
        <f t="shared" si="98"/>
        <v>0</v>
      </c>
      <c r="V305" s="223">
        <f t="shared" si="98"/>
        <v>0</v>
      </c>
      <c r="W305" s="223">
        <f t="shared" si="97"/>
        <v>0</v>
      </c>
      <c r="X305" s="223">
        <f t="shared" si="97"/>
        <v>6</v>
      </c>
      <c r="Y305" s="223">
        <f t="shared" si="97"/>
        <v>0</v>
      </c>
      <c r="Z305" s="223">
        <f t="shared" si="97"/>
        <v>0</v>
      </c>
      <c r="AA305" s="223">
        <f t="shared" si="97"/>
        <v>0</v>
      </c>
      <c r="AB305" s="223">
        <f t="shared" si="97"/>
        <v>0</v>
      </c>
      <c r="AC305" s="223">
        <f t="shared" si="100"/>
        <v>0</v>
      </c>
      <c r="AD305" s="223">
        <f t="shared" si="100"/>
        <v>0</v>
      </c>
      <c r="AE305" s="223">
        <f t="shared" si="100"/>
        <v>1</v>
      </c>
      <c r="AF305" s="261">
        <f t="shared" si="89"/>
        <v>7</v>
      </c>
      <c r="AG305" s="252">
        <f t="shared" si="90"/>
        <v>0.58333333333333337</v>
      </c>
      <c r="AQ305" s="234">
        <f t="shared" si="91"/>
        <v>12.865371917306357</v>
      </c>
      <c r="AR305" s="235">
        <f t="shared" si="92"/>
        <v>90.057603421144506</v>
      </c>
      <c r="AS305" s="235">
        <f t="shared" si="93"/>
        <v>8.3676034211445085</v>
      </c>
      <c r="AT305" s="188"/>
      <c r="AW305" s="237">
        <f t="shared" si="94"/>
        <v>12.916324514063454</v>
      </c>
      <c r="AX305" s="237">
        <f t="shared" si="96"/>
        <v>90.414271598444188</v>
      </c>
      <c r="AY305" s="238">
        <f t="shared" si="95"/>
        <v>0.35666817729968159</v>
      </c>
    </row>
    <row r="306" spans="1:51" ht="12" customHeight="1">
      <c r="A306" s="244" t="s">
        <v>731</v>
      </c>
      <c r="B306" s="244" t="s">
        <v>732</v>
      </c>
      <c r="C306" s="240">
        <v>4.4400000000000004</v>
      </c>
      <c r="D306" s="240">
        <v>2.82</v>
      </c>
      <c r="F306" s="222">
        <v>17.5</v>
      </c>
      <c r="G306" s="222">
        <v>33.840000000000003</v>
      </c>
      <c r="H306" s="222">
        <v>59.26</v>
      </c>
      <c r="I306" s="222">
        <v>18.079999999999998</v>
      </c>
      <c r="J306" s="222">
        <v>17.760000000000002</v>
      </c>
      <c r="K306" s="222">
        <v>2.82</v>
      </c>
      <c r="L306" s="222">
        <v>73.900000000000006</v>
      </c>
      <c r="M306" s="222">
        <v>22.6</v>
      </c>
      <c r="N306" s="222">
        <v>56.4</v>
      </c>
      <c r="O306" s="222">
        <v>11.28</v>
      </c>
      <c r="P306" s="222">
        <v>0</v>
      </c>
      <c r="Q306" s="222">
        <v>31.64</v>
      </c>
      <c r="R306" s="224">
        <f t="shared" si="99"/>
        <v>345.07999999999993</v>
      </c>
      <c r="T306" s="223">
        <f t="shared" si="98"/>
        <v>3.9414414414414409</v>
      </c>
      <c r="U306" s="223">
        <f t="shared" si="98"/>
        <v>7.6216216216216219</v>
      </c>
      <c r="V306" s="223">
        <f t="shared" si="98"/>
        <v>13.346846846846844</v>
      </c>
      <c r="W306" s="223">
        <f t="shared" si="97"/>
        <v>4.0720720720720713</v>
      </c>
      <c r="X306" s="223">
        <f t="shared" si="97"/>
        <v>4</v>
      </c>
      <c r="Y306" s="223">
        <f t="shared" si="97"/>
        <v>0.63513513513513509</v>
      </c>
      <c r="Z306" s="223">
        <f t="shared" si="97"/>
        <v>16.644144144144143</v>
      </c>
      <c r="AA306" s="223">
        <f t="shared" si="97"/>
        <v>5.0900900900900901</v>
      </c>
      <c r="AB306" s="223">
        <f t="shared" si="97"/>
        <v>12.702702702702702</v>
      </c>
      <c r="AC306" s="223">
        <f t="shared" si="100"/>
        <v>4</v>
      </c>
      <c r="AD306" s="223">
        <f t="shared" si="100"/>
        <v>0</v>
      </c>
      <c r="AE306" s="223">
        <f t="shared" si="100"/>
        <v>11.219858156028369</v>
      </c>
      <c r="AF306" s="261">
        <f t="shared" si="89"/>
        <v>83.273912210082401</v>
      </c>
      <c r="AG306" s="252">
        <f t="shared" si="90"/>
        <v>6.9394926841735334</v>
      </c>
      <c r="AQ306" s="234">
        <f t="shared" si="91"/>
        <v>3.0616328107007531</v>
      </c>
      <c r="AR306" s="235">
        <f t="shared" si="92"/>
        <v>254.95414189780234</v>
      </c>
      <c r="AS306" s="235">
        <f t="shared" si="93"/>
        <v>-90.125858102197583</v>
      </c>
      <c r="AT306" s="188"/>
      <c r="AW306" s="237">
        <f t="shared" si="94"/>
        <v>3.0737582387897842</v>
      </c>
      <c r="AX306" s="237">
        <f t="shared" si="96"/>
        <v>255.96387373199798</v>
      </c>
      <c r="AY306" s="238">
        <f t="shared" si="95"/>
        <v>1.0097318341956338</v>
      </c>
    </row>
    <row r="307" spans="1:51" ht="12" customHeight="1">
      <c r="A307" s="247"/>
      <c r="B307" s="247"/>
      <c r="C307" s="240"/>
      <c r="D307" s="240"/>
      <c r="T307" s="223"/>
      <c r="U307" s="223"/>
      <c r="V307" s="223"/>
      <c r="W307" s="223"/>
      <c r="X307" s="223"/>
      <c r="Y307" s="223"/>
      <c r="Z307" s="223"/>
      <c r="AA307" s="223"/>
      <c r="AB307" s="223"/>
      <c r="AC307" s="223"/>
      <c r="AD307" s="223"/>
      <c r="AE307" s="223"/>
      <c r="AF307" s="261"/>
      <c r="AG307" s="252"/>
      <c r="AQ307" s="268"/>
      <c r="AR307" s="268"/>
      <c r="AS307" s="268"/>
      <c r="AT307" s="188"/>
      <c r="AW307" s="237"/>
      <c r="AX307" s="237"/>
      <c r="AY307" s="238"/>
    </row>
    <row r="308" spans="1:51" ht="12" customHeight="1">
      <c r="A308" s="247"/>
      <c r="B308" s="284" t="s">
        <v>144</v>
      </c>
      <c r="C308" s="240">
        <v>0</v>
      </c>
      <c r="D308" s="240">
        <v>0</v>
      </c>
      <c r="F308" s="249">
        <f t="shared" ref="F308:R308" si="102">SUM(F256:F307)</f>
        <v>35631.460000000006</v>
      </c>
      <c r="G308" s="249">
        <f t="shared" si="102"/>
        <v>37223.920000000006</v>
      </c>
      <c r="H308" s="249">
        <f t="shared" si="102"/>
        <v>47965.62</v>
      </c>
      <c r="I308" s="249">
        <f t="shared" si="102"/>
        <v>30189.280000000006</v>
      </c>
      <c r="J308" s="249">
        <f t="shared" si="102"/>
        <v>36801.540000000008</v>
      </c>
      <c r="K308" s="249">
        <f t="shared" si="102"/>
        <v>43455.640000000014</v>
      </c>
      <c r="L308" s="249">
        <f t="shared" si="102"/>
        <v>63768.850000000006</v>
      </c>
      <c r="M308" s="249">
        <f t="shared" si="102"/>
        <v>44496.25</v>
      </c>
      <c r="N308" s="249">
        <f t="shared" si="102"/>
        <v>45576.61</v>
      </c>
      <c r="O308" s="249">
        <f t="shared" si="102"/>
        <v>48167.31</v>
      </c>
      <c r="P308" s="249">
        <f t="shared" si="102"/>
        <v>29058.539999999997</v>
      </c>
      <c r="Q308" s="249">
        <f t="shared" si="102"/>
        <v>41125.759999999987</v>
      </c>
      <c r="R308" s="249">
        <f t="shared" si="102"/>
        <v>503460.77999999991</v>
      </c>
      <c r="T308" s="250">
        <f t="shared" ref="T308:AG308" si="103">+SUM(T296:T302)</f>
        <v>49.985633824368641</v>
      </c>
      <c r="U308" s="250">
        <f t="shared" si="103"/>
        <v>54.256705410737773</v>
      </c>
      <c r="V308" s="250">
        <f t="shared" si="103"/>
        <v>61.981450753985264</v>
      </c>
      <c r="W308" s="250">
        <f t="shared" si="103"/>
        <v>54.41091812884347</v>
      </c>
      <c r="X308" s="250">
        <f t="shared" si="103"/>
        <v>56.109353323075666</v>
      </c>
      <c r="Y308" s="250">
        <f t="shared" si="103"/>
        <v>54.167141536841328</v>
      </c>
      <c r="Z308" s="250">
        <f t="shared" si="103"/>
        <v>77.54816341326655</v>
      </c>
      <c r="AA308" s="250">
        <f t="shared" si="103"/>
        <v>47.57262882080726</v>
      </c>
      <c r="AB308" s="250">
        <f t="shared" si="103"/>
        <v>56.967467071185077</v>
      </c>
      <c r="AC308" s="250">
        <f t="shared" si="103"/>
        <v>52.969872689862179</v>
      </c>
      <c r="AD308" s="250">
        <f t="shared" si="103"/>
        <v>50.687682559976025</v>
      </c>
      <c r="AE308" s="250">
        <f t="shared" si="103"/>
        <v>49.124401942557363</v>
      </c>
      <c r="AF308" s="250">
        <f t="shared" si="103"/>
        <v>665.78141947550671</v>
      </c>
      <c r="AG308" s="250">
        <f t="shared" si="103"/>
        <v>55.481784956292216</v>
      </c>
      <c r="AN308" s="245" t="s">
        <v>733</v>
      </c>
      <c r="AO308" s="285">
        <f>SUM(AM296:AM302)</f>
        <v>55.481784956292216</v>
      </c>
      <c r="AQ308" s="268"/>
      <c r="AR308" s="286">
        <f>SUM(AR257:AR306)</f>
        <v>548512.86317635491</v>
      </c>
      <c r="AS308" s="286">
        <f>SUM(AS257:AS306)</f>
        <v>45052.083176354936</v>
      </c>
      <c r="AT308" s="236">
        <f t="shared" ref="AT308" si="104">AS308/R308</f>
        <v>8.9484791995823279E-2</v>
      </c>
      <c r="AW308" s="237"/>
      <c r="AX308" s="286">
        <f>SUM(AX257:AX306)</f>
        <v>550685.21815475321</v>
      </c>
      <c r="AY308" s="286">
        <f>SUM(AY257:AY306)</f>
        <v>2172.3549783983126</v>
      </c>
    </row>
    <row r="309" spans="1:51" ht="12" customHeight="1">
      <c r="A309" s="247"/>
      <c r="B309" s="247"/>
      <c r="C309" s="240"/>
      <c r="D309" s="240"/>
      <c r="T309" s="223"/>
      <c r="U309" s="223"/>
      <c r="V309" s="223"/>
      <c r="W309" s="223"/>
      <c r="X309" s="223"/>
      <c r="Y309" s="223"/>
      <c r="Z309" s="223"/>
      <c r="AA309" s="223"/>
      <c r="AB309" s="223"/>
      <c r="AC309" s="223"/>
      <c r="AD309" s="223"/>
      <c r="AE309" s="223"/>
      <c r="AF309" s="261"/>
      <c r="AG309" s="252"/>
      <c r="AN309" s="287" t="s">
        <v>149</v>
      </c>
      <c r="AO309" s="255">
        <f>SUM(AO308-SUM(AM296:AM302))</f>
        <v>0</v>
      </c>
      <c r="AQ309" s="268"/>
      <c r="AR309" s="268"/>
      <c r="AS309" s="268"/>
      <c r="AT309" s="188"/>
      <c r="AW309" s="237"/>
      <c r="AX309" s="237"/>
      <c r="AY309" s="238"/>
    </row>
    <row r="310" spans="1:51" ht="12" customHeight="1">
      <c r="A310" s="270" t="s">
        <v>145</v>
      </c>
      <c r="B310" s="270" t="s">
        <v>145</v>
      </c>
      <c r="C310" s="240">
        <v>0</v>
      </c>
      <c r="D310" s="240">
        <v>0</v>
      </c>
      <c r="T310" s="223"/>
      <c r="U310" s="223"/>
      <c r="V310" s="223"/>
      <c r="W310" s="223"/>
      <c r="X310" s="223"/>
      <c r="Y310" s="223"/>
      <c r="Z310" s="223"/>
      <c r="AA310" s="223"/>
      <c r="AB310" s="223"/>
      <c r="AC310" s="223"/>
      <c r="AD310" s="223"/>
      <c r="AE310" s="223"/>
      <c r="AF310" s="261"/>
      <c r="AG310" s="252"/>
      <c r="AQ310" s="268"/>
      <c r="AR310" s="268"/>
      <c r="AS310" s="268"/>
      <c r="AT310" s="188"/>
      <c r="AW310" s="237"/>
      <c r="AX310" s="237"/>
      <c r="AY310" s="238"/>
    </row>
    <row r="311" spans="1:51" ht="12" customHeight="1">
      <c r="A311" s="239" t="s">
        <v>734</v>
      </c>
      <c r="B311" s="239" t="s">
        <v>735</v>
      </c>
      <c r="C311" s="240">
        <v>106.77</v>
      </c>
      <c r="D311" s="240">
        <v>106.77</v>
      </c>
      <c r="F311" s="222">
        <v>31162.799999999999</v>
      </c>
      <c r="G311" s="222">
        <v>31985.58</v>
      </c>
      <c r="H311" s="222">
        <v>46709.3</v>
      </c>
      <c r="I311" s="222">
        <v>19756.79</v>
      </c>
      <c r="J311" s="222">
        <v>31400.04</v>
      </c>
      <c r="K311" s="222">
        <v>37232.86</v>
      </c>
      <c r="L311" s="222">
        <v>42917.34</v>
      </c>
      <c r="M311" s="222">
        <v>38121.22</v>
      </c>
      <c r="N311" s="222">
        <v>35867.269999999997</v>
      </c>
      <c r="O311" s="222">
        <v>44920.33</v>
      </c>
      <c r="P311" s="222">
        <v>22198.560000000001</v>
      </c>
      <c r="Q311" s="222">
        <v>41120.980000000003</v>
      </c>
      <c r="R311" s="224">
        <f t="shared" ref="R311:R316" si="105">+SUM(F311:Q311)</f>
        <v>423393.07</v>
      </c>
      <c r="T311" s="223"/>
      <c r="U311" s="223"/>
      <c r="V311" s="223"/>
      <c r="W311" s="223"/>
      <c r="X311" s="223"/>
      <c r="Y311" s="223"/>
      <c r="Z311" s="223"/>
      <c r="AA311" s="223"/>
      <c r="AB311" s="223"/>
      <c r="AC311" s="223"/>
      <c r="AD311" s="223"/>
      <c r="AE311" s="223"/>
      <c r="AF311" s="261"/>
      <c r="AG311" s="252"/>
      <c r="AQ311" s="288">
        <f>D311</f>
        <v>106.77</v>
      </c>
      <c r="AR311" s="288">
        <f>R311</f>
        <v>423393.07</v>
      </c>
      <c r="AS311" s="235">
        <f t="shared" ref="AS311:AS316" si="106">AR311-R311</f>
        <v>0</v>
      </c>
      <c r="AT311" s="289"/>
      <c r="AW311" s="237">
        <f>AQ311</f>
        <v>106.77</v>
      </c>
      <c r="AX311" s="237">
        <f>AR311</f>
        <v>423393.07</v>
      </c>
      <c r="AY311" s="238">
        <f t="shared" ref="AY311:AY316" si="107">AX311-AR311</f>
        <v>0</v>
      </c>
    </row>
    <row r="312" spans="1:51" ht="12" customHeight="1">
      <c r="A312" s="239" t="s">
        <v>736</v>
      </c>
      <c r="B312" s="244"/>
      <c r="C312" s="240">
        <v>0</v>
      </c>
      <c r="D312" s="240">
        <v>0</v>
      </c>
      <c r="F312" s="222">
        <v>0</v>
      </c>
      <c r="G312" s="222">
        <v>0</v>
      </c>
      <c r="H312" s="222">
        <v>0</v>
      </c>
      <c r="I312" s="222">
        <v>0</v>
      </c>
      <c r="J312" s="222">
        <v>0</v>
      </c>
      <c r="K312" s="222">
        <v>0</v>
      </c>
      <c r="L312" s="222">
        <v>0</v>
      </c>
      <c r="M312" s="222">
        <v>0</v>
      </c>
      <c r="N312" s="222">
        <v>0</v>
      </c>
      <c r="O312" s="222">
        <v>0</v>
      </c>
      <c r="P312" s="222">
        <v>0</v>
      </c>
      <c r="Q312" s="222">
        <v>0</v>
      </c>
      <c r="R312" s="224">
        <f t="shared" si="105"/>
        <v>0</v>
      </c>
      <c r="T312" s="223"/>
      <c r="U312" s="223"/>
      <c r="V312" s="223"/>
      <c r="W312" s="223"/>
      <c r="X312" s="223"/>
      <c r="Y312" s="223"/>
      <c r="Z312" s="223"/>
      <c r="AA312" s="223"/>
      <c r="AB312" s="223"/>
      <c r="AC312" s="223"/>
      <c r="AD312" s="223"/>
      <c r="AE312" s="223"/>
      <c r="AF312" s="261"/>
      <c r="AG312" s="252"/>
      <c r="AQ312" s="288">
        <f t="shared" ref="AQ312:AQ316" si="108">D312</f>
        <v>0</v>
      </c>
      <c r="AR312" s="288">
        <f t="shared" ref="AR312:AR316" si="109">R312</f>
        <v>0</v>
      </c>
      <c r="AS312" s="235">
        <f t="shared" si="106"/>
        <v>0</v>
      </c>
      <c r="AT312" s="188"/>
      <c r="AW312" s="237">
        <f t="shared" ref="AW312:AX316" si="110">AQ312</f>
        <v>0</v>
      </c>
      <c r="AX312" s="237">
        <f t="shared" si="110"/>
        <v>0</v>
      </c>
      <c r="AY312" s="238">
        <f t="shared" si="107"/>
        <v>0</v>
      </c>
    </row>
    <row r="313" spans="1:51" ht="12" customHeight="1">
      <c r="A313" s="239" t="s">
        <v>737</v>
      </c>
      <c r="B313" s="244"/>
      <c r="C313" s="240">
        <v>0</v>
      </c>
      <c r="D313" s="240">
        <v>0</v>
      </c>
      <c r="F313" s="222">
        <v>0</v>
      </c>
      <c r="G313" s="222">
        <v>0</v>
      </c>
      <c r="H313" s="222">
        <v>0</v>
      </c>
      <c r="I313" s="222">
        <v>0</v>
      </c>
      <c r="J313" s="222">
        <v>0</v>
      </c>
      <c r="K313" s="222">
        <v>0</v>
      </c>
      <c r="L313" s="222">
        <v>0</v>
      </c>
      <c r="M313" s="222">
        <v>0</v>
      </c>
      <c r="N313" s="222">
        <v>0</v>
      </c>
      <c r="O313" s="222">
        <v>0</v>
      </c>
      <c r="P313" s="222">
        <v>0</v>
      </c>
      <c r="Q313" s="222">
        <v>0</v>
      </c>
      <c r="R313" s="224">
        <f t="shared" si="105"/>
        <v>0</v>
      </c>
      <c r="T313" s="223"/>
      <c r="U313" s="223"/>
      <c r="V313" s="223"/>
      <c r="W313" s="223"/>
      <c r="X313" s="223"/>
      <c r="Y313" s="223"/>
      <c r="Z313" s="223"/>
      <c r="AA313" s="223"/>
      <c r="AB313" s="223"/>
      <c r="AC313" s="223"/>
      <c r="AD313" s="223"/>
      <c r="AE313" s="223"/>
      <c r="AF313" s="261"/>
      <c r="AG313" s="252"/>
      <c r="AQ313" s="288">
        <f t="shared" si="108"/>
        <v>0</v>
      </c>
      <c r="AR313" s="288">
        <f t="shared" si="109"/>
        <v>0</v>
      </c>
      <c r="AS313" s="235">
        <f t="shared" si="106"/>
        <v>0</v>
      </c>
      <c r="AT313" s="188"/>
      <c r="AW313" s="237">
        <f t="shared" si="110"/>
        <v>0</v>
      </c>
      <c r="AX313" s="237">
        <f t="shared" si="110"/>
        <v>0</v>
      </c>
      <c r="AY313" s="238">
        <f t="shared" si="107"/>
        <v>0</v>
      </c>
    </row>
    <row r="314" spans="1:51" ht="12" customHeight="1">
      <c r="A314" s="239" t="s">
        <v>738</v>
      </c>
      <c r="B314" s="244" t="s">
        <v>739</v>
      </c>
      <c r="C314" s="240">
        <v>0</v>
      </c>
      <c r="D314" s="240">
        <v>0</v>
      </c>
      <c r="F314" s="222">
        <v>0</v>
      </c>
      <c r="G314" s="222">
        <v>0</v>
      </c>
      <c r="H314" s="222">
        <v>0</v>
      </c>
      <c r="I314" s="222">
        <v>0</v>
      </c>
      <c r="J314" s="222">
        <v>0</v>
      </c>
      <c r="K314" s="222">
        <v>0</v>
      </c>
      <c r="L314" s="222">
        <v>0</v>
      </c>
      <c r="M314" s="222">
        <v>0</v>
      </c>
      <c r="N314" s="222">
        <v>0</v>
      </c>
      <c r="O314" s="222">
        <v>0</v>
      </c>
      <c r="P314" s="222">
        <v>0</v>
      </c>
      <c r="Q314" s="222">
        <v>0</v>
      </c>
      <c r="R314" s="224">
        <f t="shared" si="105"/>
        <v>0</v>
      </c>
      <c r="T314" s="223"/>
      <c r="U314" s="223"/>
      <c r="V314" s="223"/>
      <c r="W314" s="223"/>
      <c r="X314" s="223"/>
      <c r="Y314" s="223"/>
      <c r="Z314" s="223"/>
      <c r="AA314" s="223"/>
      <c r="AB314" s="223"/>
      <c r="AC314" s="223"/>
      <c r="AD314" s="223"/>
      <c r="AE314" s="223"/>
      <c r="AF314" s="261"/>
      <c r="AG314" s="252"/>
      <c r="AQ314" s="288">
        <f t="shared" si="108"/>
        <v>0</v>
      </c>
      <c r="AR314" s="288">
        <f t="shared" si="109"/>
        <v>0</v>
      </c>
      <c r="AS314" s="235">
        <f t="shared" si="106"/>
        <v>0</v>
      </c>
      <c r="AT314" s="188"/>
      <c r="AW314" s="237">
        <f t="shared" si="110"/>
        <v>0</v>
      </c>
      <c r="AX314" s="237">
        <f t="shared" si="110"/>
        <v>0</v>
      </c>
      <c r="AY314" s="238">
        <f t="shared" si="107"/>
        <v>0</v>
      </c>
    </row>
    <row r="315" spans="1:51" ht="12" customHeight="1">
      <c r="A315" s="239" t="s">
        <v>740</v>
      </c>
      <c r="B315" s="239" t="s">
        <v>741</v>
      </c>
      <c r="C315" s="240">
        <v>0</v>
      </c>
      <c r="D315" s="240">
        <v>0</v>
      </c>
      <c r="F315" s="222">
        <v>0</v>
      </c>
      <c r="G315" s="222">
        <v>0</v>
      </c>
      <c r="H315" s="222">
        <v>0</v>
      </c>
      <c r="I315" s="222">
        <v>0</v>
      </c>
      <c r="J315" s="222">
        <v>0</v>
      </c>
      <c r="K315" s="222">
        <v>0</v>
      </c>
      <c r="L315" s="222">
        <v>0</v>
      </c>
      <c r="M315" s="222">
        <v>0</v>
      </c>
      <c r="N315" s="222">
        <v>0</v>
      </c>
      <c r="O315" s="222">
        <v>0</v>
      </c>
      <c r="P315" s="222">
        <v>0</v>
      </c>
      <c r="Q315" s="222">
        <v>0</v>
      </c>
      <c r="R315" s="224">
        <f t="shared" si="105"/>
        <v>0</v>
      </c>
      <c r="T315" s="223"/>
      <c r="U315" s="223"/>
      <c r="V315" s="223"/>
      <c r="W315" s="223"/>
      <c r="X315" s="223"/>
      <c r="Y315" s="223"/>
      <c r="Z315" s="223"/>
      <c r="AA315" s="223"/>
      <c r="AB315" s="223"/>
      <c r="AC315" s="223"/>
      <c r="AD315" s="223"/>
      <c r="AE315" s="223"/>
      <c r="AF315" s="261"/>
      <c r="AG315" s="252"/>
      <c r="AQ315" s="288">
        <f t="shared" si="108"/>
        <v>0</v>
      </c>
      <c r="AR315" s="288">
        <f t="shared" si="109"/>
        <v>0</v>
      </c>
      <c r="AS315" s="235">
        <f t="shared" si="106"/>
        <v>0</v>
      </c>
      <c r="AT315" s="188"/>
      <c r="AW315" s="237">
        <f t="shared" si="110"/>
        <v>0</v>
      </c>
      <c r="AX315" s="237">
        <f t="shared" si="110"/>
        <v>0</v>
      </c>
      <c r="AY315" s="238">
        <f t="shared" si="107"/>
        <v>0</v>
      </c>
    </row>
    <row r="316" spans="1:51" ht="12" customHeight="1">
      <c r="A316" s="239" t="s">
        <v>742</v>
      </c>
      <c r="B316" s="239" t="s">
        <v>743</v>
      </c>
      <c r="C316" s="240">
        <v>0</v>
      </c>
      <c r="D316" s="240">
        <v>0</v>
      </c>
      <c r="F316" s="222">
        <v>0</v>
      </c>
      <c r="G316" s="222">
        <v>0</v>
      </c>
      <c r="H316" s="222">
        <v>0</v>
      </c>
      <c r="I316" s="222">
        <v>0</v>
      </c>
      <c r="J316" s="222">
        <v>0</v>
      </c>
      <c r="K316" s="222">
        <v>0</v>
      </c>
      <c r="L316" s="222">
        <v>0</v>
      </c>
      <c r="M316" s="222">
        <v>0</v>
      </c>
      <c r="N316" s="222">
        <v>0</v>
      </c>
      <c r="O316" s="222">
        <v>0</v>
      </c>
      <c r="P316" s="222">
        <v>0</v>
      </c>
      <c r="Q316" s="222">
        <v>0</v>
      </c>
      <c r="R316" s="224">
        <f t="shared" si="105"/>
        <v>0</v>
      </c>
      <c r="T316" s="223"/>
      <c r="U316" s="223"/>
      <c r="V316" s="223"/>
      <c r="W316" s="223"/>
      <c r="X316" s="223"/>
      <c r="Y316" s="223"/>
      <c r="Z316" s="223"/>
      <c r="AA316" s="223"/>
      <c r="AB316" s="223"/>
      <c r="AC316" s="223"/>
      <c r="AD316" s="223"/>
      <c r="AE316" s="223"/>
      <c r="AF316" s="261"/>
      <c r="AG316" s="252"/>
      <c r="AQ316" s="288">
        <f t="shared" si="108"/>
        <v>0</v>
      </c>
      <c r="AR316" s="288">
        <f t="shared" si="109"/>
        <v>0</v>
      </c>
      <c r="AS316" s="235">
        <f t="shared" si="106"/>
        <v>0</v>
      </c>
      <c r="AT316" s="188"/>
      <c r="AW316" s="237">
        <f t="shared" si="110"/>
        <v>0</v>
      </c>
      <c r="AX316" s="237">
        <f t="shared" si="110"/>
        <v>0</v>
      </c>
      <c r="AY316" s="238">
        <f t="shared" si="107"/>
        <v>0</v>
      </c>
    </row>
    <row r="317" spans="1:51">
      <c r="C317" s="240">
        <v>0</v>
      </c>
      <c r="D317" s="240">
        <v>0</v>
      </c>
      <c r="AC317" s="223"/>
      <c r="AD317" s="223"/>
      <c r="AE317" s="223"/>
      <c r="AF317" s="261"/>
      <c r="AG317" s="252"/>
      <c r="AQ317" s="268"/>
      <c r="AR317" s="268"/>
      <c r="AS317" s="268"/>
      <c r="AT317" s="188"/>
      <c r="AW317" s="237"/>
      <c r="AX317" s="237"/>
      <c r="AY317" s="238"/>
    </row>
    <row r="318" spans="1:51" ht="12" customHeight="1">
      <c r="A318" s="247"/>
      <c r="B318" s="284" t="s">
        <v>146</v>
      </c>
      <c r="C318" s="240">
        <v>0</v>
      </c>
      <c r="D318" s="240">
        <v>0</v>
      </c>
      <c r="F318" s="249">
        <f t="shared" ref="F318:R318" si="111">SUM(F311:F316)</f>
        <v>31162.799999999999</v>
      </c>
      <c r="G318" s="249">
        <f t="shared" si="111"/>
        <v>31985.58</v>
      </c>
      <c r="H318" s="249">
        <f t="shared" si="111"/>
        <v>46709.3</v>
      </c>
      <c r="I318" s="249">
        <f t="shared" si="111"/>
        <v>19756.79</v>
      </c>
      <c r="J318" s="249">
        <f t="shared" si="111"/>
        <v>31400.04</v>
      </c>
      <c r="K318" s="249">
        <f t="shared" si="111"/>
        <v>37232.86</v>
      </c>
      <c r="L318" s="249">
        <f t="shared" si="111"/>
        <v>42917.34</v>
      </c>
      <c r="M318" s="249">
        <f t="shared" si="111"/>
        <v>38121.22</v>
      </c>
      <c r="N318" s="249">
        <f t="shared" si="111"/>
        <v>35867.269999999997</v>
      </c>
      <c r="O318" s="249">
        <f t="shared" si="111"/>
        <v>44920.33</v>
      </c>
      <c r="P318" s="249">
        <f t="shared" si="111"/>
        <v>22198.560000000001</v>
      </c>
      <c r="Q318" s="249">
        <f t="shared" si="111"/>
        <v>41120.980000000003</v>
      </c>
      <c r="R318" s="249">
        <f t="shared" si="111"/>
        <v>423393.07</v>
      </c>
      <c r="T318" s="223"/>
      <c r="U318" s="223"/>
      <c r="V318" s="223"/>
      <c r="W318" s="223"/>
      <c r="X318" s="223"/>
      <c r="Y318" s="223"/>
      <c r="Z318" s="223"/>
      <c r="AA318" s="223"/>
      <c r="AB318" s="223"/>
      <c r="AC318" s="223"/>
      <c r="AD318" s="223"/>
      <c r="AE318" s="223"/>
      <c r="AF318" s="261"/>
      <c r="AG318" s="252"/>
      <c r="AQ318" s="268"/>
      <c r="AR318" s="286">
        <f>SUM(AR311:AR317)</f>
        <v>423393.07</v>
      </c>
      <c r="AS318" s="286">
        <f>SUM(AS311:AS317)</f>
        <v>0</v>
      </c>
      <c r="AT318" s="188"/>
      <c r="AX318" s="286">
        <f>SUM(AX311:AX317)</f>
        <v>423393.07</v>
      </c>
      <c r="AY318" s="286">
        <f>SUM(AY311:AY317)</f>
        <v>0</v>
      </c>
    </row>
    <row r="319" spans="1:51" ht="12" customHeight="1">
      <c r="A319" s="247"/>
      <c r="B319" s="284"/>
      <c r="C319" s="240">
        <v>0</v>
      </c>
      <c r="D319" s="240">
        <v>0</v>
      </c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T319" s="223"/>
      <c r="U319" s="223"/>
      <c r="V319" s="223"/>
      <c r="W319" s="223"/>
      <c r="X319" s="223"/>
      <c r="Y319" s="223"/>
      <c r="Z319" s="223"/>
      <c r="AA319" s="223"/>
      <c r="AB319" s="223"/>
      <c r="AC319" s="223"/>
      <c r="AD319" s="223"/>
      <c r="AE319" s="223"/>
      <c r="AF319" s="261"/>
      <c r="AG319" s="252"/>
      <c r="AQ319" s="268"/>
      <c r="AR319" s="268"/>
      <c r="AS319" s="268"/>
      <c r="AT319" s="188"/>
    </row>
    <row r="320" spans="1:51" s="184" customFormat="1" ht="12" customHeight="1">
      <c r="A320" s="254" t="s">
        <v>744</v>
      </c>
      <c r="B320" s="254" t="s">
        <v>744</v>
      </c>
      <c r="C320" s="240">
        <v>0</v>
      </c>
      <c r="D320" s="240">
        <v>0</v>
      </c>
      <c r="E320" s="221"/>
      <c r="F320" s="259"/>
      <c r="G320" s="259"/>
      <c r="H320" s="259"/>
      <c r="I320" s="259"/>
      <c r="J320" s="259"/>
      <c r="K320" s="259"/>
      <c r="L320" s="259"/>
      <c r="M320" s="259"/>
      <c r="N320" s="259"/>
      <c r="O320" s="259"/>
      <c r="P320" s="259"/>
      <c r="Q320" s="259"/>
      <c r="R320" s="224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23"/>
      <c r="AF320" s="261"/>
      <c r="AG320" s="252"/>
      <c r="AK320" s="215"/>
      <c r="AP320" s="182"/>
      <c r="AQ320" s="263"/>
      <c r="AR320" s="263"/>
      <c r="AS320" s="263"/>
      <c r="AT320" s="182"/>
    </row>
    <row r="321" spans="1:51" s="184" customFormat="1" ht="12" customHeight="1">
      <c r="A321" s="244" t="s">
        <v>147</v>
      </c>
      <c r="B321" s="244" t="s">
        <v>745</v>
      </c>
      <c r="C321" s="240">
        <v>0</v>
      </c>
      <c r="D321" s="240">
        <v>0</v>
      </c>
      <c r="E321" s="221"/>
      <c r="F321" s="222">
        <v>506.3</v>
      </c>
      <c r="G321" s="222">
        <v>368.92</v>
      </c>
      <c r="H321" s="222">
        <v>281.91000000000003</v>
      </c>
      <c r="I321" s="222">
        <v>530.66000000000008</v>
      </c>
      <c r="J321" s="222">
        <v>459.07</v>
      </c>
      <c r="K321" s="222">
        <v>303.45</v>
      </c>
      <c r="L321" s="222">
        <v>353.64</v>
      </c>
      <c r="M321" s="222">
        <v>462.36</v>
      </c>
      <c r="N321" s="222">
        <v>357.40999999999997</v>
      </c>
      <c r="O321" s="222">
        <v>352.92</v>
      </c>
      <c r="P321" s="222">
        <v>516.16999999999996</v>
      </c>
      <c r="Q321" s="222">
        <v>391.7</v>
      </c>
      <c r="R321" s="224">
        <f t="shared" ref="R321:R326" si="112">+SUM(F321:Q321)</f>
        <v>4884.5099999999993</v>
      </c>
      <c r="T321" s="223"/>
      <c r="U321" s="223"/>
      <c r="V321" s="223"/>
      <c r="W321" s="223"/>
      <c r="X321" s="223"/>
      <c r="Y321" s="223"/>
      <c r="Z321" s="223"/>
      <c r="AA321" s="223"/>
      <c r="AB321" s="223"/>
      <c r="AC321" s="223"/>
      <c r="AD321" s="223"/>
      <c r="AE321" s="223"/>
      <c r="AF321" s="261"/>
      <c r="AG321" s="252"/>
      <c r="AK321" s="215"/>
      <c r="AP321" s="182"/>
      <c r="AQ321" s="263"/>
      <c r="AR321" s="263"/>
      <c r="AS321" s="263"/>
      <c r="AT321" s="182"/>
    </row>
    <row r="322" spans="1:51" s="184" customFormat="1" ht="12" customHeight="1">
      <c r="A322" s="244" t="s">
        <v>746</v>
      </c>
      <c r="B322" s="244" t="s">
        <v>747</v>
      </c>
      <c r="C322" s="240">
        <v>0</v>
      </c>
      <c r="D322" s="240">
        <v>0</v>
      </c>
      <c r="E322" s="221"/>
      <c r="F322" s="222">
        <v>0</v>
      </c>
      <c r="G322" s="222">
        <v>0</v>
      </c>
      <c r="H322" s="222">
        <v>0</v>
      </c>
      <c r="I322" s="222">
        <v>-530.66000000000008</v>
      </c>
      <c r="J322" s="222">
        <v>-459.07</v>
      </c>
      <c r="K322" s="222">
        <v>0</v>
      </c>
      <c r="L322" s="222">
        <v>0</v>
      </c>
      <c r="M322" s="222">
        <v>0</v>
      </c>
      <c r="N322" s="222">
        <v>0</v>
      </c>
      <c r="O322" s="222">
        <v>0</v>
      </c>
      <c r="P322" s="222">
        <v>0</v>
      </c>
      <c r="Q322" s="222">
        <v>0</v>
      </c>
      <c r="R322" s="224">
        <f t="shared" si="112"/>
        <v>-989.73</v>
      </c>
      <c r="T322" s="223"/>
      <c r="U322" s="223"/>
      <c r="V322" s="223"/>
      <c r="W322" s="223"/>
      <c r="X322" s="223"/>
      <c r="Y322" s="223"/>
      <c r="Z322" s="223"/>
      <c r="AA322" s="223"/>
      <c r="AB322" s="223"/>
      <c r="AC322" s="223"/>
      <c r="AD322" s="223"/>
      <c r="AE322" s="223"/>
      <c r="AF322" s="261"/>
      <c r="AG322" s="252"/>
      <c r="AK322" s="215"/>
      <c r="AP322" s="182"/>
      <c r="AQ322" s="263"/>
      <c r="AR322" s="263"/>
      <c r="AS322" s="263"/>
      <c r="AT322" s="182"/>
    </row>
    <row r="323" spans="1:51" s="184" customFormat="1" ht="12" customHeight="1">
      <c r="A323" s="244" t="s">
        <v>748</v>
      </c>
      <c r="B323" s="244" t="s">
        <v>749</v>
      </c>
      <c r="C323" s="240">
        <v>0</v>
      </c>
      <c r="D323" s="240">
        <v>0</v>
      </c>
      <c r="E323" s="221"/>
      <c r="F323" s="222">
        <v>-1.22</v>
      </c>
      <c r="G323" s="222">
        <v>-77.2</v>
      </c>
      <c r="H323" s="222">
        <v>-2</v>
      </c>
      <c r="I323" s="222">
        <v>0</v>
      </c>
      <c r="J323" s="222">
        <v>0</v>
      </c>
      <c r="K323" s="222">
        <v>0</v>
      </c>
      <c r="L323" s="222">
        <v>-3.5</v>
      </c>
      <c r="M323" s="222">
        <v>-8.9499999999999993</v>
      </c>
      <c r="N323" s="222">
        <v>-1</v>
      </c>
      <c r="O323" s="222">
        <v>-29.42</v>
      </c>
      <c r="P323" s="222">
        <v>-4</v>
      </c>
      <c r="Q323" s="222">
        <v>-24.86</v>
      </c>
      <c r="R323" s="224">
        <f t="shared" si="112"/>
        <v>-152.15</v>
      </c>
      <c r="T323" s="223"/>
      <c r="U323" s="223"/>
      <c r="V323" s="223"/>
      <c r="W323" s="223"/>
      <c r="X323" s="223"/>
      <c r="Y323" s="223"/>
      <c r="Z323" s="223"/>
      <c r="AA323" s="223"/>
      <c r="AB323" s="223"/>
      <c r="AC323" s="223"/>
      <c r="AD323" s="223"/>
      <c r="AE323" s="223"/>
      <c r="AF323" s="261"/>
      <c r="AG323" s="252"/>
      <c r="AK323" s="215"/>
      <c r="AP323" s="182"/>
      <c r="AQ323" s="263"/>
      <c r="AR323" s="263"/>
      <c r="AS323" s="263"/>
      <c r="AT323" s="182"/>
    </row>
    <row r="324" spans="1:51" s="184" customFormat="1" ht="12" customHeight="1">
      <c r="A324" s="244" t="s">
        <v>750</v>
      </c>
      <c r="B324" s="244" t="s">
        <v>751</v>
      </c>
      <c r="C324" s="240">
        <v>0</v>
      </c>
      <c r="D324" s="240">
        <v>0</v>
      </c>
      <c r="E324" s="221"/>
      <c r="F324" s="222">
        <v>0</v>
      </c>
      <c r="G324" s="222">
        <v>-39.049999999999997</v>
      </c>
      <c r="H324" s="222">
        <v>-14.63</v>
      </c>
      <c r="I324" s="222">
        <v>-1.89</v>
      </c>
      <c r="J324" s="222">
        <v>-69.44</v>
      </c>
      <c r="K324" s="222">
        <v>-28.21</v>
      </c>
      <c r="L324" s="222">
        <v>0</v>
      </c>
      <c r="M324" s="222">
        <v>-102.55000000000001</v>
      </c>
      <c r="N324" s="222">
        <v>0</v>
      </c>
      <c r="O324" s="222">
        <v>0</v>
      </c>
      <c r="P324" s="222">
        <v>-7.08</v>
      </c>
      <c r="Q324" s="222">
        <v>-8.36</v>
      </c>
      <c r="R324" s="224">
        <f t="shared" si="112"/>
        <v>-271.21000000000004</v>
      </c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3"/>
      <c r="AD324" s="223"/>
      <c r="AE324" s="223"/>
      <c r="AF324" s="261"/>
      <c r="AG324" s="252"/>
      <c r="AK324" s="215"/>
      <c r="AP324" s="182"/>
      <c r="AQ324" s="263"/>
      <c r="AR324" s="263"/>
      <c r="AS324" s="263"/>
      <c r="AT324" s="182"/>
    </row>
    <row r="325" spans="1:51" s="184" customFormat="1" ht="12" customHeight="1">
      <c r="A325" s="244" t="s">
        <v>752</v>
      </c>
      <c r="B325" s="244" t="s">
        <v>753</v>
      </c>
      <c r="C325" s="240">
        <v>22.07</v>
      </c>
      <c r="D325" s="240">
        <v>22.13</v>
      </c>
      <c r="E325" s="221"/>
      <c r="F325" s="222">
        <v>0</v>
      </c>
      <c r="G325" s="222">
        <v>110.65</v>
      </c>
      <c r="H325" s="222">
        <v>22.13</v>
      </c>
      <c r="I325" s="222">
        <v>0</v>
      </c>
      <c r="J325" s="222">
        <v>22.07</v>
      </c>
      <c r="K325" s="222">
        <v>22.07</v>
      </c>
      <c r="L325" s="222">
        <v>22.07</v>
      </c>
      <c r="M325" s="222">
        <v>22.07</v>
      </c>
      <c r="N325" s="222">
        <v>198.63</v>
      </c>
      <c r="O325" s="222">
        <v>0</v>
      </c>
      <c r="P325" s="222">
        <v>42.129999999999995</v>
      </c>
      <c r="Q325" s="222">
        <v>44.26</v>
      </c>
      <c r="R325" s="224">
        <f t="shared" si="112"/>
        <v>506.07999999999993</v>
      </c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3"/>
      <c r="AD325" s="223"/>
      <c r="AE325" s="223"/>
      <c r="AF325" s="261"/>
      <c r="AG325" s="252"/>
      <c r="AK325" s="215"/>
      <c r="AP325" s="182"/>
      <c r="AQ325" s="263"/>
      <c r="AR325" s="263"/>
      <c r="AS325" s="263"/>
      <c r="AT325" s="182"/>
    </row>
    <row r="326" spans="1:51" s="184" customFormat="1" ht="12" customHeight="1">
      <c r="A326" s="291" t="s">
        <v>754</v>
      </c>
      <c r="B326" s="291" t="s">
        <v>755</v>
      </c>
      <c r="C326" s="240">
        <v>0</v>
      </c>
      <c r="D326" s="240">
        <v>0</v>
      </c>
      <c r="E326" s="221"/>
      <c r="F326" s="222">
        <v>0</v>
      </c>
      <c r="G326" s="222">
        <v>0</v>
      </c>
      <c r="H326" s="222">
        <v>0</v>
      </c>
      <c r="I326" s="222">
        <v>0</v>
      </c>
      <c r="J326" s="222">
        <v>0</v>
      </c>
      <c r="K326" s="222">
        <v>0</v>
      </c>
      <c r="L326" s="222">
        <v>0</v>
      </c>
      <c r="M326" s="222">
        <v>0</v>
      </c>
      <c r="N326" s="222">
        <v>0</v>
      </c>
      <c r="O326" s="222">
        <v>0</v>
      </c>
      <c r="P326" s="222">
        <v>0</v>
      </c>
      <c r="Q326" s="222">
        <v>0</v>
      </c>
      <c r="R326" s="224">
        <f t="shared" si="112"/>
        <v>0</v>
      </c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3"/>
      <c r="AD326" s="223"/>
      <c r="AE326" s="223"/>
      <c r="AF326" s="261"/>
      <c r="AG326" s="252"/>
      <c r="AK326" s="215"/>
      <c r="AP326" s="182"/>
      <c r="AQ326" s="263"/>
      <c r="AR326" s="263"/>
      <c r="AS326" s="263"/>
      <c r="AT326" s="182"/>
    </row>
    <row r="327" spans="1:51" s="184" customFormat="1" ht="12" customHeight="1">
      <c r="A327" s="258"/>
      <c r="B327" s="248" t="s">
        <v>148</v>
      </c>
      <c r="C327" s="221"/>
      <c r="D327" s="221"/>
      <c r="E327" s="221"/>
      <c r="F327" s="249">
        <f t="shared" ref="F327:R327" si="113">SUM(F321:F326)</f>
        <v>505.08</v>
      </c>
      <c r="G327" s="249">
        <f t="shared" si="113"/>
        <v>363.32000000000005</v>
      </c>
      <c r="H327" s="249">
        <f t="shared" si="113"/>
        <v>287.41000000000003</v>
      </c>
      <c r="I327" s="249">
        <f t="shared" si="113"/>
        <v>-1.89</v>
      </c>
      <c r="J327" s="249">
        <f t="shared" si="113"/>
        <v>-47.37</v>
      </c>
      <c r="K327" s="249">
        <f t="shared" si="113"/>
        <v>297.31</v>
      </c>
      <c r="L327" s="249">
        <f t="shared" si="113"/>
        <v>372.21</v>
      </c>
      <c r="M327" s="249">
        <f t="shared" si="113"/>
        <v>372.93</v>
      </c>
      <c r="N327" s="249">
        <f t="shared" si="113"/>
        <v>555.04</v>
      </c>
      <c r="O327" s="249">
        <f t="shared" si="113"/>
        <v>323.5</v>
      </c>
      <c r="P327" s="249">
        <f t="shared" si="113"/>
        <v>547.22</v>
      </c>
      <c r="Q327" s="249">
        <f t="shared" si="113"/>
        <v>402.73999999999995</v>
      </c>
      <c r="R327" s="249">
        <f t="shared" si="113"/>
        <v>3977.4999999999991</v>
      </c>
      <c r="T327" s="223"/>
      <c r="U327" s="223"/>
      <c r="V327" s="223"/>
      <c r="W327" s="223"/>
      <c r="X327" s="223"/>
      <c r="Y327" s="223"/>
      <c r="Z327" s="223"/>
      <c r="AA327" s="223"/>
      <c r="AB327" s="223"/>
      <c r="AC327" s="223"/>
      <c r="AD327" s="223"/>
      <c r="AE327" s="223"/>
      <c r="AF327" s="261"/>
      <c r="AG327" s="252"/>
      <c r="AK327" s="215"/>
      <c r="AP327" s="182"/>
      <c r="AQ327" s="263"/>
      <c r="AR327" s="263"/>
      <c r="AS327" s="263"/>
      <c r="AT327" s="182"/>
    </row>
    <row r="328" spans="1:51" ht="12" customHeight="1">
      <c r="A328" s="247"/>
      <c r="B328" s="284"/>
      <c r="T328" s="223"/>
      <c r="U328" s="223"/>
      <c r="V328" s="223"/>
      <c r="W328" s="223"/>
      <c r="X328" s="223"/>
      <c r="Y328" s="223"/>
      <c r="Z328" s="223"/>
      <c r="AA328" s="223"/>
      <c r="AB328" s="223"/>
      <c r="AC328" s="223"/>
      <c r="AD328" s="223"/>
      <c r="AE328" s="223"/>
      <c r="AF328" s="261"/>
      <c r="AG328" s="252"/>
      <c r="AQ328" s="268"/>
      <c r="AR328" s="268"/>
      <c r="AS328" s="268"/>
      <c r="AT328" s="188"/>
    </row>
    <row r="329" spans="1:51" ht="12" customHeight="1">
      <c r="A329" s="197"/>
      <c r="B329" s="264" t="s">
        <v>756</v>
      </c>
      <c r="F329" s="249">
        <f t="shared" ref="F329:R329" si="114">SUM(F115,F122,F252,F308,F318,F327)</f>
        <v>368277.3</v>
      </c>
      <c r="G329" s="249">
        <f t="shared" si="114"/>
        <v>369235.50999999995</v>
      </c>
      <c r="H329" s="249">
        <f t="shared" si="114"/>
        <v>400861.99999999988</v>
      </c>
      <c r="I329" s="249">
        <f t="shared" si="114"/>
        <v>338738.77999999997</v>
      </c>
      <c r="J329" s="249">
        <f t="shared" si="114"/>
        <v>356727.36000000004</v>
      </c>
      <c r="K329" s="249">
        <f t="shared" si="114"/>
        <v>378505.65500000003</v>
      </c>
      <c r="L329" s="249">
        <f t="shared" si="114"/>
        <v>417189.65499999997</v>
      </c>
      <c r="M329" s="249">
        <f t="shared" si="114"/>
        <v>395684.02000000008</v>
      </c>
      <c r="N329" s="249">
        <f t="shared" si="114"/>
        <v>397587.49000000005</v>
      </c>
      <c r="O329" s="249">
        <f t="shared" si="114"/>
        <v>405366.28</v>
      </c>
      <c r="P329" s="249">
        <f t="shared" si="114"/>
        <v>355756.23499999993</v>
      </c>
      <c r="Q329" s="249">
        <f t="shared" si="114"/>
        <v>382938.32500000001</v>
      </c>
      <c r="R329" s="249">
        <f t="shared" si="114"/>
        <v>4566868.6100000003</v>
      </c>
      <c r="T329" s="223"/>
      <c r="U329" s="223"/>
      <c r="V329" s="223"/>
      <c r="W329" s="223"/>
      <c r="X329" s="223"/>
      <c r="Y329" s="223"/>
      <c r="Z329" s="223"/>
      <c r="AA329" s="223"/>
      <c r="AB329" s="223"/>
      <c r="AC329" s="223"/>
      <c r="AD329" s="223"/>
      <c r="AE329" s="223"/>
      <c r="AF329" s="261"/>
      <c r="AG329" s="252"/>
      <c r="AQ329" s="268"/>
      <c r="AR329" s="286">
        <f>SUM(AR115,AR122,AR252,AR308,AR318)</f>
        <v>4830006.6075822832</v>
      </c>
      <c r="AS329" s="286">
        <f>SUM(AS115,AS122,AS252,AS308,AS318)</f>
        <v>267115.49758228264</v>
      </c>
      <c r="AT329" s="188"/>
      <c r="AX329" s="286">
        <f>SUM(AX115,AX122,AX252,AX308,AX318)</f>
        <v>4847458.75774848</v>
      </c>
      <c r="AY329" s="286">
        <f>SUM(AY115,AY122,AY252,AY308,AY318)</f>
        <v>17452.150166196447</v>
      </c>
    </row>
    <row r="330" spans="1:51" ht="13.5" thickBot="1">
      <c r="A330" s="197"/>
      <c r="B330" s="197"/>
      <c r="R330" s="292"/>
      <c r="AQ330" s="268"/>
      <c r="AR330" s="268"/>
      <c r="AS330" s="268"/>
      <c r="AT330" s="188"/>
    </row>
    <row r="331" spans="1:51">
      <c r="AN331" s="293" t="s">
        <v>757</v>
      </c>
      <c r="AO331" s="294">
        <f>SUM(AO111:AO309)</f>
        <v>15415.246642329155</v>
      </c>
      <c r="AQ331" s="295"/>
      <c r="AR331" s="296" t="s">
        <v>758</v>
      </c>
      <c r="AS331" s="296" t="s">
        <v>759</v>
      </c>
      <c r="AT331" s="297" t="s">
        <v>760</v>
      </c>
    </row>
    <row r="332" spans="1:51">
      <c r="AN332" s="287" t="s">
        <v>149</v>
      </c>
      <c r="AO332" s="255">
        <v>0</v>
      </c>
      <c r="AQ332" s="298" t="s">
        <v>165</v>
      </c>
      <c r="AR332" s="299">
        <f>'[34]LG BRG Public - MSW'!J20</f>
        <v>297548.43680074485</v>
      </c>
      <c r="AS332" s="299">
        <f>AS329-AS122</f>
        <v>297400.82350213616</v>
      </c>
      <c r="AT332" s="300">
        <f>AS332-AR332</f>
        <v>-147.61329860868864</v>
      </c>
    </row>
    <row r="333" spans="1:51" ht="13.5" thickBot="1">
      <c r="F333" s="301"/>
      <c r="G333" s="301"/>
      <c r="AQ333" s="302" t="s">
        <v>169</v>
      </c>
      <c r="AR333" s="303">
        <f>'[34]LG BRG Public - Recycle'!J20</f>
        <v>-31578.017917077872</v>
      </c>
      <c r="AS333" s="303">
        <f>AS122</f>
        <v>-30285.325919853494</v>
      </c>
      <c r="AT333" s="304">
        <f>AS333-AR333</f>
        <v>1292.6919972243777</v>
      </c>
    </row>
    <row r="334" spans="1:51">
      <c r="AQ334" s="305"/>
      <c r="AR334" s="305"/>
      <c r="AS334" s="305"/>
      <c r="AT334" s="239"/>
    </row>
    <row r="335" spans="1:51">
      <c r="AQ335" s="305"/>
      <c r="AR335" s="305"/>
      <c r="AS335" s="305"/>
      <c r="AT335" s="239"/>
    </row>
    <row r="336" spans="1:51">
      <c r="AQ336" s="305"/>
      <c r="AR336" s="305"/>
      <c r="AS336" s="305"/>
      <c r="AT336" s="239"/>
    </row>
    <row r="337" spans="43:46">
      <c r="AQ337" s="268"/>
      <c r="AR337" s="268"/>
      <c r="AS337" s="268"/>
      <c r="AT337" s="188"/>
    </row>
    <row r="338" spans="43:46">
      <c r="AQ338" s="268"/>
      <c r="AR338" s="268"/>
      <c r="AS338" s="268"/>
      <c r="AT338" s="188"/>
    </row>
    <row r="339" spans="43:46">
      <c r="AQ339" s="268"/>
      <c r="AR339" s="268"/>
      <c r="AS339" s="268"/>
      <c r="AT339" s="188"/>
    </row>
    <row r="340" spans="43:46">
      <c r="AQ340" s="268"/>
      <c r="AR340" s="268"/>
      <c r="AS340" s="268"/>
      <c r="AT340" s="188"/>
    </row>
    <row r="341" spans="43:46">
      <c r="AQ341" s="268"/>
      <c r="AR341" s="268"/>
      <c r="AS341" s="268"/>
      <c r="AT341" s="188"/>
    </row>
    <row r="342" spans="43:46">
      <c r="AQ342" s="268"/>
      <c r="AR342" s="268"/>
      <c r="AS342" s="268"/>
      <c r="AT342" s="188"/>
    </row>
    <row r="343" spans="43:46">
      <c r="AQ343" s="268"/>
      <c r="AR343" s="268"/>
      <c r="AS343" s="268"/>
      <c r="AT343" s="188"/>
    </row>
    <row r="344" spans="43:46">
      <c r="AQ344" s="268"/>
      <c r="AR344" s="268"/>
      <c r="AS344" s="268"/>
      <c r="AT344" s="188"/>
    </row>
    <row r="345" spans="43:46">
      <c r="AQ345" s="268"/>
      <c r="AR345" s="268"/>
      <c r="AS345" s="268"/>
      <c r="AT345" s="188"/>
    </row>
    <row r="346" spans="43:46">
      <c r="AQ346" s="268"/>
      <c r="AR346" s="268"/>
      <c r="AS346" s="268"/>
      <c r="AT346" s="188"/>
    </row>
    <row r="347" spans="43:46">
      <c r="AQ347" s="268"/>
      <c r="AR347" s="268"/>
      <c r="AS347" s="268"/>
      <c r="AT347" s="188"/>
    </row>
    <row r="348" spans="43:46">
      <c r="AQ348" s="268"/>
      <c r="AR348" s="268"/>
      <c r="AS348" s="268"/>
      <c r="AT348" s="188"/>
    </row>
    <row r="349" spans="43:46">
      <c r="AQ349" s="268"/>
      <c r="AR349" s="268"/>
      <c r="AS349" s="268"/>
      <c r="AT349" s="188"/>
    </row>
    <row r="350" spans="43:46">
      <c r="AQ350" s="268"/>
      <c r="AR350" s="268"/>
      <c r="AS350" s="268"/>
      <c r="AT350" s="188"/>
    </row>
    <row r="351" spans="43:46">
      <c r="AQ351" s="268"/>
      <c r="AR351" s="268"/>
      <c r="AS351" s="268"/>
      <c r="AT351" s="188"/>
    </row>
    <row r="352" spans="43:46">
      <c r="AQ352" s="268"/>
      <c r="AR352" s="268"/>
      <c r="AS352" s="268"/>
      <c r="AT352" s="188"/>
    </row>
    <row r="353" spans="43:46">
      <c r="AQ353" s="268"/>
      <c r="AR353" s="268"/>
      <c r="AS353" s="268"/>
      <c r="AT353" s="188"/>
    </row>
    <row r="354" spans="43:46">
      <c r="AQ354" s="268"/>
      <c r="AR354" s="268"/>
      <c r="AS354" s="268"/>
      <c r="AT354" s="188"/>
    </row>
    <row r="355" spans="43:46">
      <c r="AQ355" s="268"/>
      <c r="AR355" s="268"/>
      <c r="AS355" s="268"/>
      <c r="AT355" s="188"/>
    </row>
    <row r="356" spans="43:46">
      <c r="AQ356" s="268"/>
      <c r="AR356" s="268"/>
      <c r="AS356" s="268"/>
      <c r="AT356" s="188"/>
    </row>
    <row r="357" spans="43:46">
      <c r="AQ357" s="268"/>
      <c r="AR357" s="268"/>
      <c r="AS357" s="268"/>
      <c r="AT357" s="188"/>
    </row>
    <row r="358" spans="43:46">
      <c r="AQ358" s="268"/>
      <c r="AR358" s="268"/>
      <c r="AS358" s="268"/>
      <c r="AT358" s="188"/>
    </row>
    <row r="359" spans="43:46">
      <c r="AQ359" s="268"/>
      <c r="AR359" s="268"/>
      <c r="AS359" s="268"/>
      <c r="AT359" s="188"/>
    </row>
    <row r="360" spans="43:46">
      <c r="AQ360" s="268"/>
      <c r="AR360" s="268"/>
      <c r="AS360" s="268"/>
      <c r="AT360" s="188"/>
    </row>
    <row r="361" spans="43:46">
      <c r="AQ361" s="268"/>
      <c r="AR361" s="268"/>
      <c r="AS361" s="268"/>
      <c r="AT361" s="188"/>
    </row>
    <row r="362" spans="43:46">
      <c r="AQ362" s="268"/>
      <c r="AR362" s="268"/>
      <c r="AS362" s="268"/>
      <c r="AT362" s="188"/>
    </row>
    <row r="363" spans="43:46">
      <c r="AQ363" s="268"/>
      <c r="AR363" s="268"/>
      <c r="AS363" s="268"/>
      <c r="AT363" s="188"/>
    </row>
    <row r="364" spans="43:46">
      <c r="AQ364" s="268"/>
      <c r="AR364" s="268"/>
      <c r="AS364" s="268"/>
      <c r="AT364" s="188"/>
    </row>
    <row r="365" spans="43:46">
      <c r="AQ365" s="268"/>
      <c r="AR365" s="268"/>
      <c r="AS365" s="268"/>
      <c r="AT365" s="188"/>
    </row>
    <row r="366" spans="43:46">
      <c r="AQ366" s="268"/>
      <c r="AR366" s="268"/>
      <c r="AS366" s="268"/>
      <c r="AT366" s="188"/>
    </row>
    <row r="367" spans="43:46">
      <c r="AQ367" s="268"/>
      <c r="AR367" s="268"/>
      <c r="AS367" s="268"/>
      <c r="AT367" s="188"/>
    </row>
    <row r="368" spans="43:46">
      <c r="AQ368" s="268"/>
      <c r="AR368" s="268"/>
      <c r="AS368" s="268"/>
      <c r="AT368" s="188"/>
    </row>
    <row r="369" spans="43:46">
      <c r="AQ369" s="268"/>
      <c r="AR369" s="268"/>
      <c r="AS369" s="268"/>
      <c r="AT369" s="188"/>
    </row>
    <row r="370" spans="43:46">
      <c r="AQ370" s="268"/>
      <c r="AR370" s="268"/>
      <c r="AS370" s="268"/>
      <c r="AT370" s="188"/>
    </row>
    <row r="371" spans="43:46">
      <c r="AQ371" s="268"/>
      <c r="AR371" s="268"/>
      <c r="AS371" s="268"/>
      <c r="AT371" s="188"/>
    </row>
    <row r="372" spans="43:46">
      <c r="AQ372" s="268"/>
      <c r="AR372" s="268"/>
      <c r="AS372" s="268"/>
      <c r="AT372" s="188"/>
    </row>
    <row r="373" spans="43:46">
      <c r="AQ373" s="268"/>
      <c r="AR373" s="268"/>
      <c r="AS373" s="268"/>
      <c r="AT373" s="188"/>
    </row>
    <row r="374" spans="43:46">
      <c r="AQ374" s="268"/>
      <c r="AR374" s="268"/>
      <c r="AS374" s="268"/>
      <c r="AT374" s="188"/>
    </row>
    <row r="375" spans="43:46">
      <c r="AQ375" s="268"/>
      <c r="AR375" s="268"/>
      <c r="AS375" s="268"/>
      <c r="AT375" s="188"/>
    </row>
    <row r="376" spans="43:46">
      <c r="AQ376" s="268"/>
      <c r="AR376" s="268"/>
      <c r="AS376" s="268"/>
      <c r="AT376" s="188"/>
    </row>
    <row r="377" spans="43:46">
      <c r="AQ377" s="268"/>
      <c r="AR377" s="268"/>
      <c r="AS377" s="268"/>
      <c r="AT377" s="188"/>
    </row>
    <row r="378" spans="43:46">
      <c r="AQ378" s="268"/>
      <c r="AR378" s="268"/>
      <c r="AS378" s="268"/>
      <c r="AT378" s="188"/>
    </row>
    <row r="379" spans="43:46">
      <c r="AQ379" s="268"/>
      <c r="AR379" s="268"/>
      <c r="AS379" s="268"/>
      <c r="AT379" s="188"/>
    </row>
    <row r="380" spans="43:46">
      <c r="AQ380" s="268"/>
      <c r="AR380" s="268"/>
      <c r="AS380" s="268"/>
      <c r="AT380" s="188"/>
    </row>
    <row r="381" spans="43:46">
      <c r="AQ381" s="268"/>
      <c r="AR381" s="268"/>
      <c r="AS381" s="268"/>
      <c r="AT381" s="188"/>
    </row>
    <row r="382" spans="43:46">
      <c r="AQ382" s="268"/>
      <c r="AR382" s="268"/>
      <c r="AS382" s="268"/>
      <c r="AT382" s="188"/>
    </row>
    <row r="383" spans="43:46">
      <c r="AQ383" s="268"/>
      <c r="AR383" s="268"/>
      <c r="AS383" s="268"/>
      <c r="AT383" s="188"/>
    </row>
    <row r="384" spans="43:46">
      <c r="AQ384" s="268"/>
      <c r="AR384" s="268"/>
      <c r="AS384" s="268"/>
      <c r="AT384" s="188"/>
    </row>
    <row r="385" spans="43:46">
      <c r="AQ385" s="268"/>
      <c r="AR385" s="268"/>
      <c r="AS385" s="268"/>
      <c r="AT385" s="188"/>
    </row>
    <row r="386" spans="43:46">
      <c r="AQ386" s="268"/>
      <c r="AR386" s="268"/>
      <c r="AS386" s="268"/>
      <c r="AT386" s="188"/>
    </row>
    <row r="387" spans="43:46">
      <c r="AQ387" s="268"/>
      <c r="AR387" s="268"/>
      <c r="AS387" s="268"/>
      <c r="AT387" s="188"/>
    </row>
    <row r="388" spans="43:46">
      <c r="AQ388" s="268"/>
      <c r="AR388" s="268"/>
      <c r="AS388" s="268"/>
      <c r="AT388" s="188"/>
    </row>
    <row r="389" spans="43:46">
      <c r="AQ389" s="268"/>
      <c r="AR389" s="268"/>
      <c r="AS389" s="268"/>
      <c r="AT389" s="188"/>
    </row>
    <row r="390" spans="43:46">
      <c r="AQ390" s="268"/>
      <c r="AR390" s="268"/>
      <c r="AS390" s="268"/>
      <c r="AT390" s="188"/>
    </row>
    <row r="391" spans="43:46">
      <c r="AQ391" s="268"/>
      <c r="AR391" s="268"/>
      <c r="AS391" s="268"/>
      <c r="AT391" s="188"/>
    </row>
    <row r="392" spans="43:46">
      <c r="AQ392" s="268"/>
      <c r="AR392" s="268"/>
      <c r="AS392" s="268"/>
      <c r="AT392" s="188"/>
    </row>
    <row r="393" spans="43:46">
      <c r="AQ393" s="268"/>
      <c r="AR393" s="268"/>
      <c r="AS393" s="268"/>
      <c r="AT393" s="188"/>
    </row>
    <row r="394" spans="43:46">
      <c r="AQ394" s="268"/>
      <c r="AR394" s="268"/>
      <c r="AS394" s="268"/>
      <c r="AT394" s="188"/>
    </row>
    <row r="395" spans="43:46">
      <c r="AQ395" s="268"/>
      <c r="AR395" s="268"/>
      <c r="AS395" s="268"/>
      <c r="AT395" s="188"/>
    </row>
    <row r="396" spans="43:46">
      <c r="AQ396" s="268"/>
      <c r="AR396" s="268"/>
      <c r="AS396" s="268"/>
      <c r="AT396" s="188"/>
    </row>
    <row r="397" spans="43:46">
      <c r="AQ397" s="268"/>
      <c r="AR397" s="268"/>
      <c r="AS397" s="268"/>
      <c r="AT397" s="188"/>
    </row>
    <row r="398" spans="43:46">
      <c r="AQ398" s="268"/>
      <c r="AR398" s="268"/>
      <c r="AS398" s="268"/>
      <c r="AT398" s="188"/>
    </row>
    <row r="399" spans="43:46">
      <c r="AQ399" s="268"/>
      <c r="AR399" s="268"/>
      <c r="AS399" s="268"/>
      <c r="AT399" s="188"/>
    </row>
    <row r="400" spans="43:46">
      <c r="AQ400" s="268"/>
      <c r="AR400" s="268"/>
      <c r="AS400" s="268"/>
      <c r="AT400" s="188"/>
    </row>
    <row r="401" spans="43:46">
      <c r="AQ401" s="268"/>
      <c r="AR401" s="268"/>
      <c r="AS401" s="268"/>
      <c r="AT401" s="188"/>
    </row>
    <row r="402" spans="43:46">
      <c r="AQ402" s="268"/>
      <c r="AR402" s="268"/>
      <c r="AS402" s="268"/>
      <c r="AT402" s="188"/>
    </row>
    <row r="403" spans="43:46">
      <c r="AQ403" s="268"/>
      <c r="AR403" s="268"/>
      <c r="AS403" s="268"/>
      <c r="AT403" s="188"/>
    </row>
    <row r="404" spans="43:46">
      <c r="AQ404" s="268"/>
      <c r="AR404" s="268"/>
      <c r="AS404" s="268"/>
      <c r="AT404" s="188"/>
    </row>
    <row r="405" spans="43:46">
      <c r="AQ405" s="268"/>
      <c r="AR405" s="268"/>
      <c r="AS405" s="268"/>
      <c r="AT405" s="188"/>
    </row>
    <row r="406" spans="43:46">
      <c r="AQ406" s="268"/>
      <c r="AR406" s="268"/>
      <c r="AS406" s="268"/>
      <c r="AT406" s="188"/>
    </row>
    <row r="407" spans="43:46">
      <c r="AQ407" s="268"/>
      <c r="AR407" s="268"/>
      <c r="AS407" s="268"/>
      <c r="AT407" s="188"/>
    </row>
    <row r="408" spans="43:46">
      <c r="AQ408" s="268"/>
      <c r="AR408" s="268"/>
      <c r="AS408" s="268"/>
      <c r="AT408" s="188"/>
    </row>
    <row r="409" spans="43:46">
      <c r="AQ409" s="268"/>
      <c r="AR409" s="268"/>
      <c r="AS409" s="268"/>
      <c r="AT409" s="188"/>
    </row>
    <row r="410" spans="43:46">
      <c r="AQ410" s="268"/>
      <c r="AR410" s="268"/>
      <c r="AS410" s="268"/>
      <c r="AT410" s="188"/>
    </row>
    <row r="411" spans="43:46">
      <c r="AQ411" s="268"/>
      <c r="AR411" s="268"/>
      <c r="AS411" s="268"/>
      <c r="AT411" s="188"/>
    </row>
    <row r="412" spans="43:46">
      <c r="AQ412" s="268"/>
      <c r="AR412" s="268"/>
      <c r="AS412" s="268"/>
      <c r="AT412" s="188"/>
    </row>
    <row r="413" spans="43:46">
      <c r="AQ413" s="268"/>
      <c r="AR413" s="268"/>
      <c r="AS413" s="268"/>
      <c r="AT413" s="188"/>
    </row>
    <row r="414" spans="43:46">
      <c r="AQ414" s="268"/>
      <c r="AR414" s="268"/>
      <c r="AS414" s="268"/>
      <c r="AT414" s="188"/>
    </row>
    <row r="415" spans="43:46">
      <c r="AQ415" s="268"/>
      <c r="AR415" s="268"/>
      <c r="AS415" s="268"/>
      <c r="AT415" s="188"/>
    </row>
    <row r="416" spans="43:46">
      <c r="AQ416" s="268"/>
      <c r="AR416" s="268"/>
      <c r="AS416" s="268"/>
      <c r="AT416" s="188"/>
    </row>
    <row r="417" spans="43:46">
      <c r="AQ417" s="268"/>
      <c r="AR417" s="268"/>
      <c r="AS417" s="268"/>
      <c r="AT417" s="188"/>
    </row>
    <row r="418" spans="43:46">
      <c r="AQ418" s="268"/>
      <c r="AR418" s="268"/>
      <c r="AS418" s="268"/>
      <c r="AT418" s="188"/>
    </row>
    <row r="419" spans="43:46">
      <c r="AQ419" s="268"/>
      <c r="AR419" s="268"/>
      <c r="AS419" s="268"/>
      <c r="AT419" s="188"/>
    </row>
    <row r="420" spans="43:46">
      <c r="AQ420" s="268"/>
      <c r="AR420" s="268"/>
      <c r="AS420" s="268"/>
      <c r="AT420" s="188"/>
    </row>
    <row r="421" spans="43:46">
      <c r="AQ421" s="268"/>
      <c r="AR421" s="268"/>
      <c r="AS421" s="268"/>
      <c r="AT421" s="188"/>
    </row>
    <row r="422" spans="43:46">
      <c r="AQ422" s="268"/>
      <c r="AR422" s="268"/>
      <c r="AS422" s="268"/>
      <c r="AT422" s="188"/>
    </row>
    <row r="423" spans="43:46">
      <c r="AQ423" s="268"/>
      <c r="AR423" s="268"/>
      <c r="AS423" s="268"/>
      <c r="AT423" s="188"/>
    </row>
    <row r="424" spans="43:46">
      <c r="AQ424" s="268"/>
      <c r="AR424" s="268"/>
      <c r="AS424" s="268"/>
      <c r="AT424" s="188"/>
    </row>
    <row r="425" spans="43:46">
      <c r="AQ425" s="268"/>
      <c r="AR425" s="268"/>
      <c r="AS425" s="268"/>
      <c r="AT425" s="188"/>
    </row>
    <row r="426" spans="43:46">
      <c r="AQ426" s="268"/>
      <c r="AR426" s="268"/>
      <c r="AS426" s="268"/>
      <c r="AT426" s="188"/>
    </row>
    <row r="427" spans="43:46">
      <c r="AQ427" s="268"/>
      <c r="AR427" s="268"/>
      <c r="AS427" s="268"/>
      <c r="AT427" s="188"/>
    </row>
    <row r="428" spans="43:46">
      <c r="AQ428" s="268"/>
      <c r="AR428" s="268"/>
      <c r="AS428" s="268"/>
      <c r="AT428" s="188"/>
    </row>
    <row r="429" spans="43:46">
      <c r="AQ429" s="268"/>
      <c r="AR429" s="268"/>
      <c r="AS429" s="268"/>
      <c r="AT429" s="188"/>
    </row>
    <row r="430" spans="43:46">
      <c r="AQ430" s="268"/>
      <c r="AR430" s="268"/>
      <c r="AS430" s="268"/>
      <c r="AT430" s="188"/>
    </row>
    <row r="431" spans="43:46">
      <c r="AQ431" s="268"/>
      <c r="AR431" s="268"/>
      <c r="AS431" s="268"/>
      <c r="AT431" s="188"/>
    </row>
    <row r="432" spans="43:46">
      <c r="AQ432" s="268"/>
      <c r="AR432" s="268"/>
      <c r="AS432" s="268"/>
      <c r="AT432" s="188"/>
    </row>
    <row r="433" spans="43:46">
      <c r="AQ433" s="268"/>
      <c r="AR433" s="268"/>
      <c r="AS433" s="268"/>
      <c r="AT433" s="188"/>
    </row>
    <row r="434" spans="43:46">
      <c r="AQ434" s="268"/>
      <c r="AR434" s="268"/>
      <c r="AS434" s="268"/>
      <c r="AT434" s="188"/>
    </row>
    <row r="435" spans="43:46">
      <c r="AQ435" s="268"/>
      <c r="AR435" s="268"/>
      <c r="AS435" s="268"/>
      <c r="AT435" s="188"/>
    </row>
    <row r="436" spans="43:46">
      <c r="AQ436" s="268"/>
      <c r="AR436" s="268"/>
      <c r="AS436" s="268"/>
      <c r="AT436" s="188"/>
    </row>
    <row r="437" spans="43:46">
      <c r="AQ437" s="268"/>
      <c r="AR437" s="268"/>
      <c r="AS437" s="268"/>
      <c r="AT437" s="188"/>
    </row>
    <row r="438" spans="43:46">
      <c r="AQ438" s="268"/>
      <c r="AR438" s="268"/>
      <c r="AS438" s="268"/>
      <c r="AT438" s="188"/>
    </row>
    <row r="439" spans="43:46">
      <c r="AQ439" s="268"/>
      <c r="AR439" s="268"/>
      <c r="AS439" s="268"/>
      <c r="AT439" s="188"/>
    </row>
    <row r="440" spans="43:46">
      <c r="AQ440" s="268"/>
      <c r="AR440" s="268"/>
      <c r="AS440" s="268"/>
      <c r="AT440" s="188"/>
    </row>
    <row r="441" spans="43:46">
      <c r="AQ441" s="268"/>
      <c r="AR441" s="268"/>
      <c r="AS441" s="268"/>
      <c r="AT441" s="188"/>
    </row>
    <row r="442" spans="43:46">
      <c r="AQ442" s="268"/>
      <c r="AR442" s="268"/>
      <c r="AS442" s="268"/>
      <c r="AT442" s="188"/>
    </row>
    <row r="443" spans="43:46">
      <c r="AQ443" s="268"/>
      <c r="AR443" s="268"/>
      <c r="AS443" s="268"/>
      <c r="AT443" s="188"/>
    </row>
    <row r="444" spans="43:46">
      <c r="AQ444" s="268"/>
      <c r="AR444" s="268"/>
      <c r="AS444" s="268"/>
      <c r="AT444" s="188"/>
    </row>
    <row r="445" spans="43:46">
      <c r="AQ445" s="268"/>
      <c r="AR445" s="268"/>
      <c r="AS445" s="268"/>
      <c r="AT445" s="188"/>
    </row>
    <row r="446" spans="43:46">
      <c r="AQ446" s="268"/>
      <c r="AR446" s="268"/>
      <c r="AS446" s="268"/>
      <c r="AT446" s="188"/>
    </row>
    <row r="447" spans="43:46">
      <c r="AQ447" s="268"/>
      <c r="AR447" s="268"/>
      <c r="AS447" s="268"/>
      <c r="AT447" s="188"/>
    </row>
    <row r="448" spans="43:46">
      <c r="AQ448" s="268"/>
      <c r="AR448" s="268"/>
      <c r="AS448" s="268"/>
      <c r="AT448" s="188"/>
    </row>
    <row r="449" spans="43:46">
      <c r="AQ449" s="268"/>
      <c r="AR449" s="268"/>
      <c r="AS449" s="268"/>
      <c r="AT449" s="188"/>
    </row>
    <row r="450" spans="43:46">
      <c r="AQ450" s="268"/>
      <c r="AR450" s="268"/>
      <c r="AS450" s="268"/>
      <c r="AT450" s="188"/>
    </row>
    <row r="451" spans="43:46">
      <c r="AQ451" s="268"/>
      <c r="AR451" s="268"/>
      <c r="AS451" s="268"/>
      <c r="AT451" s="188"/>
    </row>
    <row r="452" spans="43:46">
      <c r="AQ452" s="268"/>
      <c r="AR452" s="268"/>
      <c r="AS452" s="268"/>
      <c r="AT452" s="188"/>
    </row>
    <row r="453" spans="43:46">
      <c r="AQ453" s="268"/>
      <c r="AR453" s="268"/>
      <c r="AS453" s="268"/>
      <c r="AT453" s="188"/>
    </row>
    <row r="454" spans="43:46">
      <c r="AQ454" s="268"/>
      <c r="AR454" s="268"/>
      <c r="AS454" s="268"/>
      <c r="AT454" s="188"/>
    </row>
    <row r="455" spans="43:46">
      <c r="AQ455" s="268"/>
      <c r="AR455" s="268"/>
      <c r="AS455" s="268"/>
      <c r="AT455" s="188"/>
    </row>
    <row r="456" spans="43:46">
      <c r="AQ456" s="268"/>
      <c r="AR456" s="268"/>
      <c r="AS456" s="268"/>
      <c r="AT456" s="188"/>
    </row>
    <row r="457" spans="43:46">
      <c r="AQ457" s="268"/>
      <c r="AR457" s="268"/>
      <c r="AS457" s="268"/>
      <c r="AT457" s="188"/>
    </row>
    <row r="458" spans="43:46">
      <c r="AQ458" s="268"/>
      <c r="AR458" s="268"/>
      <c r="AS458" s="268"/>
      <c r="AT458" s="188"/>
    </row>
    <row r="459" spans="43:46">
      <c r="AQ459" s="268"/>
      <c r="AR459" s="268"/>
      <c r="AS459" s="268"/>
      <c r="AT459" s="188"/>
    </row>
    <row r="460" spans="43:46">
      <c r="AQ460" s="268"/>
      <c r="AR460" s="268"/>
      <c r="AS460" s="268"/>
      <c r="AT460" s="188"/>
    </row>
    <row r="461" spans="43:46">
      <c r="AQ461" s="268"/>
      <c r="AR461" s="268"/>
      <c r="AS461" s="268"/>
      <c r="AT461" s="188"/>
    </row>
    <row r="462" spans="43:46">
      <c r="AQ462" s="306"/>
      <c r="AR462" s="306"/>
      <c r="AS462" s="306"/>
    </row>
    <row r="463" spans="43:46">
      <c r="AQ463" s="306"/>
      <c r="AR463" s="306"/>
      <c r="AS463" s="306"/>
    </row>
    <row r="464" spans="43:46">
      <c r="AQ464" s="306"/>
      <c r="AR464" s="306"/>
      <c r="AS464" s="306"/>
    </row>
    <row r="465" spans="43:45">
      <c r="AQ465" s="306"/>
      <c r="AR465" s="306"/>
      <c r="AS465" s="306"/>
    </row>
    <row r="466" spans="43:45">
      <c r="AQ466" s="306"/>
      <c r="AR466" s="306"/>
      <c r="AS466" s="306"/>
    </row>
    <row r="467" spans="43:45">
      <c r="AQ467" s="306"/>
      <c r="AR467" s="306"/>
      <c r="AS467" s="306"/>
    </row>
    <row r="468" spans="43:45">
      <c r="AQ468" s="306"/>
      <c r="AR468" s="306"/>
      <c r="AS468" s="306"/>
    </row>
    <row r="469" spans="43:45">
      <c r="AQ469" s="306"/>
      <c r="AR469" s="306"/>
      <c r="AS469" s="306"/>
    </row>
    <row r="470" spans="43:45">
      <c r="AQ470" s="306"/>
      <c r="AR470" s="306"/>
      <c r="AS470" s="306"/>
    </row>
    <row r="471" spans="43:45">
      <c r="AQ471" s="306"/>
      <c r="AR471" s="306"/>
      <c r="AS471" s="306"/>
    </row>
  </sheetData>
  <mergeCells count="9">
    <mergeCell ref="AI2:AJ2"/>
    <mergeCell ref="AI4:AM4"/>
    <mergeCell ref="AW7:AY7"/>
    <mergeCell ref="AQ8:AQ9"/>
    <mergeCell ref="AR8:AR9"/>
    <mergeCell ref="AS8:AS9"/>
    <mergeCell ref="AW8:AW9"/>
    <mergeCell ref="AX8:AX9"/>
    <mergeCell ref="AY8:AY9"/>
  </mergeCells>
  <pageMargins left="0.7" right="0.7" top="0.75" bottom="0.75" header="0.3" footer="0.3"/>
  <pageSetup scale="52" pageOrder="overThenDown" orientation="landscape" r:id="rId1"/>
  <colBreaks count="1" manualBreakCount="1">
    <brk id="4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T92"/>
  <sheetViews>
    <sheetView view="pageBreakPreview" zoomScale="60" zoomScaleNormal="100" workbookViewId="0">
      <pane ySplit="1" topLeftCell="A11" activePane="bottomLeft" state="frozen"/>
      <selection pane="bottomLeft" activeCell="AI18" sqref="AI18"/>
    </sheetView>
  </sheetViews>
  <sheetFormatPr defaultRowHeight="15" outlineLevelCol="1"/>
  <cols>
    <col min="1" max="1" width="7.5703125" style="53" customWidth="1"/>
    <col min="2" max="2" width="32.140625" style="53" bestFit="1" customWidth="1"/>
    <col min="3" max="3" width="29.7109375" style="53" customWidth="1"/>
    <col min="4" max="4" width="11.140625" customWidth="1"/>
    <col min="5" max="5" width="8.42578125" customWidth="1" outlineLevel="1"/>
    <col min="6" max="6" width="11.140625" customWidth="1"/>
    <col min="7" max="7" width="7.28515625" style="481" customWidth="1" outlineLevel="1"/>
    <col min="8" max="8" width="9.140625" customWidth="1"/>
    <col min="9" max="9" width="9.140625" customWidth="1" outlineLevel="1"/>
    <col min="11" max="11" width="9.140625" customWidth="1" outlineLevel="1"/>
    <col min="13" max="13" width="15.28515625" bestFit="1" customWidth="1"/>
  </cols>
  <sheetData>
    <row r="1" spans="1:15" ht="45">
      <c r="A1" s="116" t="s">
        <v>13</v>
      </c>
      <c r="B1" s="116" t="s">
        <v>874</v>
      </c>
      <c r="C1" s="116" t="s">
        <v>159</v>
      </c>
      <c r="D1" s="116" t="s">
        <v>160</v>
      </c>
      <c r="E1" s="116" t="s">
        <v>8</v>
      </c>
      <c r="F1" s="116" t="s">
        <v>855</v>
      </c>
      <c r="G1" s="480" t="s">
        <v>149</v>
      </c>
      <c r="H1" s="116" t="s">
        <v>856</v>
      </c>
      <c r="I1" s="116" t="s">
        <v>8</v>
      </c>
      <c r="J1" s="116" t="s">
        <v>857</v>
      </c>
      <c r="K1" s="482" t="s">
        <v>149</v>
      </c>
      <c r="M1" s="458" t="s">
        <v>923</v>
      </c>
    </row>
    <row r="2" spans="1:15">
      <c r="A2" s="394">
        <v>15</v>
      </c>
      <c r="B2" s="395" t="s">
        <v>340</v>
      </c>
      <c r="C2" s="395" t="s">
        <v>889</v>
      </c>
      <c r="D2" s="375">
        <f>SUMIFS('DF Calculation'!L:L,'DF Calculation'!B:B,'Rate Sheet'!A2,'DF Calculation'!C:C,'Rate Sheet'!B2)</f>
        <v>7.66</v>
      </c>
      <c r="E2" s="375">
        <f>F2-D2</f>
        <v>4.6833946579590169E-2</v>
      </c>
      <c r="F2" s="376">
        <f>SUMIFS('DF Calculation'!$O:$O,'DF Calculation'!$B:$B,'Rate Sheet'!A2,'DF Calculation'!$C:$C,'Rate Sheet'!B2)</f>
        <v>7.7068339465795903</v>
      </c>
      <c r="G2" s="477" t="str">
        <f>IF(VLOOKUP($C2,'DF Calculation'!$D$7:$N$115,11,FALSE)-E2&lt;0.006,"OK",VLOOKUP($C2,'DF Calculation'!$D$7:$N$115,11,FALSE)-E2)</f>
        <v>OK</v>
      </c>
      <c r="H2" s="375">
        <f>SUMIFS('DF Calculation'!M:M,'DF Calculation'!B:B,'Rate Sheet'!A2,'DF Calculation'!C:C,'Rate Sheet'!B2)</f>
        <v>7.63</v>
      </c>
      <c r="I2" s="375">
        <f>J2-H2</f>
        <v>4.6833946579590169E-2</v>
      </c>
      <c r="J2" s="376">
        <f>SUMIFS('DF Calculation'!$P:$P,'DF Calculation'!$B:$B,'Rate Sheet'!A2,'DF Calculation'!$C:$C,'Rate Sheet'!B2)</f>
        <v>7.6768339465795901</v>
      </c>
      <c r="K2" s="477" t="str">
        <f>IF(VLOOKUP($C2,'DF Calculation'!$D$7:$N$115,11,FALSE)-I2&lt;0.006,"OK",VLOOKUP($C2,'DF Calculation'!$D$7:$N$115,11,FALSE)-I2)</f>
        <v>OK</v>
      </c>
      <c r="L2" s="180"/>
      <c r="O2" s="180"/>
    </row>
    <row r="3" spans="1:15">
      <c r="A3" s="394">
        <v>20</v>
      </c>
      <c r="B3" s="395" t="s">
        <v>191</v>
      </c>
      <c r="C3" s="395" t="str">
        <f>VLOOKUP(B3,'DF Calculation'!$C$8:$D$114,2,FALSE)</f>
        <v>Mini Can WG</v>
      </c>
      <c r="D3" s="375">
        <f>SUMIFS('DF Calculation'!L:L,'DF Calculation'!B:B,'Rate Sheet'!$A3,'DF Calculation'!C:C,'Rate Sheet'!$B3)</f>
        <v>12.76</v>
      </c>
      <c r="E3" s="375">
        <f t="shared" ref="E3:E66" si="0">F3-D3</f>
        <v>0.11938064814405358</v>
      </c>
      <c r="F3" s="376">
        <f>SUMIFS('DF Calculation'!$O:$O,'DF Calculation'!$B:$B,'Rate Sheet'!$A3,'DF Calculation'!$C:$C,'Rate Sheet'!$B3)</f>
        <v>12.879380648144053</v>
      </c>
      <c r="G3" s="477" t="str">
        <f>IF(VLOOKUP($C3,'DF Calculation'!$D$7:$N$115,11,FALSE)-E3&lt;0.006,"OK",VLOOKUP($C3,'DF Calculation'!$D$7:$N$115,11,FALSE)-E3)</f>
        <v>OK</v>
      </c>
      <c r="H3" s="375">
        <f>SUMIFS('DF Calculation'!M:M,'DF Calculation'!B:B,'Rate Sheet'!$A3,'DF Calculation'!C:C,'Rate Sheet'!$B3)</f>
        <v>12.71</v>
      </c>
      <c r="I3" s="375">
        <f t="shared" ref="I3:I66" si="1">J3-H3</f>
        <v>0.11938064814405358</v>
      </c>
      <c r="J3" s="376">
        <f>SUMIFS('DF Calculation'!$P:$P,'DF Calculation'!$B:$B,'Rate Sheet'!$A3,'DF Calculation'!$C:$C,'Rate Sheet'!$B3)</f>
        <v>12.829380648144054</v>
      </c>
      <c r="K3" s="477" t="str">
        <f>IF(VLOOKUP($C3,'DF Calculation'!$D$7:$N$115,11,FALSE)-I3&lt;0.006,"OK",VLOOKUP($C3,'DF Calculation'!$D$7:$N$115,11,FALSE)-I3)</f>
        <v>OK</v>
      </c>
      <c r="L3" s="180"/>
      <c r="O3" s="180"/>
    </row>
    <row r="4" spans="1:15">
      <c r="A4" s="394">
        <v>20</v>
      </c>
      <c r="B4" s="395" t="s">
        <v>193</v>
      </c>
      <c r="C4" s="395" t="str">
        <f>VLOOKUP(B4,'DF Calculation'!$C$8:$D$114,2,FALSE)</f>
        <v>Mini Can WG-NR</v>
      </c>
      <c r="D4" s="375">
        <f>SUMIFS('DF Calculation'!L:L,'DF Calculation'!B:B,'Rate Sheet'!$A4,'DF Calculation'!C:C,'Rate Sheet'!$B4)</f>
        <v>14.76</v>
      </c>
      <c r="E4" s="375">
        <f t="shared" si="0"/>
        <v>0.11938064814405358</v>
      </c>
      <c r="F4" s="376">
        <f>SUMIFS('DF Calculation'!$O:$O,'DF Calculation'!$B:$B,'Rate Sheet'!$A4,'DF Calculation'!$C:$C,'Rate Sheet'!$B4)</f>
        <v>14.879380648144053</v>
      </c>
      <c r="G4" s="477" t="str">
        <f>IF(VLOOKUP($C4,'DF Calculation'!$D$7:$N$115,11,FALSE)-E4&lt;0.006,"OK",VLOOKUP($C4,'DF Calculation'!$D$7:$N$115,11,FALSE)-E4)</f>
        <v>OK</v>
      </c>
      <c r="H4" s="375">
        <f>SUMIFS('DF Calculation'!M:M,'DF Calculation'!B:B,'Rate Sheet'!$A4,'DF Calculation'!C:C,'Rate Sheet'!$B4)</f>
        <v>14.71</v>
      </c>
      <c r="I4" s="375">
        <f t="shared" si="1"/>
        <v>0.11938064814405358</v>
      </c>
      <c r="J4" s="376">
        <f>SUMIFS('DF Calculation'!$P:$P,'DF Calculation'!$B:$B,'Rate Sheet'!$A4,'DF Calculation'!$C:$C,'Rate Sheet'!$B4)</f>
        <v>14.829380648144054</v>
      </c>
      <c r="K4" s="477" t="str">
        <f>IF(VLOOKUP($C4,'DF Calculation'!$D$7:$N$115,11,FALSE)-I4&lt;0.006,"OK",VLOOKUP($C4,'DF Calculation'!$D$7:$N$115,11,FALSE)-I4)</f>
        <v>OK</v>
      </c>
      <c r="L4" s="180"/>
      <c r="O4" s="180"/>
    </row>
    <row r="5" spans="1:15">
      <c r="A5" s="394">
        <v>20</v>
      </c>
      <c r="B5" s="395" t="s">
        <v>200</v>
      </c>
      <c r="C5" s="395" t="str">
        <f>VLOOKUP(B5,'DF Calculation'!$C$8:$D$114,2,FALSE)</f>
        <v>32 Gal Can -1 MG</v>
      </c>
      <c r="D5" s="375">
        <f>SUMIFS('DF Calculation'!L:L,'DF Calculation'!B:B,'Rate Sheet'!$A5,'DF Calculation'!C:C,'Rate Sheet'!$B5)</f>
        <v>7.17</v>
      </c>
      <c r="E5" s="375">
        <f t="shared" si="0"/>
        <v>4.6833946579590169E-2</v>
      </c>
      <c r="F5" s="376">
        <f>SUMIFS('DF Calculation'!$O:$O,'DF Calculation'!$B:$B,'Rate Sheet'!$A5,'DF Calculation'!$C:$C,'Rate Sheet'!$B5)</f>
        <v>7.2168339465795901</v>
      </c>
      <c r="G5" s="477" t="str">
        <f>IF(VLOOKUP($C5,'DF Calculation'!$D$7:$N$115,11,FALSE)-E5&lt;0.006,"OK",VLOOKUP($C5,'DF Calculation'!$D$7:$N$115,11,FALSE)-E5)</f>
        <v>OK</v>
      </c>
      <c r="H5" s="375">
        <f>SUMIFS('DF Calculation'!M:M,'DF Calculation'!B:B,'Rate Sheet'!$A5,'DF Calculation'!C:C,'Rate Sheet'!$B5)</f>
        <v>7.14</v>
      </c>
      <c r="I5" s="375">
        <f t="shared" si="1"/>
        <v>4.6833946579590169E-2</v>
      </c>
      <c r="J5" s="376">
        <f>SUMIFS('DF Calculation'!$P:$P,'DF Calculation'!$B:$B,'Rate Sheet'!$A5,'DF Calculation'!$C:$C,'Rate Sheet'!$B5)</f>
        <v>7.1868339465795898</v>
      </c>
      <c r="K5" s="477" t="str">
        <f>IF(VLOOKUP($C5,'DF Calculation'!$D$7:$N$115,11,FALSE)-I5&lt;0.006,"OK",VLOOKUP($C5,'DF Calculation'!$D$7:$N$115,11,FALSE)-I5)</f>
        <v>OK</v>
      </c>
      <c r="L5" s="180"/>
      <c r="O5" s="180"/>
    </row>
    <row r="6" spans="1:15">
      <c r="A6" s="394">
        <v>20</v>
      </c>
      <c r="B6" s="395" t="s">
        <v>203</v>
      </c>
      <c r="C6" s="395" t="str">
        <f>VLOOKUP(B6,'DF Calculation'!$C$8:$D$114,2,FALSE)</f>
        <v>32 Gal Can -1 MG-NR</v>
      </c>
      <c r="D6" s="375">
        <f>SUMIFS('DF Calculation'!L:L,'DF Calculation'!B:B,'Rate Sheet'!$A6,'DF Calculation'!C:C,'Rate Sheet'!$B6)</f>
        <v>9.17</v>
      </c>
      <c r="E6" s="375">
        <f t="shared" si="0"/>
        <v>4.6833946579591057E-2</v>
      </c>
      <c r="F6" s="376">
        <f>SUMIFS('DF Calculation'!$O:$O,'DF Calculation'!$B:$B,'Rate Sheet'!$A6,'DF Calculation'!$C:$C,'Rate Sheet'!$B6)</f>
        <v>9.216833946579591</v>
      </c>
      <c r="G6" s="477" t="str">
        <f>IF(VLOOKUP($C6,'DF Calculation'!$D$7:$N$115,11,FALSE)-E6&lt;0.006,"OK",VLOOKUP($C6,'DF Calculation'!$D$7:$N$115,11,FALSE)-E6)</f>
        <v>OK</v>
      </c>
      <c r="H6" s="375">
        <f>SUMIFS('DF Calculation'!M:M,'DF Calculation'!B:B,'Rate Sheet'!$A6,'DF Calculation'!C:C,'Rate Sheet'!$B6)</f>
        <v>9.14</v>
      </c>
      <c r="I6" s="375">
        <f t="shared" si="1"/>
        <v>4.6833946579591057E-2</v>
      </c>
      <c r="J6" s="376">
        <f>SUMIFS('DF Calculation'!$P:$P,'DF Calculation'!$B:$B,'Rate Sheet'!$A6,'DF Calculation'!$C:$C,'Rate Sheet'!$B6)</f>
        <v>9.1868339465795916</v>
      </c>
      <c r="K6" s="477" t="str">
        <f>IF(VLOOKUP($C6,'DF Calculation'!$D$7:$N$115,11,FALSE)-I6&lt;0.006,"OK",VLOOKUP($C6,'DF Calculation'!$D$7:$N$115,11,FALSE)-I6)</f>
        <v>OK</v>
      </c>
      <c r="L6" s="180"/>
      <c r="O6" s="180"/>
    </row>
    <row r="7" spans="1:15">
      <c r="A7" s="394">
        <v>20</v>
      </c>
      <c r="B7" s="395" t="s">
        <v>207</v>
      </c>
      <c r="C7" s="395" t="str">
        <f>VLOOKUP(B7,'DF Calculation'!$C$8:$D$114,2,FALSE)</f>
        <v>32 Gal Can -1 WG-NR</v>
      </c>
      <c r="D7" s="375">
        <f>SUMIFS('DF Calculation'!L:L,'DF Calculation'!B:B,'Rate Sheet'!$A7,'DF Calculation'!C:C,'Rate Sheet'!$B7)</f>
        <v>20.440000000000001</v>
      </c>
      <c r="E7" s="375">
        <f t="shared" si="0"/>
        <v>0.20294710184489162</v>
      </c>
      <c r="F7" s="376">
        <f>SUMIFS('DF Calculation'!$O:$O,'DF Calculation'!$B:$B,'Rate Sheet'!$A7,'DF Calculation'!$C:$C,'Rate Sheet'!$B7)</f>
        <v>20.642947101844893</v>
      </c>
      <c r="G7" s="477" t="str">
        <f>IF(VLOOKUP($C7,'DF Calculation'!$D$7:$N$115,11,FALSE)-E7&lt;0.006,"OK",VLOOKUP($C7,'DF Calculation'!$D$7:$N$115,11,FALSE)-E7)</f>
        <v>OK</v>
      </c>
      <c r="H7" s="375">
        <f>SUMIFS('DF Calculation'!M:M,'DF Calculation'!B:B,'Rate Sheet'!$A7,'DF Calculation'!C:C,'Rate Sheet'!$B7)</f>
        <v>20.37</v>
      </c>
      <c r="I7" s="375">
        <f t="shared" si="1"/>
        <v>0.20294710184489162</v>
      </c>
      <c r="J7" s="376">
        <f>SUMIFS('DF Calculation'!$P:$P,'DF Calculation'!$B:$B,'Rate Sheet'!$A7,'DF Calculation'!$C:$C,'Rate Sheet'!$B7)</f>
        <v>20.572947101844893</v>
      </c>
      <c r="K7" s="477" t="str">
        <f>IF(VLOOKUP($C7,'DF Calculation'!$D$7:$N$115,11,FALSE)-I7&lt;0.006,"OK",VLOOKUP($C7,'DF Calculation'!$D$7:$N$115,11,FALSE)-I7)</f>
        <v>OK</v>
      </c>
      <c r="L7" s="180"/>
      <c r="O7" s="180"/>
    </row>
    <row r="8" spans="1:15">
      <c r="A8" s="394">
        <v>20</v>
      </c>
      <c r="B8" s="395" t="s">
        <v>209</v>
      </c>
      <c r="C8" s="395" t="str">
        <f>VLOOKUP(B8,'DF Calculation'!$C$8:$D$114,2,FALSE)</f>
        <v>32 Gal Can -2 WG-NR</v>
      </c>
      <c r="D8" s="375">
        <f>SUMIFS('DF Calculation'!L:L,'DF Calculation'!B:B,'Rate Sheet'!$A8,'DF Calculation'!C:C,'Rate Sheet'!$B8)</f>
        <v>30.35</v>
      </c>
      <c r="E8" s="375">
        <f t="shared" si="0"/>
        <v>0.30442065276733743</v>
      </c>
      <c r="F8" s="376">
        <f>SUMIFS('DF Calculation'!$O:$O,'DF Calculation'!$B:$B,'Rate Sheet'!$A8,'DF Calculation'!$C:$C,'Rate Sheet'!$B8)</f>
        <v>30.654420652767339</v>
      </c>
      <c r="G8" s="477" t="str">
        <f>IF(VLOOKUP($C8,'DF Calculation'!$D$7:$N$115,11,FALSE)-E8&lt;0.006,"OK",VLOOKUP($C8,'DF Calculation'!$D$7:$N$115,11,FALSE)-E8)</f>
        <v>OK</v>
      </c>
      <c r="H8" s="375">
        <f>SUMIFS('DF Calculation'!M:M,'DF Calculation'!B:B,'Rate Sheet'!$A8,'DF Calculation'!C:C,'Rate Sheet'!$B8)</f>
        <v>30.24</v>
      </c>
      <c r="I8" s="375">
        <f t="shared" si="1"/>
        <v>0.30442065276733743</v>
      </c>
      <c r="J8" s="376">
        <f>SUMIFS('DF Calculation'!$P:$P,'DF Calculation'!$B:$B,'Rate Sheet'!$A8,'DF Calculation'!$C:$C,'Rate Sheet'!$B8)</f>
        <v>30.544420652767336</v>
      </c>
      <c r="K8" s="477" t="str">
        <f>IF(VLOOKUP($C8,'DF Calculation'!$D$7:$N$115,11,FALSE)-I8&lt;0.006,"OK",VLOOKUP($C8,'DF Calculation'!$D$7:$N$115,11,FALSE)-I8)</f>
        <v>OK</v>
      </c>
      <c r="L8" s="180"/>
      <c r="O8" s="180"/>
    </row>
    <row r="9" spans="1:15">
      <c r="A9" s="394">
        <v>20</v>
      </c>
      <c r="B9" s="395" t="s">
        <v>211</v>
      </c>
      <c r="C9" s="395" t="str">
        <f>VLOOKUP(B9,'DF Calculation'!$C$8:$D$114,2,FALSE)</f>
        <v>32 Gal Can -3 WG-NR</v>
      </c>
      <c r="D9" s="375">
        <f>SUMIFS('DF Calculation'!L:L,'DF Calculation'!B:B,'Rate Sheet'!A9,'DF Calculation'!C:C,'Rate Sheet'!B9)</f>
        <v>40.6</v>
      </c>
      <c r="E9" s="375">
        <f t="shared" si="0"/>
        <v>0.45961549535460478</v>
      </c>
      <c r="F9" s="376">
        <f>SUMIFS('DF Calculation'!$O:$O,'DF Calculation'!$B:$B,'Rate Sheet'!A9,'DF Calculation'!$C:$C,'Rate Sheet'!B9)</f>
        <v>41.059615495354606</v>
      </c>
      <c r="G9" s="477" t="str">
        <f>IF(VLOOKUP($C9,'DF Calculation'!$D$7:$N$115,11,FALSE)-E9&lt;0.006,"OK",VLOOKUP($C9,'DF Calculation'!$D$7:$N$115,11,FALSE)-E9)</f>
        <v>OK</v>
      </c>
      <c r="H9" s="375">
        <f>SUMIFS('DF Calculation'!M:M,'DF Calculation'!B:B,'Rate Sheet'!A9,'DF Calculation'!C:C,'Rate Sheet'!B9)</f>
        <v>40.44</v>
      </c>
      <c r="I9" s="375">
        <f t="shared" si="1"/>
        <v>0.45961549535460478</v>
      </c>
      <c r="J9" s="376">
        <f>SUMIFS('DF Calculation'!$P:$P,'DF Calculation'!$B:$B,'Rate Sheet'!A9,'DF Calculation'!$C:$C,'Rate Sheet'!B9)</f>
        <v>40.899615495354603</v>
      </c>
      <c r="K9" s="477" t="str">
        <f>IF(VLOOKUP($C9,'DF Calculation'!$D$7:$N$115,11,FALSE)-I9&lt;0.006,"OK",VLOOKUP($C9,'DF Calculation'!$D$7:$N$115,11,FALSE)-I9)</f>
        <v>OK</v>
      </c>
      <c r="L9" s="180"/>
      <c r="O9" s="180"/>
    </row>
    <row r="10" spans="1:15">
      <c r="A10" s="394">
        <v>20</v>
      </c>
      <c r="B10" s="395" t="s">
        <v>213</v>
      </c>
      <c r="C10" s="395" t="str">
        <f>VLOOKUP(B10,'DF Calculation'!$C$8:$D$114,2,FALSE)</f>
        <v>32 Gal Can -4 WG-NR</v>
      </c>
      <c r="D10" s="375">
        <f>SUMIFS('DF Calculation'!L:L,'DF Calculation'!B:B,'Rate Sheet'!A10,'DF Calculation'!C:C,'Rate Sheet'!B10)</f>
        <v>50.42</v>
      </c>
      <c r="E10" s="375">
        <f t="shared" si="0"/>
        <v>0.57899614349865658</v>
      </c>
      <c r="F10" s="376">
        <f>SUMIFS('DF Calculation'!$O:$O,'DF Calculation'!$B:$B,'Rate Sheet'!A10,'DF Calculation'!$C:$C,'Rate Sheet'!B10)</f>
        <v>50.998996143498658</v>
      </c>
      <c r="G10" s="477" t="str">
        <f>IF(VLOOKUP($C10,'DF Calculation'!$D$7:$N$115,11,FALSE)-E10&lt;0.006,"OK",VLOOKUP($C10,'DF Calculation'!$D$7:$N$115,11,FALSE)-E10)</f>
        <v>OK</v>
      </c>
      <c r="H10" s="375">
        <f>SUMIFS('DF Calculation'!M:M,'DF Calculation'!B:B,'Rate Sheet'!A10,'DF Calculation'!C:C,'Rate Sheet'!B10)</f>
        <v>50.23</v>
      </c>
      <c r="I10" s="375">
        <f t="shared" si="1"/>
        <v>0.57899614349865658</v>
      </c>
      <c r="J10" s="376">
        <f>SUMIFS('DF Calculation'!$P:$P,'DF Calculation'!$B:$B,'Rate Sheet'!A10,'DF Calculation'!$C:$C,'Rate Sheet'!B10)</f>
        <v>50.808996143498653</v>
      </c>
      <c r="K10" s="477" t="str">
        <f>IF(VLOOKUP($C10,'DF Calculation'!$D$7:$N$115,11,FALSE)-I10&lt;0.006,"OK",VLOOKUP($C10,'DF Calculation'!$D$7:$N$115,11,FALSE)-I10)</f>
        <v>OK</v>
      </c>
      <c r="L10" s="180"/>
      <c r="O10" s="180"/>
    </row>
    <row r="11" spans="1:15" s="327" customFormat="1">
      <c r="A11" s="402">
        <v>20</v>
      </c>
      <c r="B11" s="403" t="s">
        <v>924</v>
      </c>
      <c r="C11" s="404" t="s">
        <v>853</v>
      </c>
      <c r="D11" s="375">
        <f>SUMIFS('DF Calculation'!L:L,'DF Calculation'!B:B,'Rate Sheet'!A11,'DF Calculation'!C:C,'Rate Sheet'!B11)</f>
        <v>60.28</v>
      </c>
      <c r="E11" s="375">
        <f t="shared" si="0"/>
        <v>0.69837679164271549</v>
      </c>
      <c r="F11" s="376">
        <f>SUMIFS('DF Calculation'!$O:$O,'DF Calculation'!$B:$B,'Rate Sheet'!A11,'DF Calculation'!$C:$C,'Rate Sheet'!B11)</f>
        <v>60.978376791642717</v>
      </c>
      <c r="G11" s="477" t="str">
        <f>IF(VLOOKUP($C11,'DF Calculation'!$D$7:$N$115,11,FALSE)-E11&lt;0.006,"OK",VLOOKUP($C11,'DF Calculation'!$D$7:$N$115,11,FALSE)-E11)</f>
        <v>OK</v>
      </c>
      <c r="H11" s="375">
        <f>SUMIFS('DF Calculation'!M:M,'DF Calculation'!B:B,'Rate Sheet'!A11,'DF Calculation'!C:C,'Rate Sheet'!B11)</f>
        <v>60.05</v>
      </c>
      <c r="I11" s="375">
        <f t="shared" si="1"/>
        <v>0.69837679164271549</v>
      </c>
      <c r="J11" s="376">
        <f>SUMIFS('DF Calculation'!$P:$P,'DF Calculation'!$B:$B,'Rate Sheet'!A11,'DF Calculation'!$C:$C,'Rate Sheet'!B11)</f>
        <v>60.748376791642713</v>
      </c>
      <c r="K11" s="477" t="str">
        <f>IF(VLOOKUP($C11,'DF Calculation'!$D$7:$N$115,11,FALSE)-I11&lt;0.006,"OK",VLOOKUP($C11,'DF Calculation'!$D$7:$N$115,11,FALSE)-I11)</f>
        <v>OK</v>
      </c>
      <c r="L11" s="405" t="s">
        <v>900</v>
      </c>
      <c r="O11" s="180"/>
    </row>
    <row r="12" spans="1:15">
      <c r="A12" s="394">
        <v>20</v>
      </c>
      <c r="B12" s="395" t="s">
        <v>215</v>
      </c>
      <c r="C12" s="395" t="str">
        <f>VLOOKUP(B12,'DF Calculation'!$C$8:$D$114,2,FALSE)</f>
        <v>32 Gal Can -1 WG</v>
      </c>
      <c r="D12" s="375">
        <f>SUMIFS('DF Calculation'!L:L,'DF Calculation'!B:B,'Rate Sheet'!A12,'DF Calculation'!C:C,'Rate Sheet'!B12)</f>
        <v>18.440000000000001</v>
      </c>
      <c r="E12" s="375">
        <f t="shared" si="0"/>
        <v>0.20294710184489162</v>
      </c>
      <c r="F12" s="376">
        <f>SUMIFS('DF Calculation'!$O:$O,'DF Calculation'!$B:$B,'Rate Sheet'!A12,'DF Calculation'!$C:$C,'Rate Sheet'!B12)</f>
        <v>18.642947101844893</v>
      </c>
      <c r="G12" s="477" t="str">
        <f>IF(VLOOKUP($C12,'DF Calculation'!$D$7:$N$115,11,FALSE)-E12&lt;0.006,"OK",VLOOKUP($C12,'DF Calculation'!$D$7:$N$115,11,FALSE)-E12)</f>
        <v>OK</v>
      </c>
      <c r="H12" s="375">
        <f>SUMIFS('DF Calculation'!M:M,'DF Calculation'!B:B,'Rate Sheet'!A12,'DF Calculation'!C:C,'Rate Sheet'!B12)</f>
        <v>18.37</v>
      </c>
      <c r="I12" s="375">
        <f t="shared" si="1"/>
        <v>0.20294710184489162</v>
      </c>
      <c r="J12" s="376">
        <f>SUMIFS('DF Calculation'!$P:$P,'DF Calculation'!$B:$B,'Rate Sheet'!A12,'DF Calculation'!$C:$C,'Rate Sheet'!B12)</f>
        <v>18.572947101844893</v>
      </c>
      <c r="K12" s="477" t="str">
        <f>IF(VLOOKUP($C12,'DF Calculation'!$D$7:$N$115,11,FALSE)-I12&lt;0.006,"OK",VLOOKUP($C12,'DF Calculation'!$D$7:$N$115,11,FALSE)-I12)</f>
        <v>OK</v>
      </c>
      <c r="L12" s="180"/>
      <c r="O12" s="180"/>
    </row>
    <row r="13" spans="1:15">
      <c r="A13" s="394">
        <v>20</v>
      </c>
      <c r="B13" s="395" t="s">
        <v>217</v>
      </c>
      <c r="C13" s="395" t="str">
        <f>VLOOKUP(B13,'DF Calculation'!$C$8:$D$114,2,FALSE)</f>
        <v>32 Gal Can -2 WG</v>
      </c>
      <c r="D13" s="375">
        <f>SUMIFS('DF Calculation'!L:L,'DF Calculation'!B:B,'Rate Sheet'!A13,'DF Calculation'!C:C,'Rate Sheet'!B13)</f>
        <v>28.35</v>
      </c>
      <c r="E13" s="375">
        <f t="shared" si="0"/>
        <v>0.30442065276733743</v>
      </c>
      <c r="F13" s="376">
        <f>SUMIFS('DF Calculation'!$O:$O,'DF Calculation'!$B:$B,'Rate Sheet'!A13,'DF Calculation'!$C:$C,'Rate Sheet'!B13)</f>
        <v>28.654420652767339</v>
      </c>
      <c r="G13" s="477" t="str">
        <f>IF(VLOOKUP($C13,'DF Calculation'!$D$7:$N$115,11,FALSE)-E13&lt;0.006,"OK",VLOOKUP($C13,'DF Calculation'!$D$7:$N$115,11,FALSE)-E13)</f>
        <v>OK</v>
      </c>
      <c r="H13" s="375">
        <f>SUMIFS('DF Calculation'!M:M,'DF Calculation'!B:B,'Rate Sheet'!A13,'DF Calculation'!C:C,'Rate Sheet'!B13)</f>
        <v>28.24</v>
      </c>
      <c r="I13" s="375">
        <f t="shared" si="1"/>
        <v>0.30442065276733743</v>
      </c>
      <c r="J13" s="376">
        <f>SUMIFS('DF Calculation'!$P:$P,'DF Calculation'!$B:$B,'Rate Sheet'!A13,'DF Calculation'!$C:$C,'Rate Sheet'!B13)</f>
        <v>28.544420652767336</v>
      </c>
      <c r="K13" s="477" t="str">
        <f>IF(VLOOKUP($C13,'DF Calculation'!$D$7:$N$115,11,FALSE)-I13&lt;0.006,"OK",VLOOKUP($C13,'DF Calculation'!$D$7:$N$115,11,FALSE)-I13)</f>
        <v>OK</v>
      </c>
      <c r="L13" s="180"/>
      <c r="O13" s="180"/>
    </row>
    <row r="14" spans="1:15">
      <c r="A14" s="394">
        <v>20</v>
      </c>
      <c r="B14" s="395" t="s">
        <v>219</v>
      </c>
      <c r="C14" s="395" t="str">
        <f>VLOOKUP(B14,'DF Calculation'!$C$8:$D$114,2,FALSE)</f>
        <v>32 Gal Can -3 WG</v>
      </c>
      <c r="D14" s="375">
        <f>SUMIFS('DF Calculation'!L:L,'DF Calculation'!B:B,'Rate Sheet'!A14,'DF Calculation'!C:C,'Rate Sheet'!B14)</f>
        <v>38.6</v>
      </c>
      <c r="E14" s="375">
        <f t="shared" si="0"/>
        <v>0.45961549535460478</v>
      </c>
      <c r="F14" s="376">
        <f>SUMIFS('DF Calculation'!$O:$O,'DF Calculation'!$B:$B,'Rate Sheet'!A14,'DF Calculation'!$C:$C,'Rate Sheet'!B14)</f>
        <v>39.059615495354606</v>
      </c>
      <c r="G14" s="477" t="str">
        <f>IF(VLOOKUP($C14,'DF Calculation'!$D$7:$N$115,11,FALSE)-E14&lt;0.006,"OK",VLOOKUP($C14,'DF Calculation'!$D$7:$N$115,11,FALSE)-E14)</f>
        <v>OK</v>
      </c>
      <c r="H14" s="375">
        <f>SUMIFS('DF Calculation'!M:M,'DF Calculation'!B:B,'Rate Sheet'!A14,'DF Calculation'!C:C,'Rate Sheet'!B14)</f>
        <v>38.44</v>
      </c>
      <c r="I14" s="375">
        <f t="shared" si="1"/>
        <v>0.45961549535460478</v>
      </c>
      <c r="J14" s="376">
        <f>SUMIFS('DF Calculation'!$P:$P,'DF Calculation'!$B:$B,'Rate Sheet'!A14,'DF Calculation'!$C:$C,'Rate Sheet'!B14)</f>
        <v>38.899615495354603</v>
      </c>
      <c r="K14" s="477" t="str">
        <f>IF(VLOOKUP($C14,'DF Calculation'!$D$7:$N$115,11,FALSE)-I14&lt;0.006,"OK",VLOOKUP($C14,'DF Calculation'!$D$7:$N$115,11,FALSE)-I14)</f>
        <v>OK</v>
      </c>
      <c r="L14" s="180"/>
      <c r="O14" s="180"/>
    </row>
    <row r="15" spans="1:15" s="327" customFormat="1">
      <c r="A15" s="402">
        <v>20</v>
      </c>
      <c r="B15" s="403" t="s">
        <v>221</v>
      </c>
      <c r="C15" s="404" t="s">
        <v>876</v>
      </c>
      <c r="D15" s="375">
        <f>SUMIFS('DF Calculation'!L:L,'DF Calculation'!B:B,'Rate Sheet'!A15,'DF Calculation'!C:C,'Rate Sheet'!B15)</f>
        <v>48.42</v>
      </c>
      <c r="E15" s="375">
        <f t="shared" si="0"/>
        <v>0.57899614349865658</v>
      </c>
      <c r="F15" s="376">
        <f>SUMIFS('DF Calculation'!$O:$O,'DF Calculation'!$B:$B,'Rate Sheet'!A15,'DF Calculation'!$C:$C,'Rate Sheet'!B15)</f>
        <v>48.998996143498658</v>
      </c>
      <c r="G15" s="477" t="str">
        <f>IF(VLOOKUP($C15,'DF Calculation'!$D$7:$N$115,11,FALSE)-E15&lt;0.006,"OK",VLOOKUP($C15,'DF Calculation'!$D$7:$N$115,11,FALSE)-E15)</f>
        <v>OK</v>
      </c>
      <c r="H15" s="375">
        <f>SUMIFS('DF Calculation'!M:M,'DF Calculation'!B:B,'Rate Sheet'!A15,'DF Calculation'!C:C,'Rate Sheet'!B15)</f>
        <v>48.23</v>
      </c>
      <c r="I15" s="375">
        <f t="shared" si="1"/>
        <v>0.57899614349865658</v>
      </c>
      <c r="J15" s="376">
        <f>SUMIFS('DF Calculation'!$P:$P,'DF Calculation'!$B:$B,'Rate Sheet'!A15,'DF Calculation'!$C:$C,'Rate Sheet'!B15)</f>
        <v>48.808996143498653</v>
      </c>
      <c r="K15" s="477" t="str">
        <f>IF(VLOOKUP($C15,'DF Calculation'!$D$7:$N$115,11,FALSE)-I15&lt;0.006,"OK",VLOOKUP($C15,'DF Calculation'!$D$7:$N$115,11,FALSE)-I15)</f>
        <v>OK</v>
      </c>
      <c r="L15" s="405" t="s">
        <v>900</v>
      </c>
      <c r="O15" s="180"/>
    </row>
    <row r="16" spans="1:15" s="327" customFormat="1">
      <c r="A16" s="402">
        <v>20</v>
      </c>
      <c r="B16" s="403" t="s">
        <v>925</v>
      </c>
      <c r="C16" s="404" t="s">
        <v>854</v>
      </c>
      <c r="D16" s="375">
        <f>SUMIFS('DF Calculation'!L:L,'DF Calculation'!B:B,'Rate Sheet'!A16,'DF Calculation'!C:C,'Rate Sheet'!B16)</f>
        <v>58.28</v>
      </c>
      <c r="E16" s="375">
        <f t="shared" si="0"/>
        <v>0.69837679164271549</v>
      </c>
      <c r="F16" s="376">
        <f>SUMIFS('DF Calculation'!$O:$O,'DF Calculation'!$B:$B,'Rate Sheet'!A16,'DF Calculation'!$C:$C,'Rate Sheet'!B16)</f>
        <v>58.978376791642717</v>
      </c>
      <c r="G16" s="477" t="str">
        <f>IF(VLOOKUP($C16,'DF Calculation'!$D$7:$N$115,11,FALSE)-E16&lt;0.006,"OK",VLOOKUP($C16,'DF Calculation'!$D$7:$N$115,11,FALSE)-E16)</f>
        <v>OK</v>
      </c>
      <c r="H16" s="375">
        <f>SUMIFS('DF Calculation'!M:M,'DF Calculation'!B:B,'Rate Sheet'!A16,'DF Calculation'!C:C,'Rate Sheet'!B16)</f>
        <v>58.05</v>
      </c>
      <c r="I16" s="375">
        <f t="shared" si="1"/>
        <v>0.69837679164271549</v>
      </c>
      <c r="J16" s="376">
        <f>SUMIFS('DF Calculation'!$P:$P,'DF Calculation'!$B:$B,'Rate Sheet'!A16,'DF Calculation'!$C:$C,'Rate Sheet'!B16)</f>
        <v>58.748376791642713</v>
      </c>
      <c r="K16" s="477" t="str">
        <f>IF(VLOOKUP($C16,'DF Calculation'!$D$7:$N$115,11,FALSE)-I16&lt;0.006,"OK",VLOOKUP($C16,'DF Calculation'!$D$7:$N$115,11,FALSE)-I16)</f>
        <v>OK</v>
      </c>
      <c r="L16" s="405" t="s">
        <v>900</v>
      </c>
      <c r="O16" s="180"/>
    </row>
    <row r="17" spans="1:15">
      <c r="A17" s="394">
        <v>20</v>
      </c>
      <c r="B17" s="395" t="s">
        <v>223</v>
      </c>
      <c r="C17" s="395" t="str">
        <f>VLOOKUP(B17,'DF Calculation'!$C$8:$D$114,2,FALSE)</f>
        <v>32 Gal Can -1 EOW-NR</v>
      </c>
      <c r="D17" s="375">
        <f>SUMIFS('DF Calculation'!L:L,'DF Calculation'!B:B,'Rate Sheet'!A17,'DF Calculation'!C:C,'Rate Sheet'!B17)</f>
        <v>15.08</v>
      </c>
      <c r="E17" s="375">
        <f t="shared" si="0"/>
        <v>0.10147355092244581</v>
      </c>
      <c r="F17" s="376">
        <f>SUMIFS('DF Calculation'!$O:$O,'DF Calculation'!$B:$B,'Rate Sheet'!A17,'DF Calculation'!$C:$C,'Rate Sheet'!B17)</f>
        <v>15.181473550922446</v>
      </c>
      <c r="G17" s="477" t="str">
        <f>IF(VLOOKUP($C17,'DF Calculation'!$D$7:$N$115,11,FALSE)-E17&lt;0.006,"OK",VLOOKUP($C17,'DF Calculation'!$D$7:$N$115,11,FALSE)-E17)</f>
        <v>OK</v>
      </c>
      <c r="H17" s="375">
        <f>SUMIFS('DF Calculation'!M:M,'DF Calculation'!B:B,'Rate Sheet'!A17,'DF Calculation'!C:C,'Rate Sheet'!B17)</f>
        <v>15.03</v>
      </c>
      <c r="I17" s="375">
        <f t="shared" si="1"/>
        <v>0.10147355092244581</v>
      </c>
      <c r="J17" s="376">
        <f>SUMIFS('DF Calculation'!$P:$P,'DF Calculation'!$B:$B,'Rate Sheet'!A17,'DF Calculation'!$C:$C,'Rate Sheet'!B17)</f>
        <v>15.131473550922445</v>
      </c>
      <c r="K17" s="477" t="str">
        <f>IF(VLOOKUP($C17,'DF Calculation'!$D$7:$N$115,11,FALSE)-I17&lt;0.006,"OK",VLOOKUP($C17,'DF Calculation'!$D$7:$N$115,11,FALSE)-I17)</f>
        <v>OK</v>
      </c>
      <c r="L17" s="180"/>
      <c r="O17" s="180"/>
    </row>
    <row r="18" spans="1:15">
      <c r="A18" s="394">
        <v>20</v>
      </c>
      <c r="B18" s="395" t="s">
        <v>225</v>
      </c>
      <c r="C18" s="395" t="str">
        <f>VLOOKUP(B18,'DF Calculation'!$C$8:$D$114,2,FALSE)</f>
        <v>32 Gal Can -1 EOW</v>
      </c>
      <c r="D18" s="375">
        <f>SUMIFS('DF Calculation'!L:L,'DF Calculation'!B:B,'Rate Sheet'!A18,'DF Calculation'!C:C,'Rate Sheet'!B18)</f>
        <v>13.08</v>
      </c>
      <c r="E18" s="375">
        <f t="shared" si="0"/>
        <v>0.10147355092244581</v>
      </c>
      <c r="F18" s="376">
        <f>SUMIFS('DF Calculation'!$O:$O,'DF Calculation'!$B:$B,'Rate Sheet'!A18,'DF Calculation'!$C:$C,'Rate Sheet'!B18)</f>
        <v>13.181473550922446</v>
      </c>
      <c r="G18" s="477" t="str">
        <f>IF(VLOOKUP($C18,'DF Calculation'!$D$7:$N$115,11,FALSE)-E18&lt;0.006,"OK",VLOOKUP($C18,'DF Calculation'!$D$7:$N$115,11,FALSE)-E18)</f>
        <v>OK</v>
      </c>
      <c r="H18" s="375">
        <f>SUMIFS('DF Calculation'!M:M,'DF Calculation'!B:B,'Rate Sheet'!A18,'DF Calculation'!C:C,'Rate Sheet'!B18)</f>
        <v>13.03</v>
      </c>
      <c r="I18" s="375">
        <f t="shared" si="1"/>
        <v>0.10147355092244581</v>
      </c>
      <c r="J18" s="376">
        <f>SUMIFS('DF Calculation'!$P:$P,'DF Calculation'!$B:$B,'Rate Sheet'!A18,'DF Calculation'!$C:$C,'Rate Sheet'!B18)</f>
        <v>13.131473550922445</v>
      </c>
      <c r="K18" s="477" t="str">
        <f>IF(VLOOKUP($C18,'DF Calculation'!$D$7:$N$115,11,FALSE)-I18&lt;0.006,"OK",VLOOKUP($C18,'DF Calculation'!$D$7:$N$115,11,FALSE)-I18)</f>
        <v>OK</v>
      </c>
      <c r="L18" s="180"/>
      <c r="O18" s="180"/>
    </row>
    <row r="19" spans="1:15">
      <c r="A19" s="394">
        <v>20</v>
      </c>
      <c r="B19" s="395" t="s">
        <v>227</v>
      </c>
      <c r="C19" s="395" t="str">
        <f>VLOOKUP(B19,'DF Calculation'!$C$8:$D$114,2,FALSE)</f>
        <v>35 Gal Cart MG-NR</v>
      </c>
      <c r="D19" s="375">
        <f>SUMIFS('DF Calculation'!L:L,'DF Calculation'!B:B,'Rate Sheet'!A19,'DF Calculation'!C:C,'Rate Sheet'!B19)</f>
        <v>9.8800000000000008</v>
      </c>
      <c r="E19" s="375">
        <f t="shared" si="0"/>
        <v>4.6833946579591057E-2</v>
      </c>
      <c r="F19" s="376">
        <f>SUMIFS('DF Calculation'!$O:$O,'DF Calculation'!$B:$B,'Rate Sheet'!A19,'DF Calculation'!$C:$C,'Rate Sheet'!B19)</f>
        <v>9.9268339465795918</v>
      </c>
      <c r="G19" s="477" t="str">
        <f>IF(VLOOKUP($C19,'DF Calculation'!$D$7:$N$115,11,FALSE)-E19&lt;0.006,"OK",VLOOKUP($C19,'DF Calculation'!$D$7:$N$115,11,FALSE)-E19)</f>
        <v>OK</v>
      </c>
      <c r="H19" s="375">
        <f>SUMIFS('DF Calculation'!M:M,'DF Calculation'!B:B,'Rate Sheet'!A19,'DF Calculation'!C:C,'Rate Sheet'!B19)</f>
        <v>9.85</v>
      </c>
      <c r="I19" s="375">
        <f t="shared" si="1"/>
        <v>4.6833946579591057E-2</v>
      </c>
      <c r="J19" s="376">
        <f>SUMIFS('DF Calculation'!$P:$P,'DF Calculation'!$B:$B,'Rate Sheet'!A19,'DF Calculation'!$C:$C,'Rate Sheet'!B19)</f>
        <v>9.8968339465795907</v>
      </c>
      <c r="K19" s="477" t="str">
        <f>IF(VLOOKUP($C19,'DF Calculation'!$D$7:$N$115,11,FALSE)-I19&lt;0.006,"OK",VLOOKUP($C19,'DF Calculation'!$D$7:$N$115,11,FALSE)-I19)</f>
        <v>OK</v>
      </c>
      <c r="L19" s="180"/>
      <c r="M19" s="180"/>
      <c r="O19" s="180"/>
    </row>
    <row r="20" spans="1:15">
      <c r="A20" s="394">
        <v>20</v>
      </c>
      <c r="B20" s="395" t="s">
        <v>229</v>
      </c>
      <c r="C20" s="395" t="str">
        <f>VLOOKUP(B20,'DF Calculation'!$C$8:$D$114,2,FALSE)</f>
        <v>35 Gal Cart MG</v>
      </c>
      <c r="D20" s="375">
        <f>SUMIFS('DF Calculation'!L:L,'DF Calculation'!B:B,'Rate Sheet'!A20,'DF Calculation'!C:C,'Rate Sheet'!B20)</f>
        <v>7.88</v>
      </c>
      <c r="E20" s="375">
        <f t="shared" si="0"/>
        <v>4.6833946579590169E-2</v>
      </c>
      <c r="F20" s="376">
        <f>SUMIFS('DF Calculation'!$O:$O,'DF Calculation'!$B:$B,'Rate Sheet'!A20,'DF Calculation'!$C:$C,'Rate Sheet'!B20)</f>
        <v>7.9268339465795901</v>
      </c>
      <c r="G20" s="477" t="str">
        <f>IF(VLOOKUP($C20,'DF Calculation'!$D$7:$N$115,11,FALSE)-E20&lt;0.006,"OK",VLOOKUP($C20,'DF Calculation'!$D$7:$N$115,11,FALSE)-E20)</f>
        <v>OK</v>
      </c>
      <c r="H20" s="375">
        <f>SUMIFS('DF Calculation'!M:M,'DF Calculation'!B:B,'Rate Sheet'!A20,'DF Calculation'!C:C,'Rate Sheet'!B20)</f>
        <v>7.85</v>
      </c>
      <c r="I20" s="375">
        <f t="shared" si="1"/>
        <v>4.6833946579590169E-2</v>
      </c>
      <c r="J20" s="376">
        <f>SUMIFS('DF Calculation'!$P:$P,'DF Calculation'!$B:$B,'Rate Sheet'!A20,'DF Calculation'!$C:$C,'Rate Sheet'!B20)</f>
        <v>7.8968339465795898</v>
      </c>
      <c r="K20" s="477" t="str">
        <f>IF(VLOOKUP($C20,'DF Calculation'!$D$7:$N$115,11,FALSE)-I20&lt;0.006,"OK",VLOOKUP($C20,'DF Calculation'!$D$7:$N$115,11,FALSE)-I20)</f>
        <v>OK</v>
      </c>
      <c r="L20" s="180"/>
      <c r="O20" s="180"/>
    </row>
    <row r="21" spans="1:15">
      <c r="A21" s="394">
        <v>20</v>
      </c>
      <c r="B21" s="395" t="s">
        <v>231</v>
      </c>
      <c r="C21" s="395" t="str">
        <f>VLOOKUP(B21,'DF Calculation'!$C$8:$D$114,2,FALSE)</f>
        <v>35 Gal Cart WG-NR</v>
      </c>
      <c r="D21" s="375">
        <f>SUMIFS('DF Calculation'!L:L,'DF Calculation'!B:B,'Rate Sheet'!A21,'DF Calculation'!C:C,'Rate Sheet'!B21)</f>
        <v>21.72</v>
      </c>
      <c r="E21" s="375">
        <f t="shared" si="0"/>
        <v>0.20294710184489162</v>
      </c>
      <c r="F21" s="376">
        <f>SUMIFS('DF Calculation'!$O:$O,'DF Calculation'!$B:$B,'Rate Sheet'!A21,'DF Calculation'!$C:$C,'Rate Sheet'!B21)</f>
        <v>21.92294710184489</v>
      </c>
      <c r="G21" s="477" t="str">
        <f>IF(VLOOKUP($C21,'DF Calculation'!$D$7:$N$115,11,FALSE)-E21&lt;0.006,"OK",VLOOKUP($C21,'DF Calculation'!$D$7:$N$115,11,FALSE)-E21)</f>
        <v>OK</v>
      </c>
      <c r="H21" s="375">
        <f>SUMIFS('DF Calculation'!M:M,'DF Calculation'!B:B,'Rate Sheet'!A21,'DF Calculation'!C:C,'Rate Sheet'!B21)</f>
        <v>21.64</v>
      </c>
      <c r="I21" s="375">
        <f t="shared" si="1"/>
        <v>0.20294710184489162</v>
      </c>
      <c r="J21" s="376">
        <f>SUMIFS('DF Calculation'!$P:$P,'DF Calculation'!$B:$B,'Rate Sheet'!A21,'DF Calculation'!$C:$C,'Rate Sheet'!B21)</f>
        <v>21.842947101844892</v>
      </c>
      <c r="K21" s="477" t="str">
        <f>IF(VLOOKUP($C21,'DF Calculation'!$D$7:$N$115,11,FALSE)-I21&lt;0.006,"OK",VLOOKUP($C21,'DF Calculation'!$D$7:$N$115,11,FALSE)-I21)</f>
        <v>OK</v>
      </c>
      <c r="L21" s="180"/>
      <c r="M21" s="180"/>
      <c r="O21" s="180"/>
    </row>
    <row r="22" spans="1:15">
      <c r="A22" s="394">
        <v>20</v>
      </c>
      <c r="B22" s="395" t="s">
        <v>233</v>
      </c>
      <c r="C22" s="395" t="str">
        <f>VLOOKUP(B22,'DF Calculation'!$C$8:$D$114,2,FALSE)</f>
        <v>35 Gal Cart WG</v>
      </c>
      <c r="D22" s="375">
        <f>SUMIFS('DF Calculation'!L:L,'DF Calculation'!B:B,'Rate Sheet'!A22,'DF Calculation'!C:C,'Rate Sheet'!B22)</f>
        <v>19.72</v>
      </c>
      <c r="E22" s="375">
        <f t="shared" si="0"/>
        <v>0.20294710184489162</v>
      </c>
      <c r="F22" s="376">
        <f>SUMIFS('DF Calculation'!$O:$O,'DF Calculation'!$B:$B,'Rate Sheet'!A22,'DF Calculation'!$C:$C,'Rate Sheet'!B22)</f>
        <v>19.92294710184489</v>
      </c>
      <c r="G22" s="477" t="str">
        <f>IF(VLOOKUP($C22,'DF Calculation'!$D$7:$N$115,11,FALSE)-E22&lt;0.006,"OK",VLOOKUP($C22,'DF Calculation'!$D$7:$N$115,11,FALSE)-E22)</f>
        <v>OK</v>
      </c>
      <c r="H22" s="375">
        <f>SUMIFS('DF Calculation'!M:M,'DF Calculation'!B:B,'Rate Sheet'!A22,'DF Calculation'!C:C,'Rate Sheet'!B22)</f>
        <v>19.64</v>
      </c>
      <c r="I22" s="375">
        <f t="shared" si="1"/>
        <v>0.20294710184489162</v>
      </c>
      <c r="J22" s="376">
        <f>SUMIFS('DF Calculation'!$P:$P,'DF Calculation'!$B:$B,'Rate Sheet'!A22,'DF Calculation'!$C:$C,'Rate Sheet'!B22)</f>
        <v>19.842947101844892</v>
      </c>
      <c r="K22" s="477" t="str">
        <f>IF(VLOOKUP($C22,'DF Calculation'!$D$7:$N$115,11,FALSE)-I22&lt;0.006,"OK",VLOOKUP($C22,'DF Calculation'!$D$7:$N$115,11,FALSE)-I22)</f>
        <v>OK</v>
      </c>
      <c r="L22" s="180"/>
      <c r="O22" s="180"/>
    </row>
    <row r="23" spans="1:15">
      <c r="A23" s="394">
        <v>20</v>
      </c>
      <c r="B23" s="395" t="s">
        <v>235</v>
      </c>
      <c r="C23" s="395" t="str">
        <f>VLOOKUP(B23,'DF Calculation'!$C$8:$D$114,2,FALSE)</f>
        <v>35 Gal Cart EOW-NR</v>
      </c>
      <c r="D23" s="375">
        <f>SUMIFS('DF Calculation'!L:L,'DF Calculation'!B:B,'Rate Sheet'!A23,'DF Calculation'!C:C,'Rate Sheet'!B23)</f>
        <v>16</v>
      </c>
      <c r="E23" s="375">
        <f t="shared" si="0"/>
        <v>0.10147355092244581</v>
      </c>
      <c r="F23" s="376">
        <f>SUMIFS('DF Calculation'!$O:$O,'DF Calculation'!$B:$B,'Rate Sheet'!A23,'DF Calculation'!$C:$C,'Rate Sheet'!B23)</f>
        <v>16.101473550922446</v>
      </c>
      <c r="G23" s="477" t="str">
        <f>IF(VLOOKUP($C23,'DF Calculation'!$D$7:$N$115,11,FALSE)-E23&lt;0.006,"OK",VLOOKUP($C23,'DF Calculation'!$D$7:$N$115,11,FALSE)-E23)</f>
        <v>OK</v>
      </c>
      <c r="H23" s="375">
        <f>SUMIFS('DF Calculation'!M:M,'DF Calculation'!B:B,'Rate Sheet'!A23,'DF Calculation'!C:C,'Rate Sheet'!B23)</f>
        <v>15.94</v>
      </c>
      <c r="I23" s="375">
        <f t="shared" si="1"/>
        <v>0.10147355092244403</v>
      </c>
      <c r="J23" s="376">
        <f>SUMIFS('DF Calculation'!$P:$P,'DF Calculation'!$B:$B,'Rate Sheet'!A23,'DF Calculation'!$C:$C,'Rate Sheet'!B23)</f>
        <v>16.041473550922444</v>
      </c>
      <c r="K23" s="477" t="str">
        <f>IF(VLOOKUP($C23,'DF Calculation'!$D$7:$N$115,11,FALSE)-I23&lt;0.006,"OK",VLOOKUP($C23,'DF Calculation'!$D$7:$N$115,11,FALSE)-I23)</f>
        <v>OK</v>
      </c>
      <c r="L23" s="180"/>
      <c r="M23" s="180"/>
      <c r="O23" s="180"/>
    </row>
    <row r="24" spans="1:15">
      <c r="A24" s="394">
        <v>20</v>
      </c>
      <c r="B24" s="395" t="s">
        <v>237</v>
      </c>
      <c r="C24" s="395" t="str">
        <f>VLOOKUP(B24,'DF Calculation'!$C$8:$D$114,2,FALSE)</f>
        <v>35 Gal Cart EOW</v>
      </c>
      <c r="D24" s="375">
        <f>SUMIFS('DF Calculation'!L:L,'DF Calculation'!B:B,'Rate Sheet'!A24,'DF Calculation'!C:C,'Rate Sheet'!B24)</f>
        <v>14</v>
      </c>
      <c r="E24" s="375">
        <f t="shared" si="0"/>
        <v>0.10147355092244581</v>
      </c>
      <c r="F24" s="376">
        <f>SUMIFS('DF Calculation'!$O:$O,'DF Calculation'!$B:$B,'Rate Sheet'!A24,'DF Calculation'!$C:$C,'Rate Sheet'!B24)</f>
        <v>14.101473550922446</v>
      </c>
      <c r="G24" s="477" t="str">
        <f>IF(VLOOKUP($C24,'DF Calculation'!$D$7:$N$115,11,FALSE)-E24&lt;0.006,"OK",VLOOKUP($C24,'DF Calculation'!$D$7:$N$115,11,FALSE)-E24)</f>
        <v>OK</v>
      </c>
      <c r="H24" s="375">
        <f>SUMIFS('DF Calculation'!M:M,'DF Calculation'!B:B,'Rate Sheet'!A24,'DF Calculation'!C:C,'Rate Sheet'!B24)</f>
        <v>13.94</v>
      </c>
      <c r="I24" s="375">
        <f t="shared" si="1"/>
        <v>0.10147355092244581</v>
      </c>
      <c r="J24" s="376">
        <f>SUMIFS('DF Calculation'!$P:$P,'DF Calculation'!$B:$B,'Rate Sheet'!A24,'DF Calculation'!$C:$C,'Rate Sheet'!B24)</f>
        <v>14.041473550922445</v>
      </c>
      <c r="K24" s="477" t="str">
        <f>IF(VLOOKUP($C24,'DF Calculation'!$D$7:$N$115,11,FALSE)-I24&lt;0.006,"OK",VLOOKUP($C24,'DF Calculation'!$D$7:$N$115,11,FALSE)-I24)</f>
        <v>OK</v>
      </c>
      <c r="L24" s="180"/>
      <c r="O24" s="180"/>
    </row>
    <row r="25" spans="1:15">
      <c r="A25" s="394">
        <v>20</v>
      </c>
      <c r="B25" s="395" t="s">
        <v>239</v>
      </c>
      <c r="C25" s="395" t="str">
        <f>VLOOKUP(B25,'DF Calculation'!$C$8:$D$114,2,FALSE)</f>
        <v>65 Gal Cart MG</v>
      </c>
      <c r="D25" s="375">
        <f>SUMIFS('DF Calculation'!L:L,'DF Calculation'!B:B,'Rate Sheet'!A25,'DF Calculation'!C:C,'Rate Sheet'!B25)</f>
        <v>10.75</v>
      </c>
      <c r="E25" s="375">
        <f t="shared" si="0"/>
        <v>6.4741043801198828E-2</v>
      </c>
      <c r="F25" s="376">
        <f>SUMIFS('DF Calculation'!$O:$O,'DF Calculation'!$B:$B,'Rate Sheet'!A25,'DF Calculation'!$C:$C,'Rate Sheet'!B25)</f>
        <v>10.814741043801199</v>
      </c>
      <c r="G25" s="477" t="str">
        <f>IF(VLOOKUP($C25,'DF Calculation'!$D$7:$N$115,11,FALSE)-E25&lt;0.006,"OK",VLOOKUP($C25,'DF Calculation'!$D$7:$N$115,11,FALSE)-E25)</f>
        <v>OK</v>
      </c>
      <c r="H25" s="375">
        <f>SUMIFS('DF Calculation'!M:M,'DF Calculation'!B:B,'Rate Sheet'!A25,'DF Calculation'!C:C,'Rate Sheet'!B25)</f>
        <v>10.7</v>
      </c>
      <c r="I25" s="375">
        <f t="shared" si="1"/>
        <v>6.4741043801198828E-2</v>
      </c>
      <c r="J25" s="376">
        <f>SUMIFS('DF Calculation'!$P:$P,'DF Calculation'!$B:$B,'Rate Sheet'!A25,'DF Calculation'!$C:$C,'Rate Sheet'!B25)</f>
        <v>10.764741043801198</v>
      </c>
      <c r="K25" s="477" t="str">
        <f>IF(VLOOKUP($C25,'DF Calculation'!$D$7:$N$115,11,FALSE)-I25&lt;0.006,"OK",VLOOKUP($C25,'DF Calculation'!$D$7:$N$115,11,FALSE)-I25)</f>
        <v>OK</v>
      </c>
      <c r="L25" s="180"/>
      <c r="M25" s="180"/>
      <c r="O25" s="180"/>
    </row>
    <row r="26" spans="1:15">
      <c r="A26" s="394">
        <v>20</v>
      </c>
      <c r="B26" s="395" t="s">
        <v>241</v>
      </c>
      <c r="C26" s="395" t="str">
        <f>VLOOKUP(B26,'DF Calculation'!$C$8:$D$114,2,FALSE)</f>
        <v>65 Gal Cart MG-NR</v>
      </c>
      <c r="D26" s="375">
        <f>SUMIFS('DF Calculation'!L:L,'DF Calculation'!B:B,'Rate Sheet'!A26,'DF Calculation'!C:C,'Rate Sheet'!B26)</f>
        <v>12.75</v>
      </c>
      <c r="E26" s="375">
        <f t="shared" si="0"/>
        <v>6.4741043801198828E-2</v>
      </c>
      <c r="F26" s="376">
        <f>SUMIFS('DF Calculation'!$O:$O,'DF Calculation'!$B:$B,'Rate Sheet'!A26,'DF Calculation'!$C:$C,'Rate Sheet'!B26)</f>
        <v>12.814741043801199</v>
      </c>
      <c r="G26" s="477" t="str">
        <f>IF(VLOOKUP($C26,'DF Calculation'!$D$7:$N$115,11,FALSE)-E26&lt;0.006,"OK",VLOOKUP($C26,'DF Calculation'!$D$7:$N$115,11,FALSE)-E26)</f>
        <v>OK</v>
      </c>
      <c r="H26" s="375">
        <f>SUMIFS('DF Calculation'!M:M,'DF Calculation'!B:B,'Rate Sheet'!A26,'DF Calculation'!C:C,'Rate Sheet'!B26)</f>
        <v>12.7</v>
      </c>
      <c r="I26" s="375">
        <f t="shared" si="1"/>
        <v>6.4741043801198828E-2</v>
      </c>
      <c r="J26" s="376">
        <f>SUMIFS('DF Calculation'!$P:$P,'DF Calculation'!$B:$B,'Rate Sheet'!A26,'DF Calculation'!$C:$C,'Rate Sheet'!B26)</f>
        <v>12.764741043801198</v>
      </c>
      <c r="K26" s="477" t="str">
        <f>IF(VLOOKUP($C26,'DF Calculation'!$D$7:$N$115,11,FALSE)-I26&lt;0.006,"OK",VLOOKUP($C26,'DF Calculation'!$D$7:$N$115,11,FALSE)-I26)</f>
        <v>OK</v>
      </c>
      <c r="L26" s="180"/>
      <c r="O26" s="180"/>
    </row>
    <row r="27" spans="1:15">
      <c r="A27" s="394">
        <v>20</v>
      </c>
      <c r="B27" s="395" t="s">
        <v>249</v>
      </c>
      <c r="C27" s="395" t="str">
        <f>VLOOKUP(B27,'DF Calculation'!$C$8:$D$114,2,FALSE)</f>
        <v>65 Gal Cart WG</v>
      </c>
      <c r="D27" s="375">
        <f>SUMIFS('DF Calculation'!L:L,'DF Calculation'!B:B,'Rate Sheet'!A27,'DF Calculation'!C:C,'Rate Sheet'!B27)</f>
        <v>28.95</v>
      </c>
      <c r="E27" s="375">
        <f t="shared" si="0"/>
        <v>0.28054452313852707</v>
      </c>
      <c r="F27" s="376">
        <f>SUMIFS('DF Calculation'!$O:$O,'DF Calculation'!$B:$B,'Rate Sheet'!A27,'DF Calculation'!$C:$C,'Rate Sheet'!B27)</f>
        <v>29.230544523138526</v>
      </c>
      <c r="G27" s="477" t="str">
        <f>IF(VLOOKUP($C27,'DF Calculation'!$D$7:$N$115,11,FALSE)-E27&lt;0.006,"OK",VLOOKUP($C27,'DF Calculation'!$D$7:$N$115,11,FALSE)-E27)</f>
        <v>OK</v>
      </c>
      <c r="H27" s="375">
        <f>SUMIFS('DF Calculation'!M:M,'DF Calculation'!B:B,'Rate Sheet'!A27,'DF Calculation'!C:C,'Rate Sheet'!B27)</f>
        <v>28.84</v>
      </c>
      <c r="I27" s="375">
        <f t="shared" si="1"/>
        <v>0.28054452313852707</v>
      </c>
      <c r="J27" s="376">
        <f>SUMIFS('DF Calculation'!$P:$P,'DF Calculation'!$B:$B,'Rate Sheet'!A27,'DF Calculation'!$C:$C,'Rate Sheet'!B27)</f>
        <v>29.120544523138527</v>
      </c>
      <c r="K27" s="477" t="str">
        <f>IF(VLOOKUP($C27,'DF Calculation'!$D$7:$N$115,11,FALSE)-I27&lt;0.006,"OK",VLOOKUP($C27,'DF Calculation'!$D$7:$N$115,11,FALSE)-I27)</f>
        <v>OK</v>
      </c>
      <c r="L27" s="180"/>
      <c r="O27" s="180"/>
    </row>
    <row r="28" spans="1:15">
      <c r="A28" s="394">
        <v>20</v>
      </c>
      <c r="B28" s="395" t="s">
        <v>253</v>
      </c>
      <c r="C28" s="395" t="str">
        <f>VLOOKUP(B28,'DF Calculation'!$C$8:$D$114,2,FALSE)</f>
        <v>65 Gal Cart WG-NR</v>
      </c>
      <c r="D28" s="375">
        <f>SUMIFS('DF Calculation'!L:L,'DF Calculation'!B:B,'Rate Sheet'!A28,'DF Calculation'!C:C,'Rate Sheet'!B28)</f>
        <v>30.95</v>
      </c>
      <c r="E28" s="375">
        <f t="shared" si="0"/>
        <v>0.28054452313852707</v>
      </c>
      <c r="F28" s="376">
        <f>SUMIFS('DF Calculation'!$O:$O,'DF Calculation'!$B:$B,'Rate Sheet'!A28,'DF Calculation'!$C:$C,'Rate Sheet'!B28)</f>
        <v>31.230544523138526</v>
      </c>
      <c r="G28" s="477" t="str">
        <f>IF(VLOOKUP($C28,'DF Calculation'!$D$7:$N$115,11,FALSE)-E28&lt;0.006,"OK",VLOOKUP($C28,'DF Calculation'!$D$7:$N$115,11,FALSE)-E28)</f>
        <v>OK</v>
      </c>
      <c r="H28" s="375">
        <f>SUMIFS('DF Calculation'!M:M,'DF Calculation'!B:B,'Rate Sheet'!A28,'DF Calculation'!C:C,'Rate Sheet'!B28)</f>
        <v>30.84</v>
      </c>
      <c r="I28" s="375">
        <f t="shared" si="1"/>
        <v>0.28054452313852707</v>
      </c>
      <c r="J28" s="376">
        <f>SUMIFS('DF Calculation'!$P:$P,'DF Calculation'!$B:$B,'Rate Sheet'!A28,'DF Calculation'!$C:$C,'Rate Sheet'!B28)</f>
        <v>31.120544523138527</v>
      </c>
      <c r="K28" s="477" t="str">
        <f>IF(VLOOKUP($C28,'DF Calculation'!$D$7:$N$115,11,FALSE)-I28&lt;0.006,"OK",VLOOKUP($C28,'DF Calculation'!$D$7:$N$115,11,FALSE)-I28)</f>
        <v>OK</v>
      </c>
      <c r="L28" s="180"/>
      <c r="O28" s="180"/>
    </row>
    <row r="29" spans="1:15">
      <c r="A29" s="394">
        <v>20</v>
      </c>
      <c r="B29" s="395" t="s">
        <v>259</v>
      </c>
      <c r="C29" s="395" t="str">
        <f>VLOOKUP(B29,'DF Calculation'!$C$8:$D$114,2,FALSE)</f>
        <v>65 Gal Cart EOW</v>
      </c>
      <c r="D29" s="375">
        <f>SUMIFS('DF Calculation'!L:L,'DF Calculation'!B:B,'Rate Sheet'!A29,'DF Calculation'!C:C,'Rate Sheet'!B29)</f>
        <v>18.579999999999998</v>
      </c>
      <c r="E29" s="375">
        <f t="shared" si="0"/>
        <v>0.14027226156926176</v>
      </c>
      <c r="F29" s="376">
        <f>SUMIFS('DF Calculation'!$O:$O,'DF Calculation'!$B:$B,'Rate Sheet'!A29,'DF Calculation'!$C:$C,'Rate Sheet'!B29)</f>
        <v>18.72027226156926</v>
      </c>
      <c r="G29" s="477" t="str">
        <f>IF(VLOOKUP($C29,'DF Calculation'!$D$7:$N$115,11,FALSE)-E29&lt;0.006,"OK",VLOOKUP($C29,'DF Calculation'!$D$7:$N$115,11,FALSE)-E29)</f>
        <v>OK</v>
      </c>
      <c r="H29" s="375">
        <f>SUMIFS('DF Calculation'!M:M,'DF Calculation'!B:B,'Rate Sheet'!A29,'DF Calculation'!C:C,'Rate Sheet'!B29)</f>
        <v>18.510000000000002</v>
      </c>
      <c r="I29" s="375">
        <f t="shared" si="1"/>
        <v>0.14027226156926176</v>
      </c>
      <c r="J29" s="376">
        <f>SUMIFS('DF Calculation'!$P:$P,'DF Calculation'!$B:$B,'Rate Sheet'!A29,'DF Calculation'!$C:$C,'Rate Sheet'!B29)</f>
        <v>18.650272261569263</v>
      </c>
      <c r="K29" s="477" t="str">
        <f>IF(VLOOKUP($C29,'DF Calculation'!$D$7:$N$115,11,FALSE)-I29&lt;0.006,"OK",VLOOKUP($C29,'DF Calculation'!$D$7:$N$115,11,FALSE)-I29)</f>
        <v>OK</v>
      </c>
      <c r="L29" s="180"/>
      <c r="O29" s="180"/>
    </row>
    <row r="30" spans="1:15">
      <c r="A30" s="394">
        <v>20</v>
      </c>
      <c r="B30" s="395" t="s">
        <v>261</v>
      </c>
      <c r="C30" s="395" t="str">
        <f>VLOOKUP(B30,'DF Calculation'!$C$8:$D$114,2,FALSE)</f>
        <v>65 Gal Cart EOW-NR</v>
      </c>
      <c r="D30" s="375">
        <f>SUMIFS('DF Calculation'!L:L,'DF Calculation'!B:B,'Rate Sheet'!A30,'DF Calculation'!C:C,'Rate Sheet'!B30)</f>
        <v>20.58</v>
      </c>
      <c r="E30" s="375">
        <f t="shared" si="0"/>
        <v>0.14027226156926176</v>
      </c>
      <c r="F30" s="376">
        <f>SUMIFS('DF Calculation'!$O:$O,'DF Calculation'!$B:$B,'Rate Sheet'!A30,'DF Calculation'!$C:$C,'Rate Sheet'!B30)</f>
        <v>20.72027226156926</v>
      </c>
      <c r="G30" s="477" t="str">
        <f>IF(VLOOKUP($C30,'DF Calculation'!$D$7:$N$115,11,FALSE)-E30&lt;0.006,"OK",VLOOKUP($C30,'DF Calculation'!$D$7:$N$115,11,FALSE)-E30)</f>
        <v>OK</v>
      </c>
      <c r="H30" s="375">
        <f>SUMIFS('DF Calculation'!M:M,'DF Calculation'!B:B,'Rate Sheet'!A30,'DF Calculation'!C:C,'Rate Sheet'!B30)</f>
        <v>20.51</v>
      </c>
      <c r="I30" s="375">
        <f t="shared" si="1"/>
        <v>0.14027226156926176</v>
      </c>
      <c r="J30" s="376">
        <f>SUMIFS('DF Calculation'!$P:$P,'DF Calculation'!$B:$B,'Rate Sheet'!A30,'DF Calculation'!$C:$C,'Rate Sheet'!B30)</f>
        <v>20.650272261569263</v>
      </c>
      <c r="K30" s="477" t="str">
        <f>IF(VLOOKUP($C30,'DF Calculation'!$D$7:$N$115,11,FALSE)-I30&lt;0.006,"OK",VLOOKUP($C30,'DF Calculation'!$D$7:$N$115,11,FALSE)-I30)</f>
        <v>OK</v>
      </c>
      <c r="L30" s="180"/>
      <c r="O30" s="180"/>
    </row>
    <row r="31" spans="1:15">
      <c r="A31" s="394">
        <v>20</v>
      </c>
      <c r="B31" s="395" t="s">
        <v>271</v>
      </c>
      <c r="C31" s="395" t="str">
        <f>VLOOKUP(B31,'DF Calculation'!$C$8:$D$114,2,FALSE)</f>
        <v>95 Gal Cart MG</v>
      </c>
      <c r="D31" s="375">
        <f>SUMIFS('DF Calculation'!L:L,'DF Calculation'!B:B,'Rate Sheet'!A31,'DF Calculation'!C:C,'Rate Sheet'!B31)</f>
        <v>14.39</v>
      </c>
      <c r="E31" s="375">
        <f t="shared" si="0"/>
        <v>9.3667893159180338E-2</v>
      </c>
      <c r="F31" s="376">
        <f>SUMIFS('DF Calculation'!$O:$O,'DF Calculation'!$B:$B,'Rate Sheet'!A31,'DF Calculation'!$C:$C,'Rate Sheet'!B31)</f>
        <v>14.483667893159181</v>
      </c>
      <c r="G31" s="477" t="str">
        <f>IF(VLOOKUP($C31,'DF Calculation'!$D$7:$N$115,11,FALSE)-E31&lt;0.006,"OK",VLOOKUP($C31,'DF Calculation'!$D$7:$N$115,11,FALSE)-E31)</f>
        <v>OK</v>
      </c>
      <c r="H31" s="375">
        <f>SUMIFS('DF Calculation'!M:M,'DF Calculation'!B:B,'Rate Sheet'!A31,'DF Calculation'!C:C,'Rate Sheet'!B31)</f>
        <v>14.33</v>
      </c>
      <c r="I31" s="375">
        <f t="shared" si="1"/>
        <v>9.3667893159180338E-2</v>
      </c>
      <c r="J31" s="376">
        <f>SUMIFS('DF Calculation'!$P:$P,'DF Calculation'!$B:$B,'Rate Sheet'!A31,'DF Calculation'!$C:$C,'Rate Sheet'!B31)</f>
        <v>14.42366789315918</v>
      </c>
      <c r="K31" s="477" t="str">
        <f>IF(VLOOKUP($C31,'DF Calculation'!$D$7:$N$115,11,FALSE)-I31&lt;0.006,"OK",VLOOKUP($C31,'DF Calculation'!$D$7:$N$115,11,FALSE)-I31)</f>
        <v>OK</v>
      </c>
      <c r="L31" s="180"/>
      <c r="O31" s="180"/>
    </row>
    <row r="32" spans="1:15">
      <c r="A32" s="394">
        <v>20</v>
      </c>
      <c r="B32" s="395" t="s">
        <v>273</v>
      </c>
      <c r="C32" s="395" t="str">
        <f>VLOOKUP(B32,'DF Calculation'!$C$8:$D$114,2,FALSE)</f>
        <v>95 Gal Cart MG-NR</v>
      </c>
      <c r="D32" s="375">
        <f>SUMIFS('DF Calculation'!L:L,'DF Calculation'!B:B,'Rate Sheet'!A32,'DF Calculation'!C:C,'Rate Sheet'!B32)</f>
        <v>16.39</v>
      </c>
      <c r="E32" s="375">
        <f t="shared" si="0"/>
        <v>9.3667893159182114E-2</v>
      </c>
      <c r="F32" s="376">
        <f>SUMIFS('DF Calculation'!$O:$O,'DF Calculation'!$B:$B,'Rate Sheet'!A32,'DF Calculation'!$C:$C,'Rate Sheet'!B32)</f>
        <v>16.483667893159183</v>
      </c>
      <c r="G32" s="477" t="str">
        <f>IF(VLOOKUP($C32,'DF Calculation'!$D$7:$N$115,11,FALSE)-E32&lt;0.006,"OK",VLOOKUP($C32,'DF Calculation'!$D$7:$N$115,11,FALSE)-E32)</f>
        <v>OK</v>
      </c>
      <c r="H32" s="375">
        <f>SUMIFS('DF Calculation'!M:M,'DF Calculation'!B:B,'Rate Sheet'!A32,'DF Calculation'!C:C,'Rate Sheet'!B32)</f>
        <v>16.329999999999998</v>
      </c>
      <c r="I32" s="375">
        <f t="shared" si="1"/>
        <v>9.3667893159182114E-2</v>
      </c>
      <c r="J32" s="376">
        <f>SUMIFS('DF Calculation'!$P:$P,'DF Calculation'!$B:$B,'Rate Sheet'!A32,'DF Calculation'!$C:$C,'Rate Sheet'!B32)</f>
        <v>16.42366789315918</v>
      </c>
      <c r="K32" s="477" t="str">
        <f>IF(VLOOKUP($C32,'DF Calculation'!$D$7:$N$115,11,FALSE)-I32&lt;0.006,"OK",VLOOKUP($C32,'DF Calculation'!$D$7:$N$115,11,FALSE)-I32)</f>
        <v>OK</v>
      </c>
      <c r="L32" s="180"/>
      <c r="O32" s="180"/>
    </row>
    <row r="33" spans="1:15">
      <c r="A33" s="394">
        <v>20</v>
      </c>
      <c r="B33" s="395" t="s">
        <v>281</v>
      </c>
      <c r="C33" s="395" t="str">
        <f>VLOOKUP(B33,'DF Calculation'!$C$8:$D$114,2,FALSE)</f>
        <v>95 Gal Cart WG</v>
      </c>
      <c r="D33" s="375">
        <f>SUMIFS('DF Calculation'!L:L,'DF Calculation'!B:B,'Rate Sheet'!A33,'DF Calculation'!C:C,'Rate Sheet'!B33)</f>
        <v>39.97</v>
      </c>
      <c r="E33" s="375">
        <f t="shared" si="0"/>
        <v>0.40589420368978324</v>
      </c>
      <c r="F33" s="376">
        <f>SUMIFS('DF Calculation'!$O:$O,'DF Calculation'!$B:$B,'Rate Sheet'!A33,'DF Calculation'!$C:$C,'Rate Sheet'!B33)</f>
        <v>40.375894203689782</v>
      </c>
      <c r="G33" s="477" t="str">
        <f>IF(VLOOKUP($C33,'DF Calculation'!$D$7:$N$115,11,FALSE)-E33&lt;0.006,"OK",VLOOKUP($C33,'DF Calculation'!$D$7:$N$115,11,FALSE)-E33)</f>
        <v>OK</v>
      </c>
      <c r="H33" s="375">
        <f>SUMIFS('DF Calculation'!M:M,'DF Calculation'!B:B,'Rate Sheet'!A33,'DF Calculation'!C:C,'Rate Sheet'!B33)</f>
        <v>39.81</v>
      </c>
      <c r="I33" s="375">
        <f t="shared" si="1"/>
        <v>0.40589420368978324</v>
      </c>
      <c r="J33" s="376">
        <f>SUMIFS('DF Calculation'!$P:$P,'DF Calculation'!$B:$B,'Rate Sheet'!A33,'DF Calculation'!$C:$C,'Rate Sheet'!B33)</f>
        <v>40.215894203689786</v>
      </c>
      <c r="K33" s="477" t="str">
        <f>IF(VLOOKUP($C33,'DF Calculation'!$D$7:$N$115,11,FALSE)-I33&lt;0.006,"OK",VLOOKUP($C33,'DF Calculation'!$D$7:$N$115,11,FALSE)-I33)</f>
        <v>OK</v>
      </c>
      <c r="L33" s="180"/>
      <c r="O33" s="180"/>
    </row>
    <row r="34" spans="1:15">
      <c r="A34" s="394">
        <v>20</v>
      </c>
      <c r="B34" s="395" t="s">
        <v>283</v>
      </c>
      <c r="C34" s="395" t="str">
        <f>VLOOKUP(B34,'DF Calculation'!$C$8:$D$114,2,FALSE)</f>
        <v>95 Gal Cart WG-NR</v>
      </c>
      <c r="D34" s="375">
        <f>SUMIFS('DF Calculation'!L:L,'DF Calculation'!B:B,'Rate Sheet'!A34,'DF Calculation'!C:C,'Rate Sheet'!B34)</f>
        <v>41.97</v>
      </c>
      <c r="E34" s="375">
        <f t="shared" si="0"/>
        <v>0.40589420368978324</v>
      </c>
      <c r="F34" s="376">
        <f>SUMIFS('DF Calculation'!$O:$O,'DF Calculation'!$B:$B,'Rate Sheet'!A34,'DF Calculation'!$C:$C,'Rate Sheet'!B34)</f>
        <v>42.375894203689782</v>
      </c>
      <c r="G34" s="477" t="str">
        <f>IF(VLOOKUP($C34,'DF Calculation'!$D$7:$N$115,11,FALSE)-E34&lt;0.006,"OK",VLOOKUP($C34,'DF Calculation'!$D$7:$N$115,11,FALSE)-E34)</f>
        <v>OK</v>
      </c>
      <c r="H34" s="375">
        <f>SUMIFS('DF Calculation'!M:M,'DF Calculation'!B:B,'Rate Sheet'!A34,'DF Calculation'!C:C,'Rate Sheet'!B34)</f>
        <v>41.81</v>
      </c>
      <c r="I34" s="375">
        <f t="shared" si="1"/>
        <v>0.40589420368978324</v>
      </c>
      <c r="J34" s="376">
        <f>SUMIFS('DF Calculation'!$P:$P,'DF Calculation'!$B:$B,'Rate Sheet'!A34,'DF Calculation'!$C:$C,'Rate Sheet'!B34)</f>
        <v>42.215894203689786</v>
      </c>
      <c r="K34" s="477" t="str">
        <f>IF(VLOOKUP($C34,'DF Calculation'!$D$7:$N$115,11,FALSE)-I34&lt;0.006,"OK",VLOOKUP($C34,'DF Calculation'!$D$7:$N$115,11,FALSE)-I34)</f>
        <v>OK</v>
      </c>
      <c r="L34" s="180"/>
      <c r="O34" s="180"/>
    </row>
    <row r="35" spans="1:15">
      <c r="A35" s="394">
        <v>20</v>
      </c>
      <c r="B35" s="395" t="s">
        <v>291</v>
      </c>
      <c r="C35" s="395" t="str">
        <f>VLOOKUP(B35,'DF Calculation'!$C$8:$D$114,2,FALSE)</f>
        <v>95 Gal Cart EOW</v>
      </c>
      <c r="D35" s="375">
        <f>SUMIFS('DF Calculation'!L:L,'DF Calculation'!B:B,'Rate Sheet'!A35,'DF Calculation'!C:C,'Rate Sheet'!B35)</f>
        <v>24.21</v>
      </c>
      <c r="E35" s="375">
        <f t="shared" si="0"/>
        <v>0.20294710184489162</v>
      </c>
      <c r="F35" s="376">
        <f>SUMIFS('DF Calculation'!$O:$O,'DF Calculation'!$B:$B,'Rate Sheet'!A35,'DF Calculation'!$C:$C,'Rate Sheet'!B35)</f>
        <v>24.412947101844892</v>
      </c>
      <c r="G35" s="477" t="str">
        <f>IF(VLOOKUP($C35,'DF Calculation'!$D$7:$N$115,11,FALSE)-E35&lt;0.006,"OK",VLOOKUP($C35,'DF Calculation'!$D$7:$N$115,11,FALSE)-E35)</f>
        <v>OK</v>
      </c>
      <c r="H35" s="375">
        <f>SUMIFS('DF Calculation'!M:M,'DF Calculation'!B:B,'Rate Sheet'!A35,'DF Calculation'!C:C,'Rate Sheet'!B35)</f>
        <v>24.11</v>
      </c>
      <c r="I35" s="375">
        <f t="shared" si="1"/>
        <v>0.20294710184489162</v>
      </c>
      <c r="J35" s="376">
        <f>SUMIFS('DF Calculation'!$P:$P,'DF Calculation'!$B:$B,'Rate Sheet'!A35,'DF Calculation'!$C:$C,'Rate Sheet'!B35)</f>
        <v>24.312947101844891</v>
      </c>
      <c r="K35" s="477" t="str">
        <f>IF(VLOOKUP($C35,'DF Calculation'!$D$7:$N$115,11,FALSE)-I35&lt;0.006,"OK",VLOOKUP($C35,'DF Calculation'!$D$7:$N$115,11,FALSE)-I35)</f>
        <v>OK</v>
      </c>
      <c r="L35" s="180"/>
      <c r="O35" s="180"/>
    </row>
    <row r="36" spans="1:15">
      <c r="A36" s="394">
        <v>20</v>
      </c>
      <c r="B36" s="395" t="s">
        <v>293</v>
      </c>
      <c r="C36" s="395" t="str">
        <f>VLOOKUP(B36,'DF Calculation'!$C$8:$D$114,2,FALSE)</f>
        <v>95 Gal Cart EOW-NR</v>
      </c>
      <c r="D36" s="375">
        <f>SUMIFS('DF Calculation'!L:L,'DF Calculation'!B:B,'Rate Sheet'!A36,'DF Calculation'!C:C,'Rate Sheet'!B36)</f>
        <v>26.21</v>
      </c>
      <c r="E36" s="375">
        <f t="shared" si="0"/>
        <v>0.20294710184489162</v>
      </c>
      <c r="F36" s="376">
        <f>SUMIFS('DF Calculation'!$O:$O,'DF Calculation'!$B:$B,'Rate Sheet'!A36,'DF Calculation'!$C:$C,'Rate Sheet'!B36)</f>
        <v>26.412947101844892</v>
      </c>
      <c r="G36" s="477" t="str">
        <f>IF(VLOOKUP($C36,'DF Calculation'!$D$7:$N$115,11,FALSE)-E36&lt;0.006,"OK",VLOOKUP($C36,'DF Calculation'!$D$7:$N$115,11,FALSE)-E36)</f>
        <v>OK</v>
      </c>
      <c r="H36" s="375">
        <f>SUMIFS('DF Calculation'!M:M,'DF Calculation'!B:B,'Rate Sheet'!A36,'DF Calculation'!C:C,'Rate Sheet'!B36)</f>
        <v>26.11</v>
      </c>
      <c r="I36" s="375">
        <f t="shared" si="1"/>
        <v>0.20294710184489162</v>
      </c>
      <c r="J36" s="376">
        <f>SUMIFS('DF Calculation'!$P:$P,'DF Calculation'!$B:$B,'Rate Sheet'!A36,'DF Calculation'!$C:$C,'Rate Sheet'!B36)</f>
        <v>26.312947101844891</v>
      </c>
      <c r="K36" s="477" t="str">
        <f>IF(VLOOKUP($C36,'DF Calculation'!$D$7:$N$115,11,FALSE)-I36&lt;0.006,"OK",VLOOKUP($C36,'DF Calculation'!$D$7:$N$115,11,FALSE)-I36)</f>
        <v>OK</v>
      </c>
      <c r="L36" s="180"/>
      <c r="O36" s="180"/>
    </row>
    <row r="37" spans="1:15">
      <c r="A37" s="394">
        <v>21</v>
      </c>
      <c r="B37" s="395" t="s">
        <v>338</v>
      </c>
      <c r="C37" s="395" t="str">
        <f>VLOOKUP(B37,'DF Calculation'!$C$8:$D$114,2,FALSE)</f>
        <v>CAN ON CALL</v>
      </c>
      <c r="D37" s="375">
        <f>SUMIFS('DF Calculation'!L:L,'DF Calculation'!B:B,'Rate Sheet'!A37,'DF Calculation'!C:C,'Rate Sheet'!B37)</f>
        <v>8.25</v>
      </c>
      <c r="E37" s="375">
        <f t="shared" si="0"/>
        <v>4.6833946579591057E-2</v>
      </c>
      <c r="F37" s="483">
        <f>SUMIFS('DF Calculation'!$O:$O,'DF Calculation'!$B:$B,'Rate Sheet'!A37,'DF Calculation'!$C:$C,'Rate Sheet'!B37)</f>
        <v>8.2968339465795911</v>
      </c>
      <c r="G37" s="477" t="str">
        <f>IF(VLOOKUP($C37,'DF Calculation'!$D$7:$N$115,11,FALSE)-E37&lt;0.006,"OK",VLOOKUP($C37,'DF Calculation'!$D$7:$N$115,11,FALSE)-E37)</f>
        <v>OK</v>
      </c>
      <c r="H37" s="375">
        <f>SUMIFS('DF Calculation'!M:M,'DF Calculation'!B:B,'Rate Sheet'!A37,'DF Calculation'!C:C,'Rate Sheet'!B37)</f>
        <v>8.2200000000000006</v>
      </c>
      <c r="I37" s="375">
        <f t="shared" si="1"/>
        <v>4.6833946579591057E-2</v>
      </c>
      <c r="J37" s="376">
        <f>SUMIFS('DF Calculation'!$P:$P,'DF Calculation'!$B:$B,'Rate Sheet'!A37,'DF Calculation'!$C:$C,'Rate Sheet'!B37)</f>
        <v>8.2668339465795917</v>
      </c>
      <c r="K37" s="477" t="str">
        <f>IF(VLOOKUP($C37,'DF Calculation'!$D$7:$N$115,11,FALSE)-I37&lt;0.006,"OK",VLOOKUP($C37,'DF Calculation'!$D$7:$N$115,11,FALSE)-I37)</f>
        <v>OK</v>
      </c>
      <c r="L37" s="180"/>
      <c r="O37" s="180"/>
    </row>
    <row r="38" spans="1:15">
      <c r="A38" s="394">
        <v>21</v>
      </c>
      <c r="B38" s="395" t="s">
        <v>358</v>
      </c>
      <c r="C38" s="395" t="str">
        <f>VLOOKUP(B38,'DF Calculation'!$C$8:$D$114,2,FALSE)</f>
        <v>32 Gal Can EXTRA</v>
      </c>
      <c r="D38" s="375">
        <f>SUMIFS('DF Calculation'!L:L,'DF Calculation'!B:B,'Rate Sheet'!A38,'DF Calculation'!C:C,'Rate Sheet'!B38)</f>
        <v>5.18</v>
      </c>
      <c r="E38" s="375">
        <f t="shared" si="0"/>
        <v>4.6833946579590169E-2</v>
      </c>
      <c r="F38" s="376">
        <f>SUMIFS('DF Calculation'!$O:$O,'DF Calculation'!$B:$B,'Rate Sheet'!A38,'DF Calculation'!$C:$C,'Rate Sheet'!B38)</f>
        <v>5.2268339465795899</v>
      </c>
      <c r="G38" s="477" t="str">
        <f>IF(VLOOKUP($C38,'DF Calculation'!$D$7:$N$115,11,FALSE)-E38&lt;0.006,"OK",VLOOKUP($C38,'DF Calculation'!$D$7:$N$115,11,FALSE)-E38)</f>
        <v>OK</v>
      </c>
      <c r="H38" s="375">
        <f>SUMIFS('DF Calculation'!M:M,'DF Calculation'!B:B,'Rate Sheet'!A38,'DF Calculation'!C:C,'Rate Sheet'!B38)</f>
        <v>5.16</v>
      </c>
      <c r="I38" s="375">
        <f t="shared" si="1"/>
        <v>4.6833946579590169E-2</v>
      </c>
      <c r="J38" s="376">
        <f>SUMIFS('DF Calculation'!$P:$P,'DF Calculation'!$B:$B,'Rate Sheet'!A38,'DF Calculation'!$C:$C,'Rate Sheet'!B38)</f>
        <v>5.2068339465795903</v>
      </c>
      <c r="K38" s="477" t="str">
        <f>IF(VLOOKUP($C38,'DF Calculation'!$D$7:$N$115,11,FALSE)-I38&lt;0.006,"OK",VLOOKUP($C38,'DF Calculation'!$D$7:$N$115,11,FALSE)-I38)</f>
        <v>OK</v>
      </c>
      <c r="L38" s="180"/>
      <c r="O38" s="180"/>
    </row>
    <row r="39" spans="1:15">
      <c r="A39" s="394">
        <v>21</v>
      </c>
      <c r="B39" s="377" t="s">
        <v>364</v>
      </c>
      <c r="C39" s="395" t="str">
        <f>VLOOKUP(B39,'DF Calculation'!$C$8:$D$114,2,FALSE)</f>
        <v>65 Gal Toter SPECIAL</v>
      </c>
      <c r="D39" s="375">
        <f>SUMIFS('DF Calculation'!L:L,'DF Calculation'!B:B,'Rate Sheet'!$A39,'DF Calculation'!C:C,'Rate Sheet'!$B39)</f>
        <v>10.130000000000001</v>
      </c>
      <c r="E39" s="375">
        <f t="shared" si="0"/>
        <v>6.4741043801198828E-2</v>
      </c>
      <c r="F39" s="376">
        <f>SUMIFS('DF Calculation'!$O:$O,'DF Calculation'!$B:$B,'Rate Sheet'!$A39,'DF Calculation'!$C:$C,'Rate Sheet'!$B39)</f>
        <v>10.1947410438012</v>
      </c>
      <c r="G39" s="477" t="str">
        <f>IF(VLOOKUP($C39,'DF Calculation'!$D$7:$N$115,11,FALSE)-E39&lt;0.006,"OK",VLOOKUP($C39,'DF Calculation'!$D$7:$N$115,11,FALSE)-E39)</f>
        <v>OK</v>
      </c>
      <c r="H39" s="375">
        <f>SUMIFS('DF Calculation'!M:M,'DF Calculation'!B:B,'Rate Sheet'!$A39,'DF Calculation'!C:C,'Rate Sheet'!$B39)</f>
        <v>10.09</v>
      </c>
      <c r="I39" s="375">
        <f t="shared" si="1"/>
        <v>6.4741043801198828E-2</v>
      </c>
      <c r="J39" s="376">
        <f>SUMIFS('DF Calculation'!$P:$P,'DF Calculation'!$B:$B,'Rate Sheet'!$A39,'DF Calculation'!$C:$C,'Rate Sheet'!$B39)</f>
        <v>10.154741043801199</v>
      </c>
      <c r="K39" s="477" t="str">
        <f>IF(VLOOKUP($C39,'DF Calculation'!$D$7:$N$115,11,FALSE)-I39&lt;0.006,"OK",VLOOKUP($C39,'DF Calculation'!$D$7:$N$115,11,FALSE)-I39)</f>
        <v>OK</v>
      </c>
      <c r="L39" s="180"/>
      <c r="O39" s="180"/>
    </row>
    <row r="40" spans="1:15">
      <c r="A40" s="394">
        <v>21</v>
      </c>
      <c r="B40" s="377" t="s">
        <v>360</v>
      </c>
      <c r="C40" s="395" t="str">
        <f>VLOOKUP(B40,'DF Calculation'!$C$8:$D$114,2,FALSE)</f>
        <v>95 Gal Toter SPECIAL</v>
      </c>
      <c r="D40" s="375">
        <f>SUMIFS('DF Calculation'!L:L,'DF Calculation'!B:B,'Rate Sheet'!A40,'DF Calculation'!C:C,'Rate Sheet'!B40)</f>
        <v>15.17</v>
      </c>
      <c r="E40" s="375">
        <f t="shared" si="0"/>
        <v>9.3667893159180338E-2</v>
      </c>
      <c r="F40" s="376">
        <f>SUMIFS('DF Calculation'!$O:$O,'DF Calculation'!$B:$B,'Rate Sheet'!A40,'DF Calculation'!$C:$C,'Rate Sheet'!B40)</f>
        <v>15.26366789315918</v>
      </c>
      <c r="G40" s="477" t="str">
        <f>IF(VLOOKUP($C40,'DF Calculation'!$D$7:$N$115,11,FALSE)-E40&lt;0.006,"OK",VLOOKUP($C40,'DF Calculation'!$D$7:$N$115,11,FALSE)-E40)</f>
        <v>OK</v>
      </c>
      <c r="H40" s="375">
        <f>SUMIFS('DF Calculation'!M:M,'DF Calculation'!B:B,'Rate Sheet'!A40,'DF Calculation'!C:C,'Rate Sheet'!B40)</f>
        <v>15.11</v>
      </c>
      <c r="I40" s="375">
        <f t="shared" si="1"/>
        <v>9.3667893159180338E-2</v>
      </c>
      <c r="J40" s="376">
        <f>SUMIFS('DF Calculation'!$P:$P,'DF Calculation'!$B:$B,'Rate Sheet'!A40,'DF Calculation'!$C:$C,'Rate Sheet'!B40)</f>
        <v>15.20366789315918</v>
      </c>
      <c r="K40" s="477" t="str">
        <f>IF(VLOOKUP($C40,'DF Calculation'!$D$7:$N$115,11,FALSE)-I40&lt;0.006,"OK",VLOOKUP($C40,'DF Calculation'!$D$7:$N$115,11,FALSE)-I40)</f>
        <v>OK</v>
      </c>
      <c r="L40" s="180"/>
      <c r="O40" s="180"/>
    </row>
    <row r="41" spans="1:15" s="327" customFormat="1">
      <c r="A41" s="402">
        <v>21</v>
      </c>
      <c r="B41" s="403" t="s">
        <v>859</v>
      </c>
      <c r="C41" s="404" t="s">
        <v>859</v>
      </c>
      <c r="D41" s="375">
        <f>SUMIFS('DF Calculation'!L:L,'DF Calculation'!B:B,'Rate Sheet'!A41,'DF Calculation'!C:C,'Rate Sheet'!B41)</f>
        <v>5.78</v>
      </c>
      <c r="E41" s="375">
        <f t="shared" si="0"/>
        <v>4.6833946579590169E-2</v>
      </c>
      <c r="F41" s="376">
        <f>SUMIFS('DF Calculation'!$O:$O,'DF Calculation'!$B:$B,'Rate Sheet'!A41,'DF Calculation'!$C:$C,'Rate Sheet'!B41)</f>
        <v>5.8268339465795904</v>
      </c>
      <c r="G41" s="477" t="str">
        <f>IF(VLOOKUP($C41,'DF Calculation'!$D$7:$N$115,11,FALSE)-E41&lt;0.006,"OK",VLOOKUP($C41,'DF Calculation'!$D$7:$N$115,11,FALSE)-E41)</f>
        <v>OK</v>
      </c>
      <c r="H41" s="375">
        <f>SUMIFS('DF Calculation'!M:M,'DF Calculation'!B:B,'Rate Sheet'!A41,'DF Calculation'!C:C,'Rate Sheet'!B41)</f>
        <v>5.75</v>
      </c>
      <c r="I41" s="375">
        <f t="shared" si="1"/>
        <v>4.6833946579590169E-2</v>
      </c>
      <c r="J41" s="376">
        <f>SUMIFS('DF Calculation'!$P:$P,'DF Calculation'!$B:$B,'Rate Sheet'!A41,'DF Calculation'!$C:$C,'Rate Sheet'!B41)</f>
        <v>5.7968339465795902</v>
      </c>
      <c r="K41" s="477" t="str">
        <f>IF(VLOOKUP($C41,'DF Calculation'!$D$7:$N$115,11,FALSE)-I41&lt;0.006,"OK",VLOOKUP($C41,'DF Calculation'!$D$7:$N$115,11,FALSE)-I41)</f>
        <v>OK</v>
      </c>
      <c r="L41" s="405" t="s">
        <v>900</v>
      </c>
      <c r="O41" s="180"/>
    </row>
    <row r="42" spans="1:15">
      <c r="A42" s="394">
        <v>22</v>
      </c>
      <c r="B42" s="377" t="s">
        <v>564</v>
      </c>
      <c r="C42" s="395" t="str">
        <f>VLOOKUP(B42,'DF Calculation'!$C$8:$D$114,2,FALSE)</f>
        <v>1 - 4 Cubic Yards Loose</v>
      </c>
      <c r="D42" s="375">
        <f>SUMIFS('DF Calculation'!L:L,'DF Calculation'!B:B,'Rate Sheet'!$A42,'DF Calculation'!C:C,'Rate Sheet'!$B42)</f>
        <v>27.32</v>
      </c>
      <c r="E42" s="375">
        <f t="shared" si="0"/>
        <v>0.16999999999999815</v>
      </c>
      <c r="F42" s="483">
        <f>SUMIFS('DF Calculation'!$O:$O,'DF Calculation'!$B:$B,'Rate Sheet'!$A42,'DF Calculation'!$C:$C,'Rate Sheet'!$B42)</f>
        <v>27.49</v>
      </c>
      <c r="G42" s="477" t="str">
        <f>IF(VLOOKUP($C42,'DF Calculation'!$D$7:$N$115,11,FALSE)-E42&lt;0.006,"OK",VLOOKUP($C42,'DF Calculation'!$D$7:$N$115,11,FALSE)-E42)</f>
        <v>OK</v>
      </c>
      <c r="H42" s="375">
        <f>SUMIFS('DF Calculation'!M:M,'DF Calculation'!B:B,'Rate Sheet'!$A42,'DF Calculation'!C:C,'Rate Sheet'!$B42)</f>
        <v>27.21</v>
      </c>
      <c r="I42" s="375">
        <f t="shared" si="1"/>
        <v>0.17218362713084545</v>
      </c>
      <c r="J42" s="376">
        <f>SUMIFS('DF Calculation'!$P:$P,'DF Calculation'!$B:$B,'Rate Sheet'!$A42,'DF Calculation'!$C:$C,'Rate Sheet'!$B42)</f>
        <v>27.382183627130846</v>
      </c>
      <c r="K42" s="477" t="str">
        <f>IF(VLOOKUP($C42,'DF Calculation'!$D$7:$N$115,11,FALSE)-I42&lt;0.006,"OK",VLOOKUP($C42,'DF Calculation'!$D$7:$N$115,11,FALSE)-I42)</f>
        <v>OK</v>
      </c>
      <c r="L42" s="180"/>
      <c r="O42" s="180"/>
    </row>
    <row r="43" spans="1:15">
      <c r="A43" s="394">
        <v>22</v>
      </c>
      <c r="B43" s="395" t="s">
        <v>309</v>
      </c>
      <c r="C43" s="395" t="str">
        <f>VLOOKUP(B43,'DF Calculation'!$C$8:$D$114,2,FALSE)</f>
        <v>1 - 4 Cubic Yards BULKY</v>
      </c>
      <c r="D43" s="375">
        <f>SUMIFS('DF Calculation'!L:L,'DF Calculation'!B:B,'Rate Sheet'!A43,'DF Calculation'!C:C,'Rate Sheet'!B43)</f>
        <v>15.25</v>
      </c>
      <c r="E43" s="375">
        <f t="shared" si="0"/>
        <v>0.17218362713084723</v>
      </c>
      <c r="F43" s="376">
        <f>SUMIFS('DF Calculation'!$O:$O,'DF Calculation'!$B:$B,'Rate Sheet'!A43,'DF Calculation'!$C:$C,'Rate Sheet'!B43)</f>
        <v>15.422183627130847</v>
      </c>
      <c r="G43" s="477" t="str">
        <f>IF(VLOOKUP($C43,'DF Calculation'!$D$7:$N$115,11,FALSE)-E43&lt;0.006,"OK",VLOOKUP($C43,'DF Calculation'!$D$7:$N$115,11,FALSE)-E43)</f>
        <v>OK</v>
      </c>
      <c r="H43" s="375">
        <f>SUMIFS('DF Calculation'!M:M,'DF Calculation'!B:B,'Rate Sheet'!A43,'DF Calculation'!C:C,'Rate Sheet'!B43)</f>
        <v>15.19</v>
      </c>
      <c r="I43" s="375">
        <f t="shared" si="1"/>
        <v>0.17218362713084723</v>
      </c>
      <c r="J43" s="376">
        <f>SUMIFS('DF Calculation'!$P:$P,'DF Calculation'!$B:$B,'Rate Sheet'!A43,'DF Calculation'!$C:$C,'Rate Sheet'!B43)</f>
        <v>15.362183627130847</v>
      </c>
      <c r="K43" s="477" t="str">
        <f>IF(VLOOKUP($C43,'DF Calculation'!$D$7:$N$115,11,FALSE)-I43&lt;0.006,"OK",VLOOKUP($C43,'DF Calculation'!$D$7:$N$115,11,FALSE)-I43)</f>
        <v>OK</v>
      </c>
      <c r="L43" s="180"/>
      <c r="O43" s="180"/>
    </row>
    <row r="44" spans="1:15" s="327" customFormat="1">
      <c r="A44" s="402">
        <v>22</v>
      </c>
      <c r="B44" s="403" t="s">
        <v>862</v>
      </c>
      <c r="C44" s="404" t="s">
        <v>862</v>
      </c>
      <c r="D44" s="375">
        <f>SUMIFS('DF Calculation'!L:L,'DF Calculation'!B:B,'Rate Sheet'!A44,'DF Calculation'!C:C,'Rate Sheet'!B44)</f>
        <v>10.86</v>
      </c>
      <c r="E44" s="375">
        <f t="shared" si="0"/>
        <v>0.17218362713084545</v>
      </c>
      <c r="F44" s="376">
        <f>SUMIFS('DF Calculation'!$O:$O,'DF Calculation'!$B:$B,'Rate Sheet'!A44,'DF Calculation'!$C:$C,'Rate Sheet'!B44)</f>
        <v>11.032183627130845</v>
      </c>
      <c r="G44" s="477" t="str">
        <f>IF(VLOOKUP($C44,'DF Calculation'!$D$7:$N$115,11,FALSE)-E44&lt;0.006,"OK",VLOOKUP($C44,'DF Calculation'!$D$7:$N$115,11,FALSE)-E44)</f>
        <v>OK</v>
      </c>
      <c r="H44" s="375">
        <f>SUMIFS('DF Calculation'!M:M,'DF Calculation'!B:B,'Rate Sheet'!A44,'DF Calculation'!C:C,'Rate Sheet'!B44)</f>
        <v>10.81</v>
      </c>
      <c r="I44" s="375">
        <f t="shared" si="1"/>
        <v>0.17218362713084723</v>
      </c>
      <c r="J44" s="376">
        <f>SUMIFS('DF Calculation'!$P:$P,'DF Calculation'!$B:$B,'Rate Sheet'!A44,'DF Calculation'!$C:$C,'Rate Sheet'!B44)</f>
        <v>10.982183627130848</v>
      </c>
      <c r="K44" s="477" t="str">
        <f>IF(VLOOKUP($C44,'DF Calculation'!$D$7:$N$115,11,FALSE)-I44&lt;0.006,"OK",VLOOKUP($C44,'DF Calculation'!$D$7:$N$115,11,FALSE)-I44)</f>
        <v>OK</v>
      </c>
      <c r="L44" s="405" t="s">
        <v>900</v>
      </c>
      <c r="O44" s="180"/>
    </row>
    <row r="45" spans="1:15" s="327" customFormat="1">
      <c r="A45" s="402">
        <v>22</v>
      </c>
      <c r="B45" s="403" t="s">
        <v>863</v>
      </c>
      <c r="C45" s="404" t="s">
        <v>863</v>
      </c>
      <c r="D45" s="375">
        <f>SUMIFS('DF Calculation'!L:L,'DF Calculation'!B:B,'Rate Sheet'!A45,'DF Calculation'!C:C,'Rate Sheet'!B45)</f>
        <v>15.25</v>
      </c>
      <c r="E45" s="375">
        <f t="shared" si="0"/>
        <v>0.17218362713084545</v>
      </c>
      <c r="F45" s="376">
        <f>SUMIFS('DF Calculation'!$O:$O,'DF Calculation'!$B:$B,'Rate Sheet'!A45,'DF Calculation'!$C:$C,'Rate Sheet'!B45)</f>
        <v>15.422183627130845</v>
      </c>
      <c r="G45" s="477" t="str">
        <f>IF(VLOOKUP($C45,'DF Calculation'!$D$7:$N$115,11,FALSE)-E45&lt;0.006,"OK",VLOOKUP($C45,'DF Calculation'!$D$7:$N$115,11,FALSE)-E45)</f>
        <v>OK</v>
      </c>
      <c r="H45" s="375">
        <f>SUMIFS('DF Calculation'!M:M,'DF Calculation'!B:B,'Rate Sheet'!A45,'DF Calculation'!C:C,'Rate Sheet'!B45)</f>
        <v>15.19</v>
      </c>
      <c r="I45" s="375">
        <f t="shared" si="1"/>
        <v>0.17218362713084723</v>
      </c>
      <c r="J45" s="376">
        <f>SUMIFS('DF Calculation'!$P:$P,'DF Calculation'!$B:$B,'Rate Sheet'!A45,'DF Calculation'!$C:$C,'Rate Sheet'!B45)</f>
        <v>15.362183627130847</v>
      </c>
      <c r="K45" s="477" t="str">
        <f>IF(VLOOKUP($C45,'DF Calculation'!$D$7:$N$115,11,FALSE)-I45&lt;0.006,"OK",VLOOKUP($C45,'DF Calculation'!$D$7:$N$115,11,FALSE)-I45)</f>
        <v>OK</v>
      </c>
      <c r="L45" s="405" t="s">
        <v>900</v>
      </c>
      <c r="O45" s="180"/>
    </row>
    <row r="46" spans="1:15" s="327" customFormat="1">
      <c r="A46" s="402">
        <v>22</v>
      </c>
      <c r="B46" s="403" t="s">
        <v>864</v>
      </c>
      <c r="C46" s="404" t="s">
        <v>864</v>
      </c>
      <c r="D46" s="375">
        <f>SUMIFS('DF Calculation'!L:L,'DF Calculation'!B:B,'Rate Sheet'!A46,'DF Calculation'!C:C,'Rate Sheet'!B46)</f>
        <v>20</v>
      </c>
      <c r="E46" s="375">
        <f t="shared" si="0"/>
        <v>0.17218362713084545</v>
      </c>
      <c r="F46" s="376">
        <f>SUMIFS('DF Calculation'!$O:$O,'DF Calculation'!$B:$B,'Rate Sheet'!A46,'DF Calculation'!$C:$C,'Rate Sheet'!B46)</f>
        <v>20.172183627130845</v>
      </c>
      <c r="G46" s="477" t="str">
        <f>IF(VLOOKUP($C46,'DF Calculation'!$D$7:$N$115,11,FALSE)-E46&lt;0.006,"OK",VLOOKUP($C46,'DF Calculation'!$D$7:$N$115,11,FALSE)-E46)</f>
        <v>OK</v>
      </c>
      <c r="H46" s="375">
        <f>SUMIFS('DF Calculation'!M:M,'DF Calculation'!B:B,'Rate Sheet'!A46,'DF Calculation'!C:C,'Rate Sheet'!B46)</f>
        <v>19.920000000000002</v>
      </c>
      <c r="I46" s="375">
        <f t="shared" si="1"/>
        <v>0.17218362713084545</v>
      </c>
      <c r="J46" s="376">
        <f>SUMIFS('DF Calculation'!$P:$P,'DF Calculation'!$B:$B,'Rate Sheet'!A46,'DF Calculation'!$C:$C,'Rate Sheet'!B46)</f>
        <v>20.092183627130847</v>
      </c>
      <c r="K46" s="477" t="str">
        <f>IF(VLOOKUP($C46,'DF Calculation'!$D$7:$N$115,11,FALSE)-I46&lt;0.006,"OK",VLOOKUP($C46,'DF Calculation'!$D$7:$N$115,11,FALSE)-I46)</f>
        <v>OK</v>
      </c>
      <c r="L46" s="405" t="s">
        <v>900</v>
      </c>
      <c r="O46" s="180"/>
    </row>
    <row r="47" spans="1:15" s="327" customFormat="1">
      <c r="A47" s="402">
        <v>22</v>
      </c>
      <c r="B47" s="403" t="s">
        <v>865</v>
      </c>
      <c r="C47" s="404" t="s">
        <v>865</v>
      </c>
      <c r="D47" s="375">
        <f>SUMIFS('DF Calculation'!L:L,'DF Calculation'!B:B,'Rate Sheet'!A47,'DF Calculation'!C:C,'Rate Sheet'!B47)</f>
        <v>27.32</v>
      </c>
      <c r="E47" s="375">
        <f t="shared" si="0"/>
        <v>0.17218362713084545</v>
      </c>
      <c r="F47" s="376">
        <f>SUMIFS('DF Calculation'!$O:$O,'DF Calculation'!$B:$B,'Rate Sheet'!A47,'DF Calculation'!$C:$C,'Rate Sheet'!B47)</f>
        <v>27.492183627130846</v>
      </c>
      <c r="G47" s="477" t="str">
        <f>IF(VLOOKUP($C47,'DF Calculation'!$D$7:$N$115,11,FALSE)-E47&lt;0.006,"OK",VLOOKUP($C47,'DF Calculation'!$D$7:$N$115,11,FALSE)-E47)</f>
        <v>OK</v>
      </c>
      <c r="H47" s="375">
        <f>SUMIFS('DF Calculation'!M:M,'DF Calculation'!B:B,'Rate Sheet'!A47,'DF Calculation'!C:C,'Rate Sheet'!B47)</f>
        <v>27.21</v>
      </c>
      <c r="I47" s="375">
        <f t="shared" si="1"/>
        <v>0.17218362713084545</v>
      </c>
      <c r="J47" s="376">
        <f>SUMIFS('DF Calculation'!$P:$P,'DF Calculation'!$B:$B,'Rate Sheet'!A47,'DF Calculation'!$C:$C,'Rate Sheet'!B47)</f>
        <v>27.382183627130846</v>
      </c>
      <c r="K47" s="477" t="str">
        <f>IF(VLOOKUP($C47,'DF Calculation'!$D$7:$N$115,11,FALSE)-I47&lt;0.006,"OK",VLOOKUP($C47,'DF Calculation'!$D$7:$N$115,11,FALSE)-I47)</f>
        <v>OK</v>
      </c>
      <c r="L47" s="405" t="s">
        <v>900</v>
      </c>
      <c r="O47" s="180"/>
    </row>
    <row r="48" spans="1:15" s="7" customFormat="1">
      <c r="A48" s="402">
        <v>26</v>
      </c>
      <c r="B48" s="403" t="s">
        <v>922</v>
      </c>
      <c r="C48" s="404" t="s">
        <v>922</v>
      </c>
      <c r="D48" s="375">
        <f>SUMIFS('DF Calculation'!L:L,'DF Calculation'!B:B,'Rate Sheet'!A48,'DF Calculation'!C:C,'Rate Sheet'!B48)</f>
        <v>0.13</v>
      </c>
      <c r="E48" s="375">
        <f t="shared" si="0"/>
        <v>1.3774690170467729E-3</v>
      </c>
      <c r="F48" s="483">
        <f>SUMIFS('DF Calculation'!$O:$O,'DF Calculation'!$B:$B,'Rate Sheet'!A48,'DF Calculation'!$C:$C,'Rate Sheet'!B48)</f>
        <v>0.13137746901704678</v>
      </c>
      <c r="G48" s="477" t="str">
        <f>IF(VLOOKUP($C48,'DF Calculation'!$D$7:$N$115,11,FALSE)-E48&lt;0.006,"OK",VLOOKUP($C48,'DF Calculation'!$D$7:$N$115,11,FALSE)-E48)</f>
        <v>OK</v>
      </c>
      <c r="H48" s="375">
        <f>SUMIFS('DF Calculation'!M:M,'DF Calculation'!B:B,'Rate Sheet'!A48,'DF Calculation'!C:C,'Rate Sheet'!B48)</f>
        <v>0.13</v>
      </c>
      <c r="I48" s="375">
        <f t="shared" si="1"/>
        <v>1.3774690170467729E-3</v>
      </c>
      <c r="J48" s="376">
        <f>SUMIFS('DF Calculation'!$P:$P,'DF Calculation'!$B:$B,'Rate Sheet'!A48,'DF Calculation'!$C:$C,'Rate Sheet'!B48)</f>
        <v>0.13137746901704678</v>
      </c>
      <c r="K48" s="477" t="str">
        <f>IF(VLOOKUP($C48,'DF Calculation'!$D$7:$N$115,11,FALSE)-I48&lt;0.006,"OK",VLOOKUP($C48,'DF Calculation'!$D$7:$N$115,11,FALSE)-I48)</f>
        <v>OK</v>
      </c>
      <c r="L48" s="455"/>
      <c r="O48" s="180"/>
    </row>
    <row r="49" spans="1:20">
      <c r="A49" s="396">
        <v>28</v>
      </c>
      <c r="B49" s="397" t="s">
        <v>845</v>
      </c>
      <c r="C49" s="397" t="str">
        <f>VLOOKUP(B49,'DF Calculation'!$C$8:$D$114,2,FALSE)</f>
        <v>APPLIANCE REMOVAL EXTRA</v>
      </c>
      <c r="D49" s="456">
        <f>'DF Calculation'!L47</f>
        <v>33.85</v>
      </c>
      <c r="E49" s="378">
        <f t="shared" si="0"/>
        <v>1.009999999999998</v>
      </c>
      <c r="F49" s="463">
        <f>'DF Calculation'!O47</f>
        <v>34.86</v>
      </c>
      <c r="G49" s="478" t="str">
        <f>IF(($T$55-$R$55-E49)&lt;0.006,"OK",($T$55-$R$55-E49))</f>
        <v>OK</v>
      </c>
      <c r="H49" s="456">
        <f>'DF Calculation'!M47</f>
        <v>33.85</v>
      </c>
      <c r="I49" s="378">
        <f t="shared" si="1"/>
        <v>1.009999999999998</v>
      </c>
      <c r="J49" s="456">
        <f>'DF Calculation'!P47</f>
        <v>34.86</v>
      </c>
      <c r="K49" s="478" t="str">
        <f>IF(($T$55-$R$55-I49)&lt;0.006,"OK",($T$55-$R$55-I49))</f>
        <v>OK</v>
      </c>
      <c r="L49" s="464"/>
      <c r="O49" s="180"/>
    </row>
    <row r="50" spans="1:20">
      <c r="A50" s="396">
        <v>29</v>
      </c>
      <c r="B50" s="397" t="s">
        <v>901</v>
      </c>
      <c r="C50" s="397" t="s">
        <v>902</v>
      </c>
      <c r="D50" s="456">
        <f>+'DF Calculation'!L48</f>
        <v>37.96</v>
      </c>
      <c r="E50" s="378">
        <f t="shared" si="0"/>
        <v>0.24000000000000199</v>
      </c>
      <c r="F50" s="463">
        <f>+'DF Calculation'!O48</f>
        <v>38.200000000000003</v>
      </c>
      <c r="G50" s="477" t="str">
        <f>IF(VLOOKUP($C50,'DF Calculation'!$D$7:$N$115,11,FALSE)-E50&lt;0.006,"OK",VLOOKUP($C50,'DF Calculation'!$D$7:$N$115,11,FALSE)-E50)</f>
        <v>OK</v>
      </c>
      <c r="H50" s="456">
        <f>+'DF Calculation'!M48</f>
        <v>37.81</v>
      </c>
      <c r="I50" s="378">
        <f t="shared" si="1"/>
        <v>0.24105707798318576</v>
      </c>
      <c r="J50" s="463">
        <f>+'DF Calculation'!P48</f>
        <v>38.051057077983188</v>
      </c>
      <c r="K50" s="479" t="str">
        <f>IF(VLOOKUP($C50,'DF Calculation'!$D$7:$N$115,11,FALSE)-I50&lt;0.006,"OK",VLOOKUP($C50,'DF Calculation'!$D$7:$N$115,11,FALSE)-I50)</f>
        <v>OK</v>
      </c>
      <c r="L50" s="465"/>
      <c r="O50" s="180"/>
    </row>
    <row r="51" spans="1:20">
      <c r="A51" s="396">
        <v>29</v>
      </c>
      <c r="B51" s="397" t="s">
        <v>903</v>
      </c>
      <c r="C51" s="397" t="s">
        <v>902</v>
      </c>
      <c r="D51" s="456">
        <f>+'DF Calculation'!L49</f>
        <v>22.28</v>
      </c>
      <c r="E51" s="378">
        <f t="shared" si="0"/>
        <v>0.23999999999999844</v>
      </c>
      <c r="F51" s="463">
        <f>+'DF Calculation'!O49</f>
        <v>22.52</v>
      </c>
      <c r="G51" s="477" t="str">
        <f>IF(VLOOKUP($C51,'DF Calculation'!$D$7:$N$115,11,FALSE)-E51&lt;0.006,"OK",VLOOKUP($C51,'DF Calculation'!$D$7:$N$115,11,FALSE)-E51)</f>
        <v>OK</v>
      </c>
      <c r="H51" s="456">
        <f>+'DF Calculation'!M49</f>
        <v>22.19</v>
      </c>
      <c r="I51" s="378">
        <f t="shared" si="1"/>
        <v>0.24105707798318576</v>
      </c>
      <c r="J51" s="463">
        <f>+'DF Calculation'!P49</f>
        <v>22.431057077983187</v>
      </c>
      <c r="K51" s="479" t="str">
        <f>IF(VLOOKUP($C51,'DF Calculation'!$D$7:$N$115,11,FALSE)-I51&lt;0.006,"OK",VLOOKUP($C51,'DF Calculation'!$D$7:$N$115,11,FALSE)-I51)</f>
        <v>OK</v>
      </c>
      <c r="L51" s="465"/>
      <c r="M51" s="109"/>
      <c r="O51" s="180"/>
    </row>
    <row r="52" spans="1:20">
      <c r="A52" s="396">
        <v>29</v>
      </c>
      <c r="B52" s="397" t="s">
        <v>406</v>
      </c>
      <c r="C52" s="397" t="str">
        <f>VLOOKUP(B52,'DF Calculation'!$C$8:$D$114,2,FALSE)</f>
        <v>1 yard Temp Pickup</v>
      </c>
      <c r="D52" s="378">
        <f>SUMIFS('DF Calculation'!L:L,'DF Calculation'!B:B,'Rate Sheet'!$A52,'DF Calculation'!C:C,'Rate Sheet'!$B52)</f>
        <v>33.409999999999997</v>
      </c>
      <c r="E52" s="378">
        <f t="shared" si="0"/>
        <v>0.24000000000000199</v>
      </c>
      <c r="F52" s="379">
        <f>SUMIFS('DF Calculation'!$O:$O,'DF Calculation'!$B:$B,'Rate Sheet'!$A52,'DF Calculation'!$C:$C,'Rate Sheet'!$B52)</f>
        <v>33.65</v>
      </c>
      <c r="G52" s="477" t="str">
        <f>IF(VLOOKUP($C52,'DF Calculation'!$D$7:$N$115,11,FALSE)-E52&lt;0.006,"OK",VLOOKUP($C52,'DF Calculation'!$D$7:$N$115,11,FALSE)-E52)</f>
        <v>OK</v>
      </c>
      <c r="H52" s="378">
        <f>SUMIFS('DF Calculation'!M:M,'DF Calculation'!B:B,'Rate Sheet'!$A52,'DF Calculation'!C:C,'Rate Sheet'!$B52)</f>
        <v>33.28</v>
      </c>
      <c r="I52" s="378">
        <f t="shared" si="1"/>
        <v>0.24105707798318576</v>
      </c>
      <c r="J52" s="379">
        <f>SUMIFS('DF Calculation'!$P:$P,'DF Calculation'!$B:$B,'Rate Sheet'!$A52,'DF Calculation'!$C:$C,'Rate Sheet'!$B52)</f>
        <v>33.521057077983187</v>
      </c>
      <c r="K52" s="479" t="str">
        <f>IF(VLOOKUP($C52,'DF Calculation'!$D$7:$N$115,11,FALSE)-I52&lt;0.006,"OK",VLOOKUP($C52,'DF Calculation'!$D$7:$N$115,11,FALSE)-I52)</f>
        <v>OK</v>
      </c>
      <c r="L52" s="464"/>
      <c r="M52" s="109"/>
      <c r="O52" s="180"/>
      <c r="Q52" s="326" t="s">
        <v>927</v>
      </c>
      <c r="R52" s="466">
        <v>2.82</v>
      </c>
      <c r="T52" s="466">
        <f>(R52*0.0297)+R52</f>
        <v>2.9037539999999997</v>
      </c>
    </row>
    <row r="53" spans="1:20">
      <c r="A53" s="398">
        <v>29</v>
      </c>
      <c r="B53" s="399" t="s">
        <v>609</v>
      </c>
      <c r="C53" s="397" t="str">
        <f>VLOOKUP(B53,'DF Calculation'!$C$8:$D$114,2,FALSE)</f>
        <v>1 yard Special</v>
      </c>
      <c r="D53" s="378">
        <f>SUMIFS('DF Calculation'!L:L,'DF Calculation'!B:B,'Rate Sheet'!$A53,'DF Calculation'!C:C,'Rate Sheet'!$B53)</f>
        <v>33.409999999999997</v>
      </c>
      <c r="E53" s="378">
        <f t="shared" si="0"/>
        <v>0.24000000000000199</v>
      </c>
      <c r="F53" s="379">
        <f>SUMIFS('DF Calculation'!$O:$O,'DF Calculation'!$B:$B,'Rate Sheet'!$A53,'DF Calculation'!$C:$C,'Rate Sheet'!$B53)</f>
        <v>33.65</v>
      </c>
      <c r="G53" s="477" t="str">
        <f>IF(VLOOKUP($C53,'DF Calculation'!$D$7:$N$115,11,FALSE)-E53&lt;0.006,"OK",VLOOKUP($C53,'DF Calculation'!$D$7:$N$115,11,FALSE)-E53)</f>
        <v>OK</v>
      </c>
      <c r="H53" s="378">
        <f>SUMIFS('DF Calculation'!M:M,'DF Calculation'!B:B,'Rate Sheet'!$A53,'DF Calculation'!C:C,'Rate Sheet'!$B53)</f>
        <v>33.28</v>
      </c>
      <c r="I53" s="378">
        <f t="shared" si="1"/>
        <v>0.24105707798318576</v>
      </c>
      <c r="J53" s="379">
        <f>SUMIFS('DF Calculation'!$P:$P,'DF Calculation'!$B:$B,'Rate Sheet'!$A53,'DF Calculation'!$C:$C,'Rate Sheet'!$B53)</f>
        <v>33.521057077983187</v>
      </c>
      <c r="K53" s="479" t="str">
        <f>IF(VLOOKUP($C53,'DF Calculation'!$D$7:$N$115,11,FALSE)-I53&lt;0.006,"OK",VLOOKUP($C53,'DF Calculation'!$D$7:$N$115,11,FALSE)-I53)</f>
        <v>OK</v>
      </c>
      <c r="L53" s="109"/>
      <c r="M53" s="109"/>
      <c r="O53" s="180"/>
      <c r="Q53" s="326" t="s">
        <v>928</v>
      </c>
      <c r="R53" s="466">
        <v>11.85</v>
      </c>
      <c r="T53" s="466">
        <f t="shared" ref="T53:T56" si="2">(R53*0.0297)+R53</f>
        <v>12.201945</v>
      </c>
    </row>
    <row r="54" spans="1:20">
      <c r="A54" s="396">
        <v>29</v>
      </c>
      <c r="B54" s="397" t="s">
        <v>904</v>
      </c>
      <c r="C54" s="397" t="s">
        <v>906</v>
      </c>
      <c r="D54" s="456">
        <f>'DF Calculation'!L52</f>
        <v>53.59</v>
      </c>
      <c r="E54" s="378">
        <f t="shared" si="0"/>
        <v>0.33999999999999631</v>
      </c>
      <c r="F54" s="463">
        <f>'DF Calculation'!O52</f>
        <v>53.93</v>
      </c>
      <c r="G54" s="477" t="str">
        <f>IF(VLOOKUP($C54,'DF Calculation'!$D$7:$N$115,11,FALSE)-E54&lt;0.006,"OK",VLOOKUP($C54,'DF Calculation'!$D$7:$N$115,11,FALSE)-E54)</f>
        <v>OK</v>
      </c>
      <c r="H54" s="456">
        <f>'DF Calculation'!M52</f>
        <v>53.38</v>
      </c>
      <c r="I54" s="378">
        <f t="shared" si="1"/>
        <v>0.3443672542616909</v>
      </c>
      <c r="J54" s="463">
        <f>'DF Calculation'!P52</f>
        <v>53.724367254261693</v>
      </c>
      <c r="K54" s="479" t="str">
        <f>IF(VLOOKUP($C54,'DF Calculation'!$D$7:$N$115,11,FALSE)-I54&lt;0.006,"OK",VLOOKUP($C54,'DF Calculation'!$D$7:$N$115,11,FALSE)-I54)</f>
        <v>OK</v>
      </c>
      <c r="L54" s="465"/>
      <c r="M54" s="109"/>
      <c r="O54" s="180"/>
      <c r="Q54" s="326" t="s">
        <v>929</v>
      </c>
      <c r="R54" s="466">
        <v>1.7</v>
      </c>
      <c r="T54" s="466">
        <f t="shared" si="2"/>
        <v>1.7504899999999999</v>
      </c>
    </row>
    <row r="55" spans="1:20">
      <c r="A55" s="396">
        <v>29</v>
      </c>
      <c r="B55" s="397" t="s">
        <v>905</v>
      </c>
      <c r="C55" s="397" t="s">
        <v>906</v>
      </c>
      <c r="D55" s="456">
        <f>'DF Calculation'!L53</f>
        <v>30.67</v>
      </c>
      <c r="E55" s="378">
        <f t="shared" si="0"/>
        <v>0.33999999999999986</v>
      </c>
      <c r="F55" s="463">
        <f>'DF Calculation'!O53</f>
        <v>31.01</v>
      </c>
      <c r="G55" s="477" t="str">
        <f>IF(VLOOKUP($C55,'DF Calculation'!$D$7:$N$115,11,FALSE)-E55&lt;0.006,"OK",VLOOKUP($C55,'DF Calculation'!$D$7:$N$115,11,FALSE)-E55)</f>
        <v>OK</v>
      </c>
      <c r="H55" s="456">
        <f>'DF Calculation'!M53</f>
        <v>30.55</v>
      </c>
      <c r="I55" s="378">
        <f t="shared" si="1"/>
        <v>0.34436725426169446</v>
      </c>
      <c r="J55" s="463">
        <f>'DF Calculation'!P53</f>
        <v>30.894367254261695</v>
      </c>
      <c r="K55" s="479" t="str">
        <f>IF(VLOOKUP($C55,'DF Calculation'!$D$7:$N$115,11,FALSE)-I55&lt;0.006,"OK",VLOOKUP($C55,'DF Calculation'!$D$7:$N$115,11,FALSE)-I55)</f>
        <v>OK</v>
      </c>
      <c r="L55" s="465"/>
      <c r="M55" s="109"/>
      <c r="O55" s="180"/>
      <c r="Q55" s="326" t="s">
        <v>930</v>
      </c>
      <c r="R55" s="466">
        <v>33.85</v>
      </c>
      <c r="T55" s="466">
        <f t="shared" si="2"/>
        <v>34.855345</v>
      </c>
    </row>
    <row r="56" spans="1:20">
      <c r="A56" s="396">
        <v>29</v>
      </c>
      <c r="B56" s="397" t="s">
        <v>419</v>
      </c>
      <c r="C56" s="397" t="str">
        <f>VLOOKUP(B56,'DF Calculation'!$C$8:$D$114,2,FALSE)</f>
        <v>1.5 yard Temp Pickup</v>
      </c>
      <c r="D56" s="378">
        <f>SUMIFS('DF Calculation'!L:L,'DF Calculation'!B:B,'Rate Sheet'!$A56,'DF Calculation'!C:C,'Rate Sheet'!$B56)</f>
        <v>47.36</v>
      </c>
      <c r="E56" s="378">
        <f t="shared" si="0"/>
        <v>0.34000000000000341</v>
      </c>
      <c r="F56" s="379">
        <f>SUMIFS('DF Calculation'!$O:$O,'DF Calculation'!$B:$B,'Rate Sheet'!$A56,'DF Calculation'!$C:$C,'Rate Sheet'!$B56)</f>
        <v>47.7</v>
      </c>
      <c r="G56" s="477" t="str">
        <f>IF(VLOOKUP($C56,'DF Calculation'!$D$7:$N$115,11,FALSE)-E56&lt;0.006,"OK",VLOOKUP($C56,'DF Calculation'!$D$7:$N$115,11,FALSE)-E56)</f>
        <v>OK</v>
      </c>
      <c r="H56" s="378">
        <f>SUMIFS('DF Calculation'!M:M,'DF Calculation'!B:B,'Rate Sheet'!$A56,'DF Calculation'!C:C,'Rate Sheet'!$B56)</f>
        <v>47.17</v>
      </c>
      <c r="I56" s="378">
        <f t="shared" si="1"/>
        <v>0.3443672542616909</v>
      </c>
      <c r="J56" s="379">
        <f>SUMIFS('DF Calculation'!$P:$P,'DF Calculation'!$B:$B,'Rate Sheet'!$A56,'DF Calculation'!$C:$C,'Rate Sheet'!$B56)</f>
        <v>47.514367254261693</v>
      </c>
      <c r="K56" s="479" t="str">
        <f>IF(VLOOKUP($C56,'DF Calculation'!$D$7:$N$115,11,FALSE)-I56&lt;0.006,"OK",VLOOKUP($C56,'DF Calculation'!$D$7:$N$115,11,FALSE)-I56)</f>
        <v>OK</v>
      </c>
      <c r="L56" s="464"/>
      <c r="M56" s="109"/>
      <c r="O56" s="180"/>
      <c r="Q56" s="468" t="s">
        <v>931</v>
      </c>
      <c r="R56" s="469">
        <v>95.31</v>
      </c>
      <c r="S56" s="470"/>
      <c r="T56" s="469">
        <f t="shared" si="2"/>
        <v>98.140707000000006</v>
      </c>
    </row>
    <row r="57" spans="1:20">
      <c r="A57" s="398">
        <v>29</v>
      </c>
      <c r="B57" s="399" t="s">
        <v>611</v>
      </c>
      <c r="C57" s="397" t="str">
        <f>VLOOKUP(B57,'DF Calculation'!$C$8:$D$114,2,FALSE)</f>
        <v>1.5 yard Special</v>
      </c>
      <c r="D57" s="378">
        <f>SUMIFS('DF Calculation'!L:L,'DF Calculation'!B:B,'Rate Sheet'!$A57,'DF Calculation'!C:C,'Rate Sheet'!$B57)</f>
        <v>47.36</v>
      </c>
      <c r="E57" s="378">
        <f t="shared" si="0"/>
        <v>0.34000000000000341</v>
      </c>
      <c r="F57" s="379">
        <f>SUMIFS('DF Calculation'!$O:$O,'DF Calculation'!$B:$B,'Rate Sheet'!$A57,'DF Calculation'!$C:$C,'Rate Sheet'!$B57)</f>
        <v>47.7</v>
      </c>
      <c r="G57" s="477" t="str">
        <f>IF(VLOOKUP($C57,'DF Calculation'!$D$7:$N$115,11,FALSE)-E57&lt;0.006,"OK",VLOOKUP($C57,'DF Calculation'!$D$7:$N$115,11,FALSE)-E57)</f>
        <v>OK</v>
      </c>
      <c r="H57" s="378">
        <f>SUMIFS('DF Calculation'!M:M,'DF Calculation'!B:B,'Rate Sheet'!$A57,'DF Calculation'!C:C,'Rate Sheet'!$B57)</f>
        <v>47.17</v>
      </c>
      <c r="I57" s="378">
        <f t="shared" si="1"/>
        <v>0.3443672542616909</v>
      </c>
      <c r="J57" s="379">
        <f>SUMIFS('DF Calculation'!$P:$P,'DF Calculation'!$B:$B,'Rate Sheet'!$A57,'DF Calculation'!$C:$C,'Rate Sheet'!$B57)</f>
        <v>47.514367254261693</v>
      </c>
      <c r="K57" s="479" t="str">
        <f>IF(VLOOKUP($C57,'DF Calculation'!$D$7:$N$115,11,FALSE)-I57&lt;0.006,"OK",VLOOKUP($C57,'DF Calculation'!$D$7:$N$115,11,FALSE)-I57)</f>
        <v>OK</v>
      </c>
      <c r="L57" s="109"/>
      <c r="M57" s="109"/>
      <c r="O57" s="180"/>
    </row>
    <row r="58" spans="1:20">
      <c r="A58" s="396">
        <v>29</v>
      </c>
      <c r="B58" s="397" t="s">
        <v>907</v>
      </c>
      <c r="C58" s="397" t="s">
        <v>909</v>
      </c>
      <c r="D58" s="456">
        <f>'DF Calculation'!L56</f>
        <v>65.400000000000006</v>
      </c>
      <c r="E58" s="378">
        <f t="shared" si="0"/>
        <v>0.44999999999998863</v>
      </c>
      <c r="F58" s="463">
        <f>'DF Calculation'!O56</f>
        <v>65.849999999999994</v>
      </c>
      <c r="G58" s="477" t="str">
        <f>IF(VLOOKUP($C58,'DF Calculation'!$D$7:$N$115,11,FALSE)-E58&lt;0.006,"OK",VLOOKUP($C58,'DF Calculation'!$D$7:$N$115,11,FALSE)-E58)</f>
        <v>OK</v>
      </c>
      <c r="H58" s="456">
        <f>'DF Calculation'!M56</f>
        <v>65.14</v>
      </c>
      <c r="I58" s="378">
        <f t="shared" si="1"/>
        <v>0.44629996152315243</v>
      </c>
      <c r="J58" s="463">
        <f>'DF Calculation'!P56</f>
        <v>65.586299961523153</v>
      </c>
      <c r="K58" s="479" t="str">
        <f>IF(VLOOKUP($C58,'DF Calculation'!$D$7:$N$115,11,FALSE)-I58&lt;0.006,"OK",VLOOKUP($C58,'DF Calculation'!$D$7:$N$115,11,FALSE)-I58)</f>
        <v>OK</v>
      </c>
      <c r="L58" s="465"/>
      <c r="M58" s="109"/>
      <c r="O58" s="180"/>
    </row>
    <row r="59" spans="1:20">
      <c r="A59" s="396">
        <v>29</v>
      </c>
      <c r="B59" s="397" t="s">
        <v>908</v>
      </c>
      <c r="C59" s="397" t="s">
        <v>909</v>
      </c>
      <c r="D59" s="456">
        <f>'DF Calculation'!L57</f>
        <v>40.96</v>
      </c>
      <c r="E59" s="378">
        <f t="shared" si="0"/>
        <v>0.44999999999999574</v>
      </c>
      <c r="F59" s="463">
        <f>'DF Calculation'!O57</f>
        <v>41.41</v>
      </c>
      <c r="G59" s="477" t="str">
        <f>IF(VLOOKUP($C59,'DF Calculation'!$D$7:$N$115,11,FALSE)-E59&lt;0.006,"OK",VLOOKUP($C59,'DF Calculation'!$D$7:$N$115,11,FALSE)-E59)</f>
        <v>OK</v>
      </c>
      <c r="H59" s="456">
        <f>'DF Calculation'!M57</f>
        <v>40.799999999999997</v>
      </c>
      <c r="I59" s="378">
        <f t="shared" si="1"/>
        <v>0.44629996152315243</v>
      </c>
      <c r="J59" s="463">
        <f>'DF Calculation'!P57</f>
        <v>41.24629996152315</v>
      </c>
      <c r="K59" s="479" t="str">
        <f>IF(VLOOKUP($C59,'DF Calculation'!$D$7:$N$115,11,FALSE)-I59&lt;0.006,"OK",VLOOKUP($C59,'DF Calculation'!$D$7:$N$115,11,FALSE)-I59)</f>
        <v>OK</v>
      </c>
      <c r="L59" s="465"/>
      <c r="M59" s="109"/>
      <c r="O59" s="180"/>
    </row>
    <row r="60" spans="1:20">
      <c r="A60" s="396">
        <v>29</v>
      </c>
      <c r="B60" s="397" t="s">
        <v>430</v>
      </c>
      <c r="C60" s="397" t="str">
        <f>VLOOKUP(B60,'DF Calculation'!$C$8:$D$114,2,FALSE)</f>
        <v>2 yard Temp Pickup</v>
      </c>
      <c r="D60" s="378">
        <f>SUMIFS('DF Calculation'!L:L,'DF Calculation'!B:B,'Rate Sheet'!$A60,'DF Calculation'!C:C,'Rate Sheet'!$B60)</f>
        <v>60.95</v>
      </c>
      <c r="E60" s="378">
        <f t="shared" si="0"/>
        <v>0.44999999999999574</v>
      </c>
      <c r="F60" s="379">
        <f>SUMIFS('DF Calculation'!$O:$O,'DF Calculation'!$B:$B,'Rate Sheet'!$A60,'DF Calculation'!$C:$C,'Rate Sheet'!$B60)</f>
        <v>61.4</v>
      </c>
      <c r="G60" s="477" t="str">
        <f>IF(VLOOKUP($C60,'DF Calculation'!$D$7:$N$115,11,FALSE)-E60&lt;0.006,"OK",VLOOKUP($C60,'DF Calculation'!$D$7:$N$115,11,FALSE)-E60)</f>
        <v>OK</v>
      </c>
      <c r="H60" s="378">
        <f>SUMIFS('DF Calculation'!M:M,'DF Calculation'!B:B,'Rate Sheet'!$A60,'DF Calculation'!C:C,'Rate Sheet'!$B60)</f>
        <v>60.71</v>
      </c>
      <c r="I60" s="378">
        <f t="shared" si="1"/>
        <v>0.44629996152315243</v>
      </c>
      <c r="J60" s="379">
        <f>SUMIFS('DF Calculation'!$P:$P,'DF Calculation'!$B:$B,'Rate Sheet'!$A60,'DF Calculation'!$C:$C,'Rate Sheet'!$B60)</f>
        <v>61.156299961523153</v>
      </c>
      <c r="K60" s="479" t="str">
        <f>IF(VLOOKUP($C60,'DF Calculation'!$D$7:$N$115,11,FALSE)-I60&lt;0.006,"OK",VLOOKUP($C60,'DF Calculation'!$D$7:$N$115,11,FALSE)-I60)</f>
        <v>OK</v>
      </c>
      <c r="L60" s="464"/>
      <c r="M60" s="109"/>
      <c r="O60" s="180"/>
    </row>
    <row r="61" spans="1:20">
      <c r="A61" s="398">
        <v>29</v>
      </c>
      <c r="B61" s="399" t="s">
        <v>613</v>
      </c>
      <c r="C61" s="397" t="str">
        <f>VLOOKUP(B61,'DF Calculation'!$C$8:$D$114,2,FALSE)</f>
        <v>2 yard Special</v>
      </c>
      <c r="D61" s="378">
        <f>SUMIFS('DF Calculation'!L:L,'DF Calculation'!B:B,'Rate Sheet'!$A61,'DF Calculation'!C:C,'Rate Sheet'!$B61)</f>
        <v>60.95</v>
      </c>
      <c r="E61" s="378">
        <f t="shared" si="0"/>
        <v>0.44999999999999574</v>
      </c>
      <c r="F61" s="379">
        <f>SUMIFS('DF Calculation'!$O:$O,'DF Calculation'!$B:$B,'Rate Sheet'!$A61,'DF Calculation'!$C:$C,'Rate Sheet'!$B61)</f>
        <v>61.4</v>
      </c>
      <c r="G61" s="477" t="str">
        <f>IF(VLOOKUP($C61,'DF Calculation'!$D$7:$N$115,11,FALSE)-E61&lt;0.006,"OK",VLOOKUP($C61,'DF Calculation'!$D$7:$N$115,11,FALSE)-E61)</f>
        <v>OK</v>
      </c>
      <c r="H61" s="378">
        <f>SUMIFS('DF Calculation'!M:M,'DF Calculation'!B:B,'Rate Sheet'!$A61,'DF Calculation'!C:C,'Rate Sheet'!$B61)</f>
        <v>60.71</v>
      </c>
      <c r="I61" s="378">
        <f t="shared" si="1"/>
        <v>0.44629996152315243</v>
      </c>
      <c r="J61" s="379">
        <f>SUMIFS('DF Calculation'!$P:$P,'DF Calculation'!$B:$B,'Rate Sheet'!$A61,'DF Calculation'!$C:$C,'Rate Sheet'!$B61)</f>
        <v>61.156299961523153</v>
      </c>
      <c r="K61" s="479" t="str">
        <f>IF(VLOOKUP($C61,'DF Calculation'!$D$7:$N$115,11,FALSE)-I61&lt;0.006,"OK",VLOOKUP($C61,'DF Calculation'!$D$7:$N$115,11,FALSE)-I61)</f>
        <v>OK</v>
      </c>
      <c r="L61" s="109"/>
      <c r="M61" s="109"/>
      <c r="O61" s="180"/>
    </row>
    <row r="62" spans="1:20">
      <c r="A62" s="396">
        <v>29</v>
      </c>
      <c r="B62" s="397" t="s">
        <v>911</v>
      </c>
      <c r="C62" s="397" t="s">
        <v>910</v>
      </c>
      <c r="D62" s="456">
        <f>'DF Calculation'!L60</f>
        <v>88.43</v>
      </c>
      <c r="E62" s="378">
        <f t="shared" si="0"/>
        <v>0.64999999999999147</v>
      </c>
      <c r="F62" s="463">
        <f>'DF Calculation'!O60</f>
        <v>89.08</v>
      </c>
      <c r="G62" s="477" t="str">
        <f>IF(VLOOKUP($C62,'DF Calculation'!$D$7:$N$115,11,FALSE)-E62&lt;0.006,"OK",VLOOKUP($C62,'DF Calculation'!$D$7:$N$115,11,FALSE)-E62)</f>
        <v>OK</v>
      </c>
      <c r="H62" s="456">
        <f>'DF Calculation'!M60</f>
        <v>88.08</v>
      </c>
      <c r="I62" s="378">
        <f t="shared" si="1"/>
        <v>0.6515428450631191</v>
      </c>
      <c r="J62" s="463">
        <f>'DF Calculation'!P60</f>
        <v>88.731542845063117</v>
      </c>
      <c r="K62" s="479" t="str">
        <f>IF(VLOOKUP($C62,'DF Calculation'!$D$7:$N$115,11,FALSE)-I62&lt;0.006,"OK",VLOOKUP($C62,'DF Calculation'!$D$7:$N$115,11,FALSE)-I62)</f>
        <v>OK</v>
      </c>
      <c r="L62" s="465"/>
      <c r="M62" s="109"/>
      <c r="O62" s="180"/>
    </row>
    <row r="63" spans="1:20">
      <c r="A63" s="396">
        <v>29</v>
      </c>
      <c r="B63" s="397" t="s">
        <v>912</v>
      </c>
      <c r="C63" s="397" t="s">
        <v>910</v>
      </c>
      <c r="D63" s="456">
        <f>'DF Calculation'!L61</f>
        <v>59.16</v>
      </c>
      <c r="E63" s="378">
        <f t="shared" si="0"/>
        <v>0.65000000000000568</v>
      </c>
      <c r="F63" s="463">
        <f>'DF Calculation'!O61</f>
        <v>59.81</v>
      </c>
      <c r="G63" s="477" t="str">
        <f>IF(VLOOKUP($C63,'DF Calculation'!$D$7:$N$115,11,FALSE)-E63&lt;0.006,"OK",VLOOKUP($C63,'DF Calculation'!$D$7:$N$115,11,FALSE)-E63)</f>
        <v>OK</v>
      </c>
      <c r="H63" s="456">
        <f>'DF Calculation'!M61</f>
        <v>58.93</v>
      </c>
      <c r="I63" s="378">
        <f t="shared" si="1"/>
        <v>0.6515428450631191</v>
      </c>
      <c r="J63" s="463">
        <f>'DF Calculation'!P61</f>
        <v>59.581542845063119</v>
      </c>
      <c r="K63" s="479" t="str">
        <f>IF(VLOOKUP($C63,'DF Calculation'!$D$7:$N$115,11,FALSE)-I63&lt;0.006,"OK",VLOOKUP($C63,'DF Calculation'!$D$7:$N$115,11,FALSE)-I63)</f>
        <v>OK</v>
      </c>
      <c r="L63" s="465"/>
      <c r="M63" s="109"/>
      <c r="O63" s="180"/>
    </row>
    <row r="64" spans="1:20">
      <c r="A64" s="400">
        <v>29</v>
      </c>
      <c r="B64" s="401" t="s">
        <v>877</v>
      </c>
      <c r="C64" s="401" t="s">
        <v>877</v>
      </c>
      <c r="D64" s="378">
        <f>SUMIFS('DF Calculation'!L:L,'DF Calculation'!B:B,'Rate Sheet'!$A64,'DF Calculation'!C:C,'Rate Sheet'!$B64)</f>
        <v>82.17</v>
      </c>
      <c r="E64" s="378">
        <f t="shared" si="0"/>
        <v>0.6515428450631191</v>
      </c>
      <c r="F64" s="379">
        <f>SUMIFS('DF Calculation'!$O:$O,'DF Calculation'!$B:$B,'Rate Sheet'!$A64,'DF Calculation'!$C:$C,'Rate Sheet'!$B64)</f>
        <v>82.821542845063121</v>
      </c>
      <c r="G64" s="477" t="str">
        <f>IF(VLOOKUP($C64,'DF Calculation'!$D$7:$N$115,11,FALSE)-E64&lt;0.006,"OK",VLOOKUP($C64,'DF Calculation'!$D$7:$N$115,11,FALSE)-E64)</f>
        <v>OK</v>
      </c>
      <c r="H64" s="378">
        <f>SUMIFS('DF Calculation'!M:M,'DF Calculation'!B:B,'Rate Sheet'!$A64,'DF Calculation'!C:C,'Rate Sheet'!$B64)</f>
        <v>81.849999999999994</v>
      </c>
      <c r="I64" s="378">
        <f t="shared" si="1"/>
        <v>0.6515428450631191</v>
      </c>
      <c r="J64" s="379">
        <f>SUMIFS('DF Calculation'!$P:$P,'DF Calculation'!$B:$B,'Rate Sheet'!$A64,'DF Calculation'!$C:$C,'Rate Sheet'!$B64)</f>
        <v>82.501542845063113</v>
      </c>
      <c r="K64" s="479" t="str">
        <f>IF(VLOOKUP($C64,'DF Calculation'!$D$7:$N$115,11,FALSE)-I64&lt;0.006,"OK",VLOOKUP($C64,'DF Calculation'!$D$7:$N$115,11,FALSE)-I64)</f>
        <v>OK</v>
      </c>
      <c r="L64" s="455" t="s">
        <v>900</v>
      </c>
      <c r="M64" s="109"/>
      <c r="O64" s="180"/>
    </row>
    <row r="65" spans="1:15">
      <c r="A65" s="398">
        <v>29</v>
      </c>
      <c r="B65" s="399" t="s">
        <v>615</v>
      </c>
      <c r="C65" s="397" t="str">
        <f>VLOOKUP(B65,'DF Calculation'!$C$8:$D$114,2,FALSE)</f>
        <v>3 yard Special</v>
      </c>
      <c r="D65" s="378">
        <f>SUMIFS('DF Calculation'!L:L,'DF Calculation'!B:B,'Rate Sheet'!$A65,'DF Calculation'!C:C,'Rate Sheet'!$B65)</f>
        <v>82.17</v>
      </c>
      <c r="E65" s="378">
        <f t="shared" si="0"/>
        <v>0.64999999999999147</v>
      </c>
      <c r="F65" s="379">
        <f>SUMIFS('DF Calculation'!$O:$O,'DF Calculation'!$B:$B,'Rate Sheet'!$A65,'DF Calculation'!$C:$C,'Rate Sheet'!$B65)</f>
        <v>82.82</v>
      </c>
      <c r="G65" s="477" t="str">
        <f>IF(VLOOKUP($C65,'DF Calculation'!$D$7:$N$115,11,FALSE)-E65&lt;0.006,"OK",VLOOKUP($C65,'DF Calculation'!$D$7:$N$115,11,FALSE)-E65)</f>
        <v>OK</v>
      </c>
      <c r="H65" s="378">
        <f>SUMIFS('DF Calculation'!M:M,'DF Calculation'!B:B,'Rate Sheet'!$A65,'DF Calculation'!C:C,'Rate Sheet'!$B65)</f>
        <v>81.849999999999994</v>
      </c>
      <c r="I65" s="378">
        <f t="shared" si="1"/>
        <v>0.6515428450631191</v>
      </c>
      <c r="J65" s="379">
        <f>SUMIFS('DF Calculation'!$P:$P,'DF Calculation'!$B:$B,'Rate Sheet'!$A65,'DF Calculation'!$C:$C,'Rate Sheet'!$B65)</f>
        <v>82.501542845063113</v>
      </c>
      <c r="K65" s="479" t="str">
        <f>IF(VLOOKUP($C65,'DF Calculation'!$D$7:$N$115,11,FALSE)-I65&lt;0.006,"OK",VLOOKUP($C65,'DF Calculation'!$D$7:$N$115,11,FALSE)-I65)</f>
        <v>OK</v>
      </c>
      <c r="L65" s="109"/>
      <c r="M65" s="109"/>
      <c r="O65" s="180"/>
    </row>
    <row r="66" spans="1:15">
      <c r="A66" s="396">
        <v>29</v>
      </c>
      <c r="B66" s="397" t="s">
        <v>913</v>
      </c>
      <c r="C66" s="397" t="s">
        <v>915</v>
      </c>
      <c r="D66" s="456">
        <f>'DF Calculation'!L63</f>
        <v>109.85</v>
      </c>
      <c r="E66" s="378">
        <f t="shared" si="0"/>
        <v>0.84000000000000341</v>
      </c>
      <c r="F66" s="463">
        <f>'DF Calculation'!O63</f>
        <v>110.69</v>
      </c>
      <c r="G66" s="477" t="str">
        <f>IF(VLOOKUP($C66,'DF Calculation'!$D$7:$N$115,11,FALSE)-E66&lt;0.006,"OK",VLOOKUP($C66,'DF Calculation'!$D$7:$N$115,11,FALSE)-E66)</f>
        <v>OK</v>
      </c>
      <c r="H66" s="456">
        <f>'DF Calculation'!M63</f>
        <v>109.42</v>
      </c>
      <c r="I66" s="378">
        <f t="shared" si="1"/>
        <v>0.84438850744966487</v>
      </c>
      <c r="J66" s="463">
        <f>'DF Calculation'!P63</f>
        <v>110.26438850744967</v>
      </c>
      <c r="K66" s="479" t="str">
        <f>IF(VLOOKUP($C66,'DF Calculation'!$D$7:$N$115,11,FALSE)-I66&lt;0.006,"OK",VLOOKUP($C66,'DF Calculation'!$D$7:$N$115,11,FALSE)-I66)</f>
        <v>OK</v>
      </c>
      <c r="L66" s="465"/>
      <c r="M66" s="109"/>
      <c r="O66" s="180"/>
    </row>
    <row r="67" spans="1:15">
      <c r="A67" s="396">
        <v>29</v>
      </c>
      <c r="B67" s="397" t="s">
        <v>914</v>
      </c>
      <c r="C67" s="397" t="s">
        <v>915</v>
      </c>
      <c r="D67" s="456">
        <f>'DF Calculation'!L64</f>
        <v>74.05</v>
      </c>
      <c r="E67" s="378">
        <f t="shared" ref="E67:E89" si="3">F67-D67</f>
        <v>0.84000000000000341</v>
      </c>
      <c r="F67" s="463">
        <f>'DF Calculation'!O64</f>
        <v>74.89</v>
      </c>
      <c r="G67" s="477" t="str">
        <f>IF(VLOOKUP($C67,'DF Calculation'!$D$7:$N$115,11,FALSE)-E67&lt;0.006,"OK",VLOOKUP($C67,'DF Calculation'!$D$7:$N$115,11,FALSE)-E67)</f>
        <v>OK</v>
      </c>
      <c r="H67" s="456">
        <f>'DF Calculation'!M64</f>
        <v>73.760000000000005</v>
      </c>
      <c r="I67" s="378">
        <f t="shared" ref="I67:I89" si="4">J67-H67</f>
        <v>0.84438850744966487</v>
      </c>
      <c r="J67" s="463">
        <f>'DF Calculation'!P64</f>
        <v>74.60438850744967</v>
      </c>
      <c r="K67" s="479" t="str">
        <f>IF(VLOOKUP($C67,'DF Calculation'!$D$7:$N$115,11,FALSE)-I67&lt;0.006,"OK",VLOOKUP($C67,'DF Calculation'!$D$7:$N$115,11,FALSE)-I67)</f>
        <v>OK</v>
      </c>
      <c r="L67" s="465"/>
      <c r="M67" s="109"/>
      <c r="O67" s="180"/>
    </row>
    <row r="68" spans="1:15">
      <c r="A68" s="400">
        <v>29</v>
      </c>
      <c r="B68" s="401" t="s">
        <v>878</v>
      </c>
      <c r="C68" s="401" t="s">
        <v>878</v>
      </c>
      <c r="D68" s="378">
        <f>SUMIFS('DF Calculation'!L:L,'DF Calculation'!B:B,'Rate Sheet'!$A68,'DF Calculation'!C:C,'Rate Sheet'!$B68)</f>
        <v>108.18</v>
      </c>
      <c r="E68" s="378">
        <f t="shared" si="3"/>
        <v>0.84438850744966487</v>
      </c>
      <c r="F68" s="379">
        <f>SUMIFS('DF Calculation'!$O:$O,'DF Calculation'!$B:$B,'Rate Sheet'!$A68,'DF Calculation'!$C:$C,'Rate Sheet'!$B68)</f>
        <v>109.02438850744967</v>
      </c>
      <c r="G68" s="477" t="str">
        <f>IF(VLOOKUP($C68,'DF Calculation'!$D$7:$N$115,11,FALSE)-E68&lt;0.006,"OK",VLOOKUP($C68,'DF Calculation'!$D$7:$N$115,11,FALSE)-E68)</f>
        <v>OK</v>
      </c>
      <c r="H68" s="378">
        <f>SUMIFS('DF Calculation'!M:M,'DF Calculation'!B:B,'Rate Sheet'!$A68,'DF Calculation'!C:C,'Rate Sheet'!$B68)</f>
        <v>107.75</v>
      </c>
      <c r="I68" s="378">
        <f t="shared" si="4"/>
        <v>0.84438850744966487</v>
      </c>
      <c r="J68" s="379">
        <f>SUMIFS('DF Calculation'!$P:$P,'DF Calculation'!$B:$B,'Rate Sheet'!$A68,'DF Calculation'!$C:$C,'Rate Sheet'!$B68)</f>
        <v>108.59438850744966</v>
      </c>
      <c r="K68" s="479" t="str">
        <f>IF(VLOOKUP($C68,'DF Calculation'!$D$7:$N$115,11,FALSE)-I68&lt;0.006,"OK",VLOOKUP($C68,'DF Calculation'!$D$7:$N$115,11,FALSE)-I68)</f>
        <v>OK</v>
      </c>
      <c r="L68" s="455" t="s">
        <v>900</v>
      </c>
      <c r="M68" s="109"/>
      <c r="O68" s="180"/>
    </row>
    <row r="69" spans="1:15">
      <c r="A69" s="398">
        <v>29</v>
      </c>
      <c r="B69" s="399" t="s">
        <v>617</v>
      </c>
      <c r="C69" s="397" t="str">
        <f>VLOOKUP(B69,'DF Calculation'!$C$8:$D$114,2,FALSE)</f>
        <v>4 yard Special</v>
      </c>
      <c r="D69" s="378">
        <f>SUMIFS('DF Calculation'!L:L,'DF Calculation'!B:B,'Rate Sheet'!$A69,'DF Calculation'!C:C,'Rate Sheet'!$B69)</f>
        <v>108.18</v>
      </c>
      <c r="E69" s="378">
        <f t="shared" si="3"/>
        <v>0.8399999999999892</v>
      </c>
      <c r="F69" s="379">
        <f>SUMIFS('DF Calculation'!$O:$O,'DF Calculation'!$B:$B,'Rate Sheet'!$A69,'DF Calculation'!$C:$C,'Rate Sheet'!$B69)</f>
        <v>109.02</v>
      </c>
      <c r="G69" s="477" t="str">
        <f>IF(VLOOKUP($C69,'DF Calculation'!$D$7:$N$115,11,FALSE)-E69&lt;0.006,"OK",VLOOKUP($C69,'DF Calculation'!$D$7:$N$115,11,FALSE)-E69)</f>
        <v>OK</v>
      </c>
      <c r="H69" s="378">
        <f>SUMIFS('DF Calculation'!M:M,'DF Calculation'!B:B,'Rate Sheet'!$A69,'DF Calculation'!C:C,'Rate Sheet'!$B69)</f>
        <v>107.75</v>
      </c>
      <c r="I69" s="378">
        <f t="shared" si="4"/>
        <v>0.84438850744966487</v>
      </c>
      <c r="J69" s="379">
        <f>SUMIFS('DF Calculation'!$P:$P,'DF Calculation'!$B:$B,'Rate Sheet'!$A69,'DF Calculation'!$C:$C,'Rate Sheet'!$B69)</f>
        <v>108.59438850744966</v>
      </c>
      <c r="K69" s="479" t="str">
        <f>IF(VLOOKUP($C69,'DF Calculation'!$D$7:$N$115,11,FALSE)-I69&lt;0.006,"OK",VLOOKUP($C69,'DF Calculation'!$D$7:$N$115,11,FALSE)-I69)</f>
        <v>OK</v>
      </c>
      <c r="L69" s="109"/>
      <c r="M69" s="109"/>
      <c r="O69" s="180"/>
    </row>
    <row r="70" spans="1:15">
      <c r="A70" s="396">
        <v>29</v>
      </c>
      <c r="B70" s="397" t="s">
        <v>916</v>
      </c>
      <c r="C70" s="397" t="s">
        <v>918</v>
      </c>
      <c r="D70" s="456">
        <f>'DF Calculation'!L66</f>
        <v>168.38</v>
      </c>
      <c r="E70" s="378">
        <f t="shared" si="3"/>
        <v>1.1599999999999966</v>
      </c>
      <c r="F70" s="463">
        <f>'DF Calculation'!O66</f>
        <v>169.54</v>
      </c>
      <c r="G70" s="477" t="str">
        <f>IF(VLOOKUP($C70,'DF Calculation'!$D$7:$N$115,11,FALSE)-E70&lt;0.006,"OK",VLOOKUP($C70,'DF Calculation'!$D$7:$N$115,11,FALSE)-E70)</f>
        <v>OK</v>
      </c>
      <c r="H70" s="456">
        <f>'DF Calculation'!M66</f>
        <v>167.72</v>
      </c>
      <c r="I70" s="378">
        <f t="shared" si="4"/>
        <v>1.1570739743192746</v>
      </c>
      <c r="J70" s="463">
        <f>'DF Calculation'!P66</f>
        <v>168.87707397431927</v>
      </c>
      <c r="K70" s="479" t="str">
        <f>IF(VLOOKUP($C70,'DF Calculation'!$D$7:$N$115,11,FALSE)-I70&lt;0.006,"OK",VLOOKUP($C70,'DF Calculation'!$D$7:$N$115,11,FALSE)-I70)</f>
        <v>OK</v>
      </c>
      <c r="L70" s="465"/>
      <c r="M70" s="109"/>
      <c r="O70" s="180"/>
    </row>
    <row r="71" spans="1:15">
      <c r="A71" s="396">
        <v>29</v>
      </c>
      <c r="B71" s="397" t="s">
        <v>917</v>
      </c>
      <c r="C71" s="397" t="s">
        <v>918</v>
      </c>
      <c r="D71" s="456">
        <f>'DF Calculation'!L67</f>
        <v>104.16</v>
      </c>
      <c r="E71" s="378">
        <f t="shared" si="3"/>
        <v>1.1599999999999966</v>
      </c>
      <c r="F71" s="463">
        <f>'DF Calculation'!O67</f>
        <v>105.32</v>
      </c>
      <c r="G71" s="477" t="str">
        <f>IF(VLOOKUP($C71,'DF Calculation'!$D$7:$N$115,11,FALSE)-E71&lt;0.006,"OK",VLOOKUP($C71,'DF Calculation'!$D$7:$N$115,11,FALSE)-E71)</f>
        <v>OK</v>
      </c>
      <c r="H71" s="456">
        <f>'DF Calculation'!M67</f>
        <v>103.75</v>
      </c>
      <c r="I71" s="378">
        <f t="shared" si="4"/>
        <v>1.1570739743192888</v>
      </c>
      <c r="J71" s="463">
        <f>'DF Calculation'!P67</f>
        <v>104.90707397431929</v>
      </c>
      <c r="K71" s="479" t="str">
        <f>IF(VLOOKUP($C71,'DF Calculation'!$D$7:$N$115,11,FALSE)-I71&lt;0.006,"OK",VLOOKUP($C71,'DF Calculation'!$D$7:$N$115,11,FALSE)-I71)</f>
        <v>OK</v>
      </c>
      <c r="L71" s="465"/>
      <c r="M71" s="109"/>
      <c r="O71" s="180"/>
    </row>
    <row r="72" spans="1:15">
      <c r="A72" s="400">
        <v>29</v>
      </c>
      <c r="B72" s="401" t="s">
        <v>879</v>
      </c>
      <c r="C72" s="401" t="s">
        <v>879</v>
      </c>
      <c r="D72" s="378">
        <f>SUMIFS('DF Calculation'!L:L,'DF Calculation'!B:B,'Rate Sheet'!$A72,'DF Calculation'!C:C,'Rate Sheet'!$B72)</f>
        <v>141.03</v>
      </c>
      <c r="E72" s="378">
        <f t="shared" si="3"/>
        <v>1.1570739743192746</v>
      </c>
      <c r="F72" s="379">
        <f>SUMIFS('DF Calculation'!$O:$O,'DF Calculation'!$B:$B,'Rate Sheet'!$A72,'DF Calculation'!$C:$C,'Rate Sheet'!$B72)</f>
        <v>142.18707397431928</v>
      </c>
      <c r="G72" s="477" t="str">
        <f>IF(VLOOKUP($C72,'DF Calculation'!$D$7:$N$115,11,FALSE)-E72&lt;0.006,"OK",VLOOKUP($C72,'DF Calculation'!$D$7:$N$115,11,FALSE)-E72)</f>
        <v>OK</v>
      </c>
      <c r="H72" s="378">
        <f>SUMIFS('DF Calculation'!M:M,'DF Calculation'!B:B,'Rate Sheet'!$A72,'DF Calculation'!C:C,'Rate Sheet'!$B72)</f>
        <v>140.47999999999999</v>
      </c>
      <c r="I72" s="378">
        <f t="shared" si="4"/>
        <v>1.1570739743192746</v>
      </c>
      <c r="J72" s="379">
        <f>SUMIFS('DF Calculation'!$P:$P,'DF Calculation'!$B:$B,'Rate Sheet'!$A72,'DF Calculation'!$C:$C,'Rate Sheet'!$B72)</f>
        <v>141.63707397431926</v>
      </c>
      <c r="K72" s="479" t="str">
        <f>IF(VLOOKUP($C72,'DF Calculation'!$D$7:$N$115,11,FALSE)-I72&lt;0.006,"OK",VLOOKUP($C72,'DF Calculation'!$D$7:$N$115,11,FALSE)-I72)</f>
        <v>OK</v>
      </c>
      <c r="L72" s="455" t="s">
        <v>900</v>
      </c>
      <c r="M72" s="109"/>
      <c r="O72" s="180"/>
    </row>
    <row r="73" spans="1:15">
      <c r="A73" s="398">
        <v>29</v>
      </c>
      <c r="B73" s="399" t="s">
        <v>619</v>
      </c>
      <c r="C73" s="397" t="str">
        <f>VLOOKUP(B73,'DF Calculation'!$C$8:$D$114,2,FALSE)</f>
        <v>6 yard Special</v>
      </c>
      <c r="D73" s="378">
        <f>SUMIFS('DF Calculation'!L:L,'DF Calculation'!B:B,'Rate Sheet'!$A73,'DF Calculation'!C:C,'Rate Sheet'!$B73)</f>
        <v>141.03</v>
      </c>
      <c r="E73" s="378">
        <f t="shared" si="3"/>
        <v>1.1599999999999966</v>
      </c>
      <c r="F73" s="379">
        <f>SUMIFS('DF Calculation'!$O:$O,'DF Calculation'!$B:$B,'Rate Sheet'!$A73,'DF Calculation'!$C:$C,'Rate Sheet'!$B73)</f>
        <v>142.19</v>
      </c>
      <c r="G73" s="477" t="str">
        <f>IF(VLOOKUP($C73,'DF Calculation'!$D$7:$N$115,11,FALSE)-E73&lt;0.006,"OK",VLOOKUP($C73,'DF Calculation'!$D$7:$N$115,11,FALSE)-E73)</f>
        <v>OK</v>
      </c>
      <c r="H73" s="378">
        <f>SUMIFS('DF Calculation'!M:M,'DF Calculation'!B:B,'Rate Sheet'!$A73,'DF Calculation'!C:C,'Rate Sheet'!$B73)</f>
        <v>140.47999999999999</v>
      </c>
      <c r="I73" s="378">
        <f t="shared" si="4"/>
        <v>1.1570739743192746</v>
      </c>
      <c r="J73" s="379">
        <f>SUMIFS('DF Calculation'!$P:$P,'DF Calculation'!$B:$B,'Rate Sheet'!$A73,'DF Calculation'!$C:$C,'Rate Sheet'!$B73)</f>
        <v>141.63707397431926</v>
      </c>
      <c r="K73" s="479" t="str">
        <f>IF(VLOOKUP($C73,'DF Calculation'!$D$7:$N$115,11,FALSE)-I73&lt;0.006,"OK",VLOOKUP($C73,'DF Calculation'!$D$7:$N$115,11,FALSE)-I73)</f>
        <v>OK</v>
      </c>
      <c r="L73" s="109"/>
      <c r="M73" s="109"/>
      <c r="O73" s="180"/>
    </row>
    <row r="74" spans="1:15">
      <c r="A74" s="396">
        <v>29</v>
      </c>
      <c r="B74" s="397" t="s">
        <v>919</v>
      </c>
      <c r="C74" s="397" t="s">
        <v>921</v>
      </c>
      <c r="D74" s="456">
        <f>'DF Calculation'!L69</f>
        <v>203.49</v>
      </c>
      <c r="E74" s="378">
        <f t="shared" si="3"/>
        <v>1.3499999999999943</v>
      </c>
      <c r="F74" s="463">
        <f>'DF Calculation'!O69</f>
        <v>204.84</v>
      </c>
      <c r="G74" s="477" t="str">
        <f>IF(VLOOKUP($C74,'DF Calculation'!$D$7:$N$115,11,FALSE)-E74&lt;0.006,"OK",VLOOKUP($C74,'DF Calculation'!$D$7:$N$115,11,FALSE)-E74)</f>
        <v>OK</v>
      </c>
      <c r="H74" s="456">
        <f>'DF Calculation'!M69</f>
        <v>202.69</v>
      </c>
      <c r="I74" s="378">
        <f t="shared" si="4"/>
        <v>1.3499196367058346</v>
      </c>
      <c r="J74" s="463">
        <f>'DF Calculation'!P69</f>
        <v>204.03991963670583</v>
      </c>
      <c r="K74" s="479" t="str">
        <f>IF(VLOOKUP($C74,'DF Calculation'!$D$7:$N$115,11,FALSE)-I74&lt;0.006,"OK",VLOOKUP($C74,'DF Calculation'!$D$7:$N$115,11,FALSE)-I74)</f>
        <v>OK</v>
      </c>
      <c r="L74" s="465"/>
      <c r="M74" s="109"/>
      <c r="O74" s="180"/>
    </row>
    <row r="75" spans="1:15">
      <c r="A75" s="396">
        <v>29</v>
      </c>
      <c r="B75" s="397" t="s">
        <v>920</v>
      </c>
      <c r="C75" s="397" t="s">
        <v>921</v>
      </c>
      <c r="D75" s="456">
        <f>'DF Calculation'!L70</f>
        <v>127.82</v>
      </c>
      <c r="E75" s="378">
        <f t="shared" si="3"/>
        <v>1.3499999999999943</v>
      </c>
      <c r="F75" s="463">
        <f>'DF Calculation'!O70</f>
        <v>129.16999999999999</v>
      </c>
      <c r="G75" s="477" t="str">
        <f>IF(VLOOKUP($C75,'DF Calculation'!$D$7:$N$115,11,FALSE)-E75&lt;0.006,"OK",VLOOKUP($C75,'DF Calculation'!$D$7:$N$115,11,FALSE)-E75)</f>
        <v>OK</v>
      </c>
      <c r="H75" s="456">
        <f>'DF Calculation'!M70</f>
        <v>127.32</v>
      </c>
      <c r="I75" s="378">
        <f t="shared" si="4"/>
        <v>1.3499196367058346</v>
      </c>
      <c r="J75" s="463">
        <f>'DF Calculation'!P70</f>
        <v>128.66991963670583</v>
      </c>
      <c r="K75" s="479" t="str">
        <f>IF(VLOOKUP($C75,'DF Calculation'!$D$7:$N$115,11,FALSE)-I75&lt;0.006,"OK",VLOOKUP($C75,'DF Calculation'!$D$7:$N$115,11,FALSE)-I75)</f>
        <v>OK</v>
      </c>
      <c r="L75" s="465"/>
      <c r="M75" s="109"/>
      <c r="O75" s="180"/>
    </row>
    <row r="76" spans="1:15">
      <c r="A76" s="400">
        <v>29</v>
      </c>
      <c r="B76" s="401" t="s">
        <v>861</v>
      </c>
      <c r="C76" s="401" t="s">
        <v>861</v>
      </c>
      <c r="D76" s="378">
        <f>SUMIFS('DF Calculation'!L:L,'DF Calculation'!B:B,'Rate Sheet'!$A76,'DF Calculation'!C:C,'Rate Sheet'!$B76)</f>
        <v>184.86</v>
      </c>
      <c r="E76" s="378">
        <f t="shared" si="3"/>
        <v>1.3499196367058346</v>
      </c>
      <c r="F76" s="379">
        <f>SUMIFS('DF Calculation'!$O:$O,'DF Calculation'!$B:$B,'Rate Sheet'!$A76,'DF Calculation'!$C:$C,'Rate Sheet'!$B76)</f>
        <v>186.20991963670585</v>
      </c>
      <c r="G76" s="477" t="str">
        <f>IF(VLOOKUP($C76,'DF Calculation'!$D$7:$N$115,11,FALSE)-E76&lt;0.006,"OK",VLOOKUP($C76,'DF Calculation'!$D$7:$N$115,11,FALSE)-E76)</f>
        <v>OK</v>
      </c>
      <c r="H76" s="378">
        <f>SUMIFS('DF Calculation'!M:M,'DF Calculation'!B:B,'Rate Sheet'!$A76,'DF Calculation'!C:C,'Rate Sheet'!$B76)</f>
        <v>184.13</v>
      </c>
      <c r="I76" s="378">
        <f t="shared" si="4"/>
        <v>1.3499196367058346</v>
      </c>
      <c r="J76" s="379">
        <f>SUMIFS('DF Calculation'!$P:$P,'DF Calculation'!$B:$B,'Rate Sheet'!$A76,'DF Calculation'!$C:$C,'Rate Sheet'!$B76)</f>
        <v>185.47991963670583</v>
      </c>
      <c r="K76" s="479" t="str">
        <f>IF(VLOOKUP($C76,'DF Calculation'!$D$7:$N$115,11,FALSE)-I76&lt;0.006,"OK",VLOOKUP($C76,'DF Calculation'!$D$7:$N$115,11,FALSE)-I76)</f>
        <v>OK</v>
      </c>
      <c r="L76" s="455" t="s">
        <v>900</v>
      </c>
      <c r="M76" s="109"/>
      <c r="O76" s="180"/>
    </row>
    <row r="77" spans="1:15">
      <c r="A77" s="398">
        <v>29</v>
      </c>
      <c r="B77" s="399" t="s">
        <v>621</v>
      </c>
      <c r="C77" s="397" t="str">
        <f>VLOOKUP(B77,'DF Calculation'!$C$8:$D$114,2,FALSE)</f>
        <v>8 yard Special</v>
      </c>
      <c r="D77" s="378">
        <f>SUMIFS('DF Calculation'!L:L,'DF Calculation'!B:B,'Rate Sheet'!$A77,'DF Calculation'!C:C,'Rate Sheet'!$B77)</f>
        <v>184.86</v>
      </c>
      <c r="E77" s="378">
        <f t="shared" si="3"/>
        <v>1.3499999999999943</v>
      </c>
      <c r="F77" s="379">
        <f>SUMIFS('DF Calculation'!$O:$O,'DF Calculation'!$B:$B,'Rate Sheet'!$A77,'DF Calculation'!$C:$C,'Rate Sheet'!$B77)</f>
        <v>186.21</v>
      </c>
      <c r="G77" s="477" t="str">
        <f>IF(VLOOKUP($C77,'DF Calculation'!$D$7:$N$115,11,FALSE)-E77&lt;0.006,"OK",VLOOKUP($C77,'DF Calculation'!$D$7:$N$115,11,FALSE)-E77)</f>
        <v>OK</v>
      </c>
      <c r="H77" s="378">
        <f>SUMIFS('DF Calculation'!M:M,'DF Calculation'!B:B,'Rate Sheet'!$A77,'DF Calculation'!C:C,'Rate Sheet'!$B77)</f>
        <v>184.13</v>
      </c>
      <c r="I77" s="378">
        <f t="shared" si="4"/>
        <v>1.3499196367058346</v>
      </c>
      <c r="J77" s="379">
        <f>SUMIFS('DF Calculation'!$P:$P,'DF Calculation'!$B:$B,'Rate Sheet'!$A77,'DF Calculation'!$C:$C,'Rate Sheet'!$B77)</f>
        <v>185.47991963670583</v>
      </c>
      <c r="K77" s="479" t="str">
        <f>IF(VLOOKUP($C77,'DF Calculation'!$D$7:$N$115,11,FALSE)-I77&lt;0.006,"OK",VLOOKUP($C77,'DF Calculation'!$D$7:$N$115,11,FALSE)-I77)</f>
        <v>OK</v>
      </c>
      <c r="L77" s="109"/>
      <c r="M77" s="109"/>
      <c r="O77" s="180"/>
    </row>
    <row r="78" spans="1:15">
      <c r="A78" s="400">
        <v>30</v>
      </c>
      <c r="B78" s="401" t="s">
        <v>926</v>
      </c>
      <c r="C78" s="401" t="s">
        <v>926</v>
      </c>
      <c r="D78" s="378">
        <f>SUMIFS('DF Calculation'!L:L,'DF Calculation'!B:B,'Rate Sheet'!$A78,'DF Calculation'!C:C,'Rate Sheet'!$B78)</f>
        <v>3.7</v>
      </c>
      <c r="E78" s="378">
        <f t="shared" si="3"/>
        <v>9.3667893159180338E-2</v>
      </c>
      <c r="F78" s="484">
        <f>SUMIFS('DF Calculation'!$O:$O,'DF Calculation'!$B:$B,'Rate Sheet'!$A78,'DF Calculation'!$C:$C,'Rate Sheet'!$B78)</f>
        <v>3.7936678931591805</v>
      </c>
      <c r="G78" s="477" t="str">
        <f>IF(VLOOKUP($C78,'DF Calculation'!$D$7:$N$115,11,FALSE)-E78&lt;0.006,"OK",VLOOKUP($C78,'DF Calculation'!$D$7:$N$115,11,FALSE)-E78)</f>
        <v>OK</v>
      </c>
      <c r="H78" s="378">
        <f>SUMIFS('DF Calculation'!M:M,'DF Calculation'!B:B,'Rate Sheet'!$A78,'DF Calculation'!C:C,'Rate Sheet'!$B78)</f>
        <v>3.68</v>
      </c>
      <c r="I78" s="378">
        <f t="shared" si="4"/>
        <v>9.3667893159180338E-2</v>
      </c>
      <c r="J78" s="379">
        <f>SUMIFS('DF Calculation'!$P:$P,'DF Calculation'!$B:$B,'Rate Sheet'!$A78,'DF Calculation'!$C:$C,'Rate Sheet'!$B78)</f>
        <v>3.7736678931591805</v>
      </c>
      <c r="K78" s="479" t="str">
        <f>IF(VLOOKUP($C78,'DF Calculation'!$D$7:$N$115,11,FALSE)-I78&lt;0.006,"OK",VLOOKUP($C78,'DF Calculation'!$D$7:$N$115,11,FALSE)-I78)</f>
        <v>OK</v>
      </c>
      <c r="L78" s="455" t="s">
        <v>900</v>
      </c>
      <c r="M78" s="109"/>
      <c r="O78" s="180"/>
    </row>
    <row r="79" spans="1:15">
      <c r="A79" s="396">
        <v>30</v>
      </c>
      <c r="B79" s="397" t="s">
        <v>442</v>
      </c>
      <c r="C79" s="397" t="str">
        <f>VLOOKUP(B79,'DF Calculation'!$C$8:$D$114,2,FALSE)</f>
        <v>32 Gal Can Monthly Minimum</v>
      </c>
      <c r="D79" s="457">
        <f>SUMIFS('DF Calculation'!L:L,'DF Calculation'!B:B,'Rate Sheet'!$A79,'DF Calculation'!C:C,'Rate Sheet'!$B79)</f>
        <v>16.71</v>
      </c>
      <c r="E79" s="378">
        <f t="shared" si="3"/>
        <v>3.9999999999999147E-2</v>
      </c>
      <c r="F79" s="379">
        <f>SUMIFS('DF Calculation'!$O:$O,'DF Calculation'!$B:$B,'Rate Sheet'!$A79,'DF Calculation'!$C:$C,'Rate Sheet'!$B79)</f>
        <v>16.75</v>
      </c>
      <c r="G79" s="477" t="str">
        <f>IF(VLOOKUP($C79,'DF Calculation'!$D$7:$N$115,11,FALSE)-E79&lt;0.006,"OK",VLOOKUP($C79,'DF Calculation'!$D$7:$N$115,11,FALSE)-E79)</f>
        <v>OK</v>
      </c>
      <c r="H79" s="457">
        <f>SUMIFS('DF Calculation'!M:M,'DF Calculation'!B:B,'Rate Sheet'!$A79,'DF Calculation'!C:C,'Rate Sheet'!$B79)</f>
        <v>16.64</v>
      </c>
      <c r="I79" s="378">
        <f t="shared" si="4"/>
        <v>3.9946601494357026E-2</v>
      </c>
      <c r="J79" s="379">
        <f>SUMIFS('DF Calculation'!$P:$P,'DF Calculation'!$B:$B,'Rate Sheet'!$A79,'DF Calculation'!$C:$C,'Rate Sheet'!$B79)</f>
        <v>16.679946601494358</v>
      </c>
      <c r="K79" s="479" t="str">
        <f>IF(VLOOKUP($C79,'DF Calculation'!$D$7:$N$115,11,FALSE)-I79&lt;0.006,"OK",VLOOKUP($C79,'DF Calculation'!$D$7:$N$115,11,FALSE)-I79)</f>
        <v>OK</v>
      </c>
      <c r="L79" s="464"/>
      <c r="M79" s="109"/>
      <c r="O79" s="180"/>
    </row>
    <row r="80" spans="1:15">
      <c r="A80" s="430">
        <v>30</v>
      </c>
      <c r="B80" s="431" t="s">
        <v>892</v>
      </c>
      <c r="C80" s="432" t="s">
        <v>892</v>
      </c>
      <c r="D80" s="378">
        <f>SUMIFS('DF Calculation'!L:L,'DF Calculation'!B:B,'Rate Sheet'!$A80,'DF Calculation'!C:C,'Rate Sheet'!$B80)</f>
        <v>3.46</v>
      </c>
      <c r="E80" s="378">
        <f t="shared" si="3"/>
        <v>3.9946601494356138E-2</v>
      </c>
      <c r="F80" s="379">
        <f>SUMIFS('DF Calculation'!$O:$O,'DF Calculation'!$B:$B,'Rate Sheet'!$A80,'DF Calculation'!$C:$C,'Rate Sheet'!$B80)</f>
        <v>3.4999466014943561</v>
      </c>
      <c r="G80" s="477" t="str">
        <f>IF(VLOOKUP($C80,'DF Calculation'!$D$7:$N$115,11,FALSE)-E80&lt;0.006,"OK",VLOOKUP($C80,'DF Calculation'!$D$7:$N$115,11,FALSE)-E80)</f>
        <v>OK</v>
      </c>
      <c r="H80" s="378">
        <f>SUMIFS('DF Calculation'!M:M,'DF Calculation'!B:B,'Rate Sheet'!$A80,'DF Calculation'!C:C,'Rate Sheet'!$B80)</f>
        <v>3.44</v>
      </c>
      <c r="I80" s="378">
        <f t="shared" si="4"/>
        <v>3.9946601494356138E-2</v>
      </c>
      <c r="J80" s="379">
        <f>SUMIFS('DF Calculation'!$P:$P,'DF Calculation'!$B:$B,'Rate Sheet'!$A80,'DF Calculation'!$C:$C,'Rate Sheet'!$B80)</f>
        <v>3.4799466014943561</v>
      </c>
      <c r="K80" s="479" t="str">
        <f>IF(VLOOKUP($C80,'DF Calculation'!$D$7:$N$115,11,FALSE)-I80&lt;0.006,"OK",VLOOKUP($C80,'DF Calculation'!$D$7:$N$115,11,FALSE)-I80)</f>
        <v>OK</v>
      </c>
      <c r="L80" s="455" t="s">
        <v>900</v>
      </c>
      <c r="M80" s="109"/>
      <c r="O80" s="180"/>
    </row>
    <row r="81" spans="1:15">
      <c r="A81" s="396">
        <v>30</v>
      </c>
      <c r="B81" s="397" t="s">
        <v>531</v>
      </c>
      <c r="C81" s="397" t="str">
        <f>VLOOKUP(B81,'DF Calculation'!$C$8:$D$114,2,FALSE)</f>
        <v>32 Gal Single Not Grouped</v>
      </c>
      <c r="D81" s="378">
        <f>SUMIFS('DF Calculation'!L:L,'DF Calculation'!B:B,'Rate Sheet'!$A81,'DF Calculation'!C:C,'Rate Sheet'!$B81)</f>
        <v>3.7</v>
      </c>
      <c r="E81" s="378">
        <f t="shared" si="3"/>
        <v>4.0000000000000036E-2</v>
      </c>
      <c r="F81" s="379">
        <f>SUMIFS('DF Calculation'!$O:$O,'DF Calculation'!$B:$B,'Rate Sheet'!$A81,'DF Calculation'!$C:$C,'Rate Sheet'!$B81)</f>
        <v>3.74</v>
      </c>
      <c r="G81" s="477" t="str">
        <f>IF(VLOOKUP($C81,'DF Calculation'!$D$7:$N$115,11,FALSE)-E81&lt;0.006,"OK",VLOOKUP($C81,'DF Calculation'!$D$7:$N$115,11,FALSE)-E81)</f>
        <v>OK</v>
      </c>
      <c r="H81" s="378">
        <f>SUMIFS('DF Calculation'!M:M,'DF Calculation'!B:B,'Rate Sheet'!$A81,'DF Calculation'!C:C,'Rate Sheet'!$B81)</f>
        <v>3.68</v>
      </c>
      <c r="I81" s="378">
        <f t="shared" si="4"/>
        <v>3.9946601494356138E-2</v>
      </c>
      <c r="J81" s="379">
        <f>SUMIFS('DF Calculation'!$P:$P,'DF Calculation'!$B:$B,'Rate Sheet'!$A81,'DF Calculation'!$C:$C,'Rate Sheet'!$B81)</f>
        <v>3.7199466014943563</v>
      </c>
      <c r="K81" s="479" t="str">
        <f>IF(VLOOKUP($C81,'DF Calculation'!$D$7:$N$115,11,FALSE)-I81&lt;0.006,"OK",VLOOKUP($C81,'DF Calculation'!$D$7:$N$115,11,FALSE)-I81)</f>
        <v>OK</v>
      </c>
      <c r="L81" s="464"/>
      <c r="M81" s="109"/>
      <c r="O81" s="180"/>
    </row>
    <row r="82" spans="1:15">
      <c r="A82" s="396">
        <v>30</v>
      </c>
      <c r="B82" s="397" t="s">
        <v>480</v>
      </c>
      <c r="C82" s="397" t="str">
        <f>VLOOKUP(B82,'DF Calculation'!$C$8:$D$114,2,FALSE)</f>
        <v>65 Gal Cart per PU</v>
      </c>
      <c r="D82" s="378">
        <f>SUMIFS('DF Calculation'!L:L,'DF Calculation'!B:B,'Rate Sheet'!$A82,'DF Calculation'!C:C,'Rate Sheet'!$B82)</f>
        <v>7.48</v>
      </c>
      <c r="E82" s="378">
        <f t="shared" si="3"/>
        <v>5.9999999999999609E-2</v>
      </c>
      <c r="F82" s="379">
        <f>SUMIFS('DF Calculation'!$O:$O,'DF Calculation'!$B:$B,'Rate Sheet'!$A82,'DF Calculation'!$C:$C,'Rate Sheet'!$B82)</f>
        <v>7.54</v>
      </c>
      <c r="G82" s="477" t="str">
        <f>IF(VLOOKUP($C82,'DF Calculation'!$D$7:$N$115,11,FALSE)-E82&lt;0.006,"OK",VLOOKUP($C82,'DF Calculation'!$D$7:$N$115,11,FALSE)-E82)</f>
        <v>OK</v>
      </c>
      <c r="H82" s="378">
        <f>SUMIFS('DF Calculation'!M:M,'DF Calculation'!B:B,'Rate Sheet'!$A82,'DF Calculation'!C:C,'Rate Sheet'!$B82)</f>
        <v>7.45</v>
      </c>
      <c r="I82" s="378">
        <f t="shared" si="4"/>
        <v>6.4741043801197939E-2</v>
      </c>
      <c r="J82" s="379">
        <f>SUMIFS('DF Calculation'!$P:$P,'DF Calculation'!$B:$B,'Rate Sheet'!$A82,'DF Calculation'!$C:$C,'Rate Sheet'!$B82)</f>
        <v>7.5147410438011981</v>
      </c>
      <c r="K82" s="479" t="str">
        <f>IF(VLOOKUP($C82,'DF Calculation'!$D$7:$N$115,11,FALSE)-I82&lt;0.006,"OK",VLOOKUP($C82,'DF Calculation'!$D$7:$N$115,11,FALSE)-I82)</f>
        <v>OK</v>
      </c>
      <c r="L82" s="464"/>
      <c r="M82" s="109"/>
      <c r="O82" s="180"/>
    </row>
    <row r="83" spans="1:15">
      <c r="A83" s="396">
        <v>30</v>
      </c>
      <c r="B83" s="397" t="s">
        <v>503</v>
      </c>
      <c r="C83" s="397" t="str">
        <f>VLOOKUP(B83,'DF Calculation'!$C$8:$D$114,2,FALSE)</f>
        <v>95 Gal Cart per PU</v>
      </c>
      <c r="D83" s="378">
        <f>SUMIFS('DF Calculation'!L:L,'DF Calculation'!B:B,'Rate Sheet'!$A83,'DF Calculation'!C:C,'Rate Sheet'!$B83)</f>
        <v>10.77</v>
      </c>
      <c r="E83" s="378">
        <f t="shared" si="3"/>
        <v>8.9999999999999858E-2</v>
      </c>
      <c r="F83" s="379">
        <f>SUMIFS('DF Calculation'!$O:$O,'DF Calculation'!$B:$B,'Rate Sheet'!$A83,'DF Calculation'!$C:$C,'Rate Sheet'!$B83)</f>
        <v>10.86</v>
      </c>
      <c r="G83" s="477" t="str">
        <f>IF(VLOOKUP($C83,'DF Calculation'!$D$7:$N$115,11,FALSE)-E83&lt;0.006,"OK",VLOOKUP($C83,'DF Calculation'!$D$7:$N$115,11,FALSE)-E83)</f>
        <v>OK</v>
      </c>
      <c r="H83" s="378">
        <f>SUMIFS('DF Calculation'!M:M,'DF Calculation'!B:B,'Rate Sheet'!$A83,'DF Calculation'!C:C,'Rate Sheet'!$B83)</f>
        <v>10.73</v>
      </c>
      <c r="I83" s="378">
        <f t="shared" si="4"/>
        <v>9.3667893159180338E-2</v>
      </c>
      <c r="J83" s="379">
        <f>SUMIFS('DF Calculation'!$P:$P,'DF Calculation'!$B:$B,'Rate Sheet'!$A83,'DF Calculation'!$C:$C,'Rate Sheet'!$B83)</f>
        <v>10.823667893159181</v>
      </c>
      <c r="K83" s="479" t="str">
        <f>IF(VLOOKUP($C83,'DF Calculation'!$D$7:$N$115,11,FALSE)-I83&lt;0.006,"OK",VLOOKUP($C83,'DF Calculation'!$D$7:$N$115,11,FALSE)-I83)</f>
        <v>OK</v>
      </c>
      <c r="L83" s="464"/>
      <c r="M83" s="109"/>
      <c r="O83" s="180"/>
    </row>
    <row r="84" spans="1:15">
      <c r="A84" s="430">
        <v>30</v>
      </c>
      <c r="B84" s="431" t="s">
        <v>894</v>
      </c>
      <c r="C84" s="431" t="str">
        <f>VLOOKUP(B84,'DF Calculation'!$C$8:$D$114,2,FALSE)</f>
        <v>32 Gal One Unit - Special Pickup</v>
      </c>
      <c r="D84" s="378">
        <f>SUMIFS('DF Calculation'!L:L,'DF Calculation'!B:B,'Rate Sheet'!$A84,'DF Calculation'!C:C,'Rate Sheet'!$B84)</f>
        <v>14.02</v>
      </c>
      <c r="E84" s="378">
        <f t="shared" si="3"/>
        <v>4.6833946579591057E-2</v>
      </c>
      <c r="F84" s="379">
        <f>SUMIFS('DF Calculation'!$O:$O,'DF Calculation'!$B:$B,'Rate Sheet'!$A84,'DF Calculation'!$C:$C,'Rate Sheet'!$B84)</f>
        <v>14.066833946579591</v>
      </c>
      <c r="G84" s="477" t="str">
        <f>IF(VLOOKUP($C84,'DF Calculation'!$D$7:$N$115,11,FALSE)-E84&lt;0.006,"OK",VLOOKUP($C84,'DF Calculation'!$D$7:$N$115,11,FALSE)-E84)</f>
        <v>OK</v>
      </c>
      <c r="H84" s="378">
        <f>SUMIFS('DF Calculation'!M:M,'DF Calculation'!B:B,'Rate Sheet'!$A84,'DF Calculation'!C:C,'Rate Sheet'!$B84)</f>
        <v>13.96</v>
      </c>
      <c r="I84" s="378">
        <f t="shared" si="4"/>
        <v>4.6833946579591057E-2</v>
      </c>
      <c r="J84" s="379">
        <f>SUMIFS('DF Calculation'!$P:$P,'DF Calculation'!$B:$B,'Rate Sheet'!$A84,'DF Calculation'!$C:$C,'Rate Sheet'!$B84)</f>
        <v>14.006833946579592</v>
      </c>
      <c r="K84" s="479" t="str">
        <f>IF(VLOOKUP($C84,'DF Calculation'!$D$7:$N$115,11,FALSE)-I84&lt;0.006,"OK",VLOOKUP($C84,'DF Calculation'!$D$7:$N$115,11,FALSE)-I84)</f>
        <v>OK</v>
      </c>
      <c r="L84" s="455" t="s">
        <v>900</v>
      </c>
      <c r="O84" s="180"/>
    </row>
    <row r="85" spans="1:15">
      <c r="A85" s="430">
        <v>30</v>
      </c>
      <c r="B85" s="431" t="s">
        <v>895</v>
      </c>
      <c r="C85" s="431" t="str">
        <f>VLOOKUP(B85,'DF Calculation'!$C$8:$D$114,2,FALSE)</f>
        <v>65 Gal One Unit- Special Pickup</v>
      </c>
      <c r="D85" s="378">
        <f>SUMIFS('DF Calculation'!L:L,'DF Calculation'!B:B,'Rate Sheet'!$A85,'DF Calculation'!C:C,'Rate Sheet'!$B85)</f>
        <v>12.84</v>
      </c>
      <c r="E85" s="378">
        <f t="shared" si="3"/>
        <v>6.4741043801198828E-2</v>
      </c>
      <c r="F85" s="379">
        <f>SUMIFS('DF Calculation'!$O:$O,'DF Calculation'!$B:$B,'Rate Sheet'!$A85,'DF Calculation'!$C:$C,'Rate Sheet'!$B85)</f>
        <v>12.904741043801199</v>
      </c>
      <c r="G85" s="477" t="str">
        <f>IF(VLOOKUP($C85,'DF Calculation'!$D$7:$N$115,11,FALSE)-E85&lt;0.006,"OK",VLOOKUP($C85,'DF Calculation'!$D$7:$N$115,11,FALSE)-E85)</f>
        <v>OK</v>
      </c>
      <c r="H85" s="378">
        <f>SUMIFS('DF Calculation'!M:M,'DF Calculation'!B:B,'Rate Sheet'!$A85,'DF Calculation'!C:C,'Rate Sheet'!$B85)</f>
        <v>12.79</v>
      </c>
      <c r="I85" s="378">
        <f t="shared" si="4"/>
        <v>6.4741043801198828E-2</v>
      </c>
      <c r="J85" s="379">
        <f>SUMIFS('DF Calculation'!$P:$P,'DF Calculation'!$B:$B,'Rate Sheet'!$A85,'DF Calculation'!$C:$C,'Rate Sheet'!$B85)</f>
        <v>12.854741043801198</v>
      </c>
      <c r="K85" s="479" t="str">
        <f>IF(VLOOKUP($C85,'DF Calculation'!$D$7:$N$115,11,FALSE)-I85&lt;0.006,"OK",VLOOKUP($C85,'DF Calculation'!$D$7:$N$115,11,FALSE)-I85)</f>
        <v>OK</v>
      </c>
      <c r="L85" s="455" t="s">
        <v>900</v>
      </c>
      <c r="O85" s="180"/>
    </row>
    <row r="86" spans="1:15">
      <c r="A86" s="430">
        <v>30</v>
      </c>
      <c r="B86" s="431" t="s">
        <v>896</v>
      </c>
      <c r="C86" s="431" t="str">
        <f>VLOOKUP(B86,'DF Calculation'!$C$8:$D$114,2,FALSE)</f>
        <v>95 Gal One Unit  - Special Pickup</v>
      </c>
      <c r="D86" s="378">
        <f>SUMIFS('DF Calculation'!L:L,'DF Calculation'!B:B,'Rate Sheet'!$A86,'DF Calculation'!C:C,'Rate Sheet'!$B86)</f>
        <v>16.09</v>
      </c>
      <c r="E86" s="378">
        <f t="shared" si="3"/>
        <v>9.3667893159182114E-2</v>
      </c>
      <c r="F86" s="379">
        <f>SUMIFS('DF Calculation'!$O:$O,'DF Calculation'!$B:$B,'Rate Sheet'!$A86,'DF Calculation'!$C:$C,'Rate Sheet'!$B86)</f>
        <v>16.183667893159182</v>
      </c>
      <c r="G86" s="477" t="str">
        <f>IF(VLOOKUP($C86,'DF Calculation'!$D$7:$N$115,11,FALSE)-E86&lt;0.006,"OK",VLOOKUP($C86,'DF Calculation'!$D$7:$N$115,11,FALSE)-E86)</f>
        <v>OK</v>
      </c>
      <c r="H86" s="378">
        <f>SUMIFS('DF Calculation'!M:M,'DF Calculation'!B:B,'Rate Sheet'!$A86,'DF Calculation'!C:C,'Rate Sheet'!$B86)</f>
        <v>16.02</v>
      </c>
      <c r="I86" s="378">
        <f t="shared" si="4"/>
        <v>9.3667893159182114E-2</v>
      </c>
      <c r="J86" s="379">
        <f>SUMIFS('DF Calculation'!$P:$P,'DF Calculation'!$B:$B,'Rate Sheet'!$A86,'DF Calculation'!$C:$C,'Rate Sheet'!$B86)</f>
        <v>16.113667893159182</v>
      </c>
      <c r="K86" s="479" t="str">
        <f>IF(VLOOKUP($C86,'DF Calculation'!$D$7:$N$115,11,FALSE)-I86&lt;0.006,"OK",VLOOKUP($C86,'DF Calculation'!$D$7:$N$115,11,FALSE)-I86)</f>
        <v>OK</v>
      </c>
      <c r="L86" s="455" t="s">
        <v>900</v>
      </c>
      <c r="O86" s="180"/>
    </row>
    <row r="87" spans="1:15">
      <c r="A87" s="396">
        <v>30</v>
      </c>
      <c r="B87" s="397" t="s">
        <v>562</v>
      </c>
      <c r="C87" s="397" t="str">
        <f>VLOOKUP(B87,'DF Calculation'!$C$8:$D$114,2,FALSE)</f>
        <v>32 Gal Can Extra</v>
      </c>
      <c r="D87" s="378">
        <f>SUMIFS('DF Calculation'!L:L,'DF Calculation'!B:B,'Rate Sheet'!$A87,'DF Calculation'!C:C,'Rate Sheet'!$B87)</f>
        <v>5.32</v>
      </c>
      <c r="E87" s="378">
        <f t="shared" si="3"/>
        <v>4.0000000000000036E-2</v>
      </c>
      <c r="F87" s="379">
        <f>SUMIFS('DF Calculation'!$O:$O,'DF Calculation'!$B:$B,'Rate Sheet'!$A87,'DF Calculation'!$C:$C,'Rate Sheet'!$B87)</f>
        <v>5.36</v>
      </c>
      <c r="G87" s="477">
        <f>IF(VLOOKUP($C87,'DF Calculation'!$D$7:$N$115,11,FALSE)-E87&lt;0.006,"OK",VLOOKUP($C87,'DF Calculation'!$D$7:$N$115,11,FALSE)-E87)</f>
        <v>6.8339465795901749E-3</v>
      </c>
      <c r="H87" s="378">
        <f>SUMIFS('DF Calculation'!M:M,'DF Calculation'!B:B,'Rate Sheet'!$A87,'DF Calculation'!C:C,'Rate Sheet'!$B87)</f>
        <v>5.3</v>
      </c>
      <c r="I87" s="378">
        <f t="shared" si="4"/>
        <v>3.9946601494356138E-2</v>
      </c>
      <c r="J87" s="379">
        <f>SUMIFS('DF Calculation'!$P:$P,'DF Calculation'!$B:$B,'Rate Sheet'!$A87,'DF Calculation'!$C:$C,'Rate Sheet'!$B87)</f>
        <v>5.339946601494356</v>
      </c>
      <c r="K87" s="479">
        <f>IF(VLOOKUP($C87,'DF Calculation'!$D$7:$N$115,11,FALSE)-I87&lt;0.006,"OK",VLOOKUP($C87,'DF Calculation'!$D$7:$N$115,11,FALSE)-I87)</f>
        <v>6.8873450852340729E-3</v>
      </c>
      <c r="L87" s="464"/>
      <c r="O87" s="180"/>
    </row>
    <row r="88" spans="1:15">
      <c r="A88" s="430">
        <v>30</v>
      </c>
      <c r="B88" s="431" t="s">
        <v>890</v>
      </c>
      <c r="C88" s="431" t="str">
        <f>VLOOKUP(B88,'DF Calculation'!$C$8:$D$114,2,FALSE)</f>
        <v>65 Gal Can Extra</v>
      </c>
      <c r="D88" s="378">
        <f>SUMIFS('DF Calculation'!L:L,'DF Calculation'!B:B,'Rate Sheet'!$A88,'DF Calculation'!C:C,'Rate Sheet'!$B88)</f>
        <v>7.38</v>
      </c>
      <c r="E88" s="378">
        <f t="shared" si="3"/>
        <v>6.4741043801197939E-2</v>
      </c>
      <c r="F88" s="379">
        <f>SUMIFS('DF Calculation'!$O:$O,'DF Calculation'!$B:$B,'Rate Sheet'!$A88,'DF Calculation'!$C:$C,'Rate Sheet'!$B88)</f>
        <v>7.4447410438011978</v>
      </c>
      <c r="G88" s="477" t="str">
        <f>IF(VLOOKUP($C88,'DF Calculation'!$D$7:$N$115,11,FALSE)-E88&lt;0.006,"OK",VLOOKUP($C88,'DF Calculation'!$D$7:$N$115,11,FALSE)-E88)</f>
        <v>OK</v>
      </c>
      <c r="H88" s="378">
        <f>SUMIFS('DF Calculation'!M:M,'DF Calculation'!B:B,'Rate Sheet'!$A88,'DF Calculation'!C:C,'Rate Sheet'!$B88)</f>
        <v>7.35</v>
      </c>
      <c r="I88" s="378">
        <f t="shared" si="4"/>
        <v>6.4741043801197939E-2</v>
      </c>
      <c r="J88" s="379">
        <f>SUMIFS('DF Calculation'!$P:$P,'DF Calculation'!$B:$B,'Rate Sheet'!$A88,'DF Calculation'!$C:$C,'Rate Sheet'!$B88)</f>
        <v>7.4147410438011976</v>
      </c>
      <c r="K88" s="479" t="str">
        <f>IF(VLOOKUP($C88,'DF Calculation'!$D$7:$N$115,11,FALSE)-I88&lt;0.006,"OK",VLOOKUP($C88,'DF Calculation'!$D$7:$N$115,11,FALSE)-I88)</f>
        <v>OK</v>
      </c>
      <c r="L88" s="455" t="s">
        <v>900</v>
      </c>
      <c r="O88" s="180"/>
    </row>
    <row r="89" spans="1:15">
      <c r="A89" s="430">
        <v>30</v>
      </c>
      <c r="B89" s="431" t="s">
        <v>891</v>
      </c>
      <c r="C89" s="431" t="str">
        <f>VLOOKUP(B89,'DF Calculation'!$C$8:$D$114,2,FALSE)</f>
        <v>95 Gal Can Extra</v>
      </c>
      <c r="D89" s="378">
        <f>SUMIFS('DF Calculation'!L:L,'DF Calculation'!B:B,'Rate Sheet'!$A89,'DF Calculation'!C:C,'Rate Sheet'!$B89)</f>
        <v>10.63</v>
      </c>
      <c r="E89" s="378">
        <f t="shared" si="3"/>
        <v>9.3667893159180338E-2</v>
      </c>
      <c r="F89" s="379">
        <f>SUMIFS('DF Calculation'!$O:$O,'DF Calculation'!$B:$B,'Rate Sheet'!$A89,'DF Calculation'!$C:$C,'Rate Sheet'!$B89)</f>
        <v>10.723667893159181</v>
      </c>
      <c r="G89" s="477" t="str">
        <f>IF(VLOOKUP($C89,'DF Calculation'!$D$7:$N$115,11,FALSE)-E89&lt;0.006,"OK",VLOOKUP($C89,'DF Calculation'!$D$7:$N$115,11,FALSE)-E89)</f>
        <v>OK</v>
      </c>
      <c r="H89" s="378">
        <f>SUMIFS('DF Calculation'!M:M,'DF Calculation'!B:B,'Rate Sheet'!$A89,'DF Calculation'!C:C,'Rate Sheet'!$B89)</f>
        <v>10.59</v>
      </c>
      <c r="I89" s="378">
        <f t="shared" si="4"/>
        <v>9.3667893159180338E-2</v>
      </c>
      <c r="J89" s="379">
        <f>SUMIFS('DF Calculation'!$P:$P,'DF Calculation'!$B:$B,'Rate Sheet'!$A89,'DF Calculation'!$C:$C,'Rate Sheet'!$B89)</f>
        <v>10.68366789315918</v>
      </c>
      <c r="K89" s="479" t="str">
        <f>IF(VLOOKUP($C89,'DF Calculation'!$D$7:$N$115,11,FALSE)-I89&lt;0.006,"OK",VLOOKUP($C89,'DF Calculation'!$D$7:$N$115,11,FALSE)-I89)</f>
        <v>OK</v>
      </c>
      <c r="L89" s="455" t="s">
        <v>900</v>
      </c>
      <c r="O89" s="180"/>
    </row>
    <row r="90" spans="1:15">
      <c r="A90" s="392"/>
      <c r="B90" s="393"/>
      <c r="C90" s="392"/>
    </row>
    <row r="91" spans="1:15">
      <c r="A91" s="392"/>
      <c r="B91" s="393"/>
      <c r="C91" s="392"/>
    </row>
    <row r="92" spans="1:15">
      <c r="A92" s="392"/>
      <c r="B92" s="392"/>
      <c r="C92" s="392"/>
    </row>
  </sheetData>
  <pageMargins left="0.2" right="0.2" top="0.5" bottom="0.5" header="0.3" footer="0.3"/>
  <pageSetup scale="75" fitToHeight="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D44504600C6A4A90EEB97FF80CF8DC" ma:contentTypeVersion="36" ma:contentTypeDescription="" ma:contentTypeScope="" ma:versionID="cfc803da5db90199d6fbf8c1d8dac1b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2021-11-12T08:00:00+00:00</OpenedDate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</CaseCompanyNames>
    <DocketNumber xmlns="dc463f71-b30c-4ab2-9473-d307f9d35888">210881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B3C14-C1F6-4633-9F83-9619EE5C3919}"/>
</file>

<file path=customXml/itemProps2.xml><?xml version="1.0" encoding="utf-8"?>
<ds:datastoreItem xmlns:ds="http://schemas.openxmlformats.org/officeDocument/2006/customXml" ds:itemID="{BAC986C4-B839-42C7-AFBD-8551C05516D4}"/>
</file>

<file path=customXml/itemProps3.xml><?xml version="1.0" encoding="utf-8"?>
<ds:datastoreItem xmlns:ds="http://schemas.openxmlformats.org/officeDocument/2006/customXml" ds:itemID="{2D311DB4-3EBC-4224-B614-8F3A5117EE75}">
  <ds:schemaRefs>
    <ds:schemaRef ds:uri="http://schemas.microsoft.com/office/2006/metadata/properties"/>
    <ds:schemaRef ds:uri="dc463f71-b30c-4ab2-9473-d307f9d35888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DF Calculation</vt:lpstr>
      <vt:lpstr>Mapping</vt:lpstr>
      <vt:lpstr>Disposal</vt:lpstr>
      <vt:lpstr>Grays Harbor Reg Price Out</vt:lpstr>
      <vt:lpstr>Rate Sheet</vt:lpstr>
      <vt:lpstr>'DF Calculation'!Print_Area</vt:lpstr>
      <vt:lpstr>Mapping!Print_Area</vt:lpstr>
      <vt:lpstr>'Rate Sheet'!Print_Area</vt:lpstr>
      <vt:lpstr>'DF Calculation'!Print_Titles</vt:lpstr>
      <vt:lpstr>'Grays Harbor Reg Price Out'!Print_Titles</vt:lpstr>
      <vt:lpstr>Mapping!Print_Titles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Akasha Leffler</cp:lastModifiedBy>
  <cp:lastPrinted>2021-11-12T22:07:32Z</cp:lastPrinted>
  <dcterms:created xsi:type="dcterms:W3CDTF">2013-10-29T22:33:54Z</dcterms:created>
  <dcterms:modified xsi:type="dcterms:W3CDTF">2021-11-12T22:08:08Z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0x0101006E56B4D1795A2E4DB2F0B01679ED314A0085D44504600C6A4A90EEB97FF80CF8DC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