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ates\Public\Gas CRM\2021\Preliminary Filing\"/>
    </mc:Choice>
  </mc:AlternateContent>
  <bookViews>
    <workbookView xWindow="0" yWindow="0" windowWidth="19200" windowHeight="6180" tabRatio="914"/>
  </bookViews>
  <sheets>
    <sheet name="CRM Rates" sheetId="113" r:id="rId1"/>
    <sheet name="Summary - Revenue Requirement" sheetId="202" r:id="rId2"/>
    <sheet name="Rate Impacts--&gt;" sheetId="56" r:id="rId3"/>
    <sheet name="Rate Impacts Sch149" sheetId="217" r:id="rId4"/>
    <sheet name="Typical Res Bill Sch149" sheetId="218" r:id="rId5"/>
    <sheet name="Schedule 149" sheetId="219" r:id="rId6"/>
    <sheet name="Work Papers--&gt;" sheetId="27" r:id="rId7"/>
    <sheet name="CRM 2021 Rev Req Alloc" sheetId="215" r:id="rId8"/>
    <sheet name="CRM 2020 Rev Req Alloc TrueUp" sheetId="84" r:id="rId9"/>
    <sheet name="CRM 2020 Rev Req Alloc (YEAR 2)" sheetId="216" r:id="rId10"/>
    <sheet name="CRM 2019 Rev Req Alloc" sheetId="38" r:id="rId11"/>
    <sheet name="Allocation Factors" sheetId="24" r:id="rId12"/>
    <sheet name="Forecasted Volume" sheetId="25" r:id="rId13"/>
    <sheet name="RR workpapers--&gt;" sheetId="220" r:id="rId14"/>
    <sheet name="2021 CAP CRM" sheetId="203" r:id="rId15"/>
    <sheet name="2021 C&amp;OM" sheetId="204" r:id="rId16"/>
    <sheet name="2020TrueUp" sheetId="207" r:id="rId17"/>
    <sheet name="Summary 2020" sheetId="205" r:id="rId18"/>
    <sheet name="2020 + true up CAP" sheetId="206" r:id="rId19"/>
    <sheet name="2020 Filed Oct 16,20" sheetId="208" r:id="rId20"/>
    <sheet name="2019 CRM" sheetId="209" r:id="rId21"/>
    <sheet name="2019 CRM Final" sheetId="191" r:id="rId22"/>
    <sheet name="2019 GRC" sheetId="213" r:id="rId23"/>
    <sheet name="MACRS 20" sheetId="214" r:id="rId24"/>
  </sheets>
  <definedNames>
    <definedName name="_xlnm.Print_Area" localSheetId="11">'Allocation Factors'!$B$1:$K$28</definedName>
    <definedName name="_xlnm.Print_Area" localSheetId="10">'CRM 2019 Rev Req Alloc'!$B$1:$L$23</definedName>
    <definedName name="_xlnm.Print_Area" localSheetId="9">'CRM 2020 Rev Req Alloc (YEAR 2)'!$B$1:$L$23</definedName>
    <definedName name="_xlnm.Print_Area" localSheetId="8">'CRM 2020 Rev Req Alloc TrueUp'!$B$1:$L$27</definedName>
    <definedName name="_xlnm.Print_Area" localSheetId="7">'CRM 2021 Rev Req Alloc'!$B$1:$L$30</definedName>
    <definedName name="_xlnm.Print_Area" localSheetId="0">'CRM Rates'!$A$1:$K$22</definedName>
    <definedName name="_xlnm.Print_Area" localSheetId="3">'Rate Impacts Sch149'!$B$1:$U$37</definedName>
    <definedName name="_xlnm.Print_Area" localSheetId="5">'Schedule 149'!$A$1:$I$22</definedName>
    <definedName name="_xlnm.Print_Area" localSheetId="4">'Typical Res Bill Sch149'!$B$1:$H$40</definedName>
  </definedNames>
  <calcPr calcId="162913"/>
</workbook>
</file>

<file path=xl/calcChain.xml><?xml version="1.0" encoding="utf-8"?>
<calcChain xmlns="http://schemas.openxmlformats.org/spreadsheetml/2006/main">
  <c r="O21" i="38" l="1"/>
  <c r="K32" i="24"/>
  <c r="J32" i="24"/>
  <c r="I32" i="24"/>
  <c r="H32" i="24"/>
  <c r="G32" i="24"/>
  <c r="F32" i="24"/>
  <c r="E32" i="24"/>
  <c r="D32" i="24"/>
  <c r="K29" i="24"/>
  <c r="J29" i="24"/>
  <c r="I29" i="24"/>
  <c r="H29" i="24"/>
  <c r="G29" i="24"/>
  <c r="F29" i="24"/>
  <c r="E29" i="24"/>
  <c r="D29" i="24"/>
  <c r="C22" i="219" l="1"/>
  <c r="F21" i="219"/>
  <c r="F20" i="219"/>
  <c r="F19" i="219"/>
  <c r="F18" i="219"/>
  <c r="F17" i="219"/>
  <c r="F16" i="219"/>
  <c r="R18" i="217" s="1"/>
  <c r="R28" i="217" s="1"/>
  <c r="F15" i="219"/>
  <c r="F14" i="219"/>
  <c r="F13" i="219"/>
  <c r="F12" i="219"/>
  <c r="F11" i="219"/>
  <c r="F10" i="219"/>
  <c r="F9" i="219"/>
  <c r="F22" i="219" s="1"/>
  <c r="E31" i="218"/>
  <c r="D31" i="218"/>
  <c r="G30" i="218"/>
  <c r="G29" i="218"/>
  <c r="G31" i="218" s="1"/>
  <c r="H31" i="218" s="1"/>
  <c r="H27" i="218"/>
  <c r="G27" i="218"/>
  <c r="E27" i="218"/>
  <c r="E25" i="218"/>
  <c r="E32" i="218" s="1"/>
  <c r="D25" i="218"/>
  <c r="D38" i="218" s="1"/>
  <c r="D24" i="218"/>
  <c r="G23" i="218"/>
  <c r="G22" i="218"/>
  <c r="G21" i="218"/>
  <c r="G20" i="218"/>
  <c r="G19" i="218"/>
  <c r="G18" i="218"/>
  <c r="G17" i="218"/>
  <c r="G16" i="218"/>
  <c r="D13" i="218"/>
  <c r="H12" i="218"/>
  <c r="G12" i="218"/>
  <c r="E12" i="218"/>
  <c r="H11" i="218"/>
  <c r="H13" i="218" s="1"/>
  <c r="G11" i="218"/>
  <c r="G13" i="218" s="1"/>
  <c r="E11" i="218"/>
  <c r="E13" i="218" s="1"/>
  <c r="E34" i="218" s="1"/>
  <c r="B4" i="218"/>
  <c r="B2" i="218"/>
  <c r="Q33" i="217"/>
  <c r="P33" i="217"/>
  <c r="O33" i="217"/>
  <c r="N33" i="217"/>
  <c r="M33" i="217"/>
  <c r="L33" i="217"/>
  <c r="K33" i="217"/>
  <c r="J33" i="217"/>
  <c r="I33" i="217"/>
  <c r="G33" i="217"/>
  <c r="E33" i="217"/>
  <c r="F33" i="217" s="1"/>
  <c r="D33" i="217"/>
  <c r="Q32" i="217"/>
  <c r="P32" i="217"/>
  <c r="O32" i="217"/>
  <c r="N32" i="217"/>
  <c r="M32" i="217"/>
  <c r="L32" i="217"/>
  <c r="K32" i="217"/>
  <c r="J32" i="217"/>
  <c r="I32" i="217"/>
  <c r="G32" i="217"/>
  <c r="E32" i="217"/>
  <c r="F32" i="217" s="1"/>
  <c r="D32" i="217"/>
  <c r="Q31" i="217"/>
  <c r="P31" i="217"/>
  <c r="O31" i="217"/>
  <c r="N31" i="217"/>
  <c r="M31" i="217"/>
  <c r="L31" i="217"/>
  <c r="K31" i="217"/>
  <c r="J31" i="217"/>
  <c r="I31" i="217"/>
  <c r="G31" i="217"/>
  <c r="E31" i="217"/>
  <c r="F31" i="217" s="1"/>
  <c r="D31" i="217"/>
  <c r="Q30" i="217"/>
  <c r="P30" i="217"/>
  <c r="O30" i="217"/>
  <c r="N30" i="217"/>
  <c r="M30" i="217"/>
  <c r="L30" i="217"/>
  <c r="K30" i="217"/>
  <c r="J30" i="217"/>
  <c r="I30" i="217"/>
  <c r="G30" i="217"/>
  <c r="E30" i="217"/>
  <c r="F30" i="217" s="1"/>
  <c r="D30" i="217"/>
  <c r="Q29" i="217"/>
  <c r="P29" i="217"/>
  <c r="O29" i="217"/>
  <c r="N29" i="217"/>
  <c r="M29" i="217"/>
  <c r="L29" i="217"/>
  <c r="K29" i="217"/>
  <c r="J29" i="217"/>
  <c r="I29" i="217"/>
  <c r="G29" i="217"/>
  <c r="E29" i="217"/>
  <c r="F29" i="217" s="1"/>
  <c r="D29" i="217"/>
  <c r="Q28" i="217"/>
  <c r="P28" i="217"/>
  <c r="O28" i="217"/>
  <c r="O34" i="217" s="1"/>
  <c r="N28" i="217"/>
  <c r="M28" i="217"/>
  <c r="L28" i="217"/>
  <c r="K28" i="217"/>
  <c r="J28" i="217"/>
  <c r="I28" i="217"/>
  <c r="G28" i="217"/>
  <c r="G34" i="217" s="1"/>
  <c r="F28" i="217"/>
  <c r="E28" i="217"/>
  <c r="D28" i="217"/>
  <c r="Q27" i="217"/>
  <c r="Q34" i="217" s="1"/>
  <c r="P27" i="217"/>
  <c r="P34" i="217" s="1"/>
  <c r="O27" i="217"/>
  <c r="N27" i="217"/>
  <c r="N34" i="217" s="1"/>
  <c r="M27" i="217"/>
  <c r="M34" i="217" s="1"/>
  <c r="L27" i="217"/>
  <c r="L34" i="217" s="1"/>
  <c r="K27" i="217"/>
  <c r="K34" i="217" s="1"/>
  <c r="J27" i="217"/>
  <c r="J34" i="217" s="1"/>
  <c r="I27" i="217"/>
  <c r="I34" i="217" s="1"/>
  <c r="G27" i="217"/>
  <c r="E27" i="217"/>
  <c r="F27" i="217" s="1"/>
  <c r="D27" i="217"/>
  <c r="D34" i="217" s="1"/>
  <c r="Q24" i="217"/>
  <c r="P24" i="217"/>
  <c r="O24" i="217"/>
  <c r="N24" i="217"/>
  <c r="M24" i="217"/>
  <c r="L24" i="217"/>
  <c r="K24" i="217"/>
  <c r="J24" i="217"/>
  <c r="I24" i="217"/>
  <c r="G24" i="217"/>
  <c r="E24" i="217"/>
  <c r="F24" i="217" s="1"/>
  <c r="D24" i="217"/>
  <c r="R23" i="217"/>
  <c r="R33" i="217" s="1"/>
  <c r="H23" i="217"/>
  <c r="S23" i="217" s="1"/>
  <c r="F23" i="217"/>
  <c r="R22" i="217"/>
  <c r="R32" i="217" s="1"/>
  <c r="F22" i="217"/>
  <c r="H22" i="217" s="1"/>
  <c r="S22" i="217" s="1"/>
  <c r="R21" i="217"/>
  <c r="F21" i="217"/>
  <c r="H21" i="217" s="1"/>
  <c r="S21" i="217" s="1"/>
  <c r="S20" i="217"/>
  <c r="R20" i="217"/>
  <c r="H20" i="217"/>
  <c r="F20" i="217"/>
  <c r="R19" i="217"/>
  <c r="F19" i="217"/>
  <c r="H19" i="217" s="1"/>
  <c r="S19" i="217" s="1"/>
  <c r="F18" i="217"/>
  <c r="H18" i="217" s="1"/>
  <c r="S18" i="217" s="1"/>
  <c r="R17" i="217"/>
  <c r="F17" i="217"/>
  <c r="H17" i="217" s="1"/>
  <c r="R16" i="217"/>
  <c r="R31" i="217" s="1"/>
  <c r="H16" i="217"/>
  <c r="H31" i="217" s="1"/>
  <c r="F16" i="217"/>
  <c r="R15" i="217"/>
  <c r="R30" i="217" s="1"/>
  <c r="F15" i="217"/>
  <c r="H15" i="217" s="1"/>
  <c r="R14" i="217"/>
  <c r="R29" i="217" s="1"/>
  <c r="F14" i="217"/>
  <c r="H14" i="217" s="1"/>
  <c r="R13" i="217"/>
  <c r="F13" i="217"/>
  <c r="H13" i="217" s="1"/>
  <c r="S12" i="217"/>
  <c r="R12" i="217"/>
  <c r="H12" i="217"/>
  <c r="F12" i="217"/>
  <c r="S11" i="217"/>
  <c r="R11" i="217"/>
  <c r="R27" i="217" s="1"/>
  <c r="H11" i="217"/>
  <c r="H27" i="217" s="1"/>
  <c r="F11" i="217"/>
  <c r="H30" i="217" l="1"/>
  <c r="S15" i="217"/>
  <c r="S30" i="217" s="1"/>
  <c r="R34" i="217"/>
  <c r="S33" i="217"/>
  <c r="S14" i="217"/>
  <c r="S29" i="217" s="1"/>
  <c r="H29" i="217"/>
  <c r="H28" i="217"/>
  <c r="H34" i="217" s="1"/>
  <c r="S13" i="217"/>
  <c r="S28" i="217" s="1"/>
  <c r="H32" i="217"/>
  <c r="S17" i="217"/>
  <c r="S32" i="217" s="1"/>
  <c r="S27" i="217"/>
  <c r="S34" i="217" s="1"/>
  <c r="E34" i="217"/>
  <c r="F34" i="217" s="1"/>
  <c r="H33" i="217"/>
  <c r="D32" i="218"/>
  <c r="H24" i="217"/>
  <c r="S16" i="217"/>
  <c r="S31" i="217" s="1"/>
  <c r="R24" i="217"/>
  <c r="S24" i="217" l="1"/>
  <c r="E15" i="191" l="1"/>
  <c r="E14" i="191"/>
  <c r="O21" i="84"/>
  <c r="E21" i="84"/>
  <c r="E20" i="84"/>
  <c r="E15" i="84"/>
  <c r="E14" i="84"/>
  <c r="O7" i="205"/>
  <c r="O8" i="205" s="1"/>
  <c r="O6" i="205"/>
  <c r="O5" i="205"/>
  <c r="O16" i="205"/>
  <c r="O17" i="205" s="1"/>
  <c r="N16" i="205"/>
  <c r="O15" i="205"/>
  <c r="N15" i="205"/>
  <c r="O14" i="205"/>
  <c r="K16" i="205"/>
  <c r="K15" i="205"/>
  <c r="E15" i="216"/>
  <c r="E14" i="216"/>
  <c r="I27" i="205"/>
  <c r="I26" i="205"/>
  <c r="F4" i="207"/>
  <c r="J11" i="205"/>
  <c r="G23" i="215"/>
  <c r="H23" i="215"/>
  <c r="I23" i="215"/>
  <c r="J23" i="215"/>
  <c r="K23" i="215"/>
  <c r="L23" i="215"/>
  <c r="F23" i="215"/>
  <c r="E23" i="215"/>
  <c r="D23" i="215"/>
  <c r="C23" i="215"/>
  <c r="E20" i="215" l="1"/>
  <c r="E21" i="215"/>
  <c r="E22" i="215"/>
  <c r="N23" i="215" l="1"/>
  <c r="E24" i="84" l="1"/>
  <c r="E27" i="215"/>
  <c r="E20" i="38"/>
  <c r="E15" i="38" l="1"/>
  <c r="E14" i="38"/>
  <c r="E10" i="38"/>
  <c r="E9" i="38"/>
  <c r="E20" i="216"/>
  <c r="B2" i="216"/>
  <c r="D20" i="84"/>
  <c r="C20" i="84"/>
  <c r="D19" i="84"/>
  <c r="D22" i="215"/>
  <c r="C22" i="215"/>
  <c r="D20" i="215" l="1"/>
  <c r="D19" i="215"/>
  <c r="D21" i="215"/>
  <c r="C21" i="215"/>
  <c r="C20" i="215"/>
  <c r="B2" i="215"/>
  <c r="A14" i="113"/>
  <c r="A15" i="113"/>
  <c r="A16" i="113" s="1"/>
  <c r="V7" i="214"/>
  <c r="U7" i="214"/>
  <c r="T7" i="214"/>
  <c r="S7" i="214"/>
  <c r="R7" i="214"/>
  <c r="Q7" i="214"/>
  <c r="P7" i="214"/>
  <c r="O7" i="214"/>
  <c r="N7" i="214"/>
  <c r="M7" i="214"/>
  <c r="L7" i="214"/>
  <c r="K7" i="214"/>
  <c r="J7" i="214"/>
  <c r="I7" i="214"/>
  <c r="H7" i="214"/>
  <c r="G7" i="214"/>
  <c r="F7" i="214"/>
  <c r="E7" i="214"/>
  <c r="D7" i="214"/>
  <c r="C7" i="214"/>
  <c r="B7" i="214"/>
  <c r="V6" i="214"/>
  <c r="U6" i="214"/>
  <c r="T6" i="214"/>
  <c r="S6" i="214"/>
  <c r="R6" i="214"/>
  <c r="Q6" i="214"/>
  <c r="P6" i="214"/>
  <c r="O6" i="214"/>
  <c r="N6" i="214"/>
  <c r="M6" i="214"/>
  <c r="L6" i="214"/>
  <c r="K6" i="214"/>
  <c r="J6" i="214"/>
  <c r="I6" i="214"/>
  <c r="H6" i="214"/>
  <c r="G6" i="214"/>
  <c r="F6" i="214"/>
  <c r="W6" i="214" s="1"/>
  <c r="E6" i="214"/>
  <c r="D6" i="214"/>
  <c r="C6" i="214"/>
  <c r="B6" i="214"/>
  <c r="W5" i="214"/>
  <c r="Y66" i="209"/>
  <c r="X66" i="209"/>
  <c r="W66" i="209"/>
  <c r="V66" i="209"/>
  <c r="U66" i="209"/>
  <c r="T66" i="209"/>
  <c r="S66" i="209"/>
  <c r="R66" i="209"/>
  <c r="Q66" i="209"/>
  <c r="P66" i="209"/>
  <c r="O66" i="209"/>
  <c r="N66" i="209"/>
  <c r="M66" i="209"/>
  <c r="L66" i="209"/>
  <c r="K66" i="209"/>
  <c r="J66" i="209"/>
  <c r="I66" i="209"/>
  <c r="H66" i="209"/>
  <c r="G66" i="209"/>
  <c r="F66" i="209"/>
  <c r="E66" i="209"/>
  <c r="Y65" i="209"/>
  <c r="X65" i="209"/>
  <c r="W65" i="209"/>
  <c r="V65" i="209"/>
  <c r="U65" i="209"/>
  <c r="T65" i="209"/>
  <c r="S65" i="209"/>
  <c r="R65" i="209"/>
  <c r="Q65" i="209"/>
  <c r="P65" i="209"/>
  <c r="O65" i="209"/>
  <c r="N65" i="209"/>
  <c r="M65" i="209"/>
  <c r="L65" i="209"/>
  <c r="K65" i="209"/>
  <c r="J65" i="209"/>
  <c r="I65" i="209"/>
  <c r="H65" i="209"/>
  <c r="G65" i="209"/>
  <c r="F65" i="209"/>
  <c r="E65" i="209"/>
  <c r="Y62" i="209"/>
  <c r="X62" i="209"/>
  <c r="W62" i="209"/>
  <c r="W58" i="209" s="1"/>
  <c r="V62" i="209"/>
  <c r="U62" i="209"/>
  <c r="T62" i="209"/>
  <c r="T58" i="209" s="1"/>
  <c r="S62" i="209"/>
  <c r="S58" i="209" s="1"/>
  <c r="R62" i="209"/>
  <c r="Q62" i="209"/>
  <c r="P62" i="209"/>
  <c r="O62" i="209"/>
  <c r="O58" i="209" s="1"/>
  <c r="N62" i="209"/>
  <c r="M62" i="209"/>
  <c r="L62" i="209"/>
  <c r="L58" i="209" s="1"/>
  <c r="K62" i="209"/>
  <c r="K58" i="209" s="1"/>
  <c r="J62" i="209"/>
  <c r="I62" i="209"/>
  <c r="H62" i="209"/>
  <c r="G62" i="209"/>
  <c r="G58" i="209" s="1"/>
  <c r="F62" i="209"/>
  <c r="E62" i="209"/>
  <c r="B62" i="209"/>
  <c r="AT59" i="209"/>
  <c r="AO59" i="209"/>
  <c r="AO60" i="209" s="1"/>
  <c r="Y59" i="209"/>
  <c r="AT58" i="209"/>
  <c r="AS58" i="209"/>
  <c r="AS59" i="209" s="1"/>
  <c r="AS60" i="209" s="1"/>
  <c r="AR58" i="209"/>
  <c r="AQ58" i="209"/>
  <c r="AP58" i="209"/>
  <c r="AO58" i="209"/>
  <c r="AN58" i="209"/>
  <c r="AM58" i="209"/>
  <c r="AM59" i="209" s="1"/>
  <c r="AM60" i="209" s="1"/>
  <c r="AL58" i="209"/>
  <c r="AK58" i="209"/>
  <c r="AJ58" i="209"/>
  <c r="AI58" i="209"/>
  <c r="AH58" i="209"/>
  <c r="AG58" i="209"/>
  <c r="AF58" i="209"/>
  <c r="AE58" i="209"/>
  <c r="AE59" i="209" s="1"/>
  <c r="AE60" i="209" s="1"/>
  <c r="AD58" i="209"/>
  <c r="AC58" i="209"/>
  <c r="AB58" i="209"/>
  <c r="AA58" i="209"/>
  <c r="Z58" i="209"/>
  <c r="Y58" i="209"/>
  <c r="X58" i="209"/>
  <c r="V58" i="209"/>
  <c r="U58" i="209"/>
  <c r="R58" i="209"/>
  <c r="Q58" i="209"/>
  <c r="P58" i="209"/>
  <c r="N58" i="209"/>
  <c r="M58" i="209"/>
  <c r="J58" i="209"/>
  <c r="I58" i="209"/>
  <c r="I59" i="209" s="1"/>
  <c r="I60" i="209" s="1"/>
  <c r="H58" i="209"/>
  <c r="F58" i="209"/>
  <c r="E58" i="209"/>
  <c r="AT57" i="209"/>
  <c r="AS57" i="209"/>
  <c r="AO57" i="209"/>
  <c r="AL57" i="209"/>
  <c r="AL59" i="209" s="1"/>
  <c r="AC57" i="209"/>
  <c r="Y57" i="209"/>
  <c r="V57" i="209"/>
  <c r="V59" i="209" s="1"/>
  <c r="M57" i="209"/>
  <c r="I57" i="209"/>
  <c r="F57" i="209"/>
  <c r="F59" i="209" s="1"/>
  <c r="AU56" i="209"/>
  <c r="AU55" i="209"/>
  <c r="AU51" i="209"/>
  <c r="AU50" i="209"/>
  <c r="AU41" i="209"/>
  <c r="AU40" i="209"/>
  <c r="AU36" i="209"/>
  <c r="A32" i="209"/>
  <c r="A33" i="209" s="1"/>
  <c r="A34" i="209" s="1"/>
  <c r="A35" i="209" s="1"/>
  <c r="A37" i="209" s="1"/>
  <c r="A38" i="209" s="1"/>
  <c r="A39" i="209" s="1"/>
  <c r="A40" i="209" s="1"/>
  <c r="A41" i="209" s="1"/>
  <c r="A42" i="209" s="1"/>
  <c r="A43" i="209" s="1"/>
  <c r="A44" i="209" s="1"/>
  <c r="A45" i="209" s="1"/>
  <c r="A46" i="209" s="1"/>
  <c r="A47" i="209" s="1"/>
  <c r="A48" i="209" s="1"/>
  <c r="A49" i="209" s="1"/>
  <c r="A50" i="209" s="1"/>
  <c r="A51" i="209" s="1"/>
  <c r="A52" i="209" s="1"/>
  <c r="A53" i="209" s="1"/>
  <c r="A54" i="209" s="1"/>
  <c r="A55" i="209" s="1"/>
  <c r="A56" i="209" s="1"/>
  <c r="A57" i="209" s="1"/>
  <c r="A58" i="209" s="1"/>
  <c r="A59" i="209" s="1"/>
  <c r="A60" i="209" s="1"/>
  <c r="A61" i="209" s="1"/>
  <c r="A62" i="209" s="1"/>
  <c r="A63" i="209" s="1"/>
  <c r="A64" i="209" s="1"/>
  <c r="A65" i="209" s="1"/>
  <c r="A66" i="209" s="1"/>
  <c r="A29" i="209"/>
  <c r="AV27" i="209"/>
  <c r="AR27" i="209"/>
  <c r="AQ27" i="209"/>
  <c r="AP27" i="209"/>
  <c r="AO27" i="209"/>
  <c r="AN27" i="209"/>
  <c r="AM27" i="209"/>
  <c r="AM57" i="209" s="1"/>
  <c r="AL27" i="209"/>
  <c r="AK27" i="209"/>
  <c r="AK57" i="209" s="1"/>
  <c r="AK59" i="209" s="1"/>
  <c r="AJ27" i="209"/>
  <c r="AI27" i="209"/>
  <c r="AH27" i="209"/>
  <c r="AG27" i="209"/>
  <c r="AF27" i="209"/>
  <c r="AE27" i="209"/>
  <c r="AE57" i="209" s="1"/>
  <c r="AD27" i="209"/>
  <c r="AD57" i="209" s="1"/>
  <c r="AD59" i="209" s="1"/>
  <c r="AD60" i="209" s="1"/>
  <c r="AC27" i="209"/>
  <c r="AB27" i="209"/>
  <c r="AA27" i="209"/>
  <c r="Z27" i="209"/>
  <c r="Y27" i="209"/>
  <c r="X27" i="209"/>
  <c r="W27" i="209"/>
  <c r="W57" i="209" s="1"/>
  <c r="V27" i="209"/>
  <c r="U27" i="209"/>
  <c r="U57" i="209" s="1"/>
  <c r="U59" i="209" s="1"/>
  <c r="T27" i="209"/>
  <c r="S27" i="209"/>
  <c r="R27" i="209"/>
  <c r="Q27" i="209"/>
  <c r="P27" i="209"/>
  <c r="O27" i="209"/>
  <c r="O57" i="209" s="1"/>
  <c r="N27" i="209"/>
  <c r="N57" i="209" s="1"/>
  <c r="N59" i="209" s="1"/>
  <c r="N60" i="209" s="1"/>
  <c r="M27" i="209"/>
  <c r="L27" i="209"/>
  <c r="K27" i="209"/>
  <c r="J27" i="209"/>
  <c r="I27" i="209"/>
  <c r="H27" i="209"/>
  <c r="G27" i="209"/>
  <c r="G57" i="209" s="1"/>
  <c r="F27" i="209"/>
  <c r="E27" i="209"/>
  <c r="G16" i="209"/>
  <c r="F16" i="209"/>
  <c r="G15" i="209"/>
  <c r="F13" i="209"/>
  <c r="D13" i="209"/>
  <c r="G12" i="209"/>
  <c r="G11" i="209"/>
  <c r="G13" i="209" s="1"/>
  <c r="Y66" i="208"/>
  <c r="X66" i="208"/>
  <c r="W66" i="208"/>
  <c r="V66" i="208"/>
  <c r="U66" i="208"/>
  <c r="T66" i="208"/>
  <c r="S66" i="208"/>
  <c r="R66" i="208"/>
  <c r="Q66" i="208"/>
  <c r="P66" i="208"/>
  <c r="O66" i="208"/>
  <c r="N66" i="208"/>
  <c r="M66" i="208"/>
  <c r="L66" i="208"/>
  <c r="K66" i="208"/>
  <c r="J66" i="208"/>
  <c r="I66" i="208"/>
  <c r="H66" i="208"/>
  <c r="G66" i="208"/>
  <c r="F66" i="208"/>
  <c r="E66" i="208"/>
  <c r="Y65" i="208"/>
  <c r="X65" i="208"/>
  <c r="W65" i="208"/>
  <c r="W62" i="208" s="1"/>
  <c r="V65" i="208"/>
  <c r="U65" i="208"/>
  <c r="T65" i="208"/>
  <c r="S65" i="208"/>
  <c r="R65" i="208"/>
  <c r="Q65" i="208"/>
  <c r="P65" i="208"/>
  <c r="O65" i="208"/>
  <c r="O62" i="208" s="1"/>
  <c r="N65" i="208"/>
  <c r="M65" i="208"/>
  <c r="L65" i="208"/>
  <c r="K65" i="208"/>
  <c r="J65" i="208"/>
  <c r="I65" i="208"/>
  <c r="H65" i="208"/>
  <c r="G65" i="208"/>
  <c r="G62" i="208" s="1"/>
  <c r="F65" i="208"/>
  <c r="E65" i="208"/>
  <c r="Y62" i="208"/>
  <c r="X62" i="208"/>
  <c r="V62" i="208"/>
  <c r="U62" i="208"/>
  <c r="T62" i="208"/>
  <c r="S62" i="208"/>
  <c r="R62" i="208"/>
  <c r="Q62" i="208"/>
  <c r="P62" i="208"/>
  <c r="N62" i="208"/>
  <c r="M62" i="208"/>
  <c r="L62" i="208"/>
  <c r="K62" i="208"/>
  <c r="J62" i="208"/>
  <c r="I62" i="208"/>
  <c r="H62" i="208"/>
  <c r="F62" i="208"/>
  <c r="E62" i="208"/>
  <c r="B62" i="208"/>
  <c r="AT57" i="208"/>
  <c r="AS57" i="208"/>
  <c r="AU56" i="208"/>
  <c r="AU55" i="208"/>
  <c r="AU51" i="208"/>
  <c r="AU50" i="208"/>
  <c r="AU41" i="208"/>
  <c r="AU40" i="208"/>
  <c r="AU36" i="208"/>
  <c r="E31" i="208"/>
  <c r="A29" i="208"/>
  <c r="A32" i="208" s="1"/>
  <c r="A33" i="208" s="1"/>
  <c r="A34" i="208" s="1"/>
  <c r="A35" i="208" s="1"/>
  <c r="A37" i="208" s="1"/>
  <c r="A38" i="208" s="1"/>
  <c r="A39" i="208" s="1"/>
  <c r="A40" i="208" s="1"/>
  <c r="A41" i="208" s="1"/>
  <c r="A42" i="208" s="1"/>
  <c r="A43" i="208" s="1"/>
  <c r="A44" i="208" s="1"/>
  <c r="A45" i="208" s="1"/>
  <c r="A46" i="208" s="1"/>
  <c r="A47" i="208" s="1"/>
  <c r="A48" i="208" s="1"/>
  <c r="A49" i="208" s="1"/>
  <c r="A50" i="208" s="1"/>
  <c r="A51" i="208" s="1"/>
  <c r="A52" i="208" s="1"/>
  <c r="A53" i="208" s="1"/>
  <c r="A54" i="208" s="1"/>
  <c r="A55" i="208" s="1"/>
  <c r="A56" i="208" s="1"/>
  <c r="A57" i="208" s="1"/>
  <c r="A58" i="208" s="1"/>
  <c r="A59" i="208" s="1"/>
  <c r="A60" i="208" s="1"/>
  <c r="A61" i="208" s="1"/>
  <c r="A62" i="208" s="1"/>
  <c r="A63" i="208" s="1"/>
  <c r="A64" i="208" s="1"/>
  <c r="A65" i="208" s="1"/>
  <c r="A66" i="208" s="1"/>
  <c r="F16" i="208"/>
  <c r="D32" i="207" s="1"/>
  <c r="E32" i="207" s="1"/>
  <c r="F15" i="208"/>
  <c r="F12" i="208"/>
  <c r="E12" i="208"/>
  <c r="D12" i="208"/>
  <c r="F11" i="208"/>
  <c r="F13" i="208" s="1"/>
  <c r="E11" i="208"/>
  <c r="D11" i="208"/>
  <c r="D13" i="208" s="1"/>
  <c r="E47" i="207"/>
  <c r="F47" i="207" s="1"/>
  <c r="D47" i="207"/>
  <c r="F17" i="207"/>
  <c r="A17" i="207"/>
  <c r="A18" i="207" s="1"/>
  <c r="A19" i="207" s="1"/>
  <c r="A20" i="207" s="1"/>
  <c r="A22" i="207" s="1"/>
  <c r="A23" i="207" s="1"/>
  <c r="A24" i="207" s="1"/>
  <c r="A25" i="207" s="1"/>
  <c r="A26" i="207" s="1"/>
  <c r="A27" i="207" s="1"/>
  <c r="A28" i="207" s="1"/>
  <c r="A29" i="207" s="1"/>
  <c r="A30" i="207" s="1"/>
  <c r="A31" i="207" s="1"/>
  <c r="A32" i="207" s="1"/>
  <c r="A33" i="207" s="1"/>
  <c r="A34" i="207" s="1"/>
  <c r="A35" i="207" s="1"/>
  <c r="A36" i="207" s="1"/>
  <c r="A37" i="207" s="1"/>
  <c r="A38" i="207" s="1"/>
  <c r="A39" i="207" s="1"/>
  <c r="A40" i="207" s="1"/>
  <c r="A41" i="207" s="1"/>
  <c r="A42" i="207" s="1"/>
  <c r="A43" i="207" s="1"/>
  <c r="A44" i="207" s="1"/>
  <c r="A45" i="207" s="1"/>
  <c r="A46" i="207" s="1"/>
  <c r="A47" i="207" s="1"/>
  <c r="A14" i="207"/>
  <c r="Y66" i="206"/>
  <c r="X66" i="206"/>
  <c r="W66" i="206"/>
  <c r="V66" i="206"/>
  <c r="U66" i="206"/>
  <c r="T66" i="206"/>
  <c r="S66" i="206"/>
  <c r="R66" i="206"/>
  <c r="Q66" i="206"/>
  <c r="P66" i="206"/>
  <c r="O66" i="206"/>
  <c r="N66" i="206"/>
  <c r="M66" i="206"/>
  <c r="L66" i="206"/>
  <c r="K66" i="206"/>
  <c r="J66" i="206"/>
  <c r="I66" i="206"/>
  <c r="H66" i="206"/>
  <c r="G66" i="206"/>
  <c r="F66" i="206"/>
  <c r="E66" i="206"/>
  <c r="Y65" i="206"/>
  <c r="Y62" i="206" s="1"/>
  <c r="X65" i="206"/>
  <c r="W65" i="206"/>
  <c r="V65" i="206"/>
  <c r="U65" i="206"/>
  <c r="T65" i="206"/>
  <c r="S65" i="206"/>
  <c r="R65" i="206"/>
  <c r="Q65" i="206"/>
  <c r="Q62" i="206" s="1"/>
  <c r="P65" i="206"/>
  <c r="O65" i="206"/>
  <c r="N65" i="206"/>
  <c r="M65" i="206"/>
  <c r="L65" i="206"/>
  <c r="K65" i="206"/>
  <c r="J65" i="206"/>
  <c r="I65" i="206"/>
  <c r="I62" i="206" s="1"/>
  <c r="H65" i="206"/>
  <c r="G65" i="206"/>
  <c r="F65" i="206"/>
  <c r="E65" i="206"/>
  <c r="X62" i="206"/>
  <c r="W62" i="206"/>
  <c r="V62" i="206"/>
  <c r="U62" i="206"/>
  <c r="T62" i="206"/>
  <c r="S62" i="206"/>
  <c r="R62" i="206"/>
  <c r="P62" i="206"/>
  <c r="O62" i="206"/>
  <c r="N62" i="206"/>
  <c r="M62" i="206"/>
  <c r="L62" i="206"/>
  <c r="K62" i="206"/>
  <c r="J62" i="206"/>
  <c r="H62" i="206"/>
  <c r="G62" i="206"/>
  <c r="F62" i="206"/>
  <c r="E62" i="206"/>
  <c r="B62" i="206"/>
  <c r="AT57" i="206"/>
  <c r="AS57" i="206"/>
  <c r="AU56" i="206"/>
  <c r="AU55" i="206"/>
  <c r="AU51" i="206"/>
  <c r="AU50" i="206"/>
  <c r="AU41" i="206"/>
  <c r="AU40" i="206"/>
  <c r="AU36" i="206"/>
  <c r="A32" i="206"/>
  <c r="A33" i="206" s="1"/>
  <c r="A34" i="206" s="1"/>
  <c r="A35" i="206" s="1"/>
  <c r="A37" i="206" s="1"/>
  <c r="A38" i="206" s="1"/>
  <c r="A39" i="206" s="1"/>
  <c r="A40" i="206" s="1"/>
  <c r="A41" i="206" s="1"/>
  <c r="A42" i="206" s="1"/>
  <c r="A43" i="206" s="1"/>
  <c r="A44" i="206" s="1"/>
  <c r="A45" i="206" s="1"/>
  <c r="A46" i="206" s="1"/>
  <c r="A47" i="206" s="1"/>
  <c r="A48" i="206" s="1"/>
  <c r="A49" i="206" s="1"/>
  <c r="A50" i="206" s="1"/>
  <c r="A51" i="206" s="1"/>
  <c r="A52" i="206" s="1"/>
  <c r="A53" i="206" s="1"/>
  <c r="A54" i="206" s="1"/>
  <c r="A55" i="206" s="1"/>
  <c r="A56" i="206" s="1"/>
  <c r="A57" i="206" s="1"/>
  <c r="A58" i="206" s="1"/>
  <c r="A59" i="206" s="1"/>
  <c r="A60" i="206" s="1"/>
  <c r="A61" i="206" s="1"/>
  <c r="A62" i="206" s="1"/>
  <c r="A63" i="206" s="1"/>
  <c r="A64" i="206" s="1"/>
  <c r="A65" i="206" s="1"/>
  <c r="A66" i="206" s="1"/>
  <c r="E31" i="206"/>
  <c r="A29" i="206"/>
  <c r="F16" i="206"/>
  <c r="F15" i="206"/>
  <c r="F13" i="206"/>
  <c r="D13" i="206"/>
  <c r="F12" i="206"/>
  <c r="E12" i="206"/>
  <c r="D12" i="206"/>
  <c r="F11" i="206"/>
  <c r="E11" i="206"/>
  <c r="D11" i="206"/>
  <c r="E23" i="205"/>
  <c r="H23" i="205" s="1"/>
  <c r="E22" i="205"/>
  <c r="H22" i="205" s="1"/>
  <c r="I22" i="205" s="1"/>
  <c r="H19" i="205"/>
  <c r="D19" i="205"/>
  <c r="H17" i="205"/>
  <c r="E17" i="205"/>
  <c r="E19" i="205" s="1"/>
  <c r="D17" i="205"/>
  <c r="I16" i="205"/>
  <c r="F16" i="205"/>
  <c r="J15" i="205"/>
  <c r="I15" i="205"/>
  <c r="F15" i="205"/>
  <c r="F22" i="205" s="1"/>
  <c r="H9" i="205"/>
  <c r="F9" i="205"/>
  <c r="E9" i="205"/>
  <c r="D9" i="205"/>
  <c r="I8" i="205"/>
  <c r="F8" i="205"/>
  <c r="I7" i="205"/>
  <c r="F7" i="205"/>
  <c r="I6" i="205"/>
  <c r="J6" i="205" s="1"/>
  <c r="F6" i="205"/>
  <c r="F25" i="204"/>
  <c r="D18" i="204"/>
  <c r="F18" i="204" s="1"/>
  <c r="F17" i="204"/>
  <c r="F16" i="204"/>
  <c r="F15" i="204"/>
  <c r="E19" i="204"/>
  <c r="G5" i="204"/>
  <c r="G4" i="204"/>
  <c r="Y66" i="203"/>
  <c r="X66" i="203"/>
  <c r="W66" i="203"/>
  <c r="V66" i="203"/>
  <c r="U66" i="203"/>
  <c r="T66" i="203"/>
  <c r="S66" i="203"/>
  <c r="R66" i="203"/>
  <c r="Q66" i="203"/>
  <c r="P66" i="203"/>
  <c r="O66" i="203"/>
  <c r="N66" i="203"/>
  <c r="M66" i="203"/>
  <c r="L66" i="203"/>
  <c r="K66" i="203"/>
  <c r="J66" i="203"/>
  <c r="I66" i="203"/>
  <c r="H66" i="203"/>
  <c r="G66" i="203"/>
  <c r="F66" i="203"/>
  <c r="E66" i="203"/>
  <c r="Y65" i="203"/>
  <c r="X65" i="203"/>
  <c r="W65" i="203"/>
  <c r="V65" i="203"/>
  <c r="U65" i="203"/>
  <c r="T65" i="203"/>
  <c r="S65" i="203"/>
  <c r="R65" i="203"/>
  <c r="Q65" i="203"/>
  <c r="P65" i="203"/>
  <c r="O65" i="203"/>
  <c r="N65" i="203"/>
  <c r="M65" i="203"/>
  <c r="L65" i="203"/>
  <c r="K65" i="203"/>
  <c r="J65" i="203"/>
  <c r="I65" i="203"/>
  <c r="H65" i="203"/>
  <c r="G65" i="203"/>
  <c r="F65" i="203"/>
  <c r="E65" i="203"/>
  <c r="Y62" i="203"/>
  <c r="X62" i="203"/>
  <c r="W62" i="203"/>
  <c r="V62" i="203"/>
  <c r="U62" i="203"/>
  <c r="T62" i="203"/>
  <c r="S62" i="203"/>
  <c r="R62" i="203"/>
  <c r="Q62" i="203"/>
  <c r="P62" i="203"/>
  <c r="O62" i="203"/>
  <c r="N62" i="203"/>
  <c r="M62" i="203"/>
  <c r="L62" i="203"/>
  <c r="K62" i="203"/>
  <c r="J62" i="203"/>
  <c r="I62" i="203"/>
  <c r="H62" i="203"/>
  <c r="G62" i="203"/>
  <c r="F62" i="203"/>
  <c r="E62" i="203"/>
  <c r="B62" i="203"/>
  <c r="AS57" i="203"/>
  <c r="AT56" i="203"/>
  <c r="AT55" i="203"/>
  <c r="AT51" i="203"/>
  <c r="AT50" i="203"/>
  <c r="AT41" i="203"/>
  <c r="AT40" i="203"/>
  <c r="AT36" i="203"/>
  <c r="E31" i="203"/>
  <c r="A29" i="203"/>
  <c r="A32" i="203" s="1"/>
  <c r="A33" i="203" s="1"/>
  <c r="A34" i="203" s="1"/>
  <c r="A35" i="203" s="1"/>
  <c r="A37" i="203" s="1"/>
  <c r="A38" i="203" s="1"/>
  <c r="A39" i="203" s="1"/>
  <c r="A40" i="203" s="1"/>
  <c r="A41" i="203" s="1"/>
  <c r="A42" i="203" s="1"/>
  <c r="A43" i="203" s="1"/>
  <c r="A44" i="203" s="1"/>
  <c r="A45" i="203" s="1"/>
  <c r="A46" i="203" s="1"/>
  <c r="A47" i="203" s="1"/>
  <c r="A48" i="203" s="1"/>
  <c r="A49" i="203" s="1"/>
  <c r="A50" i="203" s="1"/>
  <c r="A51" i="203" s="1"/>
  <c r="A52" i="203" s="1"/>
  <c r="A53" i="203" s="1"/>
  <c r="A54" i="203" s="1"/>
  <c r="A55" i="203" s="1"/>
  <c r="A56" i="203" s="1"/>
  <c r="A57" i="203" s="1"/>
  <c r="A58" i="203" s="1"/>
  <c r="A59" i="203" s="1"/>
  <c r="A60" i="203" s="1"/>
  <c r="A61" i="203" s="1"/>
  <c r="A62" i="203" s="1"/>
  <c r="A63" i="203" s="1"/>
  <c r="A64" i="203" s="1"/>
  <c r="A65" i="203" s="1"/>
  <c r="A66" i="203" s="1"/>
  <c r="F16" i="203"/>
  <c r="F15" i="203"/>
  <c r="F13" i="203"/>
  <c r="D13" i="203"/>
  <c r="F12" i="203"/>
  <c r="E12" i="203"/>
  <c r="D12" i="203"/>
  <c r="F11" i="203"/>
  <c r="E11" i="203"/>
  <c r="D11" i="203"/>
  <c r="J8" i="205" l="1"/>
  <c r="E19" i="84" s="1"/>
  <c r="E6" i="204"/>
  <c r="E19" i="215"/>
  <c r="F5" i="204"/>
  <c r="H5" i="204" s="1"/>
  <c r="F14" i="204"/>
  <c r="I21" i="215" s="1"/>
  <c r="K20" i="215"/>
  <c r="F19" i="204"/>
  <c r="F26" i="204" s="1"/>
  <c r="F23" i="205"/>
  <c r="F24" i="205"/>
  <c r="K19" i="215"/>
  <c r="L19" i="215"/>
  <c r="H20" i="215"/>
  <c r="J20" i="215"/>
  <c r="D6" i="204"/>
  <c r="F4" i="204"/>
  <c r="H4" i="204" s="1"/>
  <c r="D4" i="207"/>
  <c r="F19" i="205"/>
  <c r="AP66" i="203"/>
  <c r="J7" i="205"/>
  <c r="E21" i="204"/>
  <c r="I17" i="205"/>
  <c r="I23" i="205"/>
  <c r="J16" i="205"/>
  <c r="I9" i="205"/>
  <c r="D19" i="204"/>
  <c r="F17" i="205"/>
  <c r="AP66" i="206"/>
  <c r="L57" i="209"/>
  <c r="T57" i="209"/>
  <c r="T59" i="209" s="1"/>
  <c r="T60" i="209" s="1"/>
  <c r="AB57" i="209"/>
  <c r="AB59" i="209" s="1"/>
  <c r="AB60" i="209" s="1"/>
  <c r="AJ57" i="209"/>
  <c r="AJ59" i="209" s="1"/>
  <c r="AJ60" i="209" s="1"/>
  <c r="AR57" i="209"/>
  <c r="AR59" i="209" s="1"/>
  <c r="AR60" i="209" s="1"/>
  <c r="M59" i="209"/>
  <c r="M60" i="209" s="1"/>
  <c r="AP66" i="208"/>
  <c r="K57" i="209"/>
  <c r="S57" i="209"/>
  <c r="AA57" i="209"/>
  <c r="AA59" i="209" s="1"/>
  <c r="AA60" i="209" s="1"/>
  <c r="AI57" i="209"/>
  <c r="AI59" i="209" s="1"/>
  <c r="AI60" i="209" s="1"/>
  <c r="AQ57" i="209"/>
  <c r="AQ59" i="209" s="1"/>
  <c r="AQ60" i="209" s="1"/>
  <c r="L59" i="209"/>
  <c r="L60" i="209" s="1"/>
  <c r="F60" i="209"/>
  <c r="Z59" i="209"/>
  <c r="Z60" i="209" s="1"/>
  <c r="Y60" i="209"/>
  <c r="H57" i="209"/>
  <c r="P57" i="209"/>
  <c r="X57" i="209"/>
  <c r="AF57" i="209"/>
  <c r="AF59" i="209" s="1"/>
  <c r="AF60" i="209" s="1"/>
  <c r="AN57" i="209"/>
  <c r="AN59" i="209" s="1"/>
  <c r="AN60" i="209" s="1"/>
  <c r="J57" i="209"/>
  <c r="J59" i="209" s="1"/>
  <c r="J60" i="209" s="1"/>
  <c r="R57" i="209"/>
  <c r="R59" i="209" s="1"/>
  <c r="R60" i="209" s="1"/>
  <c r="Z57" i="209"/>
  <c r="AH57" i="209"/>
  <c r="AH59" i="209" s="1"/>
  <c r="AH60" i="209" s="1"/>
  <c r="AP57" i="209"/>
  <c r="AP59" i="209" s="1"/>
  <c r="AP60" i="209" s="1"/>
  <c r="V60" i="209"/>
  <c r="AC59" i="209"/>
  <c r="AC60" i="209" s="1"/>
  <c r="E57" i="209"/>
  <c r="E47" i="209"/>
  <c r="U60" i="209"/>
  <c r="AK60" i="209"/>
  <c r="AU27" i="209"/>
  <c r="AL60" i="209"/>
  <c r="X59" i="209"/>
  <c r="X60" i="209" s="1"/>
  <c r="G59" i="209"/>
  <c r="G60" i="209" s="1"/>
  <c r="O59" i="209"/>
  <c r="O60" i="209" s="1"/>
  <c r="W59" i="209"/>
  <c r="W60" i="209" s="1"/>
  <c r="P59" i="209"/>
  <c r="P60" i="209" s="1"/>
  <c r="Q57" i="209"/>
  <c r="Q59" i="209" s="1"/>
  <c r="Q60" i="209" s="1"/>
  <c r="AG57" i="209"/>
  <c r="AG59" i="209" s="1"/>
  <c r="AG60" i="209" s="1"/>
  <c r="AU58" i="209"/>
  <c r="K59" i="209"/>
  <c r="K60" i="209" s="1"/>
  <c r="S59" i="209"/>
  <c r="S60" i="209" s="1"/>
  <c r="AP66" i="209"/>
  <c r="AT60" i="209"/>
  <c r="H59" i="209"/>
  <c r="H60" i="209" s="1"/>
  <c r="W7" i="214"/>
  <c r="B2" i="24"/>
  <c r="G19" i="215" l="1"/>
  <c r="E24" i="215"/>
  <c r="I19" i="84"/>
  <c r="H19" i="84"/>
  <c r="G19" i="84"/>
  <c r="L19" i="84"/>
  <c r="J19" i="84"/>
  <c r="F19" i="84"/>
  <c r="K19" i="84"/>
  <c r="L20" i="84"/>
  <c r="F19" i="215"/>
  <c r="N19" i="215" s="1"/>
  <c r="J19" i="215"/>
  <c r="I19" i="215"/>
  <c r="H19" i="215"/>
  <c r="I24" i="205"/>
  <c r="I20" i="215"/>
  <c r="G20" i="215"/>
  <c r="L20" i="215"/>
  <c r="F20" i="215"/>
  <c r="J21" i="215"/>
  <c r="K21" i="215"/>
  <c r="L21" i="215"/>
  <c r="H21" i="215"/>
  <c r="G21" i="215"/>
  <c r="F21" i="215"/>
  <c r="F20" i="84"/>
  <c r="G20" i="84"/>
  <c r="J20" i="84"/>
  <c r="J17" i="205"/>
  <c r="F22" i="206"/>
  <c r="H6" i="204"/>
  <c r="H9" i="204" s="1"/>
  <c r="F22" i="208"/>
  <c r="F25" i="205"/>
  <c r="F17" i="208" s="1"/>
  <c r="F6" i="204"/>
  <c r="AU57" i="209"/>
  <c r="E59" i="209"/>
  <c r="D21" i="204"/>
  <c r="F21" i="204" s="1"/>
  <c r="E4" i="207"/>
  <c r="I19" i="205"/>
  <c r="J19" i="205" s="1"/>
  <c r="J9" i="205"/>
  <c r="I20" i="84" l="1"/>
  <c r="K20" i="84"/>
  <c r="H20" i="84"/>
  <c r="H21" i="84" s="1"/>
  <c r="N19" i="84"/>
  <c r="N20" i="215"/>
  <c r="I25" i="205"/>
  <c r="F17" i="206" s="1"/>
  <c r="AC27" i="206" s="1"/>
  <c r="N21" i="215"/>
  <c r="F21" i="84"/>
  <c r="L21" i="84"/>
  <c r="J21" i="84"/>
  <c r="G21" i="84"/>
  <c r="K22" i="215"/>
  <c r="K24" i="215" s="1"/>
  <c r="G22" i="215"/>
  <c r="G24" i="215" s="1"/>
  <c r="L22" i="215"/>
  <c r="L24" i="215" s="1"/>
  <c r="H22" i="215"/>
  <c r="H24" i="215" s="1"/>
  <c r="I22" i="215"/>
  <c r="I24" i="215" s="1"/>
  <c r="F22" i="215"/>
  <c r="J22" i="215"/>
  <c r="J24" i="215" s="1"/>
  <c r="O24" i="215"/>
  <c r="N20" i="84"/>
  <c r="F22" i="203"/>
  <c r="F10" i="204"/>
  <c r="F9" i="204"/>
  <c r="G7" i="204"/>
  <c r="F17" i="203" s="1"/>
  <c r="H10" i="204"/>
  <c r="AT58" i="206"/>
  <c r="AT59" i="206" s="1"/>
  <c r="AT60" i="206" s="1"/>
  <c r="AL58" i="206"/>
  <c r="AD58" i="206"/>
  <c r="V58" i="206"/>
  <c r="N58" i="206"/>
  <c r="F58" i="206"/>
  <c r="AS58" i="206"/>
  <c r="AS59" i="206" s="1"/>
  <c r="AS60" i="206" s="1"/>
  <c r="AK58" i="206"/>
  <c r="AC58" i="206"/>
  <c r="AR58" i="206"/>
  <c r="AJ58" i="206"/>
  <c r="AB58" i="206"/>
  <c r="T58" i="206"/>
  <c r="L58" i="206"/>
  <c r="AQ58" i="206"/>
  <c r="AI58" i="206"/>
  <c r="AA58" i="206"/>
  <c r="S58" i="206"/>
  <c r="K58" i="206"/>
  <c r="AP58" i="206"/>
  <c r="AH58" i="206"/>
  <c r="Z58" i="206"/>
  <c r="R58" i="206"/>
  <c r="J58" i="206"/>
  <c r="AO58" i="206"/>
  <c r="AG58" i="206"/>
  <c r="Y58" i="206"/>
  <c r="Q58" i="206"/>
  <c r="I58" i="206"/>
  <c r="AN58" i="206"/>
  <c r="AF58" i="206"/>
  <c r="X58" i="206"/>
  <c r="P58" i="206"/>
  <c r="H58" i="206"/>
  <c r="AM58" i="206"/>
  <c r="AV27" i="206"/>
  <c r="V27" i="206"/>
  <c r="F27" i="206"/>
  <c r="AE58" i="206"/>
  <c r="AK27" i="206"/>
  <c r="E27" i="206"/>
  <c r="E10" i="207"/>
  <c r="W58" i="206"/>
  <c r="AR27" i="206"/>
  <c r="AJ27" i="206"/>
  <c r="U58" i="206"/>
  <c r="AQ27" i="206"/>
  <c r="AI27" i="206"/>
  <c r="AA27" i="206"/>
  <c r="S27" i="206"/>
  <c r="O58" i="206"/>
  <c r="AH27" i="206"/>
  <c r="Z27" i="206"/>
  <c r="R27" i="206"/>
  <c r="J27" i="206"/>
  <c r="M58" i="206"/>
  <c r="Q27" i="206"/>
  <c r="I27" i="206"/>
  <c r="G58" i="206"/>
  <c r="AN27" i="206"/>
  <c r="AF27" i="206"/>
  <c r="AE27" i="206"/>
  <c r="W27" i="206"/>
  <c r="O27" i="206"/>
  <c r="AM27" i="206"/>
  <c r="G27" i="206"/>
  <c r="E58" i="206"/>
  <c r="AU59" i="209"/>
  <c r="E60" i="209"/>
  <c r="AT58" i="208"/>
  <c r="AT59" i="208" s="1"/>
  <c r="AT60" i="208" s="1"/>
  <c r="AL58" i="208"/>
  <c r="AD58" i="208"/>
  <c r="V58" i="208"/>
  <c r="N58" i="208"/>
  <c r="F58" i="208"/>
  <c r="AQ58" i="208"/>
  <c r="AI58" i="208"/>
  <c r="AA58" i="208"/>
  <c r="S58" i="208"/>
  <c r="K58" i="208"/>
  <c r="AO58" i="208"/>
  <c r="AG58" i="208"/>
  <c r="Y58" i="208"/>
  <c r="Q58" i="208"/>
  <c r="I58" i="208"/>
  <c r="AN58" i="208"/>
  <c r="AF58" i="208"/>
  <c r="X58" i="208"/>
  <c r="P58" i="208"/>
  <c r="H58" i="208"/>
  <c r="AE58" i="208"/>
  <c r="O58" i="208"/>
  <c r="AN27" i="208"/>
  <c r="AS58" i="208"/>
  <c r="AS59" i="208" s="1"/>
  <c r="AS60" i="208" s="1"/>
  <c r="AC58" i="208"/>
  <c r="M58" i="208"/>
  <c r="AR58" i="208"/>
  <c r="AB58" i="208"/>
  <c r="L58" i="208"/>
  <c r="AP58" i="208"/>
  <c r="Z58" i="208"/>
  <c r="J58" i="208"/>
  <c r="AK58" i="208"/>
  <c r="U58" i="208"/>
  <c r="E58" i="208"/>
  <c r="AJ58" i="208"/>
  <c r="T58" i="208"/>
  <c r="R58" i="208"/>
  <c r="AO27" i="208"/>
  <c r="AF27" i="208"/>
  <c r="X27" i="208"/>
  <c r="P27" i="208"/>
  <c r="H27" i="208"/>
  <c r="D10" i="207"/>
  <c r="G58" i="208"/>
  <c r="AM27" i="208"/>
  <c r="AE27" i="208"/>
  <c r="W27" i="208"/>
  <c r="O27" i="208"/>
  <c r="G27" i="208"/>
  <c r="AL27" i="208"/>
  <c r="AD27" i="208"/>
  <c r="V27" i="208"/>
  <c r="N27" i="208"/>
  <c r="F27" i="208"/>
  <c r="AV27" i="208"/>
  <c r="AK27" i="208"/>
  <c r="AC27" i="208"/>
  <c r="U27" i="208"/>
  <c r="M27" i="208"/>
  <c r="E27" i="208"/>
  <c r="AJ27" i="208"/>
  <c r="AB27" i="208"/>
  <c r="T27" i="208"/>
  <c r="L27" i="208"/>
  <c r="AM58" i="208"/>
  <c r="AR27" i="208"/>
  <c r="AI27" i="208"/>
  <c r="AA27" i="208"/>
  <c r="S27" i="208"/>
  <c r="K27" i="208"/>
  <c r="AH58" i="208"/>
  <c r="AQ27" i="208"/>
  <c r="AH27" i="208"/>
  <c r="Z27" i="208"/>
  <c r="R27" i="208"/>
  <c r="J27" i="208"/>
  <c r="Q27" i="208"/>
  <c r="I27" i="208"/>
  <c r="AP27" i="208"/>
  <c r="AG27" i="208"/>
  <c r="W58" i="208"/>
  <c r="Y27" i="208"/>
  <c r="I21" i="84" l="1"/>
  <c r="F10" i="207"/>
  <c r="N27" i="206"/>
  <c r="H27" i="206"/>
  <c r="Y27" i="206"/>
  <c r="AP27" i="206"/>
  <c r="L27" i="206"/>
  <c r="M27" i="206"/>
  <c r="M57" i="206" s="1"/>
  <c r="M59" i="206" s="1"/>
  <c r="M60" i="206" s="1"/>
  <c r="AD27" i="206"/>
  <c r="AD57" i="206" s="1"/>
  <c r="AD59" i="206" s="1"/>
  <c r="AD60" i="206" s="1"/>
  <c r="P27" i="206"/>
  <c r="AG27" i="206"/>
  <c r="T27" i="206"/>
  <c r="U27" i="206"/>
  <c r="AL27" i="206"/>
  <c r="X27" i="206"/>
  <c r="AO27" i="206"/>
  <c r="AO57" i="206" s="1"/>
  <c r="AO59" i="206" s="1"/>
  <c r="AO60" i="206" s="1"/>
  <c r="K27" i="206"/>
  <c r="AB27" i="206"/>
  <c r="K21" i="84"/>
  <c r="N21" i="84"/>
  <c r="N22" i="215"/>
  <c r="F24" i="215"/>
  <c r="N24" i="215" s="1"/>
  <c r="W57" i="208"/>
  <c r="W59" i="208" s="1"/>
  <c r="W60" i="208" s="1"/>
  <c r="AM57" i="206"/>
  <c r="AM59" i="206" s="1"/>
  <c r="AM60" i="206" s="1"/>
  <c r="AH57" i="208"/>
  <c r="AH59" i="208" s="1"/>
  <c r="AH60" i="208" s="1"/>
  <c r="E57" i="208"/>
  <c r="E59" i="208" s="1"/>
  <c r="E47" i="208"/>
  <c r="AU27" i="208"/>
  <c r="D12" i="207"/>
  <c r="O57" i="206"/>
  <c r="O59" i="206" s="1"/>
  <c r="O60" i="206" s="1"/>
  <c r="AH57" i="206"/>
  <c r="AH59" i="206" s="1"/>
  <c r="AH60" i="206" s="1"/>
  <c r="AA57" i="206"/>
  <c r="T57" i="206"/>
  <c r="E12" i="207"/>
  <c r="E57" i="206"/>
  <c r="E59" i="206" s="1"/>
  <c r="AU27" i="206"/>
  <c r="AW27" i="206" s="1"/>
  <c r="E47" i="206"/>
  <c r="AP57" i="208"/>
  <c r="AP59" i="208" s="1"/>
  <c r="AP60" i="208" s="1"/>
  <c r="AQ57" i="208"/>
  <c r="AQ59" i="208" s="1"/>
  <c r="AQ60" i="208" s="1"/>
  <c r="M57" i="208"/>
  <c r="M59" i="208" s="1"/>
  <c r="M60" i="208" s="1"/>
  <c r="V57" i="208"/>
  <c r="V59" i="208" s="1"/>
  <c r="V60" i="208" s="1"/>
  <c r="AM57" i="208"/>
  <c r="AM59" i="208" s="1"/>
  <c r="AM60" i="208" s="1"/>
  <c r="AO57" i="208"/>
  <c r="AO59" i="208" s="1"/>
  <c r="AO60" i="208" s="1"/>
  <c r="W57" i="206"/>
  <c r="W59" i="206" s="1"/>
  <c r="W60" i="206" s="1"/>
  <c r="AP57" i="206"/>
  <c r="AP59" i="206" s="1"/>
  <c r="AP60" i="206" s="1"/>
  <c r="AI57" i="206"/>
  <c r="AI59" i="206" s="1"/>
  <c r="AI60" i="206" s="1"/>
  <c r="AB57" i="206"/>
  <c r="AB59" i="206" s="1"/>
  <c r="AB60" i="206" s="1"/>
  <c r="F57" i="206"/>
  <c r="F59" i="206" s="1"/>
  <c r="F60" i="206" s="1"/>
  <c r="I57" i="208"/>
  <c r="I59" i="208" s="1"/>
  <c r="I60" i="208" s="1"/>
  <c r="U57" i="208"/>
  <c r="U59" i="208" s="1"/>
  <c r="U60" i="208" s="1"/>
  <c r="AD57" i="208"/>
  <c r="AD59" i="208" s="1"/>
  <c r="AD60" i="208" s="1"/>
  <c r="AU60" i="209"/>
  <c r="E48" i="209"/>
  <c r="N49" i="209"/>
  <c r="AM49" i="209"/>
  <c r="I49" i="209"/>
  <c r="AD49" i="209"/>
  <c r="F49" i="209"/>
  <c r="AJ49" i="209"/>
  <c r="AI49" i="209"/>
  <c r="AE49" i="209"/>
  <c r="X49" i="209"/>
  <c r="Y49" i="209"/>
  <c r="AS49" i="209"/>
  <c r="T49" i="209"/>
  <c r="AO49" i="209"/>
  <c r="S49" i="209"/>
  <c r="E49" i="209"/>
  <c r="AB49" i="209"/>
  <c r="Z49" i="209"/>
  <c r="AH49" i="209"/>
  <c r="U49" i="209"/>
  <c r="AR49" i="209"/>
  <c r="AG49" i="209"/>
  <c r="AT49" i="209"/>
  <c r="AQ49" i="209"/>
  <c r="O49" i="209"/>
  <c r="G49" i="209"/>
  <c r="W49" i="209"/>
  <c r="AC49" i="209"/>
  <c r="K49" i="209"/>
  <c r="AN49" i="209"/>
  <c r="Q49" i="209"/>
  <c r="AL49" i="209"/>
  <c r="AF49" i="209"/>
  <c r="AA49" i="209"/>
  <c r="J49" i="209"/>
  <c r="L49" i="209"/>
  <c r="V49" i="209"/>
  <c r="AP49" i="209"/>
  <c r="H49" i="209"/>
  <c r="M49" i="209"/>
  <c r="AK49" i="209"/>
  <c r="R49" i="209"/>
  <c r="P49" i="209"/>
  <c r="AE57" i="206"/>
  <c r="AE59" i="206" s="1"/>
  <c r="AE60" i="206" s="1"/>
  <c r="AQ57" i="206"/>
  <c r="AQ59" i="206" s="1"/>
  <c r="AQ60" i="206" s="1"/>
  <c r="AJ57" i="206"/>
  <c r="AJ59" i="206" s="1"/>
  <c r="AJ60" i="206" s="1"/>
  <c r="U57" i="206"/>
  <c r="U59" i="206" s="1"/>
  <c r="U60" i="206" s="1"/>
  <c r="N57" i="206"/>
  <c r="N59" i="206" s="1"/>
  <c r="N60" i="206" s="1"/>
  <c r="H57" i="206"/>
  <c r="H59" i="206" s="1"/>
  <c r="H60" i="206" s="1"/>
  <c r="AR57" i="206"/>
  <c r="AR59" i="206" s="1"/>
  <c r="AR60" i="206" s="1"/>
  <c r="AC57" i="206"/>
  <c r="AC59" i="206" s="1"/>
  <c r="AC60" i="206" s="1"/>
  <c r="V57" i="206"/>
  <c r="V59" i="206" s="1"/>
  <c r="V60" i="206" s="1"/>
  <c r="X57" i="208"/>
  <c r="X59" i="208" s="1"/>
  <c r="X60" i="208" s="1"/>
  <c r="AG57" i="208"/>
  <c r="AG59" i="208" s="1"/>
  <c r="AG60" i="208" s="1"/>
  <c r="T57" i="208"/>
  <c r="T59" i="208" s="1"/>
  <c r="T60" i="208" s="1"/>
  <c r="Z57" i="208"/>
  <c r="Z59" i="208" s="1"/>
  <c r="Z60" i="208" s="1"/>
  <c r="F57" i="208"/>
  <c r="F59" i="208" s="1"/>
  <c r="F60" i="208" s="1"/>
  <c r="AR57" i="208"/>
  <c r="AR59" i="208" s="1"/>
  <c r="AR60" i="208" s="1"/>
  <c r="N57" i="208"/>
  <c r="N59" i="208" s="1"/>
  <c r="N60" i="208" s="1"/>
  <c r="AE57" i="208"/>
  <c r="AE59" i="208" s="1"/>
  <c r="AE60" i="208" s="1"/>
  <c r="AF57" i="208"/>
  <c r="AF59" i="208" s="1"/>
  <c r="AF60" i="208" s="1"/>
  <c r="L57" i="208"/>
  <c r="L59" i="208" s="1"/>
  <c r="L60" i="208" s="1"/>
  <c r="AC57" i="208"/>
  <c r="AC59" i="208" s="1"/>
  <c r="AC60" i="208" s="1"/>
  <c r="AL57" i="208"/>
  <c r="AL59" i="208" s="1"/>
  <c r="AL60" i="208" s="1"/>
  <c r="Q57" i="208"/>
  <c r="Q59" i="208" s="1"/>
  <c r="Q60" i="208" s="1"/>
  <c r="K57" i="208"/>
  <c r="K59" i="208" s="1"/>
  <c r="K60" i="208" s="1"/>
  <c r="AK57" i="208"/>
  <c r="AK59" i="208" s="1"/>
  <c r="AK60" i="208" s="1"/>
  <c r="E43" i="207"/>
  <c r="AU58" i="206"/>
  <c r="P57" i="206"/>
  <c r="P59" i="206" s="1"/>
  <c r="P60" i="206" s="1"/>
  <c r="I57" i="206"/>
  <c r="I59" i="206" s="1"/>
  <c r="I60" i="206" s="1"/>
  <c r="AK57" i="206"/>
  <c r="AK59" i="206" s="1"/>
  <c r="AK60" i="206" s="1"/>
  <c r="AQ58" i="203"/>
  <c r="AI58" i="203"/>
  <c r="AA58" i="203"/>
  <c r="S58" i="203"/>
  <c r="K58" i="203"/>
  <c r="AP58" i="203"/>
  <c r="AH58" i="203"/>
  <c r="Z58" i="203"/>
  <c r="R58" i="203"/>
  <c r="J58" i="203"/>
  <c r="AO58" i="203"/>
  <c r="AG58" i="203"/>
  <c r="Y58" i="203"/>
  <c r="Q58" i="203"/>
  <c r="I58" i="203"/>
  <c r="AN58" i="203"/>
  <c r="AF58" i="203"/>
  <c r="X58" i="203"/>
  <c r="P58" i="203"/>
  <c r="H58" i="203"/>
  <c r="AL58" i="203"/>
  <c r="AD58" i="203"/>
  <c r="V58" i="203"/>
  <c r="N58" i="203"/>
  <c r="F58" i="203"/>
  <c r="AS58" i="203"/>
  <c r="AS59" i="203" s="1"/>
  <c r="AS60" i="203" s="1"/>
  <c r="AK58" i="203"/>
  <c r="AC58" i="203"/>
  <c r="U58" i="203"/>
  <c r="M58" i="203"/>
  <c r="E58" i="203"/>
  <c r="W58" i="203"/>
  <c r="AU27" i="203"/>
  <c r="AL27" i="203"/>
  <c r="AD27" i="203"/>
  <c r="V27" i="203"/>
  <c r="N27" i="203"/>
  <c r="F27" i="203"/>
  <c r="T58" i="203"/>
  <c r="AC27" i="203"/>
  <c r="U27" i="203"/>
  <c r="E27" i="203"/>
  <c r="P27" i="203"/>
  <c r="AK27" i="203"/>
  <c r="M27" i="203"/>
  <c r="AB58" i="203"/>
  <c r="AM27" i="203"/>
  <c r="O58" i="203"/>
  <c r="AR27" i="203"/>
  <c r="AJ27" i="203"/>
  <c r="AB27" i="203"/>
  <c r="T27" i="203"/>
  <c r="L27" i="203"/>
  <c r="X27" i="203"/>
  <c r="AE27" i="203"/>
  <c r="AR58" i="203"/>
  <c r="L58" i="203"/>
  <c r="AQ27" i="203"/>
  <c r="AI27" i="203"/>
  <c r="AA27" i="203"/>
  <c r="S27" i="203"/>
  <c r="K27" i="203"/>
  <c r="AP27" i="203"/>
  <c r="Z27" i="203"/>
  <c r="R27" i="203"/>
  <c r="AF27" i="203"/>
  <c r="W27" i="203"/>
  <c r="AM58" i="203"/>
  <c r="G58" i="203"/>
  <c r="AH27" i="203"/>
  <c r="J27" i="203"/>
  <c r="G27" i="203"/>
  <c r="AJ58" i="203"/>
  <c r="AO27" i="203"/>
  <c r="AG27" i="203"/>
  <c r="Y27" i="203"/>
  <c r="Q27" i="203"/>
  <c r="I27" i="203"/>
  <c r="AE58" i="203"/>
  <c r="AN27" i="203"/>
  <c r="H27" i="203"/>
  <c r="O27" i="203"/>
  <c r="J57" i="208"/>
  <c r="J59" i="208" s="1"/>
  <c r="J60" i="208" s="1"/>
  <c r="S57" i="208"/>
  <c r="S59" i="208" s="1"/>
  <c r="S60" i="208" s="1"/>
  <c r="AB57" i="208"/>
  <c r="AB59" i="208" s="1"/>
  <c r="AB60" i="208" s="1"/>
  <c r="G57" i="208"/>
  <c r="G59" i="208" s="1"/>
  <c r="G60" i="208" s="1"/>
  <c r="H57" i="208"/>
  <c r="H59" i="208" s="1"/>
  <c r="H60" i="208" s="1"/>
  <c r="X57" i="206"/>
  <c r="X59" i="206" s="1"/>
  <c r="X60" i="206" s="1"/>
  <c r="Q57" i="206"/>
  <c r="Q59" i="206" s="1"/>
  <c r="Q60" i="206" s="1"/>
  <c r="J57" i="206"/>
  <c r="J59" i="206" s="1"/>
  <c r="J60" i="206" s="1"/>
  <c r="AL57" i="206"/>
  <c r="AL59" i="206" s="1"/>
  <c r="AL60" i="206" s="1"/>
  <c r="Y57" i="208"/>
  <c r="Y59" i="208" s="1"/>
  <c r="Y60" i="208" s="1"/>
  <c r="R57" i="208"/>
  <c r="R59" i="208" s="1"/>
  <c r="R60" i="208" s="1"/>
  <c r="AA57" i="208"/>
  <c r="AA59" i="208" s="1"/>
  <c r="AA60" i="208" s="1"/>
  <c r="AJ57" i="208"/>
  <c r="AJ59" i="208" s="1"/>
  <c r="AJ60" i="208" s="1"/>
  <c r="O57" i="208"/>
  <c r="O59" i="208" s="1"/>
  <c r="O60" i="208" s="1"/>
  <c r="P57" i="208"/>
  <c r="P59" i="208" s="1"/>
  <c r="P60" i="208" s="1"/>
  <c r="AU58" i="208"/>
  <c r="D43" i="207"/>
  <c r="AN57" i="208"/>
  <c r="AN59" i="208" s="1"/>
  <c r="AN60" i="208" s="1"/>
  <c r="G57" i="206"/>
  <c r="G59" i="206" s="1"/>
  <c r="G60" i="206" s="1"/>
  <c r="AF57" i="206"/>
  <c r="AF59" i="206" s="1"/>
  <c r="AF60" i="206" s="1"/>
  <c r="Y57" i="206"/>
  <c r="Y59" i="206" s="1"/>
  <c r="Y60" i="206" s="1"/>
  <c r="R57" i="206"/>
  <c r="R59" i="206" s="1"/>
  <c r="R60" i="206" s="1"/>
  <c r="K57" i="206"/>
  <c r="K59" i="206" s="1"/>
  <c r="K60" i="206" s="1"/>
  <c r="AI57" i="208"/>
  <c r="AI59" i="208" s="1"/>
  <c r="AI60" i="208" s="1"/>
  <c r="AN57" i="206"/>
  <c r="AN59" i="206" s="1"/>
  <c r="AN60" i="206" s="1"/>
  <c r="AG57" i="206"/>
  <c r="AG59" i="206" s="1"/>
  <c r="AG60" i="206" s="1"/>
  <c r="Z57" i="206"/>
  <c r="Z59" i="206" s="1"/>
  <c r="Z60" i="206" s="1"/>
  <c r="S57" i="206"/>
  <c r="S59" i="206" s="1"/>
  <c r="S60" i="206" s="1"/>
  <c r="L57" i="206"/>
  <c r="L59" i="206" s="1"/>
  <c r="L60" i="206" s="1"/>
  <c r="AA59" i="206"/>
  <c r="AA60" i="206" s="1"/>
  <c r="T59" i="206"/>
  <c r="T60" i="206" s="1"/>
  <c r="D22" i="24"/>
  <c r="G23" i="24" s="1"/>
  <c r="J14" i="216" l="1"/>
  <c r="F14" i="216"/>
  <c r="H14" i="216"/>
  <c r="I14" i="216"/>
  <c r="I16" i="216" s="1"/>
  <c r="K14" i="216"/>
  <c r="G14" i="216"/>
  <c r="G16" i="216" s="1"/>
  <c r="E16" i="216"/>
  <c r="L14" i="216"/>
  <c r="L16" i="216" s="1"/>
  <c r="I15" i="216"/>
  <c r="G15" i="216"/>
  <c r="H15" i="216"/>
  <c r="K15" i="216"/>
  <c r="L15" i="216"/>
  <c r="F15" i="216"/>
  <c r="J15" i="216"/>
  <c r="J16" i="216" s="1"/>
  <c r="E15" i="215"/>
  <c r="E14" i="215"/>
  <c r="L33" i="209"/>
  <c r="L32" i="209"/>
  <c r="L34" i="209"/>
  <c r="L52" i="209" s="1"/>
  <c r="P34" i="209"/>
  <c r="P52" i="209" s="1"/>
  <c r="P32" i="209"/>
  <c r="P33" i="209"/>
  <c r="AG57" i="203"/>
  <c r="AG59" i="203" s="1"/>
  <c r="AG60" i="203" s="1"/>
  <c r="K57" i="203"/>
  <c r="K59" i="203" s="1"/>
  <c r="K60" i="203" s="1"/>
  <c r="AE57" i="203"/>
  <c r="AE59" i="203" s="1"/>
  <c r="AE60" i="203" s="1"/>
  <c r="U57" i="203"/>
  <c r="U59" i="203" s="1"/>
  <c r="U60" i="203" s="1"/>
  <c r="AL57" i="203"/>
  <c r="AL59" i="203" s="1"/>
  <c r="AL60" i="203" s="1"/>
  <c r="F43" i="207"/>
  <c r="R34" i="209"/>
  <c r="R52" i="209" s="1"/>
  <c r="R32" i="209"/>
  <c r="R35" i="209" s="1"/>
  <c r="R33" i="209"/>
  <c r="AA33" i="209"/>
  <c r="AA34" i="209"/>
  <c r="AA52" i="209" s="1"/>
  <c r="AA32" i="209"/>
  <c r="G34" i="209"/>
  <c r="G52" i="209" s="1"/>
  <c r="G32" i="209"/>
  <c r="G33" i="209"/>
  <c r="Z34" i="209"/>
  <c r="Z52" i="209" s="1"/>
  <c r="Z32" i="209"/>
  <c r="Z33" i="209"/>
  <c r="X34" i="209"/>
  <c r="X52" i="209" s="1"/>
  <c r="X32" i="209"/>
  <c r="X33" i="209"/>
  <c r="N33" i="209"/>
  <c r="N32" i="209"/>
  <c r="N34" i="209"/>
  <c r="N52" i="209" s="1"/>
  <c r="AR57" i="203"/>
  <c r="AR59" i="203" s="1"/>
  <c r="AR60" i="203" s="1"/>
  <c r="AC34" i="209"/>
  <c r="AC52" i="209" s="1"/>
  <c r="AC33" i="209"/>
  <c r="AC32" i="209"/>
  <c r="J34" i="209"/>
  <c r="J52" i="209" s="1"/>
  <c r="J32" i="209"/>
  <c r="J35" i="209" s="1"/>
  <c r="J33" i="209"/>
  <c r="O57" i="203"/>
  <c r="O59" i="203" s="1"/>
  <c r="O60" i="203" s="1"/>
  <c r="AO57" i="203"/>
  <c r="AO59" i="203" s="1"/>
  <c r="AO60" i="203" s="1"/>
  <c r="S57" i="203"/>
  <c r="S59" i="203" s="1"/>
  <c r="S60" i="203" s="1"/>
  <c r="AM57" i="203"/>
  <c r="AM59" i="203" s="1"/>
  <c r="AM60" i="203" s="1"/>
  <c r="AC57" i="203"/>
  <c r="AC59" i="203" s="1"/>
  <c r="AC60" i="203" s="1"/>
  <c r="E60" i="206"/>
  <c r="Z49" i="206" s="1"/>
  <c r="E44" i="207"/>
  <c r="AU59" i="206"/>
  <c r="AK32" i="209"/>
  <c r="AK35" i="209" s="1"/>
  <c r="AK34" i="209"/>
  <c r="AK52" i="209" s="1"/>
  <c r="AK33" i="209"/>
  <c r="AF34" i="209"/>
  <c r="AF52" i="209" s="1"/>
  <c r="AF32" i="209"/>
  <c r="AF33" i="209"/>
  <c r="O34" i="209"/>
  <c r="O52" i="209" s="1"/>
  <c r="O32" i="209"/>
  <c r="O33" i="209"/>
  <c r="AB33" i="209"/>
  <c r="AB32" i="209"/>
  <c r="AB34" i="209"/>
  <c r="AB52" i="209" s="1"/>
  <c r="AE34" i="209"/>
  <c r="AE52" i="209" s="1"/>
  <c r="AE32" i="209"/>
  <c r="AE35" i="209" s="1"/>
  <c r="AE33" i="209"/>
  <c r="E57" i="203"/>
  <c r="E47" i="203"/>
  <c r="AT27" i="203"/>
  <c r="AV27" i="203" s="1"/>
  <c r="AM34" i="209"/>
  <c r="AM52" i="209" s="1"/>
  <c r="AM32" i="209"/>
  <c r="AM33" i="209"/>
  <c r="X57" i="203"/>
  <c r="X59" i="203" s="1"/>
  <c r="X60" i="203" s="1"/>
  <c r="AU59" i="208"/>
  <c r="E60" i="208"/>
  <c r="AD49" i="208" s="1"/>
  <c r="D44" i="207"/>
  <c r="H57" i="203"/>
  <c r="H59" i="203" s="1"/>
  <c r="H60" i="203" s="1"/>
  <c r="W57" i="203"/>
  <c r="W59" i="203" s="1"/>
  <c r="W60" i="203" s="1"/>
  <c r="AA57" i="203"/>
  <c r="AA59" i="203" s="1"/>
  <c r="AA60" i="203" s="1"/>
  <c r="L57" i="203"/>
  <c r="L59" i="203" s="1"/>
  <c r="L60" i="203" s="1"/>
  <c r="AT58" i="203"/>
  <c r="M34" i="209"/>
  <c r="M52" i="209" s="1"/>
  <c r="M32" i="209"/>
  <c r="M33" i="209"/>
  <c r="AL33" i="209"/>
  <c r="AL34" i="209"/>
  <c r="AL52" i="209" s="1"/>
  <c r="AL32" i="209"/>
  <c r="AQ33" i="209"/>
  <c r="AQ34" i="209"/>
  <c r="AQ52" i="209" s="1"/>
  <c r="AQ32" i="209"/>
  <c r="AU49" i="209"/>
  <c r="E33" i="209"/>
  <c r="E34" i="209"/>
  <c r="E32" i="209"/>
  <c r="AI33" i="209"/>
  <c r="AI34" i="209"/>
  <c r="AI52" i="209" s="1"/>
  <c r="AI32" i="209"/>
  <c r="AI35" i="209" s="1"/>
  <c r="Q57" i="203"/>
  <c r="Q59" i="203" s="1"/>
  <c r="Q60" i="203" s="1"/>
  <c r="V57" i="203"/>
  <c r="V59" i="203" s="1"/>
  <c r="V60" i="203" s="1"/>
  <c r="AS32" i="209"/>
  <c r="AS33" i="209"/>
  <c r="AS34" i="209"/>
  <c r="AS52" i="209" s="1"/>
  <c r="W34" i="209"/>
  <c r="W52" i="209" s="1"/>
  <c r="W32" i="209"/>
  <c r="W33" i="209"/>
  <c r="AQ49" i="208"/>
  <c r="AA49" i="208"/>
  <c r="AN57" i="203"/>
  <c r="AN59" i="203" s="1"/>
  <c r="AN60" i="203" s="1"/>
  <c r="AF57" i="203"/>
  <c r="AF59" i="203" s="1"/>
  <c r="AF60" i="203" s="1"/>
  <c r="AI57" i="203"/>
  <c r="AI59" i="203" s="1"/>
  <c r="AI60" i="203" s="1"/>
  <c r="T57" i="203"/>
  <c r="T59" i="203" s="1"/>
  <c r="T60" i="203" s="1"/>
  <c r="M57" i="203"/>
  <c r="M59" i="203" s="1"/>
  <c r="M60" i="203" s="1"/>
  <c r="I49" i="208"/>
  <c r="H34" i="209"/>
  <c r="H52" i="209" s="1"/>
  <c r="H32" i="209"/>
  <c r="H33" i="209"/>
  <c r="Q34" i="209"/>
  <c r="Q52" i="209" s="1"/>
  <c r="Q33" i="209"/>
  <c r="Q32" i="209"/>
  <c r="Q35" i="209" s="1"/>
  <c r="AT33" i="209"/>
  <c r="AT34" i="209"/>
  <c r="AT52" i="209" s="1"/>
  <c r="AT32" i="209"/>
  <c r="S33" i="209"/>
  <c r="S32" i="209"/>
  <c r="S34" i="209"/>
  <c r="S52" i="209" s="1"/>
  <c r="AJ33" i="209"/>
  <c r="AJ32" i="209"/>
  <c r="AJ34" i="209"/>
  <c r="AJ52" i="209" s="1"/>
  <c r="Z57" i="203"/>
  <c r="Z59" i="203" s="1"/>
  <c r="Z60" i="203" s="1"/>
  <c r="U34" i="209"/>
  <c r="U52" i="209" s="1"/>
  <c r="U33" i="209"/>
  <c r="U32" i="209"/>
  <c r="Y57" i="203"/>
  <c r="Y59" i="203" s="1"/>
  <c r="Y60" i="203" s="1"/>
  <c r="AH34" i="209"/>
  <c r="AH52" i="209" s="1"/>
  <c r="AH32" i="209"/>
  <c r="AH33" i="209"/>
  <c r="G57" i="203"/>
  <c r="G59" i="203" s="1"/>
  <c r="G60" i="203" s="1"/>
  <c r="AQ57" i="203"/>
  <c r="AQ59" i="203" s="1"/>
  <c r="AQ60" i="203" s="1"/>
  <c r="AB57" i="203"/>
  <c r="AB59" i="203" s="1"/>
  <c r="AB60" i="203" s="1"/>
  <c r="AK57" i="203"/>
  <c r="AK59" i="203" s="1"/>
  <c r="AK60" i="203" s="1"/>
  <c r="F57" i="203"/>
  <c r="F59" i="203" s="1"/>
  <c r="F60" i="203" s="1"/>
  <c r="AP34" i="209"/>
  <c r="AP52" i="209" s="1"/>
  <c r="AP32" i="209"/>
  <c r="AP33" i="209"/>
  <c r="AN34" i="209"/>
  <c r="AN52" i="209" s="1"/>
  <c r="AN32" i="209"/>
  <c r="AN33" i="209"/>
  <c r="AG32" i="209"/>
  <c r="AG35" i="209" s="1"/>
  <c r="AG33" i="209"/>
  <c r="AG34" i="209"/>
  <c r="AG52" i="209" s="1"/>
  <c r="AO32" i="209"/>
  <c r="AO33" i="209"/>
  <c r="AO34" i="209"/>
  <c r="AO52" i="209" s="1"/>
  <c r="F33" i="209"/>
  <c r="F32" i="209"/>
  <c r="F35" i="209" s="1"/>
  <c r="F34" i="209"/>
  <c r="F52" i="209" s="1"/>
  <c r="E42" i="207"/>
  <c r="AU57" i="206"/>
  <c r="AU57" i="208"/>
  <c r="D42" i="207"/>
  <c r="AH57" i="203"/>
  <c r="AH59" i="203" s="1"/>
  <c r="AH60" i="203" s="1"/>
  <c r="P57" i="203"/>
  <c r="P59" i="203" s="1"/>
  <c r="P60" i="203" s="1"/>
  <c r="I34" i="209"/>
  <c r="I52" i="209" s="1"/>
  <c r="I33" i="209"/>
  <c r="I32" i="209"/>
  <c r="I35" i="209" s="1"/>
  <c r="AP57" i="203"/>
  <c r="AP59" i="203" s="1"/>
  <c r="AP60" i="203" s="1"/>
  <c r="AD57" i="203"/>
  <c r="AD59" i="203" s="1"/>
  <c r="AD60" i="203" s="1"/>
  <c r="Y32" i="209"/>
  <c r="Y34" i="209"/>
  <c r="Y52" i="209" s="1"/>
  <c r="Y33" i="209"/>
  <c r="I57" i="203"/>
  <c r="I59" i="203" s="1"/>
  <c r="I60" i="203" s="1"/>
  <c r="J57" i="203"/>
  <c r="J59" i="203" s="1"/>
  <c r="J60" i="203" s="1"/>
  <c r="R57" i="203"/>
  <c r="R59" i="203" s="1"/>
  <c r="R60" i="203" s="1"/>
  <c r="AJ57" i="203"/>
  <c r="AJ59" i="203" s="1"/>
  <c r="AJ60" i="203" s="1"/>
  <c r="N57" i="203"/>
  <c r="N59" i="203" s="1"/>
  <c r="N60" i="203" s="1"/>
  <c r="U49" i="208"/>
  <c r="M49" i="208"/>
  <c r="V33" i="209"/>
  <c r="V32" i="209"/>
  <c r="V34" i="209"/>
  <c r="V52" i="209" s="1"/>
  <c r="K33" i="209"/>
  <c r="K32" i="209"/>
  <c r="K34" i="209"/>
  <c r="K52" i="209" s="1"/>
  <c r="AR33" i="209"/>
  <c r="AR32" i="209"/>
  <c r="AR34" i="209"/>
  <c r="AR52" i="209" s="1"/>
  <c r="T33" i="209"/>
  <c r="T32" i="209"/>
  <c r="T35" i="209" s="1"/>
  <c r="T34" i="209"/>
  <c r="T52" i="209" s="1"/>
  <c r="AD33" i="209"/>
  <c r="AD34" i="209"/>
  <c r="AD52" i="209" s="1"/>
  <c r="AD32" i="209"/>
  <c r="F12" i="207"/>
  <c r="K23" i="24"/>
  <c r="J23" i="24"/>
  <c r="I23" i="24"/>
  <c r="H23" i="24"/>
  <c r="E23" i="24"/>
  <c r="D23" i="24" s="1"/>
  <c r="F23" i="24"/>
  <c r="K16" i="216" l="1"/>
  <c r="AB49" i="208"/>
  <c r="S49" i="208"/>
  <c r="AO49" i="208"/>
  <c r="P49" i="208"/>
  <c r="AF49" i="208"/>
  <c r="E16" i="84"/>
  <c r="Q49" i="206"/>
  <c r="AP49" i="206"/>
  <c r="AP32" i="206" s="1"/>
  <c r="H16" i="216"/>
  <c r="N15" i="216"/>
  <c r="AK49" i="208"/>
  <c r="AK33" i="208" s="1"/>
  <c r="F16" i="216"/>
  <c r="N14" i="216"/>
  <c r="W49" i="206"/>
  <c r="W33" i="206" s="1"/>
  <c r="G49" i="206"/>
  <c r="G33" i="206" s="1"/>
  <c r="G49" i="208"/>
  <c r="G32" i="208" s="1"/>
  <c r="U49" i="206"/>
  <c r="U34" i="206" s="1"/>
  <c r="U52" i="206" s="1"/>
  <c r="AL49" i="208"/>
  <c r="AL32" i="208" s="1"/>
  <c r="AG49" i="208"/>
  <c r="AG32" i="208" s="1"/>
  <c r="AQ49" i="206"/>
  <c r="AQ33" i="206" s="1"/>
  <c r="H49" i="206"/>
  <c r="H33" i="206" s="1"/>
  <c r="AJ49" i="206"/>
  <c r="AJ33" i="206" s="1"/>
  <c r="AC49" i="206"/>
  <c r="AC34" i="206" s="1"/>
  <c r="AC52" i="206" s="1"/>
  <c r="V49" i="206"/>
  <c r="V34" i="206" s="1"/>
  <c r="V52" i="206" s="1"/>
  <c r="X49" i="208"/>
  <c r="AR49" i="206"/>
  <c r="AR34" i="206" s="1"/>
  <c r="AR52" i="206" s="1"/>
  <c r="K49" i="208"/>
  <c r="K33" i="208" s="1"/>
  <c r="R49" i="206"/>
  <c r="R34" i="206" s="1"/>
  <c r="R52" i="206" s="1"/>
  <c r="K49" i="206"/>
  <c r="K32" i="206" s="1"/>
  <c r="AI49" i="208"/>
  <c r="AI34" i="208" s="1"/>
  <c r="AI52" i="208" s="1"/>
  <c r="AL49" i="206"/>
  <c r="AL33" i="206" s="1"/>
  <c r="AF49" i="206"/>
  <c r="AF32" i="206" s="1"/>
  <c r="F49" i="206"/>
  <c r="F33" i="206" s="1"/>
  <c r="AH49" i="206"/>
  <c r="AH34" i="206" s="1"/>
  <c r="AH52" i="206" s="1"/>
  <c r="AJ49" i="208"/>
  <c r="AJ33" i="208" s="1"/>
  <c r="AM49" i="208"/>
  <c r="AM32" i="208" s="1"/>
  <c r="S49" i="206"/>
  <c r="S34" i="206" s="1"/>
  <c r="S52" i="206" s="1"/>
  <c r="AI49" i="206"/>
  <c r="AI32" i="206" s="1"/>
  <c r="AC49" i="208"/>
  <c r="AC34" i="208" s="1"/>
  <c r="AC52" i="208" s="1"/>
  <c r="T49" i="208"/>
  <c r="T32" i="208" s="1"/>
  <c r="K14" i="215"/>
  <c r="E16" i="215"/>
  <c r="I14" i="215"/>
  <c r="I16" i="215" s="1"/>
  <c r="L14" i="215"/>
  <c r="F14" i="215"/>
  <c r="H14" i="215"/>
  <c r="G14" i="215"/>
  <c r="J14" i="215"/>
  <c r="J16" i="215" s="1"/>
  <c r="H49" i="208"/>
  <c r="L49" i="208"/>
  <c r="L34" i="208" s="1"/>
  <c r="L52" i="208" s="1"/>
  <c r="AB49" i="206"/>
  <c r="AB34" i="206" s="1"/>
  <c r="AB52" i="206" s="1"/>
  <c r="J49" i="208"/>
  <c r="J33" i="208" s="1"/>
  <c r="L15" i="215"/>
  <c r="J15" i="215"/>
  <c r="I15" i="215"/>
  <c r="H15" i="215"/>
  <c r="F15" i="215"/>
  <c r="K15" i="215"/>
  <c r="G15" i="215"/>
  <c r="Z34" i="206"/>
  <c r="Z52" i="206" s="1"/>
  <c r="Z32" i="206"/>
  <c r="Z33" i="206"/>
  <c r="AD34" i="208"/>
  <c r="AD52" i="208" s="1"/>
  <c r="AD32" i="208"/>
  <c r="AD33" i="208"/>
  <c r="AI53" i="209"/>
  <c r="AI29" i="209" s="1"/>
  <c r="AI37" i="209" s="1"/>
  <c r="AI54" i="209"/>
  <c r="O35" i="209"/>
  <c r="L35" i="209"/>
  <c r="AQ34" i="206"/>
  <c r="AQ52" i="206" s="1"/>
  <c r="AQ32" i="206"/>
  <c r="AP34" i="206"/>
  <c r="AP52" i="206" s="1"/>
  <c r="T53" i="209"/>
  <c r="T29" i="209" s="1"/>
  <c r="T37" i="209" s="1"/>
  <c r="T54" i="209"/>
  <c r="AO53" i="209"/>
  <c r="AO29" i="209" s="1"/>
  <c r="AN54" i="209"/>
  <c r="AN53" i="209"/>
  <c r="AN29" i="209" s="1"/>
  <c r="AH53" i="209"/>
  <c r="AH29" i="209" s="1"/>
  <c r="AS54" i="209"/>
  <c r="AS53" i="209"/>
  <c r="AS29" i="209" s="1"/>
  <c r="S34" i="208"/>
  <c r="S52" i="208" s="1"/>
  <c r="S32" i="208"/>
  <c r="S33" i="208"/>
  <c r="AL35" i="209"/>
  <c r="O53" i="209"/>
  <c r="O29" i="209" s="1"/>
  <c r="O37" i="209" s="1"/>
  <c r="Z35" i="209"/>
  <c r="AD49" i="206"/>
  <c r="AA49" i="206"/>
  <c r="Y49" i="206"/>
  <c r="AO49" i="206"/>
  <c r="N49" i="206"/>
  <c r="AN49" i="208"/>
  <c r="K53" i="209"/>
  <c r="K29" i="209" s="1"/>
  <c r="K37" i="209" s="1"/>
  <c r="AJ53" i="209"/>
  <c r="AJ29" i="209" s="1"/>
  <c r="AJ54" i="209"/>
  <c r="G34" i="206"/>
  <c r="G52" i="206" s="1"/>
  <c r="G32" i="206"/>
  <c r="AC53" i="209"/>
  <c r="AC29" i="209" s="1"/>
  <c r="AC37" i="209" s="1"/>
  <c r="AC54" i="209"/>
  <c r="X34" i="208"/>
  <c r="X52" i="208" s="1"/>
  <c r="X32" i="208"/>
  <c r="X33" i="208"/>
  <c r="S53" i="209"/>
  <c r="S29" i="209" s="1"/>
  <c r="S37" i="209" s="1"/>
  <c r="U32" i="206"/>
  <c r="U33" i="206"/>
  <c r="AT57" i="203"/>
  <c r="N53" i="209"/>
  <c r="N29" i="209" s="1"/>
  <c r="AO35" i="209"/>
  <c r="S35" i="209"/>
  <c r="AU34" i="209"/>
  <c r="E52" i="209"/>
  <c r="J53" i="209"/>
  <c r="J29" i="209" s="1"/>
  <c r="J37" i="209" s="1"/>
  <c r="P35" i="209"/>
  <c r="AA53" i="209"/>
  <c r="AA29" i="209" s="1"/>
  <c r="AA54" i="209"/>
  <c r="L53" i="209"/>
  <c r="L29" i="209" s="1"/>
  <c r="L37" i="209" s="1"/>
  <c r="L54" i="209"/>
  <c r="J32" i="208"/>
  <c r="AN35" i="209"/>
  <c r="AJ35" i="209"/>
  <c r="V53" i="209"/>
  <c r="V29" i="209" s="1"/>
  <c r="V37" i="209" s="1"/>
  <c r="AO34" i="208"/>
  <c r="AO52" i="208" s="1"/>
  <c r="AO32" i="208"/>
  <c r="AO33" i="208"/>
  <c r="AL53" i="209"/>
  <c r="AL29" i="209" s="1"/>
  <c r="AL37" i="209" s="1"/>
  <c r="AL54" i="209"/>
  <c r="Y35" i="209"/>
  <c r="AP35" i="209"/>
  <c r="AF35" i="209"/>
  <c r="AF34" i="208"/>
  <c r="AF52" i="208" s="1"/>
  <c r="AF32" i="208"/>
  <c r="AF33" i="208"/>
  <c r="AR53" i="209"/>
  <c r="AR29" i="209" s="1"/>
  <c r="I54" i="209"/>
  <c r="I53" i="209"/>
  <c r="I29" i="209" s="1"/>
  <c r="I37" i="209" s="1"/>
  <c r="AG53" i="209"/>
  <c r="AG29" i="209" s="1"/>
  <c r="AG37" i="209" s="1"/>
  <c r="AP53" i="209"/>
  <c r="AP29" i="209" s="1"/>
  <c r="AP37" i="209" s="1"/>
  <c r="H35" i="209"/>
  <c r="AU33" i="209"/>
  <c r="E48" i="208"/>
  <c r="AU60" i="208"/>
  <c r="D45" i="207"/>
  <c r="AS49" i="208"/>
  <c r="AT49" i="208"/>
  <c r="E49" i="208"/>
  <c r="AE49" i="208"/>
  <c r="V49" i="208"/>
  <c r="AM35" i="209"/>
  <c r="AB53" i="209"/>
  <c r="AB29" i="209" s="1"/>
  <c r="AB54" i="209"/>
  <c r="AF53" i="209"/>
  <c r="AF29" i="209" s="1"/>
  <c r="AF37" i="209" s="1"/>
  <c r="Y49" i="208"/>
  <c r="G35" i="209"/>
  <c r="P53" i="209"/>
  <c r="P29" i="209" s="1"/>
  <c r="R49" i="208"/>
  <c r="T49" i="206"/>
  <c r="O49" i="208"/>
  <c r="L49" i="206"/>
  <c r="AP49" i="208"/>
  <c r="AD53" i="209"/>
  <c r="AD29" i="209" s="1"/>
  <c r="H34" i="208"/>
  <c r="H52" i="208" s="1"/>
  <c r="H32" i="208"/>
  <c r="H33" i="208"/>
  <c r="K35" i="209"/>
  <c r="AH35" i="209"/>
  <c r="AA34" i="208"/>
  <c r="AA52" i="208" s="1"/>
  <c r="AA33" i="208"/>
  <c r="AA32" i="208"/>
  <c r="AU32" i="209"/>
  <c r="E35" i="209"/>
  <c r="AB33" i="208"/>
  <c r="AB34" i="208"/>
  <c r="AB52" i="208" s="1"/>
  <c r="AB32" i="208"/>
  <c r="Z53" i="209"/>
  <c r="Z29" i="209" s="1"/>
  <c r="Z37" i="209" s="1"/>
  <c r="V35" i="209"/>
  <c r="AQ34" i="208"/>
  <c r="AQ52" i="208" s="1"/>
  <c r="AQ32" i="208"/>
  <c r="AQ33" i="208"/>
  <c r="E59" i="203"/>
  <c r="AE53" i="209"/>
  <c r="AE29" i="209" s="1"/>
  <c r="AE37" i="209" s="1"/>
  <c r="N35" i="209"/>
  <c r="R53" i="209"/>
  <c r="R29" i="209" s="1"/>
  <c r="R37" i="209" s="1"/>
  <c r="T33" i="208"/>
  <c r="AR35" i="209"/>
  <c r="F42" i="207"/>
  <c r="U35" i="209"/>
  <c r="AT35" i="209"/>
  <c r="H53" i="209"/>
  <c r="H29" i="209" s="1"/>
  <c r="H37" i="209" s="1"/>
  <c r="W35" i="209"/>
  <c r="M35" i="209"/>
  <c r="AM54" i="209"/>
  <c r="AM53" i="209"/>
  <c r="AM29" i="209" s="1"/>
  <c r="AB35" i="209"/>
  <c r="F44" i="207"/>
  <c r="AC35" i="209"/>
  <c r="G53" i="209"/>
  <c r="G29" i="209" s="1"/>
  <c r="G37" i="209" s="1"/>
  <c r="Q49" i="208"/>
  <c r="W49" i="208"/>
  <c r="Z49" i="208"/>
  <c r="AN49" i="206"/>
  <c r="J49" i="206"/>
  <c r="AG49" i="206"/>
  <c r="AH49" i="208"/>
  <c r="N49" i="208"/>
  <c r="W32" i="206"/>
  <c r="U54" i="209"/>
  <c r="U53" i="209"/>
  <c r="U29" i="209" s="1"/>
  <c r="H34" i="206"/>
  <c r="H52" i="206" s="1"/>
  <c r="H32" i="206"/>
  <c r="AQ53" i="209"/>
  <c r="AQ29" i="209" s="1"/>
  <c r="X53" i="209"/>
  <c r="X29" i="209" s="1"/>
  <c r="Q33" i="206"/>
  <c r="Q34" i="206"/>
  <c r="Q52" i="206" s="1"/>
  <c r="Q32" i="206"/>
  <c r="U32" i="208"/>
  <c r="U34" i="208"/>
  <c r="U52" i="208" s="1"/>
  <c r="U33" i="208"/>
  <c r="Y53" i="209"/>
  <c r="Y29" i="209" s="1"/>
  <c r="Y37" i="209" s="1"/>
  <c r="Q53" i="209"/>
  <c r="Q29" i="209" s="1"/>
  <c r="Q37" i="209" s="1"/>
  <c r="AM33" i="208"/>
  <c r="AS35" i="209"/>
  <c r="AD35" i="209"/>
  <c r="M34" i="208"/>
  <c r="M52" i="208" s="1"/>
  <c r="M32" i="208"/>
  <c r="M33" i="208"/>
  <c r="F53" i="209"/>
  <c r="F29" i="209" s="1"/>
  <c r="F37" i="209" s="1"/>
  <c r="AT53" i="209"/>
  <c r="AT29" i="209" s="1"/>
  <c r="AT37" i="209" s="1"/>
  <c r="AT54" i="209"/>
  <c r="I33" i="208"/>
  <c r="I34" i="208"/>
  <c r="I52" i="208" s="1"/>
  <c r="I32" i="208"/>
  <c r="P34" i="208"/>
  <c r="P52" i="208" s="1"/>
  <c r="P32" i="208"/>
  <c r="P33" i="208"/>
  <c r="W53" i="209"/>
  <c r="W29" i="209" s="1"/>
  <c r="W37" i="209" s="1"/>
  <c r="AQ35" i="209"/>
  <c r="M53" i="209"/>
  <c r="M29" i="209" s="1"/>
  <c r="M37" i="209" s="1"/>
  <c r="AK54" i="209"/>
  <c r="AK53" i="209"/>
  <c r="AK29" i="209" s="1"/>
  <c r="AK37" i="209" s="1"/>
  <c r="E45" i="207"/>
  <c r="E48" i="206"/>
  <c r="AU60" i="206"/>
  <c r="AT49" i="206"/>
  <c r="AM49" i="206"/>
  <c r="M49" i="206"/>
  <c r="AS49" i="206"/>
  <c r="X49" i="206"/>
  <c r="E49" i="206"/>
  <c r="X35" i="209"/>
  <c r="AA35" i="209"/>
  <c r="O49" i="206"/>
  <c r="I49" i="206"/>
  <c r="AR49" i="208"/>
  <c r="F49" i="208"/>
  <c r="P49" i="206"/>
  <c r="AE49" i="206"/>
  <c r="AK49" i="206"/>
  <c r="AJ32" i="206" l="1"/>
  <c r="AJ34" i="206"/>
  <c r="AJ52" i="206" s="1"/>
  <c r="W34" i="206"/>
  <c r="W52" i="206" s="1"/>
  <c r="AI33" i="206"/>
  <c r="AI33" i="208"/>
  <c r="AI34" i="206"/>
  <c r="AI52" i="206" s="1"/>
  <c r="AG34" i="208"/>
  <c r="AG52" i="208" s="1"/>
  <c r="AG53" i="208" s="1"/>
  <c r="AG29" i="208" s="1"/>
  <c r="L32" i="208"/>
  <c r="AG33" i="208"/>
  <c r="AB32" i="206"/>
  <c r="AH33" i="206"/>
  <c r="AL33" i="208"/>
  <c r="AK34" i="208"/>
  <c r="AK52" i="208" s="1"/>
  <c r="AK53" i="208" s="1"/>
  <c r="AK29" i="208" s="1"/>
  <c r="K34" i="208"/>
  <c r="K52" i="208" s="1"/>
  <c r="K53" i="208" s="1"/>
  <c r="K29" i="208" s="1"/>
  <c r="AR33" i="206"/>
  <c r="AB33" i="206"/>
  <c r="AB35" i="206" s="1"/>
  <c r="AK32" i="208"/>
  <c r="K32" i="208"/>
  <c r="AL34" i="208"/>
  <c r="AL52" i="208" s="1"/>
  <c r="G33" i="208"/>
  <c r="AP33" i="206"/>
  <c r="L33" i="208"/>
  <c r="N16" i="216"/>
  <c r="L16" i="215"/>
  <c r="K16" i="215"/>
  <c r="G16" i="215"/>
  <c r="H16" i="215"/>
  <c r="AF34" i="206"/>
  <c r="AF52" i="206" s="1"/>
  <c r="AR32" i="206"/>
  <c r="S33" i="206"/>
  <c r="S35" i="206" s="1"/>
  <c r="AF33" i="206"/>
  <c r="K34" i="206"/>
  <c r="K52" i="206" s="1"/>
  <c r="K53" i="206" s="1"/>
  <c r="K29" i="206" s="1"/>
  <c r="V33" i="206"/>
  <c r="F45" i="207"/>
  <c r="T34" i="208"/>
  <c r="T52" i="208" s="1"/>
  <c r="T53" i="208" s="1"/>
  <c r="T29" i="208" s="1"/>
  <c r="S32" i="206"/>
  <c r="G35" i="206"/>
  <c r="G34" i="208"/>
  <c r="G52" i="208" s="1"/>
  <c r="G53" i="208" s="1"/>
  <c r="G29" i="208" s="1"/>
  <c r="AH32" i="206"/>
  <c r="F32" i="206"/>
  <c r="K33" i="206"/>
  <c r="V32" i="206"/>
  <c r="V35" i="206" s="1"/>
  <c r="F34" i="206"/>
  <c r="F52" i="206" s="1"/>
  <c r="AC33" i="206"/>
  <c r="AC32" i="206"/>
  <c r="AC35" i="206" s="1"/>
  <c r="AC33" i="208"/>
  <c r="AL34" i="206"/>
  <c r="AL52" i="206" s="1"/>
  <c r="AI32" i="208"/>
  <c r="AI35" i="208" s="1"/>
  <c r="U35" i="208"/>
  <c r="AC32" i="208"/>
  <c r="AL32" i="206"/>
  <c r="Q35" i="206"/>
  <c r="J34" i="208"/>
  <c r="J52" i="208" s="1"/>
  <c r="J53" i="208" s="1"/>
  <c r="J29" i="208" s="1"/>
  <c r="AP35" i="206"/>
  <c r="R33" i="206"/>
  <c r="AO35" i="208"/>
  <c r="AM34" i="208"/>
  <c r="AM52" i="208" s="1"/>
  <c r="R32" i="206"/>
  <c r="AJ32" i="208"/>
  <c r="N15" i="215"/>
  <c r="AJ34" i="208"/>
  <c r="AJ52" i="208" s="1"/>
  <c r="H35" i="206"/>
  <c r="AA35" i="208"/>
  <c r="F16" i="215"/>
  <c r="N14" i="215"/>
  <c r="U53" i="208"/>
  <c r="U29" i="208" s="1"/>
  <c r="AQ54" i="209"/>
  <c r="W53" i="206"/>
  <c r="W29" i="206" s="1"/>
  <c r="W32" i="208"/>
  <c r="W33" i="208"/>
  <c r="W34" i="208"/>
  <c r="W52" i="208" s="1"/>
  <c r="E60" i="203"/>
  <c r="AT59" i="203"/>
  <c r="AU35" i="209"/>
  <c r="AD37" i="209"/>
  <c r="AE34" i="208"/>
  <c r="AE52" i="208" s="1"/>
  <c r="AE32" i="208"/>
  <c r="AE33" i="208"/>
  <c r="AR37" i="209"/>
  <c r="AF35" i="208"/>
  <c r="R53" i="206"/>
  <c r="R29" i="206" s="1"/>
  <c r="V54" i="209"/>
  <c r="N37" i="209"/>
  <c r="AJ53" i="206"/>
  <c r="AJ29" i="206" s="1"/>
  <c r="K54" i="209"/>
  <c r="AO37" i="209"/>
  <c r="AQ53" i="206"/>
  <c r="AQ29" i="206" s="1"/>
  <c r="AD35" i="208"/>
  <c r="AM33" i="206"/>
  <c r="AM34" i="206"/>
  <c r="AM52" i="206" s="1"/>
  <c r="AM32" i="206"/>
  <c r="I53" i="208"/>
  <c r="I29" i="208" s="1"/>
  <c r="AU49" i="208"/>
  <c r="E34" i="208"/>
  <c r="E32" i="208"/>
  <c r="E33" i="208"/>
  <c r="D34" i="207"/>
  <c r="G12" i="207" s="1"/>
  <c r="V39" i="209"/>
  <c r="V42" i="209" s="1"/>
  <c r="V45" i="209" s="1"/>
  <c r="V38" i="209"/>
  <c r="M35" i="208"/>
  <c r="AF39" i="209"/>
  <c r="AF42" i="209" s="1"/>
  <c r="AF45" i="209" s="1"/>
  <c r="AF38" i="209"/>
  <c r="AK34" i="206"/>
  <c r="AK52" i="206" s="1"/>
  <c r="AK32" i="206"/>
  <c r="AK33" i="206"/>
  <c r="R38" i="209"/>
  <c r="R39" i="209"/>
  <c r="R42" i="209" s="1"/>
  <c r="R45" i="209" s="1"/>
  <c r="Y32" i="208"/>
  <c r="Y33" i="208"/>
  <c r="Y34" i="208"/>
  <c r="Y52" i="208" s="1"/>
  <c r="AF53" i="206"/>
  <c r="AF29" i="206" s="1"/>
  <c r="AD53" i="208"/>
  <c r="AD29" i="208" s="1"/>
  <c r="G38" i="209"/>
  <c r="G39" i="209" s="1"/>
  <c r="G42" i="209" s="1"/>
  <c r="AT34" i="208"/>
  <c r="AT52" i="208" s="1"/>
  <c r="AT33" i="208"/>
  <c r="AT32" i="208"/>
  <c r="O54" i="209"/>
  <c r="AT39" i="209"/>
  <c r="AT42" i="209" s="1"/>
  <c r="AT45" i="209" s="1"/>
  <c r="AT38" i="209"/>
  <c r="M53" i="208"/>
  <c r="M29" i="208" s="1"/>
  <c r="AH33" i="208"/>
  <c r="AH32" i="208"/>
  <c r="AH34" i="208"/>
  <c r="AH52" i="208" s="1"/>
  <c r="G54" i="209"/>
  <c r="H39" i="209"/>
  <c r="H42" i="209" s="1"/>
  <c r="H45" i="209" s="1"/>
  <c r="H38" i="209"/>
  <c r="AQ53" i="208"/>
  <c r="AQ29" i="208" s="1"/>
  <c r="Z38" i="209"/>
  <c r="Z39" i="209" s="1"/>
  <c r="Z42" i="209" s="1"/>
  <c r="Z45" i="209" s="1"/>
  <c r="O32" i="208"/>
  <c r="O34" i="208"/>
  <c r="O52" i="208" s="1"/>
  <c r="O33" i="208"/>
  <c r="AF54" i="209"/>
  <c r="AS33" i="208"/>
  <c r="AS34" i="208"/>
  <c r="AS52" i="208" s="1"/>
  <c r="AS32" i="208"/>
  <c r="AG38" i="209"/>
  <c r="AG39" i="209" s="1"/>
  <c r="AG42" i="209" s="1"/>
  <c r="AG45" i="209" s="1"/>
  <c r="S53" i="206"/>
  <c r="S29" i="206" s="1"/>
  <c r="L38" i="209"/>
  <c r="L39" i="209" s="1"/>
  <c r="L42" i="209" s="1"/>
  <c r="L45" i="209" s="1"/>
  <c r="J38" i="209"/>
  <c r="J39" i="209"/>
  <c r="J42" i="209" s="1"/>
  <c r="J45" i="209" s="1"/>
  <c r="U35" i="206"/>
  <c r="N33" i="206"/>
  <c r="N34" i="206"/>
  <c r="N52" i="206" s="1"/>
  <c r="N32" i="206"/>
  <c r="AH37" i="209"/>
  <c r="AH53" i="206"/>
  <c r="AH29" i="206" s="1"/>
  <c r="F53" i="206"/>
  <c r="F29" i="206" s="1"/>
  <c r="Z35" i="206"/>
  <c r="F38" i="209"/>
  <c r="F39" i="209" s="1"/>
  <c r="F42" i="209" s="1"/>
  <c r="F45" i="209" s="1"/>
  <c r="AQ37" i="209"/>
  <c r="AF53" i="208"/>
  <c r="AF29" i="208" s="1"/>
  <c r="AB53" i="206"/>
  <c r="AB29" i="206" s="1"/>
  <c r="K38" i="209"/>
  <c r="K39" i="209" s="1"/>
  <c r="K42" i="209" s="1"/>
  <c r="K45" i="209" s="1"/>
  <c r="L34" i="206"/>
  <c r="L52" i="206" s="1"/>
  <c r="L32" i="206"/>
  <c r="L33" i="206"/>
  <c r="AL38" i="209"/>
  <c r="AL39" i="209" s="1"/>
  <c r="AL42" i="209" s="1"/>
  <c r="AL45" i="209" s="1"/>
  <c r="AC38" i="209"/>
  <c r="AC39" i="209"/>
  <c r="AC42" i="209" s="1"/>
  <c r="AC45" i="209" s="1"/>
  <c r="AP53" i="206"/>
  <c r="AP29" i="206" s="1"/>
  <c r="W54" i="209"/>
  <c r="Q38" i="209"/>
  <c r="Q39" i="209" s="1"/>
  <c r="Q42" i="209" s="1"/>
  <c r="Q45" i="209" s="1"/>
  <c r="H53" i="206"/>
  <c r="H29" i="206" s="1"/>
  <c r="F34" i="208"/>
  <c r="F52" i="208" s="1"/>
  <c r="F32" i="208"/>
  <c r="F33" i="208"/>
  <c r="E34" i="207"/>
  <c r="E34" i="206"/>
  <c r="E32" i="206"/>
  <c r="E33" i="206"/>
  <c r="Q54" i="209"/>
  <c r="Q53" i="206"/>
  <c r="Q29" i="206" s="1"/>
  <c r="Q37" i="206" s="1"/>
  <c r="AG33" i="206"/>
  <c r="AG34" i="206"/>
  <c r="AG52" i="206" s="1"/>
  <c r="AG32" i="206"/>
  <c r="H54" i="209"/>
  <c r="T35" i="208"/>
  <c r="Z54" i="209"/>
  <c r="AA53" i="208"/>
  <c r="AA29" i="208" s="1"/>
  <c r="H35" i="208"/>
  <c r="T34" i="206"/>
  <c r="T52" i="206" s="1"/>
  <c r="T32" i="206"/>
  <c r="T33" i="206"/>
  <c r="AG54" i="209"/>
  <c r="J54" i="209"/>
  <c r="U53" i="206"/>
  <c r="U29" i="206" s="1"/>
  <c r="U37" i="206" s="1"/>
  <c r="X35" i="208"/>
  <c r="G53" i="206"/>
  <c r="G29" i="206" s="1"/>
  <c r="AO33" i="206"/>
  <c r="AO34" i="206"/>
  <c r="AO52" i="206" s="1"/>
  <c r="AO32" i="206"/>
  <c r="AH54" i="209"/>
  <c r="T38" i="209"/>
  <c r="T39" i="209" s="1"/>
  <c r="T42" i="209" s="1"/>
  <c r="T45" i="209" s="1"/>
  <c r="AJ53" i="208"/>
  <c r="AJ29" i="208" s="1"/>
  <c r="Z53" i="206"/>
  <c r="Z29" i="206" s="1"/>
  <c r="M38" i="209"/>
  <c r="M39" i="209"/>
  <c r="M42" i="209" s="1"/>
  <c r="M45" i="209" s="1"/>
  <c r="AM53" i="208"/>
  <c r="AM29" i="208" s="1"/>
  <c r="Q32" i="208"/>
  <c r="Q34" i="208"/>
  <c r="Q52" i="208" s="1"/>
  <c r="Q33" i="208"/>
  <c r="AP38" i="209"/>
  <c r="AP39" i="209"/>
  <c r="AP42" i="209" s="1"/>
  <c r="AP45" i="209" s="1"/>
  <c r="O39" i="209"/>
  <c r="O42" i="209" s="1"/>
  <c r="O45" i="209" s="1"/>
  <c r="O38" i="209"/>
  <c r="W38" i="209"/>
  <c r="W39" i="209" s="1"/>
  <c r="W42" i="209" s="1"/>
  <c r="W45" i="209" s="1"/>
  <c r="N34" i="208"/>
  <c r="N52" i="208" s="1"/>
  <c r="N32" i="208"/>
  <c r="N33" i="208"/>
  <c r="AQ35" i="208"/>
  <c r="AG35" i="208"/>
  <c r="P33" i="206"/>
  <c r="P34" i="206"/>
  <c r="P52" i="206" s="1"/>
  <c r="P32" i="206"/>
  <c r="AR33" i="208"/>
  <c r="AR34" i="208"/>
  <c r="AR52" i="208" s="1"/>
  <c r="AR32" i="208"/>
  <c r="X33" i="206"/>
  <c r="X34" i="206"/>
  <c r="X52" i="206" s="1"/>
  <c r="X32" i="206"/>
  <c r="AK38" i="209"/>
  <c r="AK39" i="209"/>
  <c r="AK42" i="209" s="1"/>
  <c r="AK45" i="209" s="1"/>
  <c r="P35" i="208"/>
  <c r="Y54" i="209"/>
  <c r="U37" i="209"/>
  <c r="J34" i="206"/>
  <c r="J52" i="206" s="1"/>
  <c r="J32" i="206"/>
  <c r="J33" i="206"/>
  <c r="AL35" i="208"/>
  <c r="AB35" i="208"/>
  <c r="H53" i="208"/>
  <c r="H29" i="208" s="1"/>
  <c r="R34" i="208"/>
  <c r="R52" i="208" s="1"/>
  <c r="R33" i="208"/>
  <c r="R32" i="208"/>
  <c r="AB37" i="209"/>
  <c r="I38" i="209"/>
  <c r="I39" i="209" s="1"/>
  <c r="I42" i="209" s="1"/>
  <c r="I45" i="209" s="1"/>
  <c r="AC53" i="208"/>
  <c r="AC29" i="208" s="1"/>
  <c r="AA37" i="209"/>
  <c r="AU52" i="209"/>
  <c r="E54" i="209"/>
  <c r="E53" i="209"/>
  <c r="AI35" i="206"/>
  <c r="S54" i="209"/>
  <c r="X53" i="208"/>
  <c r="X29" i="208" s="1"/>
  <c r="Y33" i="206"/>
  <c r="Y34" i="206"/>
  <c r="Y52" i="206" s="1"/>
  <c r="Y32" i="206"/>
  <c r="S35" i="208"/>
  <c r="AN37" i="209"/>
  <c r="AL53" i="206"/>
  <c r="AL29" i="206" s="1"/>
  <c r="AC53" i="206"/>
  <c r="AC29" i="206" s="1"/>
  <c r="V53" i="206"/>
  <c r="V29" i="206" s="1"/>
  <c r="AI53" i="208"/>
  <c r="AI29" i="208" s="1"/>
  <c r="I33" i="206"/>
  <c r="I34" i="206"/>
  <c r="I52" i="206" s="1"/>
  <c r="I32" i="206"/>
  <c r="X37" i="209"/>
  <c r="AE38" i="209"/>
  <c r="AE39" i="209" s="1"/>
  <c r="AE42" i="209" s="1"/>
  <c r="AE45" i="209" s="1"/>
  <c r="P37" i="209"/>
  <c r="AI53" i="206"/>
  <c r="AI29" i="206" s="1"/>
  <c r="S38" i="209"/>
  <c r="S39" i="209" s="1"/>
  <c r="S42" i="209" s="1"/>
  <c r="S45" i="209" s="1"/>
  <c r="AA34" i="206"/>
  <c r="AA52" i="206" s="1"/>
  <c r="AA32" i="206"/>
  <c r="AA33" i="206"/>
  <c r="S53" i="208"/>
  <c r="S29" i="208" s="1"/>
  <c r="AR53" i="206"/>
  <c r="AR29" i="206" s="1"/>
  <c r="AT33" i="206"/>
  <c r="AT32" i="206"/>
  <c r="AT34" i="206"/>
  <c r="AT52" i="206" s="1"/>
  <c r="AP33" i="208"/>
  <c r="AP34" i="208"/>
  <c r="AP52" i="208" s="1"/>
  <c r="AP32" i="208"/>
  <c r="AE33" i="206"/>
  <c r="AE34" i="206"/>
  <c r="AE52" i="206" s="1"/>
  <c r="AE32" i="206"/>
  <c r="R54" i="209"/>
  <c r="AP54" i="209"/>
  <c r="AN34" i="208"/>
  <c r="AN52" i="208" s="1"/>
  <c r="AN32" i="208"/>
  <c r="AN33" i="208"/>
  <c r="AH35" i="206"/>
  <c r="AS34" i="206"/>
  <c r="AS52" i="206" s="1"/>
  <c r="AS32" i="206"/>
  <c r="AS33" i="206"/>
  <c r="P53" i="208"/>
  <c r="P29" i="208" s="1"/>
  <c r="Y38" i="209"/>
  <c r="Y39" i="209" s="1"/>
  <c r="Y42" i="209" s="1"/>
  <c r="Y45" i="209" s="1"/>
  <c r="AN33" i="206"/>
  <c r="AN34" i="206"/>
  <c r="AN52" i="206" s="1"/>
  <c r="AN32" i="206"/>
  <c r="AB53" i="208"/>
  <c r="AB29" i="208" s="1"/>
  <c r="O33" i="206"/>
  <c r="O34" i="206"/>
  <c r="O52" i="206" s="1"/>
  <c r="O32" i="206"/>
  <c r="M34" i="206"/>
  <c r="M52" i="206" s="1"/>
  <c r="M32" i="206"/>
  <c r="M33" i="206"/>
  <c r="M54" i="209"/>
  <c r="I35" i="208"/>
  <c r="F54" i="209"/>
  <c r="X54" i="209"/>
  <c r="W35" i="206"/>
  <c r="Z32" i="208"/>
  <c r="Z33" i="208"/>
  <c r="Z34" i="208"/>
  <c r="Z52" i="208" s="1"/>
  <c r="AM37" i="209"/>
  <c r="L53" i="208"/>
  <c r="L29" i="208" s="1"/>
  <c r="AE54" i="209"/>
  <c r="AL53" i="208"/>
  <c r="AL29" i="208" s="1"/>
  <c r="AD54" i="209"/>
  <c r="P54" i="209"/>
  <c r="V34" i="208"/>
  <c r="V52" i="208" s="1"/>
  <c r="V32" i="208"/>
  <c r="V33" i="208"/>
  <c r="AR54" i="209"/>
  <c r="R35" i="206"/>
  <c r="AO53" i="208"/>
  <c r="AO29" i="208" s="1"/>
  <c r="N54" i="209"/>
  <c r="AJ35" i="206"/>
  <c r="AJ37" i="209"/>
  <c r="AD33" i="206"/>
  <c r="AD32" i="206"/>
  <c r="AD34" i="206"/>
  <c r="AD52" i="206" s="1"/>
  <c r="AS37" i="209"/>
  <c r="AO54" i="209"/>
  <c r="AQ35" i="206"/>
  <c r="AI38" i="209"/>
  <c r="AI39" i="209" s="1"/>
  <c r="AI42" i="209" s="1"/>
  <c r="AI45" i="209" s="1"/>
  <c r="L35" i="208" l="1"/>
  <c r="AP54" i="206"/>
  <c r="AR35" i="206"/>
  <c r="K35" i="206"/>
  <c r="AT35" i="208"/>
  <c r="K35" i="208"/>
  <c r="J35" i="208"/>
  <c r="J37" i="208" s="1"/>
  <c r="J38" i="208" s="1"/>
  <c r="J39" i="208" s="1"/>
  <c r="J42" i="208" s="1"/>
  <c r="J45" i="208" s="1"/>
  <c r="AK35" i="208"/>
  <c r="AK37" i="208" s="1"/>
  <c r="AK38" i="208" s="1"/>
  <c r="AK39" i="208" s="1"/>
  <c r="AK42" i="208" s="1"/>
  <c r="AK45" i="208" s="1"/>
  <c r="F54" i="206"/>
  <c r="S37" i="208"/>
  <c r="AC37" i="206"/>
  <c r="AC35" i="208"/>
  <c r="G35" i="208"/>
  <c r="AP37" i="206"/>
  <c r="AP38" i="206" s="1"/>
  <c r="AP39" i="206" s="1"/>
  <c r="AP42" i="206" s="1"/>
  <c r="AP45" i="206" s="1"/>
  <c r="AF54" i="208"/>
  <c r="AL54" i="208"/>
  <c r="G37" i="206"/>
  <c r="G38" i="206" s="1"/>
  <c r="G39" i="206" s="1"/>
  <c r="G42" i="206" s="1"/>
  <c r="G45" i="206" s="1"/>
  <c r="AF35" i="206"/>
  <c r="AF37" i="206" s="1"/>
  <c r="AF38" i="206" s="1"/>
  <c r="AB37" i="206"/>
  <c r="AL37" i="208"/>
  <c r="J35" i="206"/>
  <c r="F35" i="206"/>
  <c r="F37" i="206" s="1"/>
  <c r="F38" i="206" s="1"/>
  <c r="F39" i="206" s="1"/>
  <c r="AM35" i="208"/>
  <c r="AM37" i="208" s="1"/>
  <c r="L37" i="208"/>
  <c r="L38" i="208" s="1"/>
  <c r="L39" i="208" s="1"/>
  <c r="L42" i="208" s="1"/>
  <c r="L45" i="208" s="1"/>
  <c r="AI37" i="208"/>
  <c r="AD37" i="208"/>
  <c r="V37" i="206"/>
  <c r="AA37" i="208"/>
  <c r="AC37" i="208"/>
  <c r="AK35" i="206"/>
  <c r="AB37" i="208"/>
  <c r="AB38" i="208" s="1"/>
  <c r="AB39" i="208" s="1"/>
  <c r="AB42" i="208" s="1"/>
  <c r="AB45" i="208" s="1"/>
  <c r="K54" i="208"/>
  <c r="AR54" i="206"/>
  <c r="U37" i="208"/>
  <c r="P37" i="208"/>
  <c r="AE35" i="208"/>
  <c r="Z37" i="206"/>
  <c r="Z38" i="206" s="1"/>
  <c r="Z39" i="206" s="1"/>
  <c r="Z42" i="206" s="1"/>
  <c r="Z45" i="206" s="1"/>
  <c r="R35" i="208"/>
  <c r="AO37" i="208"/>
  <c r="AO38" i="208" s="1"/>
  <c r="AO39" i="208" s="1"/>
  <c r="AO42" i="208" s="1"/>
  <c r="AO45" i="208" s="1"/>
  <c r="Y35" i="206"/>
  <c r="AJ54" i="208"/>
  <c r="AF37" i="208"/>
  <c r="AF38" i="208" s="1"/>
  <c r="AF39" i="208" s="1"/>
  <c r="AF42" i="208" s="1"/>
  <c r="AF45" i="208" s="1"/>
  <c r="N35" i="206"/>
  <c r="AL35" i="206"/>
  <c r="AL37" i="206" s="1"/>
  <c r="AL38" i="206" s="1"/>
  <c r="AL39" i="206" s="1"/>
  <c r="AL42" i="206" s="1"/>
  <c r="AL45" i="206" s="1"/>
  <c r="AI54" i="208"/>
  <c r="T37" i="208"/>
  <c r="T38" i="208" s="1"/>
  <c r="T39" i="208" s="1"/>
  <c r="T42" i="208" s="1"/>
  <c r="T45" i="208" s="1"/>
  <c r="I54" i="208"/>
  <c r="R37" i="206"/>
  <c r="AG54" i="208"/>
  <c r="W37" i="206"/>
  <c r="W38" i="206" s="1"/>
  <c r="W39" i="206" s="1"/>
  <c r="W42" i="206" s="1"/>
  <c r="W45" i="206" s="1"/>
  <c r="M35" i="206"/>
  <c r="AH54" i="206"/>
  <c r="AM35" i="206"/>
  <c r="O35" i="206"/>
  <c r="X54" i="208"/>
  <c r="H54" i="208"/>
  <c r="N35" i="208"/>
  <c r="S37" i="206"/>
  <c r="S38" i="206" s="1"/>
  <c r="S39" i="206" s="1"/>
  <c r="S42" i="206" s="1"/>
  <c r="S45" i="206" s="1"/>
  <c r="N16" i="215"/>
  <c r="X37" i="208"/>
  <c r="X38" i="208" s="1"/>
  <c r="X39" i="208" s="1"/>
  <c r="X42" i="208" s="1"/>
  <c r="X45" i="208" s="1"/>
  <c r="Q54" i="206"/>
  <c r="P35" i="206"/>
  <c r="H37" i="206"/>
  <c r="AS35" i="208"/>
  <c r="AQ54" i="208"/>
  <c r="AJ35" i="208"/>
  <c r="AJ37" i="208" s="1"/>
  <c r="AJ38" i="208" s="1"/>
  <c r="AJ39" i="208" s="1"/>
  <c r="AJ42" i="208" s="1"/>
  <c r="AJ45" i="208" s="1"/>
  <c r="AT35" i="206"/>
  <c r="L35" i="206"/>
  <c r="M37" i="208"/>
  <c r="M38" i="208" s="1"/>
  <c r="M39" i="208" s="1"/>
  <c r="M42" i="208" s="1"/>
  <c r="M45" i="208" s="1"/>
  <c r="AQ54" i="206"/>
  <c r="G45" i="209"/>
  <c r="B11" i="202"/>
  <c r="F34" i="207"/>
  <c r="H12" i="207"/>
  <c r="AH38" i="209"/>
  <c r="AH39" i="209"/>
  <c r="AH42" i="209" s="1"/>
  <c r="AH45" i="209" s="1"/>
  <c r="AB54" i="208"/>
  <c r="L53" i="206"/>
  <c r="L29" i="206" s="1"/>
  <c r="T54" i="208"/>
  <c r="K37" i="206"/>
  <c r="AE53" i="208"/>
  <c r="AE29" i="208" s="1"/>
  <c r="AO54" i="208"/>
  <c r="AN35" i="206"/>
  <c r="AS35" i="206"/>
  <c r="AE35" i="206"/>
  <c r="AT53" i="206"/>
  <c r="AT29" i="206" s="1"/>
  <c r="AA35" i="206"/>
  <c r="P38" i="209"/>
  <c r="P39" i="209" s="1"/>
  <c r="P42" i="209" s="1"/>
  <c r="P45" i="209" s="1"/>
  <c r="AI38" i="208"/>
  <c r="AI39" i="208" s="1"/>
  <c r="AI42" i="208" s="1"/>
  <c r="AI45" i="208" s="1"/>
  <c r="AL54" i="206"/>
  <c r="AC54" i="208"/>
  <c r="R53" i="208"/>
  <c r="R29" i="208" s="1"/>
  <c r="U38" i="209"/>
  <c r="U39" i="209" s="1"/>
  <c r="U42" i="209" s="1"/>
  <c r="U45" i="209" s="1"/>
  <c r="AR35" i="208"/>
  <c r="Z54" i="206"/>
  <c r="AO35" i="206"/>
  <c r="AA54" i="208"/>
  <c r="Q38" i="206"/>
  <c r="Q39" i="206" s="1"/>
  <c r="Q42" i="206" s="1"/>
  <c r="Q45" i="206" s="1"/>
  <c r="F35" i="208"/>
  <c r="N53" i="206"/>
  <c r="N29" i="206" s="1"/>
  <c r="S54" i="206"/>
  <c r="O53" i="208"/>
  <c r="O29" i="208" s="1"/>
  <c r="AD54" i="208"/>
  <c r="K54" i="206"/>
  <c r="I37" i="208"/>
  <c r="AO38" i="209"/>
  <c r="AO39" i="209" s="1"/>
  <c r="AO42" i="209" s="1"/>
  <c r="AO45" i="209" s="1"/>
  <c r="R54" i="206"/>
  <c r="AD39" i="209"/>
  <c r="AD42" i="209" s="1"/>
  <c r="AD45" i="209" s="1"/>
  <c r="AD38" i="209"/>
  <c r="W35" i="208"/>
  <c r="P38" i="208"/>
  <c r="P39" i="208" s="1"/>
  <c r="P42" i="208" s="1"/>
  <c r="P45" i="208" s="1"/>
  <c r="X53" i="206"/>
  <c r="X29" i="206" s="1"/>
  <c r="X54" i="206"/>
  <c r="U38" i="206"/>
  <c r="U39" i="206" s="1"/>
  <c r="U42" i="206" s="1"/>
  <c r="U45" i="206" s="1"/>
  <c r="AC38" i="208"/>
  <c r="AC39" i="208" s="1"/>
  <c r="AC42" i="208" s="1"/>
  <c r="AC45" i="208" s="1"/>
  <c r="U54" i="206"/>
  <c r="Z35" i="208"/>
  <c r="AE53" i="206"/>
  <c r="AE29" i="206" s="1"/>
  <c r="AR53" i="208"/>
  <c r="AR29" i="208" s="1"/>
  <c r="AO53" i="206"/>
  <c r="AO29" i="206" s="1"/>
  <c r="F53" i="208"/>
  <c r="F29" i="208" s="1"/>
  <c r="AD38" i="208"/>
  <c r="AD39" i="208" s="1"/>
  <c r="AD42" i="208" s="1"/>
  <c r="AD45" i="208" s="1"/>
  <c r="AL38" i="208"/>
  <c r="AL39" i="208" s="1"/>
  <c r="AL42" i="208" s="1"/>
  <c r="AL45" i="208" s="1"/>
  <c r="M53" i="206"/>
  <c r="M29" i="206" s="1"/>
  <c r="V54" i="206"/>
  <c r="AU53" i="209"/>
  <c r="E29" i="209"/>
  <c r="AK54" i="208"/>
  <c r="H37" i="208"/>
  <c r="N53" i="208"/>
  <c r="N29" i="208" s="1"/>
  <c r="Q53" i="208"/>
  <c r="Q29" i="208" s="1"/>
  <c r="H54" i="206"/>
  <c r="AB54" i="206"/>
  <c r="AF54" i="206"/>
  <c r="AK53" i="206"/>
  <c r="AK29" i="206" s="1"/>
  <c r="AM53" i="206"/>
  <c r="AM29" i="206" s="1"/>
  <c r="AJ54" i="206"/>
  <c r="AG37" i="208"/>
  <c r="W54" i="206"/>
  <c r="AP53" i="208"/>
  <c r="AP29" i="208" s="1"/>
  <c r="W53" i="208"/>
  <c r="W29" i="208" s="1"/>
  <c r="J54" i="208"/>
  <c r="J53" i="206"/>
  <c r="J29" i="206" s="1"/>
  <c r="M54" i="208"/>
  <c r="AS38" i="209"/>
  <c r="AS39" i="209" s="1"/>
  <c r="AS42" i="209" s="1"/>
  <c r="AS45" i="209" s="1"/>
  <c r="AA38" i="208"/>
  <c r="AA39" i="208" s="1"/>
  <c r="AA42" i="208" s="1"/>
  <c r="AA45" i="208" s="1"/>
  <c r="X39" i="209"/>
  <c r="X42" i="209" s="1"/>
  <c r="X45" i="209" s="1"/>
  <c r="X38" i="209"/>
  <c r="AU54" i="209"/>
  <c r="Q35" i="208"/>
  <c r="E18" i="207"/>
  <c r="AU33" i="206"/>
  <c r="H38" i="206"/>
  <c r="H39" i="206" s="1"/>
  <c r="H42" i="206" s="1"/>
  <c r="H45" i="206" s="1"/>
  <c r="AB38" i="206"/>
  <c r="AB39" i="206" s="1"/>
  <c r="AB42" i="206" s="1"/>
  <c r="AB45" i="206" s="1"/>
  <c r="AH53" i="208"/>
  <c r="AH29" i="208" s="1"/>
  <c r="Y53" i="208"/>
  <c r="Y29" i="208" s="1"/>
  <c r="G37" i="208"/>
  <c r="AU33" i="208"/>
  <c r="D18" i="207"/>
  <c r="AJ37" i="206"/>
  <c r="AM38" i="209"/>
  <c r="AM39" i="209" s="1"/>
  <c r="AM42" i="209" s="1"/>
  <c r="AM45" i="209" s="1"/>
  <c r="S38" i="208"/>
  <c r="S39" i="208" s="1"/>
  <c r="S42" i="208" s="1"/>
  <c r="S45" i="208" s="1"/>
  <c r="AG53" i="206"/>
  <c r="AG29" i="206" s="1"/>
  <c r="AN53" i="206"/>
  <c r="AN29" i="206" s="1"/>
  <c r="V38" i="206"/>
  <c r="V39" i="206" s="1"/>
  <c r="V42" i="206" s="1"/>
  <c r="V45" i="206" s="1"/>
  <c r="AD53" i="206"/>
  <c r="AD29" i="206" s="1"/>
  <c r="AN35" i="208"/>
  <c r="AR37" i="206"/>
  <c r="I35" i="206"/>
  <c r="AC38" i="206"/>
  <c r="AC39" i="206" s="1"/>
  <c r="AC42" i="206" s="1"/>
  <c r="AC45" i="206" s="1"/>
  <c r="P53" i="206"/>
  <c r="P29" i="206" s="1"/>
  <c r="G54" i="206"/>
  <c r="E35" i="206"/>
  <c r="AU32" i="206"/>
  <c r="AS53" i="208"/>
  <c r="AS29" i="208" s="1"/>
  <c r="AS37" i="208" s="1"/>
  <c r="AH35" i="208"/>
  <c r="G54" i="208"/>
  <c r="E35" i="208"/>
  <c r="AU32" i="208"/>
  <c r="N39" i="209"/>
  <c r="N42" i="209" s="1"/>
  <c r="N45" i="209" s="1"/>
  <c r="N38" i="209"/>
  <c r="AR38" i="209"/>
  <c r="AR39" i="209"/>
  <c r="AR42" i="209" s="1"/>
  <c r="AR45" i="209" s="1"/>
  <c r="U38" i="208"/>
  <c r="U39" i="208" s="1"/>
  <c r="U42" i="208" s="1"/>
  <c r="U45" i="208" s="1"/>
  <c r="V53" i="208"/>
  <c r="V29" i="208" s="1"/>
  <c r="T53" i="206"/>
  <c r="T29" i="206" s="1"/>
  <c r="AQ38" i="209"/>
  <c r="AQ39" i="209"/>
  <c r="AQ42" i="209" s="1"/>
  <c r="AQ45" i="209" s="1"/>
  <c r="Z53" i="208"/>
  <c r="Z29" i="208" s="1"/>
  <c r="Z37" i="208" s="1"/>
  <c r="AS53" i="206"/>
  <c r="AS29" i="206" s="1"/>
  <c r="AA53" i="206"/>
  <c r="AA29" i="206" s="1"/>
  <c r="AA37" i="206" s="1"/>
  <c r="AN38" i="209"/>
  <c r="AN39" i="209" s="1"/>
  <c r="AN42" i="209" s="1"/>
  <c r="AN45" i="209" s="1"/>
  <c r="O35" i="208"/>
  <c r="R38" i="206"/>
  <c r="R39" i="206" s="1"/>
  <c r="R42" i="206" s="1"/>
  <c r="R45" i="206" s="1"/>
  <c r="AD35" i="206"/>
  <c r="O53" i="206"/>
  <c r="O29" i="206" s="1"/>
  <c r="K37" i="208"/>
  <c r="AI37" i="206"/>
  <c r="Y53" i="206"/>
  <c r="Y29" i="206" s="1"/>
  <c r="Y37" i="206" s="1"/>
  <c r="AJ38" i="209"/>
  <c r="AJ39" i="209"/>
  <c r="AJ42" i="209" s="1"/>
  <c r="AJ45" i="209" s="1"/>
  <c r="V35" i="208"/>
  <c r="L54" i="208"/>
  <c r="P54" i="208"/>
  <c r="AN53" i="208"/>
  <c r="AN29" i="208" s="1"/>
  <c r="AP35" i="208"/>
  <c r="S54" i="208"/>
  <c r="AI54" i="206"/>
  <c r="I53" i="206"/>
  <c r="I29" i="206" s="1"/>
  <c r="AC54" i="206"/>
  <c r="AA38" i="209"/>
  <c r="AA39" i="209" s="1"/>
  <c r="AA42" i="209" s="1"/>
  <c r="AA45" i="209" s="1"/>
  <c r="AB38" i="209"/>
  <c r="AB39" i="209" s="1"/>
  <c r="AB42" i="209" s="1"/>
  <c r="AB45" i="209" s="1"/>
  <c r="X35" i="206"/>
  <c r="AM54" i="208"/>
  <c r="T35" i="206"/>
  <c r="AG35" i="206"/>
  <c r="E52" i="206"/>
  <c r="E19" i="207"/>
  <c r="AU34" i="206"/>
  <c r="AH37" i="206"/>
  <c r="AQ37" i="208"/>
  <c r="AT53" i="208"/>
  <c r="AT29" i="208" s="1"/>
  <c r="AT37" i="208" s="1"/>
  <c r="Y35" i="208"/>
  <c r="E52" i="208"/>
  <c r="D19" i="207"/>
  <c r="AU34" i="208"/>
  <c r="AQ37" i="206"/>
  <c r="E48" i="203"/>
  <c r="AT60" i="203"/>
  <c r="E49" i="203"/>
  <c r="AS49" i="203"/>
  <c r="W49" i="203"/>
  <c r="O49" i="203"/>
  <c r="AQ49" i="203"/>
  <c r="AF49" i="203"/>
  <c r="R49" i="203"/>
  <c r="AH49" i="203"/>
  <c r="AI49" i="203"/>
  <c r="AD49" i="203"/>
  <c r="G49" i="203"/>
  <c r="AG49" i="203"/>
  <c r="AN49" i="203"/>
  <c r="P49" i="203"/>
  <c r="X49" i="203"/>
  <c r="AE49" i="203"/>
  <c r="T49" i="203"/>
  <c r="Q49" i="203"/>
  <c r="AM49" i="203"/>
  <c r="AL49" i="203"/>
  <c r="I49" i="203"/>
  <c r="K49" i="203"/>
  <c r="N49" i="203"/>
  <c r="F49" i="203"/>
  <c r="U49" i="203"/>
  <c r="AP49" i="203"/>
  <c r="J49" i="203"/>
  <c r="AB49" i="203"/>
  <c r="M49" i="203"/>
  <c r="AR49" i="203"/>
  <c r="S49" i="203"/>
  <c r="H49" i="203"/>
  <c r="Y49" i="203"/>
  <c r="AA49" i="203"/>
  <c r="L49" i="203"/>
  <c r="AO49" i="203"/>
  <c r="V49" i="203"/>
  <c r="AC49" i="203"/>
  <c r="AJ49" i="203"/>
  <c r="Z49" i="203"/>
  <c r="AK49" i="203"/>
  <c r="U54" i="208"/>
  <c r="A2" i="25"/>
  <c r="B2" i="38"/>
  <c r="B2" i="84"/>
  <c r="D88" i="191"/>
  <c r="B87" i="191"/>
  <c r="B86" i="191"/>
  <c r="E81" i="191"/>
  <c r="D87" i="191" s="1"/>
  <c r="E87" i="191" s="1"/>
  <c r="D78" i="191"/>
  <c r="C78" i="191"/>
  <c r="E77" i="191"/>
  <c r="E76" i="191"/>
  <c r="E75" i="191"/>
  <c r="B65" i="191"/>
  <c r="B64" i="191"/>
  <c r="B57" i="191"/>
  <c r="B56" i="191"/>
  <c r="E50" i="191"/>
  <c r="D65" i="191" s="1"/>
  <c r="E47" i="191"/>
  <c r="D47" i="191"/>
  <c r="C47" i="191"/>
  <c r="E46" i="191"/>
  <c r="E45" i="191"/>
  <c r="E44" i="191"/>
  <c r="E49" i="191" s="1"/>
  <c r="B36" i="191"/>
  <c r="B35" i="191"/>
  <c r="B20" i="191"/>
  <c r="B19" i="191"/>
  <c r="E13" i="191"/>
  <c r="E10" i="191"/>
  <c r="D10" i="191"/>
  <c r="C10" i="191"/>
  <c r="E9" i="191"/>
  <c r="E8" i="191"/>
  <c r="E7" i="191"/>
  <c r="E12" i="191" s="1"/>
  <c r="R37" i="208" l="1"/>
  <c r="AK37" i="206"/>
  <c r="AR37" i="208"/>
  <c r="AE37" i="208"/>
  <c r="E9" i="216"/>
  <c r="K9" i="216" s="1"/>
  <c r="I9" i="216"/>
  <c r="L9" i="216"/>
  <c r="J9" i="216"/>
  <c r="AN54" i="206"/>
  <c r="E10" i="216"/>
  <c r="P37" i="206"/>
  <c r="P38" i="206" s="1"/>
  <c r="P39" i="206" s="1"/>
  <c r="P42" i="206" s="1"/>
  <c r="P45" i="206" s="1"/>
  <c r="AS37" i="206"/>
  <c r="AS38" i="206" s="1"/>
  <c r="AS39" i="206" s="1"/>
  <c r="AS42" i="206" s="1"/>
  <c r="AS45" i="206" s="1"/>
  <c r="AN37" i="206"/>
  <c r="O37" i="206"/>
  <c r="AD54" i="206"/>
  <c r="AG54" i="206"/>
  <c r="J37" i="206"/>
  <c r="AM37" i="206"/>
  <c r="AM38" i="206" s="1"/>
  <c r="AM39" i="206" s="1"/>
  <c r="AM42" i="206" s="1"/>
  <c r="AM45" i="206" s="1"/>
  <c r="F37" i="208"/>
  <c r="F38" i="208" s="1"/>
  <c r="F39" i="208" s="1"/>
  <c r="F42" i="208" s="1"/>
  <c r="F45" i="208" s="1"/>
  <c r="O54" i="208"/>
  <c r="AS54" i="206"/>
  <c r="AK54" i="206"/>
  <c r="N37" i="206"/>
  <c r="N38" i="206" s="1"/>
  <c r="N39" i="206" s="1"/>
  <c r="N42" i="206" s="1"/>
  <c r="N45" i="206" s="1"/>
  <c r="AT37" i="206"/>
  <c r="L37" i="206"/>
  <c r="AF39" i="206"/>
  <c r="AF42" i="206" s="1"/>
  <c r="AF45" i="206" s="1"/>
  <c r="AP54" i="208"/>
  <c r="N37" i="208"/>
  <c r="N38" i="208" s="1"/>
  <c r="N39" i="208" s="1"/>
  <c r="N42" i="208" s="1"/>
  <c r="N45" i="208" s="1"/>
  <c r="AO37" i="206"/>
  <c r="D20" i="207"/>
  <c r="T37" i="206"/>
  <c r="T38" i="206" s="1"/>
  <c r="T39" i="206" s="1"/>
  <c r="T42" i="206" s="1"/>
  <c r="T45" i="206" s="1"/>
  <c r="W54" i="208"/>
  <c r="AT54" i="206"/>
  <c r="V54" i="208"/>
  <c r="P54" i="206"/>
  <c r="Y37" i="208"/>
  <c r="Q54" i="208"/>
  <c r="M37" i="206"/>
  <c r="R54" i="208"/>
  <c r="L54" i="206"/>
  <c r="I37" i="206"/>
  <c r="I38" i="206" s="1"/>
  <c r="I39" i="206" s="1"/>
  <c r="I42" i="206" s="1"/>
  <c r="I45" i="206" s="1"/>
  <c r="AH37" i="208"/>
  <c r="AH38" i="208" s="1"/>
  <c r="AH39" i="208" s="1"/>
  <c r="AH42" i="208" s="1"/>
  <c r="AH45" i="208" s="1"/>
  <c r="Q37" i="208"/>
  <c r="Q38" i="208" s="1"/>
  <c r="F42" i="206"/>
  <c r="F45" i="206" s="1"/>
  <c r="B12" i="202"/>
  <c r="F32" i="203"/>
  <c r="F34" i="203"/>
  <c r="F52" i="203" s="1"/>
  <c r="F33" i="203"/>
  <c r="K38" i="208"/>
  <c r="K39" i="208" s="1"/>
  <c r="K42" i="208" s="1"/>
  <c r="K45" i="208" s="1"/>
  <c r="AJ32" i="203"/>
  <c r="AJ34" i="203"/>
  <c r="AJ52" i="203" s="1"/>
  <c r="AJ33" i="203"/>
  <c r="AH54" i="208"/>
  <c r="M38" i="206"/>
  <c r="M39" i="206" s="1"/>
  <c r="M42" i="206" s="1"/>
  <c r="M45" i="206" s="1"/>
  <c r="AO38" i="206"/>
  <c r="AO39" i="206" s="1"/>
  <c r="AO42" i="206" s="1"/>
  <c r="AO45" i="206" s="1"/>
  <c r="AC32" i="203"/>
  <c r="AC34" i="203"/>
  <c r="AC52" i="203" s="1"/>
  <c r="AC33" i="203"/>
  <c r="AR32" i="203"/>
  <c r="AR34" i="203"/>
  <c r="AR52" i="203" s="1"/>
  <c r="AR33" i="203"/>
  <c r="K33" i="203"/>
  <c r="K32" i="203"/>
  <c r="K34" i="203"/>
  <c r="K52" i="203" s="1"/>
  <c r="P34" i="203"/>
  <c r="P52" i="203" s="1"/>
  <c r="P33" i="203"/>
  <c r="P32" i="203"/>
  <c r="AF34" i="203"/>
  <c r="AF52" i="203" s="1"/>
  <c r="AF32" i="203"/>
  <c r="AF33" i="203"/>
  <c r="AQ38" i="206"/>
  <c r="AQ39" i="206" s="1"/>
  <c r="AQ42" i="206" s="1"/>
  <c r="AQ45" i="206" s="1"/>
  <c r="AH38" i="206"/>
  <c r="AH39" i="206" s="1"/>
  <c r="AH42" i="206" s="1"/>
  <c r="AH45" i="206" s="1"/>
  <c r="I54" i="206"/>
  <c r="O54" i="206"/>
  <c r="V37" i="208"/>
  <c r="AU35" i="208"/>
  <c r="AM38" i="208"/>
  <c r="AM39" i="208" s="1"/>
  <c r="AM42" i="208" s="1"/>
  <c r="AM45" i="208" s="1"/>
  <c r="AD37" i="206"/>
  <c r="AJ38" i="206"/>
  <c r="AJ39" i="206" s="1"/>
  <c r="AJ42" i="206" s="1"/>
  <c r="AJ45" i="206" s="1"/>
  <c r="W37" i="208"/>
  <c r="N54" i="208"/>
  <c r="M54" i="206"/>
  <c r="AO54" i="206"/>
  <c r="X37" i="206"/>
  <c r="N54" i="206"/>
  <c r="Z33" i="203"/>
  <c r="Z32" i="203"/>
  <c r="Z34" i="203"/>
  <c r="Z52" i="203" s="1"/>
  <c r="N32" i="203"/>
  <c r="N34" i="203"/>
  <c r="N52" i="203" s="1"/>
  <c r="N33" i="203"/>
  <c r="AQ38" i="208"/>
  <c r="AQ39" i="208" s="1"/>
  <c r="AQ42" i="208" s="1"/>
  <c r="AQ45" i="208" s="1"/>
  <c r="M32" i="203"/>
  <c r="M34" i="203"/>
  <c r="M52" i="203" s="1"/>
  <c r="M33" i="203"/>
  <c r="I33" i="203"/>
  <c r="I34" i="203"/>
  <c r="I52" i="203" s="1"/>
  <c r="I32" i="203"/>
  <c r="AG38" i="208"/>
  <c r="AG39" i="208" s="1"/>
  <c r="AG42" i="208" s="1"/>
  <c r="AG45" i="208" s="1"/>
  <c r="AO34" i="203"/>
  <c r="AO52" i="203" s="1"/>
  <c r="AO33" i="203"/>
  <c r="AO32" i="203"/>
  <c r="AB33" i="203"/>
  <c r="AB32" i="203"/>
  <c r="AB34" i="203"/>
  <c r="AB52" i="203" s="1"/>
  <c r="AL32" i="203"/>
  <c r="AL34" i="203"/>
  <c r="AL52" i="203" s="1"/>
  <c r="AL33" i="203"/>
  <c r="AG34" i="203"/>
  <c r="AG52" i="203" s="1"/>
  <c r="AG33" i="203"/>
  <c r="AG32" i="203"/>
  <c r="O34" i="203"/>
  <c r="O52" i="203" s="1"/>
  <c r="O32" i="203"/>
  <c r="O33" i="203"/>
  <c r="Z54" i="208"/>
  <c r="AG37" i="206"/>
  <c r="H38" i="208"/>
  <c r="H39" i="208" s="1"/>
  <c r="H42" i="208" s="1"/>
  <c r="H45" i="208" s="1"/>
  <c r="AR54" i="208"/>
  <c r="L38" i="206"/>
  <c r="L39" i="206" s="1"/>
  <c r="L42" i="206" s="1"/>
  <c r="L45" i="206" s="1"/>
  <c r="AE34" i="203"/>
  <c r="AE52" i="203" s="1"/>
  <c r="AE33" i="203"/>
  <c r="AE32" i="203"/>
  <c r="AU35" i="206"/>
  <c r="S33" i="203"/>
  <c r="S32" i="203"/>
  <c r="S34" i="203"/>
  <c r="S52" i="203" s="1"/>
  <c r="AN38" i="206"/>
  <c r="AN39" i="206" s="1"/>
  <c r="AN42" i="206" s="1"/>
  <c r="AN45" i="206" s="1"/>
  <c r="V32" i="203"/>
  <c r="V34" i="203"/>
  <c r="V52" i="203" s="1"/>
  <c r="V33" i="203"/>
  <c r="AQ33" i="203"/>
  <c r="AQ32" i="203"/>
  <c r="AQ34" i="203"/>
  <c r="AQ52" i="203" s="1"/>
  <c r="Z38" i="208"/>
  <c r="Z39" i="208" s="1"/>
  <c r="Z42" i="208" s="1"/>
  <c r="Z45" i="208" s="1"/>
  <c r="AR38" i="208"/>
  <c r="AR39" i="208" s="1"/>
  <c r="AR42" i="208" s="1"/>
  <c r="AR45" i="208" s="1"/>
  <c r="I38" i="208"/>
  <c r="I39" i="208" s="1"/>
  <c r="I42" i="208" s="1"/>
  <c r="I45" i="208" s="1"/>
  <c r="L32" i="203"/>
  <c r="L33" i="203"/>
  <c r="L34" i="203"/>
  <c r="L52" i="203" s="1"/>
  <c r="J33" i="203"/>
  <c r="J34" i="203"/>
  <c r="J52" i="203" s="1"/>
  <c r="J32" i="203"/>
  <c r="AM34" i="203"/>
  <c r="AM52" i="203" s="1"/>
  <c r="AM32" i="203"/>
  <c r="AM33" i="203"/>
  <c r="G34" i="203"/>
  <c r="G52" i="203" s="1"/>
  <c r="G32" i="203"/>
  <c r="G33" i="203"/>
  <c r="W34" i="203"/>
  <c r="W52" i="203" s="1"/>
  <c r="W33" i="203"/>
  <c r="W32" i="203"/>
  <c r="AU52" i="208"/>
  <c r="E53" i="208"/>
  <c r="D37" i="207"/>
  <c r="Y38" i="206"/>
  <c r="Y39" i="206" s="1"/>
  <c r="Y42" i="206" s="1"/>
  <c r="Y45" i="206" s="1"/>
  <c r="AA38" i="206"/>
  <c r="AA39" i="206" s="1"/>
  <c r="AA42" i="206" s="1"/>
  <c r="AA45" i="206" s="1"/>
  <c r="AS38" i="208"/>
  <c r="AS39" i="208" s="1"/>
  <c r="AS42" i="208" s="1"/>
  <c r="AS45" i="208" s="1"/>
  <c r="G38" i="208"/>
  <c r="G39" i="208" s="1"/>
  <c r="G42" i="208" s="1"/>
  <c r="G45" i="208" s="1"/>
  <c r="AE37" i="206"/>
  <c r="AE38" i="208"/>
  <c r="AE39" i="208" s="1"/>
  <c r="AE42" i="208" s="1"/>
  <c r="AE45" i="208" s="1"/>
  <c r="H34" i="203"/>
  <c r="H52" i="203" s="1"/>
  <c r="H33" i="203"/>
  <c r="H32" i="203"/>
  <c r="AT38" i="208"/>
  <c r="AT39" i="208" s="1"/>
  <c r="AT42" i="208" s="1"/>
  <c r="AT45" i="208" s="1"/>
  <c r="AR38" i="206"/>
  <c r="AR39" i="206" s="1"/>
  <c r="AR42" i="206" s="1"/>
  <c r="AR45" i="206" s="1"/>
  <c r="R33" i="203"/>
  <c r="R32" i="203"/>
  <c r="R34" i="203"/>
  <c r="R52" i="203" s="1"/>
  <c r="AN34" i="203"/>
  <c r="AN52" i="203" s="1"/>
  <c r="AN33" i="203"/>
  <c r="AN32" i="203"/>
  <c r="AA33" i="203"/>
  <c r="AA32" i="203"/>
  <c r="AA34" i="203"/>
  <c r="AA52" i="203" s="1"/>
  <c r="AP33" i="203"/>
  <c r="AP32" i="203"/>
  <c r="AP34" i="203"/>
  <c r="AP52" i="203" s="1"/>
  <c r="Q33" i="203"/>
  <c r="Q34" i="203"/>
  <c r="Q52" i="203" s="1"/>
  <c r="Q32" i="203"/>
  <c r="AD32" i="203"/>
  <c r="AD34" i="203"/>
  <c r="AD52" i="203" s="1"/>
  <c r="AD33" i="203"/>
  <c r="AS32" i="203"/>
  <c r="AS33" i="203"/>
  <c r="AS34" i="203"/>
  <c r="AS52" i="203" s="1"/>
  <c r="F19" i="207"/>
  <c r="AN54" i="208"/>
  <c r="Y54" i="206"/>
  <c r="AA54" i="206"/>
  <c r="AS54" i="208"/>
  <c r="Y54" i="208"/>
  <c r="AP37" i="208"/>
  <c r="AM54" i="206"/>
  <c r="AU29" i="209"/>
  <c r="E37" i="209"/>
  <c r="AE54" i="206"/>
  <c r="O37" i="208"/>
  <c r="R38" i="208"/>
  <c r="R39" i="208" s="1"/>
  <c r="R42" i="208" s="1"/>
  <c r="R45" i="208" s="1"/>
  <c r="AE54" i="208"/>
  <c r="AH33" i="203"/>
  <c r="AH34" i="203"/>
  <c r="AH52" i="203" s="1"/>
  <c r="AH32" i="203"/>
  <c r="J38" i="206"/>
  <c r="J39" i="206" s="1"/>
  <c r="J42" i="206" s="1"/>
  <c r="J45" i="206" s="1"/>
  <c r="X34" i="203"/>
  <c r="X52" i="203" s="1"/>
  <c r="X33" i="203"/>
  <c r="X32" i="203"/>
  <c r="O38" i="206"/>
  <c r="O39" i="206" s="1"/>
  <c r="O42" i="206" s="1"/>
  <c r="O45" i="206" s="1"/>
  <c r="AK32" i="203"/>
  <c r="AK34" i="203"/>
  <c r="AK52" i="203" s="1"/>
  <c r="AK33" i="203"/>
  <c r="Y33" i="203"/>
  <c r="Y34" i="203"/>
  <c r="Y52" i="203" s="1"/>
  <c r="Y32" i="203"/>
  <c r="U32" i="203"/>
  <c r="U33" i="203"/>
  <c r="U34" i="203"/>
  <c r="U52" i="203" s="1"/>
  <c r="T33" i="203"/>
  <c r="T32" i="203"/>
  <c r="T34" i="203"/>
  <c r="T52" i="203" s="1"/>
  <c r="AI33" i="203"/>
  <c r="AI32" i="203"/>
  <c r="AI34" i="203"/>
  <c r="AI52" i="203" s="1"/>
  <c r="E32" i="203"/>
  <c r="AT49" i="203"/>
  <c r="E34" i="203"/>
  <c r="E33" i="203"/>
  <c r="AT54" i="208"/>
  <c r="E37" i="207"/>
  <c r="E53" i="206"/>
  <c r="E54" i="206" s="1"/>
  <c r="AN37" i="208"/>
  <c r="AI38" i="206"/>
  <c r="AI39" i="206" s="1"/>
  <c r="AI42" i="206" s="1"/>
  <c r="AI45" i="206" s="1"/>
  <c r="T54" i="206"/>
  <c r="Y38" i="208"/>
  <c r="Y39" i="208" s="1"/>
  <c r="Y42" i="208" s="1"/>
  <c r="Y45" i="208" s="1"/>
  <c r="E20" i="207"/>
  <c r="F18" i="207"/>
  <c r="J54" i="206"/>
  <c r="AK38" i="206"/>
  <c r="AK39" i="206" s="1"/>
  <c r="AK42" i="206" s="1"/>
  <c r="AK45" i="206" s="1"/>
  <c r="F54" i="208"/>
  <c r="AT38" i="206"/>
  <c r="AT39" i="206" s="1"/>
  <c r="AT42" i="206" s="1"/>
  <c r="AT45" i="206" s="1"/>
  <c r="K38" i="206"/>
  <c r="K39" i="206" s="1"/>
  <c r="K42" i="206" s="1"/>
  <c r="K45" i="206" s="1"/>
  <c r="E65" i="191"/>
  <c r="D66" i="191"/>
  <c r="C19" i="191"/>
  <c r="E51" i="191"/>
  <c r="C64" i="191"/>
  <c r="C56" i="191"/>
  <c r="E80" i="191"/>
  <c r="E78" i="191"/>
  <c r="E83" i="191" s="1"/>
  <c r="D20" i="191"/>
  <c r="D57" i="191"/>
  <c r="E52" i="191"/>
  <c r="D36" i="191"/>
  <c r="G9" i="216" l="1"/>
  <c r="F9" i="216"/>
  <c r="H9" i="216"/>
  <c r="G11" i="216"/>
  <c r="G19" i="216" s="1"/>
  <c r="G21" i="216" s="1"/>
  <c r="N9" i="216"/>
  <c r="K11" i="216"/>
  <c r="K19" i="216" s="1"/>
  <c r="K21" i="216" s="1"/>
  <c r="F20" i="207"/>
  <c r="L10" i="216"/>
  <c r="L11" i="216" s="1"/>
  <c r="L19" i="216" s="1"/>
  <c r="L21" i="216" s="1"/>
  <c r="G10" i="216"/>
  <c r="F10" i="216"/>
  <c r="K10" i="216"/>
  <c r="H10" i="216"/>
  <c r="H11" i="216" s="1"/>
  <c r="H19" i="216" s="1"/>
  <c r="H21" i="216" s="1"/>
  <c r="I10" i="216"/>
  <c r="I11" i="216" s="1"/>
  <c r="I19" i="216" s="1"/>
  <c r="I21" i="216" s="1"/>
  <c r="J10" i="216"/>
  <c r="J11" i="216" s="1"/>
  <c r="J19" i="216" s="1"/>
  <c r="J21" i="216" s="1"/>
  <c r="E11" i="216"/>
  <c r="E19" i="216" s="1"/>
  <c r="E21" i="216" s="1"/>
  <c r="O21" i="216" s="1"/>
  <c r="AJ35" i="203"/>
  <c r="V35" i="203"/>
  <c r="AE35" i="203"/>
  <c r="AM35" i="203"/>
  <c r="AI35" i="203"/>
  <c r="Q39" i="208"/>
  <c r="Q42" i="208" s="1"/>
  <c r="Q45" i="208" s="1"/>
  <c r="AL35" i="203"/>
  <c r="M35" i="203"/>
  <c r="AK35" i="203"/>
  <c r="K35" i="203"/>
  <c r="AG35" i="203"/>
  <c r="I35" i="203"/>
  <c r="AO35" i="203"/>
  <c r="T35" i="203"/>
  <c r="AP53" i="203"/>
  <c r="AP29" i="203" s="1"/>
  <c r="AM53" i="203"/>
  <c r="AM29" i="203" s="1"/>
  <c r="AM37" i="203" s="1"/>
  <c r="O35" i="203"/>
  <c r="AB53" i="203"/>
  <c r="AB29" i="203" s="1"/>
  <c r="AD38" i="206"/>
  <c r="AD39" i="206" s="1"/>
  <c r="AD42" i="206" s="1"/>
  <c r="AD45" i="206" s="1"/>
  <c r="P53" i="203"/>
  <c r="P29" i="203" s="1"/>
  <c r="AC53" i="203"/>
  <c r="AC29" i="203" s="1"/>
  <c r="AS53" i="203"/>
  <c r="AS29" i="203" s="1"/>
  <c r="AT33" i="203"/>
  <c r="AP38" i="208"/>
  <c r="AP39" i="208" s="1"/>
  <c r="AP42" i="208" s="1"/>
  <c r="AP45" i="208" s="1"/>
  <c r="AN35" i="203"/>
  <c r="W35" i="203"/>
  <c r="E52" i="203"/>
  <c r="AT34" i="203"/>
  <c r="AK53" i="203"/>
  <c r="AK29" i="203" s="1"/>
  <c r="AS35" i="203"/>
  <c r="AP35" i="203"/>
  <c r="AE38" i="206"/>
  <c r="AE39" i="206" s="1"/>
  <c r="AE42" i="206" s="1"/>
  <c r="AE45" i="206" s="1"/>
  <c r="J35" i="203"/>
  <c r="V53" i="203"/>
  <c r="V29" i="203" s="1"/>
  <c r="V37" i="203" s="1"/>
  <c r="O53" i="203"/>
  <c r="O29" i="203" s="1"/>
  <c r="AB35" i="203"/>
  <c r="X38" i="206"/>
  <c r="X39" i="206"/>
  <c r="X42" i="206" s="1"/>
  <c r="X45" i="206" s="1"/>
  <c r="K53" i="203"/>
  <c r="K29" i="203" s="1"/>
  <c r="AC35" i="203"/>
  <c r="U53" i="203"/>
  <c r="U29" i="203" s="1"/>
  <c r="J53" i="203"/>
  <c r="J29" i="203" s="1"/>
  <c r="AN38" i="208"/>
  <c r="AN39" i="208" s="1"/>
  <c r="AN42" i="208" s="1"/>
  <c r="AN45" i="208" s="1"/>
  <c r="R53" i="203"/>
  <c r="R29" i="203" s="1"/>
  <c r="I53" i="203"/>
  <c r="I29" i="203" s="1"/>
  <c r="I54" i="203"/>
  <c r="F53" i="203"/>
  <c r="F29" i="203" s="1"/>
  <c r="E38" i="207"/>
  <c r="E29" i="206"/>
  <c r="AI53" i="203"/>
  <c r="AI29" i="203" s="1"/>
  <c r="U35" i="203"/>
  <c r="AH35" i="203"/>
  <c r="AD35" i="203"/>
  <c r="AA35" i="203"/>
  <c r="R35" i="203"/>
  <c r="H35" i="203"/>
  <c r="G35" i="203"/>
  <c r="L53" i="203"/>
  <c r="L29" i="203" s="1"/>
  <c r="AG53" i="203"/>
  <c r="AG29" i="203" s="1"/>
  <c r="N35" i="203"/>
  <c r="V38" i="208"/>
  <c r="V39" i="208" s="1"/>
  <c r="V42" i="208" s="1"/>
  <c r="V45" i="208" s="1"/>
  <c r="AF35" i="203"/>
  <c r="F35" i="203"/>
  <c r="X53" i="203"/>
  <c r="X29" i="203" s="1"/>
  <c r="AN53" i="203"/>
  <c r="AN29" i="203" s="1"/>
  <c r="W53" i="203"/>
  <c r="W29" i="203" s="1"/>
  <c r="E35" i="203"/>
  <c r="AT32" i="203"/>
  <c r="AD53" i="203"/>
  <c r="AD29" i="203" s="1"/>
  <c r="Y35" i="203"/>
  <c r="X35" i="203"/>
  <c r="AH53" i="203"/>
  <c r="AH29" i="203" s="1"/>
  <c r="E38" i="209"/>
  <c r="AU38" i="209" s="1"/>
  <c r="AU37" i="209"/>
  <c r="Q35" i="203"/>
  <c r="E29" i="208"/>
  <c r="AU53" i="208"/>
  <c r="D38" i="207"/>
  <c r="D39" i="207" s="1"/>
  <c r="G53" i="203"/>
  <c r="G29" i="203" s="1"/>
  <c r="AQ53" i="203"/>
  <c r="AQ29" i="203" s="1"/>
  <c r="S53" i="203"/>
  <c r="S29" i="203" s="1"/>
  <c r="AE53" i="203"/>
  <c r="AE29" i="203" s="1"/>
  <c r="AE37" i="203" s="1"/>
  <c r="AO53" i="203"/>
  <c r="AO29" i="203" s="1"/>
  <c r="Z53" i="203"/>
  <c r="Z29" i="203" s="1"/>
  <c r="W38" i="208"/>
  <c r="W39" i="208" s="1"/>
  <c r="W42" i="208" s="1"/>
  <c r="W45" i="208" s="1"/>
  <c r="AF53" i="203"/>
  <c r="AF29" i="203" s="1"/>
  <c r="AR53" i="203"/>
  <c r="AR29" i="203" s="1"/>
  <c r="T53" i="203"/>
  <c r="T29" i="203" s="1"/>
  <c r="O38" i="208"/>
  <c r="O39" i="208" s="1"/>
  <c r="O42" i="208" s="1"/>
  <c r="O45" i="208" s="1"/>
  <c r="AA53" i="203"/>
  <c r="AA29" i="203" s="1"/>
  <c r="AG38" i="206"/>
  <c r="AG39" i="206" s="1"/>
  <c r="AG42" i="206" s="1"/>
  <c r="AG45" i="206" s="1"/>
  <c r="N53" i="203"/>
  <c r="N29" i="203" s="1"/>
  <c r="F37" i="207"/>
  <c r="Y53" i="203"/>
  <c r="Y29" i="203" s="1"/>
  <c r="Q53" i="203"/>
  <c r="Q29" i="203" s="1"/>
  <c r="H53" i="203"/>
  <c r="H29" i="203" s="1"/>
  <c r="H54" i="203"/>
  <c r="E54" i="208"/>
  <c r="AU54" i="208" s="1"/>
  <c r="L35" i="203"/>
  <c r="AQ35" i="203"/>
  <c r="S35" i="203"/>
  <c r="AL53" i="203"/>
  <c r="AL29" i="203" s="1"/>
  <c r="M53" i="203"/>
  <c r="M29" i="203" s="1"/>
  <c r="Z35" i="203"/>
  <c r="P35" i="203"/>
  <c r="AR35" i="203"/>
  <c r="AJ53" i="203"/>
  <c r="AJ29" i="203" s="1"/>
  <c r="E64" i="191"/>
  <c r="E68" i="191" s="1"/>
  <c r="C66" i="191"/>
  <c r="E66" i="191" s="1"/>
  <c r="C21" i="191"/>
  <c r="E19" i="191"/>
  <c r="E69" i="191"/>
  <c r="D58" i="191"/>
  <c r="E57" i="191"/>
  <c r="C58" i="191"/>
  <c r="E56" i="191"/>
  <c r="D21" i="191"/>
  <c r="E20" i="191"/>
  <c r="E36" i="191"/>
  <c r="D37" i="191"/>
  <c r="C86" i="191"/>
  <c r="C35" i="191"/>
  <c r="E82" i="191"/>
  <c r="E39" i="209" l="1"/>
  <c r="G13" i="113"/>
  <c r="H23" i="216"/>
  <c r="K13" i="113"/>
  <c r="L23" i="216"/>
  <c r="I13" i="113"/>
  <c r="J23" i="216"/>
  <c r="H13" i="113"/>
  <c r="I23" i="216"/>
  <c r="F13" i="113"/>
  <c r="G23" i="216"/>
  <c r="O37" i="203"/>
  <c r="AJ37" i="203"/>
  <c r="N10" i="216"/>
  <c r="J13" i="113"/>
  <c r="K23" i="216"/>
  <c r="AL54" i="203"/>
  <c r="F11" i="216"/>
  <c r="AO37" i="203"/>
  <c r="AI37" i="203"/>
  <c r="AO54" i="203"/>
  <c r="I37" i="203"/>
  <c r="W54" i="203"/>
  <c r="AG54" i="203"/>
  <c r="P54" i="203"/>
  <c r="T37" i="203"/>
  <c r="T38" i="203" s="1"/>
  <c r="T39" i="203" s="1"/>
  <c r="T42" i="203" s="1"/>
  <c r="T45" i="203" s="1"/>
  <c r="M37" i="203"/>
  <c r="M38" i="203" s="1"/>
  <c r="M39" i="203" s="1"/>
  <c r="M42" i="203" s="1"/>
  <c r="M45" i="203" s="1"/>
  <c r="AL37" i="203"/>
  <c r="AL38" i="203" s="1"/>
  <c r="AL39" i="203" s="1"/>
  <c r="AL42" i="203" s="1"/>
  <c r="AL45" i="203" s="1"/>
  <c r="G54" i="203"/>
  <c r="N54" i="203"/>
  <c r="AN54" i="203"/>
  <c r="AC54" i="203"/>
  <c r="F37" i="203"/>
  <c r="F38" i="203" s="1"/>
  <c r="F39" i="203" s="1"/>
  <c r="F42" i="203" s="1"/>
  <c r="F45" i="203" s="1"/>
  <c r="K37" i="203"/>
  <c r="K38" i="203" s="1"/>
  <c r="K39" i="203" s="1"/>
  <c r="K42" i="203" s="1"/>
  <c r="K45" i="203" s="1"/>
  <c r="H37" i="203"/>
  <c r="H38" i="203" s="1"/>
  <c r="H39" i="203" s="1"/>
  <c r="H42" i="203" s="1"/>
  <c r="H45" i="203" s="1"/>
  <c r="AF37" i="203"/>
  <c r="AF38" i="203" s="1"/>
  <c r="G37" i="203"/>
  <c r="AN37" i="203"/>
  <c r="AN38" i="203" s="1"/>
  <c r="AN39" i="203" s="1"/>
  <c r="AN42" i="203" s="1"/>
  <c r="AN45" i="203" s="1"/>
  <c r="O54" i="203"/>
  <c r="AK37" i="203"/>
  <c r="AP54" i="203"/>
  <c r="Z37" i="203"/>
  <c r="Z38" i="203" s="1"/>
  <c r="Z39" i="203" s="1"/>
  <c r="Z42" i="203" s="1"/>
  <c r="Z45" i="203" s="1"/>
  <c r="AH54" i="203"/>
  <c r="AG37" i="203"/>
  <c r="AG38" i="203" s="1"/>
  <c r="AG39" i="203" s="1"/>
  <c r="AG42" i="203" s="1"/>
  <c r="AG45" i="203" s="1"/>
  <c r="Q54" i="203"/>
  <c r="AA54" i="203"/>
  <c r="AD37" i="203"/>
  <c r="AD38" i="203" s="1"/>
  <c r="AD39" i="203" s="1"/>
  <c r="AD42" i="203" s="1"/>
  <c r="AD45" i="203" s="1"/>
  <c r="F38" i="207"/>
  <c r="J37" i="203"/>
  <c r="J38" i="203" s="1"/>
  <c r="J39" i="203" s="1"/>
  <c r="J42" i="203" s="1"/>
  <c r="J45" i="203" s="1"/>
  <c r="Y54" i="203"/>
  <c r="S37" i="203"/>
  <c r="S38" i="203" s="1"/>
  <c r="S39" i="203" s="1"/>
  <c r="S42" i="203" s="1"/>
  <c r="S45" i="203" s="1"/>
  <c r="F54" i="203"/>
  <c r="U37" i="203"/>
  <c r="U38" i="203" s="1"/>
  <c r="U39" i="203" s="1"/>
  <c r="U42" i="203" s="1"/>
  <c r="U45" i="203" s="1"/>
  <c r="V54" i="203"/>
  <c r="AK54" i="203"/>
  <c r="AM54" i="203"/>
  <c r="E39" i="207"/>
  <c r="F39" i="207" s="1"/>
  <c r="S54" i="203"/>
  <c r="AD54" i="203"/>
  <c r="X54" i="203"/>
  <c r="J54" i="203"/>
  <c r="P37" i="203"/>
  <c r="AP37" i="203"/>
  <c r="M54" i="203"/>
  <c r="N37" i="203"/>
  <c r="T54" i="203"/>
  <c r="Z54" i="203"/>
  <c r="AQ54" i="203"/>
  <c r="L54" i="203"/>
  <c r="I38" i="203"/>
  <c r="I39" i="203" s="1"/>
  <c r="I42" i="203" s="1"/>
  <c r="I45" i="203" s="1"/>
  <c r="U54" i="203"/>
  <c r="O38" i="203"/>
  <c r="O39" i="203" s="1"/>
  <c r="O42" i="203" s="1"/>
  <c r="O45" i="203" s="1"/>
  <c r="AT35" i="203"/>
  <c r="AI38" i="203"/>
  <c r="AI39" i="203" s="1"/>
  <c r="AI42" i="203" s="1"/>
  <c r="AI45" i="203" s="1"/>
  <c r="R37" i="203"/>
  <c r="AS37" i="203"/>
  <c r="AB37" i="203"/>
  <c r="AE38" i="203"/>
  <c r="AE39" i="203" s="1"/>
  <c r="AE42" i="203" s="1"/>
  <c r="AE45" i="203" s="1"/>
  <c r="AU29" i="208"/>
  <c r="D14" i="207"/>
  <c r="E37" i="208"/>
  <c r="AM38" i="203"/>
  <c r="AM39" i="203" s="1"/>
  <c r="AM42" i="203" s="1"/>
  <c r="AM45" i="203" s="1"/>
  <c r="AQ37" i="203"/>
  <c r="X37" i="203"/>
  <c r="AJ38" i="203"/>
  <c r="AJ39" i="203" s="1"/>
  <c r="AJ42" i="203" s="1"/>
  <c r="AJ45" i="203" s="1"/>
  <c r="Q37" i="203"/>
  <c r="AR54" i="203"/>
  <c r="AO38" i="203"/>
  <c r="AO39" i="203" s="1"/>
  <c r="AO42" i="203" s="1"/>
  <c r="AO45" i="203" s="1"/>
  <c r="G38" i="203"/>
  <c r="G39" i="203" s="1"/>
  <c r="G42" i="203" s="1"/>
  <c r="G45" i="203" s="1"/>
  <c r="AH37" i="203"/>
  <c r="AI54" i="203"/>
  <c r="R54" i="203"/>
  <c r="V38" i="203"/>
  <c r="V39" i="203" s="1"/>
  <c r="V42" i="203" s="1"/>
  <c r="V45" i="203" s="1"/>
  <c r="AS54" i="203"/>
  <c r="AB54" i="203"/>
  <c r="AU39" i="209"/>
  <c r="E42" i="209"/>
  <c r="L37" i="203"/>
  <c r="AR37" i="203"/>
  <c r="AJ54" i="203"/>
  <c r="Y37" i="203"/>
  <c r="AA37" i="203"/>
  <c r="AF54" i="203"/>
  <c r="AE54" i="203"/>
  <c r="W37" i="203"/>
  <c r="E14" i="207"/>
  <c r="AU29" i="206"/>
  <c r="E37" i="206"/>
  <c r="K54" i="203"/>
  <c r="E53" i="203"/>
  <c r="AT52" i="203"/>
  <c r="AC37" i="203"/>
  <c r="E21" i="191"/>
  <c r="E22" i="191" s="1"/>
  <c r="E67" i="191"/>
  <c r="F71" i="191" s="1"/>
  <c r="E71" i="191" s="1"/>
  <c r="E58" i="191"/>
  <c r="E59" i="191" s="1"/>
  <c r="E35" i="191"/>
  <c r="C37" i="191"/>
  <c r="E37" i="191" s="1"/>
  <c r="E38" i="191" s="1"/>
  <c r="E86" i="191"/>
  <c r="C88" i="191"/>
  <c r="E88" i="191" s="1"/>
  <c r="F19" i="216" l="1"/>
  <c r="N11" i="216"/>
  <c r="AK38" i="203"/>
  <c r="AK39" i="203" s="1"/>
  <c r="AK42" i="203" s="1"/>
  <c r="AK45" i="203" s="1"/>
  <c r="AF39" i="203"/>
  <c r="AF42" i="203" s="1"/>
  <c r="AF45" i="203" s="1"/>
  <c r="AT53" i="203"/>
  <c r="E29" i="203"/>
  <c r="E54" i="203"/>
  <c r="AT54" i="203" s="1"/>
  <c r="AA38" i="203"/>
  <c r="AA39" i="203" s="1"/>
  <c r="AA42" i="203" s="1"/>
  <c r="AA45" i="203" s="1"/>
  <c r="L38" i="203"/>
  <c r="L39" i="203" s="1"/>
  <c r="L42" i="203" s="1"/>
  <c r="L45" i="203" s="1"/>
  <c r="AB38" i="203"/>
  <c r="AB39" i="203" s="1"/>
  <c r="AB42" i="203" s="1"/>
  <c r="AB45" i="203" s="1"/>
  <c r="AS38" i="203"/>
  <c r="AS39" i="203" s="1"/>
  <c r="AS42" i="203" s="1"/>
  <c r="AS45" i="203" s="1"/>
  <c r="E22" i="207"/>
  <c r="E38" i="206"/>
  <c r="E39" i="206" s="1"/>
  <c r="AU37" i="206"/>
  <c r="Q38" i="203"/>
  <c r="Q39" i="203" s="1"/>
  <c r="Q42" i="203" s="1"/>
  <c r="Q45" i="203" s="1"/>
  <c r="P38" i="203"/>
  <c r="P39" i="203" s="1"/>
  <c r="P42" i="203" s="1"/>
  <c r="P45" i="203" s="1"/>
  <c r="AR38" i="203"/>
  <c r="AR39" i="203" s="1"/>
  <c r="AR42" i="203" s="1"/>
  <c r="AR45" i="203" s="1"/>
  <c r="N38" i="203"/>
  <c r="N39" i="203" s="1"/>
  <c r="N42" i="203" s="1"/>
  <c r="N45" i="203" s="1"/>
  <c r="AU42" i="209"/>
  <c r="E45" i="209"/>
  <c r="X38" i="203"/>
  <c r="X39" i="203"/>
  <c r="X42" i="203" s="1"/>
  <c r="X45" i="203" s="1"/>
  <c r="AP38" i="203"/>
  <c r="AP39" i="203" s="1"/>
  <c r="AP42" i="203" s="1"/>
  <c r="AP45" i="203" s="1"/>
  <c r="AQ38" i="203"/>
  <c r="AQ39" i="203" s="1"/>
  <c r="AQ42" i="203" s="1"/>
  <c r="AQ45" i="203" s="1"/>
  <c r="R38" i="203"/>
  <c r="R39" i="203" s="1"/>
  <c r="R42" i="203" s="1"/>
  <c r="R45" i="203" s="1"/>
  <c r="F14" i="207"/>
  <c r="AH38" i="203"/>
  <c r="AH39" i="203" s="1"/>
  <c r="AH42" i="203" s="1"/>
  <c r="AH45" i="203" s="1"/>
  <c r="Y38" i="203"/>
  <c r="Y39" i="203" s="1"/>
  <c r="Y42" i="203" s="1"/>
  <c r="Y45" i="203" s="1"/>
  <c r="AC38" i="203"/>
  <c r="AC39" i="203" s="1"/>
  <c r="AC42" i="203" s="1"/>
  <c r="AC45" i="203" s="1"/>
  <c r="W38" i="203"/>
  <c r="W39" i="203" s="1"/>
  <c r="W42" i="203" s="1"/>
  <c r="W45" i="203" s="1"/>
  <c r="AU37" i="208"/>
  <c r="E38" i="208"/>
  <c r="D22" i="207"/>
  <c r="E90" i="191"/>
  <c r="E89" i="191"/>
  <c r="E91" i="191"/>
  <c r="E24" i="191"/>
  <c r="E23" i="191"/>
  <c r="E61" i="191"/>
  <c r="E60" i="191"/>
  <c r="E10" i="84" l="1"/>
  <c r="E9" i="84"/>
  <c r="F21" i="216"/>
  <c r="N19" i="216"/>
  <c r="E9" i="215"/>
  <c r="E10" i="215"/>
  <c r="AU39" i="206"/>
  <c r="E42" i="206"/>
  <c r="AU38" i="208"/>
  <c r="D23" i="207"/>
  <c r="D24" i="207" s="1"/>
  <c r="D27" i="207" s="1"/>
  <c r="D5" i="207" s="1"/>
  <c r="E39" i="208"/>
  <c r="AT29" i="203"/>
  <c r="E37" i="203"/>
  <c r="F22" i="207"/>
  <c r="E23" i="207"/>
  <c r="AU38" i="206"/>
  <c r="E13" i="113" l="1"/>
  <c r="F23" i="216"/>
  <c r="E23" i="216" s="1"/>
  <c r="N21" i="216"/>
  <c r="F23" i="207"/>
  <c r="H10" i="215"/>
  <c r="K10" i="215"/>
  <c r="F10" i="215"/>
  <c r="G10" i="215"/>
  <c r="J10" i="215"/>
  <c r="L10" i="215"/>
  <c r="I10" i="215"/>
  <c r="G9" i="215"/>
  <c r="I9" i="215"/>
  <c r="H9" i="215"/>
  <c r="J9" i="215"/>
  <c r="K9" i="215"/>
  <c r="E11" i="215"/>
  <c r="F9" i="215"/>
  <c r="L9" i="215"/>
  <c r="L11" i="215" s="1"/>
  <c r="AU39" i="208"/>
  <c r="E42" i="208"/>
  <c r="E24" i="207"/>
  <c r="E38" i="203"/>
  <c r="AT38" i="203" s="1"/>
  <c r="AT37" i="203"/>
  <c r="E45" i="206"/>
  <c r="E30" i="207" s="1"/>
  <c r="AU42" i="206"/>
  <c r="K11" i="215" l="1"/>
  <c r="K26" i="215" s="1"/>
  <c r="K28" i="215" s="1"/>
  <c r="J15" i="113" s="1"/>
  <c r="J11" i="215"/>
  <c r="J26" i="215" s="1"/>
  <c r="J28" i="215" s="1"/>
  <c r="H11" i="215"/>
  <c r="H26" i="215" s="1"/>
  <c r="H28" i="215" s="1"/>
  <c r="G15" i="113" s="1"/>
  <c r="I11" i="215"/>
  <c r="I26" i="215" s="1"/>
  <c r="I28" i="215" s="1"/>
  <c r="G11" i="215"/>
  <c r="G26" i="215" s="1"/>
  <c r="G28" i="215" s="1"/>
  <c r="F15" i="113" s="1"/>
  <c r="L26" i="215"/>
  <c r="L28" i="215" s="1"/>
  <c r="E39" i="203"/>
  <c r="F27" i="204" s="1"/>
  <c r="F28" i="204" s="1"/>
  <c r="B14" i="202" s="1"/>
  <c r="N10" i="215"/>
  <c r="E26" i="215"/>
  <c r="E28" i="215" s="1"/>
  <c r="O16" i="215"/>
  <c r="N9" i="215"/>
  <c r="F11" i="215"/>
  <c r="AU42" i="208"/>
  <c r="E45" i="208"/>
  <c r="D30" i="207" s="1"/>
  <c r="F30" i="207" s="1"/>
  <c r="F24" i="207"/>
  <c r="E27" i="207"/>
  <c r="O28" i="215" l="1"/>
  <c r="E42" i="203"/>
  <c r="AT42" i="203" s="1"/>
  <c r="J30" i="215"/>
  <c r="I15" i="113"/>
  <c r="I30" i="215"/>
  <c r="H15" i="113"/>
  <c r="AT39" i="203"/>
  <c r="F26" i="215"/>
  <c r="N11" i="215"/>
  <c r="G30" i="215"/>
  <c r="H30" i="215"/>
  <c r="K30" i="215"/>
  <c r="L30" i="215"/>
  <c r="K15" i="113"/>
  <c r="E45" i="203"/>
  <c r="E28" i="207"/>
  <c r="E5" i="207"/>
  <c r="F5" i="207" s="1"/>
  <c r="F6" i="207" s="1"/>
  <c r="B13" i="202" s="1"/>
  <c r="B15" i="202" s="1"/>
  <c r="F27" i="207"/>
  <c r="F28" i="215" l="1"/>
  <c r="N26" i="215"/>
  <c r="E15" i="113" l="1"/>
  <c r="F30" i="215"/>
  <c r="E30" i="215" s="1"/>
  <c r="N28" i="215"/>
  <c r="D25" i="24" l="1"/>
  <c r="J26" i="24" s="1"/>
  <c r="D19" i="24"/>
  <c r="K20" i="24" s="1"/>
  <c r="H20" i="24" l="1"/>
  <c r="E20" i="24"/>
  <c r="G26" i="24"/>
  <c r="K26" i="24"/>
  <c r="I20" i="24"/>
  <c r="H26" i="24"/>
  <c r="F20" i="24"/>
  <c r="J20" i="24"/>
  <c r="E26" i="24"/>
  <c r="I26" i="24"/>
  <c r="G20" i="24"/>
  <c r="F26" i="24"/>
  <c r="D20" i="24" l="1"/>
  <c r="D26" i="24"/>
  <c r="A12" i="113" l="1"/>
  <c r="A13" i="113" s="1"/>
  <c r="A17" i="113" s="1"/>
  <c r="A18" i="113" s="1"/>
  <c r="A19" i="113" s="1"/>
  <c r="A20" i="113" s="1"/>
  <c r="A21" i="113" s="1"/>
  <c r="A22" i="113" s="1"/>
  <c r="E11" i="84" l="1"/>
  <c r="O17" i="84" l="1"/>
  <c r="E23" i="84"/>
  <c r="E25" i="84" s="1"/>
  <c r="O25" i="84" s="1"/>
  <c r="E11" i="38" l="1"/>
  <c r="E16" i="38" l="1"/>
  <c r="M26" i="25"/>
  <c r="L26" i="25"/>
  <c r="K26" i="25"/>
  <c r="J26" i="25"/>
  <c r="I26" i="25"/>
  <c r="H26" i="25"/>
  <c r="G26" i="25"/>
  <c r="F26" i="25"/>
  <c r="E26" i="25"/>
  <c r="D26" i="25"/>
  <c r="C26" i="25"/>
  <c r="B26" i="25"/>
  <c r="M25" i="25"/>
  <c r="L25" i="25"/>
  <c r="K25" i="25"/>
  <c r="J25" i="25"/>
  <c r="I25" i="25"/>
  <c r="H25" i="25"/>
  <c r="G25" i="25"/>
  <c r="F25" i="25"/>
  <c r="E25" i="25"/>
  <c r="D25" i="25"/>
  <c r="C25" i="25"/>
  <c r="B25" i="25"/>
  <c r="M24" i="25"/>
  <c r="L24" i="25"/>
  <c r="K24" i="25"/>
  <c r="J24" i="25"/>
  <c r="I24" i="25"/>
  <c r="H24" i="25"/>
  <c r="G24" i="25"/>
  <c r="F24" i="25"/>
  <c r="E24" i="25"/>
  <c r="D24" i="25"/>
  <c r="C24" i="25"/>
  <c r="B24" i="25"/>
  <c r="M22" i="25"/>
  <c r="L22" i="25"/>
  <c r="K22" i="25"/>
  <c r="J22" i="25"/>
  <c r="I22" i="25"/>
  <c r="H22" i="25"/>
  <c r="G22" i="25"/>
  <c r="F22" i="25"/>
  <c r="E22" i="25"/>
  <c r="D22" i="25"/>
  <c r="C22" i="25"/>
  <c r="B22" i="25"/>
  <c r="N21" i="25"/>
  <c r="K18" i="113" s="1"/>
  <c r="N20" i="25"/>
  <c r="N19" i="25"/>
  <c r="N18" i="25"/>
  <c r="N17" i="25"/>
  <c r="N16" i="25"/>
  <c r="N15" i="25"/>
  <c r="J18" i="113" s="1"/>
  <c r="N14" i="25"/>
  <c r="I18" i="113" s="1"/>
  <c r="N13" i="25"/>
  <c r="H18" i="113" s="1"/>
  <c r="N12" i="25"/>
  <c r="N11" i="25"/>
  <c r="F18" i="113" s="1"/>
  <c r="N10" i="25"/>
  <c r="N9" i="25"/>
  <c r="N8" i="25"/>
  <c r="E18" i="113" s="1"/>
  <c r="C7" i="25"/>
  <c r="D7" i="25" s="1"/>
  <c r="E7" i="25" s="1"/>
  <c r="F7" i="25" s="1"/>
  <c r="G7" i="25" s="1"/>
  <c r="H7" i="25" s="1"/>
  <c r="I7" i="25" s="1"/>
  <c r="J7" i="25" s="1"/>
  <c r="K7" i="25" s="1"/>
  <c r="L7" i="25" s="1"/>
  <c r="M7" i="25" s="1"/>
  <c r="A4" i="25" s="1"/>
  <c r="B27" i="25" l="1"/>
  <c r="B28" i="25" s="1"/>
  <c r="J27" i="25"/>
  <c r="J28" i="25" s="1"/>
  <c r="H27" i="25"/>
  <c r="G18" i="113"/>
  <c r="D18" i="113" s="1"/>
  <c r="G27" i="25"/>
  <c r="G28" i="25" s="1"/>
  <c r="I27" i="25"/>
  <c r="I28" i="25" s="1"/>
  <c r="C27" i="25"/>
  <c r="C28" i="25" s="1"/>
  <c r="K27" i="25"/>
  <c r="K28" i="25" s="1"/>
  <c r="D27" i="25"/>
  <c r="D28" i="25" s="1"/>
  <c r="L27" i="25"/>
  <c r="L28" i="25" s="1"/>
  <c r="E27" i="25"/>
  <c r="E28" i="25" s="1"/>
  <c r="M27" i="25"/>
  <c r="M28" i="25" s="1"/>
  <c r="F27" i="25"/>
  <c r="F28" i="25" s="1"/>
  <c r="H28" i="25"/>
  <c r="N25" i="25"/>
  <c r="N26" i="25"/>
  <c r="N22" i="25"/>
  <c r="N24" i="25"/>
  <c r="N27" i="25" l="1"/>
  <c r="N28" i="25" s="1"/>
  <c r="M18" i="113"/>
  <c r="D14" i="24"/>
  <c r="K11" i="24"/>
  <c r="J11" i="24"/>
  <c r="I11" i="24"/>
  <c r="H11" i="24"/>
  <c r="G11" i="24"/>
  <c r="F11" i="24"/>
  <c r="E11" i="24"/>
  <c r="D10" i="24"/>
  <c r="D9" i="24"/>
  <c r="K16" i="24"/>
  <c r="J16" i="24"/>
  <c r="I16" i="24"/>
  <c r="H16" i="24"/>
  <c r="G16" i="24"/>
  <c r="F16" i="24"/>
  <c r="E16" i="24"/>
  <c r="D15" i="24"/>
  <c r="D11" i="24" l="1"/>
  <c r="M11" i="24" s="1"/>
  <c r="D16" i="24"/>
  <c r="M16" i="24" s="1"/>
  <c r="I12" i="24"/>
  <c r="K17" i="24" l="1"/>
  <c r="E17" i="24"/>
  <c r="J17" i="24"/>
  <c r="K10" i="84" s="1"/>
  <c r="G17" i="24"/>
  <c r="H17" i="24"/>
  <c r="I10" i="84" s="1"/>
  <c r="F17" i="24"/>
  <c r="I17" i="24"/>
  <c r="H12" i="24"/>
  <c r="I9" i="84" s="1"/>
  <c r="F15" i="38"/>
  <c r="I15" i="38"/>
  <c r="J14" i="84"/>
  <c r="J9" i="84"/>
  <c r="J14" i="38"/>
  <c r="L15" i="84"/>
  <c r="L10" i="84"/>
  <c r="L15" i="38"/>
  <c r="E12" i="24"/>
  <c r="F14" i="84" s="1"/>
  <c r="F12" i="24"/>
  <c r="G12" i="24"/>
  <c r="J12" i="24"/>
  <c r="K12" i="24"/>
  <c r="I15" i="84" l="1"/>
  <c r="G10" i="84"/>
  <c r="F15" i="84"/>
  <c r="F10" i="84"/>
  <c r="H15" i="84"/>
  <c r="H15" i="38"/>
  <c r="K15" i="84"/>
  <c r="H10" i="84"/>
  <c r="K15" i="38"/>
  <c r="G15" i="84"/>
  <c r="J10" i="84"/>
  <c r="J11" i="84" s="1"/>
  <c r="D17" i="24"/>
  <c r="G15" i="38"/>
  <c r="I11" i="84"/>
  <c r="J15" i="38"/>
  <c r="J16" i="38" s="1"/>
  <c r="J15" i="84"/>
  <c r="I14" i="38"/>
  <c r="I16" i="38" s="1"/>
  <c r="I14" i="84"/>
  <c r="L9" i="84"/>
  <c r="L11" i="84" s="1"/>
  <c r="L14" i="84"/>
  <c r="L16" i="84" s="1"/>
  <c r="L14" i="38"/>
  <c r="L16" i="38" s="1"/>
  <c r="F9" i="84"/>
  <c r="F14" i="38"/>
  <c r="H9" i="84"/>
  <c r="H14" i="84"/>
  <c r="H14" i="38"/>
  <c r="K9" i="84"/>
  <c r="K11" i="84" s="1"/>
  <c r="K14" i="84"/>
  <c r="K14" i="38"/>
  <c r="G9" i="84"/>
  <c r="G14" i="84"/>
  <c r="G14" i="38"/>
  <c r="K9" i="38"/>
  <c r="H9" i="38"/>
  <c r="G9" i="38"/>
  <c r="E19" i="38"/>
  <c r="E21" i="38" s="1"/>
  <c r="F9" i="38"/>
  <c r="L9" i="38"/>
  <c r="J9" i="38"/>
  <c r="I9" i="38"/>
  <c r="J10" i="38"/>
  <c r="G10" i="38"/>
  <c r="F10" i="38"/>
  <c r="L10" i="38"/>
  <c r="I10" i="38"/>
  <c r="H10" i="38"/>
  <c r="K10" i="38"/>
  <c r="D12" i="24"/>
  <c r="H16" i="84" l="1"/>
  <c r="L23" i="84"/>
  <c r="L25" i="84" s="1"/>
  <c r="I16" i="84"/>
  <c r="I23" i="84" s="1"/>
  <c r="I25" i="84" s="1"/>
  <c r="G11" i="84"/>
  <c r="G16" i="84"/>
  <c r="K16" i="84"/>
  <c r="K23" i="84" s="1"/>
  <c r="K25" i="84" s="1"/>
  <c r="K16" i="38"/>
  <c r="H16" i="38"/>
  <c r="N10" i="84"/>
  <c r="H11" i="84"/>
  <c r="H23" i="84" s="1"/>
  <c r="H25" i="84" s="1"/>
  <c r="N15" i="84"/>
  <c r="N15" i="38"/>
  <c r="G16" i="38"/>
  <c r="J16" i="84"/>
  <c r="J23" i="84" s="1"/>
  <c r="J25" i="84" s="1"/>
  <c r="F16" i="38"/>
  <c r="N14" i="38"/>
  <c r="F16" i="84"/>
  <c r="N14" i="84"/>
  <c r="F11" i="84"/>
  <c r="N9" i="84"/>
  <c r="L11" i="38"/>
  <c r="L19" i="38" s="1"/>
  <c r="L21" i="38" s="1"/>
  <c r="H11" i="38"/>
  <c r="I11" i="38"/>
  <c r="K11" i="38"/>
  <c r="N10" i="38"/>
  <c r="J11" i="38"/>
  <c r="J19" i="38" s="1"/>
  <c r="J21" i="38" s="1"/>
  <c r="I12" i="113" s="1"/>
  <c r="G11" i="38"/>
  <c r="F11" i="38"/>
  <c r="N9" i="38"/>
  <c r="G23" i="84" l="1"/>
  <c r="G25" i="84" s="1"/>
  <c r="H19" i="38"/>
  <c r="H21" i="38" s="1"/>
  <c r="G12" i="113" s="1"/>
  <c r="F23" i="84"/>
  <c r="F25" i="84" s="1"/>
  <c r="I14" i="113"/>
  <c r="G14" i="113"/>
  <c r="H14" i="113"/>
  <c r="K14" i="113"/>
  <c r="J14" i="113"/>
  <c r="K19" i="38"/>
  <c r="K21" i="38" s="1"/>
  <c r="J12" i="113" s="1"/>
  <c r="G19" i="38"/>
  <c r="G21" i="38" s="1"/>
  <c r="F12" i="113" s="1"/>
  <c r="N16" i="38"/>
  <c r="I27" i="84"/>
  <c r="N16" i="84"/>
  <c r="L23" i="38"/>
  <c r="K12" i="113"/>
  <c r="H27" i="84"/>
  <c r="F19" i="38"/>
  <c r="F21" i="38" s="1"/>
  <c r="E12" i="113" s="1"/>
  <c r="N11" i="84"/>
  <c r="K27" i="84"/>
  <c r="J27" i="84"/>
  <c r="L27" i="84"/>
  <c r="N11" i="38"/>
  <c r="I19" i="38"/>
  <c r="I21" i="38" s="1"/>
  <c r="H12" i="113" s="1"/>
  <c r="K23" i="38"/>
  <c r="J23" i="38"/>
  <c r="H23" i="38" l="1"/>
  <c r="I16" i="113"/>
  <c r="I21" i="113" s="1"/>
  <c r="E14" i="219" s="1"/>
  <c r="H16" i="113"/>
  <c r="H21" i="113" s="1"/>
  <c r="E13" i="219" s="1"/>
  <c r="K16" i="113"/>
  <c r="K21" i="113" s="1"/>
  <c r="E21" i="219" s="1"/>
  <c r="G21" i="219" s="1"/>
  <c r="H21" i="219" s="1"/>
  <c r="G16" i="113"/>
  <c r="G21" i="113" s="1"/>
  <c r="E12" i="219" s="1"/>
  <c r="F14" i="113"/>
  <c r="F27" i="84"/>
  <c r="E14" i="113"/>
  <c r="J16" i="113"/>
  <c r="J21" i="113" s="1"/>
  <c r="E15" i="219" s="1"/>
  <c r="G27" i="84"/>
  <c r="G23" i="38"/>
  <c r="D12" i="113"/>
  <c r="N12" i="113" s="1"/>
  <c r="D15" i="113"/>
  <c r="N15" i="113" s="1"/>
  <c r="D13" i="113"/>
  <c r="N13" i="113" s="1"/>
  <c r="N23" i="84"/>
  <c r="I23" i="38"/>
  <c r="N19" i="38"/>
  <c r="F23" i="38"/>
  <c r="N21" i="38"/>
  <c r="E17" i="219" l="1"/>
  <c r="G17" i="219" s="1"/>
  <c r="H17" i="219" s="1"/>
  <c r="G12" i="219"/>
  <c r="H12" i="219" s="1"/>
  <c r="I21" i="219"/>
  <c r="T23" i="217"/>
  <c r="E18" i="219"/>
  <c r="G18" i="219" s="1"/>
  <c r="H18" i="219" s="1"/>
  <c r="G13" i="219"/>
  <c r="H13" i="219" s="1"/>
  <c r="G14" i="219"/>
  <c r="H14" i="219" s="1"/>
  <c r="E19" i="219"/>
  <c r="G19" i="219" s="1"/>
  <c r="H19" i="219" s="1"/>
  <c r="G15" i="219"/>
  <c r="H15" i="219" s="1"/>
  <c r="E20" i="219"/>
  <c r="G20" i="219" s="1"/>
  <c r="H20" i="219" s="1"/>
  <c r="D14" i="113"/>
  <c r="M13" i="113"/>
  <c r="F16" i="113"/>
  <c r="F21" i="113" s="1"/>
  <c r="E11" i="219" s="1"/>
  <c r="M14" i="113"/>
  <c r="N14" i="113"/>
  <c r="M15" i="113"/>
  <c r="D16" i="113"/>
  <c r="N16" i="113" s="1"/>
  <c r="M12" i="113"/>
  <c r="E16" i="113"/>
  <c r="E21" i="113" s="1"/>
  <c r="E9" i="219" s="1"/>
  <c r="E27" i="84"/>
  <c r="N25" i="84"/>
  <c r="E23" i="38"/>
  <c r="I19" i="219" l="1"/>
  <c r="T21" i="217"/>
  <c r="U21" i="217" s="1"/>
  <c r="I14" i="219"/>
  <c r="T16" i="217"/>
  <c r="I13" i="219"/>
  <c r="T15" i="217"/>
  <c r="T20" i="217"/>
  <c r="U20" i="217" s="1"/>
  <c r="I18" i="219"/>
  <c r="E10" i="219"/>
  <c r="G10" i="219" s="1"/>
  <c r="H10" i="219" s="1"/>
  <c r="G9" i="219"/>
  <c r="G24" i="218"/>
  <c r="G25" i="218" s="1"/>
  <c r="E16" i="219"/>
  <c r="G16" i="219" s="1"/>
  <c r="H16" i="219" s="1"/>
  <c r="G11" i="219"/>
  <c r="H11" i="219" s="1"/>
  <c r="T33" i="217"/>
  <c r="U33" i="217" s="1"/>
  <c r="U23" i="217"/>
  <c r="T22" i="217"/>
  <c r="U22" i="217" s="1"/>
  <c r="I20" i="219"/>
  <c r="I12" i="219"/>
  <c r="T14" i="217"/>
  <c r="I15" i="219"/>
  <c r="T17" i="217"/>
  <c r="T19" i="217"/>
  <c r="U19" i="217" s="1"/>
  <c r="I17" i="219"/>
  <c r="E22" i="113"/>
  <c r="U15" i="217" l="1"/>
  <c r="T30" i="217"/>
  <c r="U30" i="217" s="1"/>
  <c r="I11" i="219"/>
  <c r="T13" i="217"/>
  <c r="G32" i="218"/>
  <c r="G38" i="218"/>
  <c r="H25" i="218"/>
  <c r="H32" i="218" s="1"/>
  <c r="H34" i="218" s="1"/>
  <c r="H35" i="218" s="1"/>
  <c r="H36" i="218" s="1"/>
  <c r="T32" i="217"/>
  <c r="U32" i="217" s="1"/>
  <c r="U17" i="217"/>
  <c r="I16" i="219"/>
  <c r="T18" i="217"/>
  <c r="U18" i="217" s="1"/>
  <c r="T31" i="217"/>
  <c r="U31" i="217" s="1"/>
  <c r="U16" i="217"/>
  <c r="U14" i="217"/>
  <c r="T29" i="217"/>
  <c r="U29" i="217" s="1"/>
  <c r="H9" i="219"/>
  <c r="G22" i="219"/>
  <c r="T12" i="217"/>
  <c r="U12" i="217" s="1"/>
  <c r="I10" i="219"/>
  <c r="T11" i="217" l="1"/>
  <c r="I9" i="219"/>
  <c r="H22" i="219"/>
  <c r="I22" i="219" s="1"/>
  <c r="T28" i="217"/>
  <c r="U28" i="217" s="1"/>
  <c r="U13" i="217"/>
  <c r="U11" i="217" l="1"/>
  <c r="T24" i="217"/>
  <c r="U24" i="217" s="1"/>
  <c r="T27" i="217"/>
  <c r="T34" i="217" l="1"/>
  <c r="U34" i="217" s="1"/>
  <c r="U27" i="217"/>
</calcChain>
</file>

<file path=xl/sharedStrings.xml><?xml version="1.0" encoding="utf-8"?>
<sst xmlns="http://schemas.openxmlformats.org/spreadsheetml/2006/main" count="1092" uniqueCount="430">
  <si>
    <t>Puget Sound Energy</t>
  </si>
  <si>
    <t>IPL-CRM REVENUE REQUIREMENT MODEL</t>
  </si>
  <si>
    <t>Program Year</t>
  </si>
  <si>
    <t>(Spending November 1 to October 31)</t>
  </si>
  <si>
    <t>Input Capital Costs and Rates</t>
  </si>
  <si>
    <t xml:space="preserve">Weighted </t>
  </si>
  <si>
    <t>Cost of Capital</t>
  </si>
  <si>
    <t>% of Capital</t>
  </si>
  <si>
    <t>Cost</t>
  </si>
  <si>
    <t>Common Equity</t>
  </si>
  <si>
    <t>Total Pre Tax Cost of Capital</t>
  </si>
  <si>
    <t>Federal Tax Rate</t>
  </si>
  <si>
    <t xml:space="preserve">Revenue Sensitive Rate </t>
  </si>
  <si>
    <t>Depreciation Rate</t>
  </si>
  <si>
    <t>Bonus Tax Depreciation toggled  (1 = yes, 2 = no)</t>
  </si>
  <si>
    <t>Replacement Plan Investment</t>
  </si>
  <si>
    <t>Normalized Investment (baseline)</t>
  </si>
  <si>
    <t>Investment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</si>
  <si>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</si>
  <si>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</si>
  <si>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</si>
  <si>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</si>
  <si>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</si>
  <si>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</si>
  <si>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</si>
  <si>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</si>
  <si>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</si>
  <si>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</si>
  <si>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</si>
  <si>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</si>
  <si>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</si>
  <si>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</si>
  <si>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</si>
  <si>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</si>
  <si>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</si>
  <si>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</si>
  <si>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</si>
  <si>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</si>
  <si>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</si>
  <si>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</si>
  <si>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</si>
  <si>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</si>
  <si>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</si>
  <si>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</si>
  <si>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</si>
  <si>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</si>
  <si>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</si>
  <si>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</si>
  <si>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</si>
  <si>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</si>
  <si>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</si>
  <si>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</si>
  <si>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</si>
  <si>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Depreciation</t>
  </si>
  <si>
    <t>Federal Taxes on Equity Return</t>
  </si>
  <si>
    <t>Return on Rate Base</t>
  </si>
  <si>
    <t>Long Term Debt</t>
  </si>
  <si>
    <t>Short Term Debt</t>
  </si>
  <si>
    <t xml:space="preserve">      Total Return</t>
  </si>
  <si>
    <t xml:space="preserve">Cost of Service </t>
  </si>
  <si>
    <t>Revenue Sensitive Items</t>
  </si>
  <si>
    <t>Total  Cost of Service</t>
  </si>
  <si>
    <t>Total Cost of Service (Capital &amp; O&amp;M)</t>
  </si>
  <si>
    <t>Annual Cost of Service as % of Investment</t>
  </si>
  <si>
    <t>Rate Base - net of deprec. &amp; def. tax</t>
  </si>
  <si>
    <t>Federal Taxable Equity Income</t>
  </si>
  <si>
    <t>Less:  Federal Tax</t>
  </si>
  <si>
    <t>Return</t>
  </si>
  <si>
    <t>Book Depreciation</t>
  </si>
  <si>
    <t>Tax Depreciation</t>
  </si>
  <si>
    <t>Book-Tax Difference</t>
  </si>
  <si>
    <t>Tax Effect</t>
  </si>
  <si>
    <t>MACRS Depreciation - 20</t>
  </si>
  <si>
    <t>MACRS Depreciation - 20 year - Bonus</t>
  </si>
  <si>
    <t>Year 36</t>
  </si>
  <si>
    <t>Year 37</t>
  </si>
  <si>
    <t>PUGET SOUND ENERGY</t>
  </si>
  <si>
    <t>COST RECOVERY MECHANISM</t>
  </si>
  <si>
    <t>COST BREAKDOWN BY PROGRAM</t>
  </si>
  <si>
    <t>WBS Element</t>
  </si>
  <si>
    <t>WBS Description</t>
  </si>
  <si>
    <t>Total CRM Actual and Forecast</t>
  </si>
  <si>
    <t>Grand Total</t>
  </si>
  <si>
    <t>Mains</t>
  </si>
  <si>
    <t>Services</t>
  </si>
  <si>
    <t>DEPRECIATION EXPENSE CALCULATION</t>
  </si>
  <si>
    <t>Type</t>
  </si>
  <si>
    <t>Rate per Study</t>
  </si>
  <si>
    <t>FERC G376</t>
  </si>
  <si>
    <t>FERC G380</t>
  </si>
  <si>
    <t>Total</t>
  </si>
  <si>
    <t>Main</t>
  </si>
  <si>
    <t>Total Annual Depr</t>
  </si>
  <si>
    <t>WEIGHTED AVERAGE COMPOSITE RATE</t>
  </si>
  <si>
    <t>Actuals Nov 2016 - July 2017</t>
  </si>
  <si>
    <t>R.10015.03.04.01</t>
  </si>
  <si>
    <t>G-DIMP DUPONT PIPE REPL-MAIN WITH SERV</t>
  </si>
  <si>
    <t>R.10015.03.04.02</t>
  </si>
  <si>
    <t>G-DIMP OLDER STW REPL-MAIN WITH SERVICE</t>
  </si>
  <si>
    <t>R.10015.03.04.03</t>
  </si>
  <si>
    <t>G-DIMP OLDER STW REPL-SERVICE ONLY</t>
  </si>
  <si>
    <t>Program Years</t>
  </si>
  <si>
    <t>True Up Amount</t>
  </si>
  <si>
    <t>Year</t>
  </si>
  <si>
    <t>Check</t>
  </si>
  <si>
    <t>Table</t>
  </si>
  <si>
    <t>Apply 50% Bonus</t>
  </si>
  <si>
    <t>Apply 40% Bonus</t>
  </si>
  <si>
    <t>LINE</t>
  </si>
  <si>
    <t>NO.</t>
  </si>
  <si>
    <t>DESCRIPTION</t>
  </si>
  <si>
    <t>RATE</t>
  </si>
  <si>
    <t>BAD DEBTS</t>
  </si>
  <si>
    <t>ANNUAL FILING FEE</t>
  </si>
  <si>
    <t>SUM OF TAXES OTHER</t>
  </si>
  <si>
    <t>True Up</t>
  </si>
  <si>
    <t>31, 31T</t>
  </si>
  <si>
    <t>41, 41T</t>
  </si>
  <si>
    <t>86, 86T</t>
  </si>
  <si>
    <t>87, 87T</t>
  </si>
  <si>
    <t>Allocation</t>
  </si>
  <si>
    <t>23, 16, 53</t>
  </si>
  <si>
    <t>Commercial &amp;</t>
  </si>
  <si>
    <t>Large</t>
  </si>
  <si>
    <t>85, 85T</t>
  </si>
  <si>
    <t>Limited</t>
  </si>
  <si>
    <t>Non-Exclusive</t>
  </si>
  <si>
    <t>Factor</t>
  </si>
  <si>
    <t>Residential</t>
  </si>
  <si>
    <t>Industrial</t>
  </si>
  <si>
    <t>Volume</t>
  </si>
  <si>
    <t>Interruptible</t>
  </si>
  <si>
    <t>Contracts</t>
  </si>
  <si>
    <t>Rate per Therm</t>
  </si>
  <si>
    <t>Rate per Mantle</t>
  </si>
  <si>
    <t>23, 16</t>
  </si>
  <si>
    <t xml:space="preserve">Plant Revenue Requirement </t>
  </si>
  <si>
    <t>Revenue Requirement Before Other Taxes</t>
  </si>
  <si>
    <t>Revenue Taxes</t>
  </si>
  <si>
    <t>Revenue Requirement</t>
  </si>
  <si>
    <t>Percent of Total</t>
  </si>
  <si>
    <t>Account</t>
  </si>
  <si>
    <t>Description</t>
  </si>
  <si>
    <t>Services - Accum Reserve</t>
  </si>
  <si>
    <t>Services Total</t>
  </si>
  <si>
    <t>Percent</t>
  </si>
  <si>
    <t>Mains - Accum Reserve</t>
  </si>
  <si>
    <t>Mains Total</t>
  </si>
  <si>
    <t>Calculation of Schedule 149 Rates</t>
  </si>
  <si>
    <t>Schedules</t>
  </si>
  <si>
    <t xml:space="preserve">Total Revenue Requirement </t>
  </si>
  <si>
    <t>Line</t>
  </si>
  <si>
    <t>No.</t>
  </si>
  <si>
    <t>(a)</t>
  </si>
  <si>
    <t>(b)</t>
  </si>
  <si>
    <t>(c)</t>
  </si>
  <si>
    <t>(d)</t>
  </si>
  <si>
    <t>(e)</t>
  </si>
  <si>
    <t>(f)</t>
  </si>
  <si>
    <t>(g)</t>
  </si>
  <si>
    <t>(h)</t>
  </si>
  <si>
    <t>(i)</t>
  </si>
  <si>
    <t>Forecasted Therm Volumes</t>
  </si>
  <si>
    <t>Schedule</t>
  </si>
  <si>
    <t>31T</t>
  </si>
  <si>
    <t>41T</t>
  </si>
  <si>
    <t>85T</t>
  </si>
  <si>
    <t>86T</t>
  </si>
  <si>
    <t>87T</t>
  </si>
  <si>
    <t>Total Firm</t>
  </si>
  <si>
    <t>Total Interruptible</t>
  </si>
  <si>
    <t>Total Transportation</t>
  </si>
  <si>
    <t>Total Delivered</t>
  </si>
  <si>
    <t>Current Year</t>
  </si>
  <si>
    <t>Pre Tax Long and Short Term Debt</t>
  </si>
  <si>
    <t>Year 38</t>
  </si>
  <si>
    <t>Year 39</t>
  </si>
  <si>
    <t>Year 40</t>
  </si>
  <si>
    <t>Partial Year 41</t>
  </si>
  <si>
    <t>Actual October 2017</t>
  </si>
  <si>
    <t>Per Depreciation Study Adjustment</t>
  </si>
  <si>
    <t>ACCOUNT</t>
  </si>
  <si>
    <t>Pre Jan 1, 2018</t>
  </si>
  <si>
    <t>17 GRC rate, Jan 1, 2018</t>
  </si>
  <si>
    <t>NUMBER</t>
  </si>
  <si>
    <t>%</t>
  </si>
  <si>
    <t xml:space="preserve">MAINS - PLASTIC                           </t>
  </si>
  <si>
    <t>SERVICES - PLASTIC</t>
  </si>
  <si>
    <t>Rate per 2017 GRC Study</t>
  </si>
  <si>
    <t>FERC G376.2</t>
  </si>
  <si>
    <t>FERC G380.2</t>
  </si>
  <si>
    <t>Percent Mains</t>
  </si>
  <si>
    <t>Percent Services</t>
  </si>
  <si>
    <t>Rate per 2007 GRC Study</t>
  </si>
  <si>
    <t>Revenue Sensitive Items Rate</t>
  </si>
  <si>
    <t>2018 Projects 
In Service November to September Actual Costs</t>
  </si>
  <si>
    <t>2018 Projects 
 October Project Forecast</t>
  </si>
  <si>
    <t>Rates beginning November 1, 2019</t>
  </si>
  <si>
    <t>41 years of depr</t>
  </si>
  <si>
    <t>Partial last year due to composite rate</t>
  </si>
  <si>
    <t>2019 Program Year Allocated Cost of Service</t>
  </si>
  <si>
    <t>2018 - 2019</t>
  </si>
  <si>
    <t>2019 Projects 
In Service November to September Actual Costs</t>
  </si>
  <si>
    <t>WBS</t>
  </si>
  <si>
    <t>Revenue Requirement:</t>
  </si>
  <si>
    <t>Development of Allocation Factors</t>
  </si>
  <si>
    <t>Oper Mains &amp; Services Exp</t>
  </si>
  <si>
    <t>Oper Meter &amp; House Reg</t>
  </si>
  <si>
    <t>2019 - 2020</t>
  </si>
  <si>
    <t>Depreciation, Capital Spendings</t>
  </si>
  <si>
    <t>Total Cost of Service (Capital)</t>
  </si>
  <si>
    <t>CAPITAL</t>
  </si>
  <si>
    <t>Program</t>
  </si>
  <si>
    <t>Depr. Exp</t>
  </si>
  <si>
    <t>Buried Meters replacements</t>
  </si>
  <si>
    <t>R.10015.03.09.15</t>
  </si>
  <si>
    <t>DuPont Pipe Replacement Program</t>
  </si>
  <si>
    <t>COS Spread</t>
  </si>
  <si>
    <t>O&amp;M</t>
  </si>
  <si>
    <t>FERC</t>
  </si>
  <si>
    <t>Description of Charges</t>
  </si>
  <si>
    <t>Buried Meters mitigations</t>
  </si>
  <si>
    <t>R.99999.04.20.03</t>
  </si>
  <si>
    <t>InfraSource Labor</t>
  </si>
  <si>
    <t>Legacy Cross Bore inspections</t>
  </si>
  <si>
    <t>R.99999.04.37.10</t>
  </si>
  <si>
    <t>HydroMax Labor</t>
  </si>
  <si>
    <t>Legacy Cross Bore repairs</t>
  </si>
  <si>
    <t>R.99999.04.37.11</t>
  </si>
  <si>
    <t>Total for all programs</t>
  </si>
  <si>
    <t>Total O&amp;M Rev Req</t>
  </si>
  <si>
    <t>2019 Projects 
October Project Actuals</t>
  </si>
  <si>
    <t>2020 Program Year Allocated Cost of Service</t>
  </si>
  <si>
    <t>Mains (FERC 376)</t>
  </si>
  <si>
    <t>Services (FERC 380)</t>
  </si>
  <si>
    <t>Mains &amp; Services Expense (FERC 874)</t>
  </si>
  <si>
    <t>Sch. 149 CRM Rates:</t>
  </si>
  <si>
    <t>2019 GRC Compliance Filing</t>
  </si>
  <si>
    <t>Total True up</t>
  </si>
  <si>
    <t>EXH. SEF-3G page 2 of 3</t>
  </si>
  <si>
    <t>EXH. SEF-3G page 3 of 4</t>
  </si>
  <si>
    <t>PUGET SOUND ENERGY - NATURAL GAS</t>
  </si>
  <si>
    <t>RESULTS OF OPERATIONS</t>
  </si>
  <si>
    <t>2019 GENERAL RATE CASE</t>
  </si>
  <si>
    <t>12 MONTHS ENDED DECEMBER 31, 2018</t>
  </si>
  <si>
    <t>COST OF CAPITAL - PROFORMA</t>
  </si>
  <si>
    <t>CONVERSION FACTOR</t>
  </si>
  <si>
    <t>WEIGHTED</t>
  </si>
  <si>
    <t>STRUCTURE</t>
  </si>
  <si>
    <t>COST</t>
  </si>
  <si>
    <t>SHORT AND LONG TERM DEBT</t>
  </si>
  <si>
    <t>EQUITY</t>
  </si>
  <si>
    <t>TOTAL</t>
  </si>
  <si>
    <t>STATE UTILITY TAX ( 3.8323% - ( LINE 1 * 3.8323% )  )</t>
  </si>
  <si>
    <t>AFTER TAX SHORT TERM DEBT ( (LINE 1)* 79%)</t>
  </si>
  <si>
    <t>TOTAL AFTER TAX COST OF CAPITAL</t>
  </si>
  <si>
    <t>CONVERSION FACTOR EXCLUDING FEDERAL INCOME TAX ( 1 - LINE 6 )</t>
  </si>
  <si>
    <t>FEDERAL INCOME TAX ( LINE 7  * 21% )</t>
  </si>
  <si>
    <t xml:space="preserve">CONVERSION FACTOR INCL FEDERAL INCOME TAX ( LINE 7 - LINE 8 ) </t>
  </si>
  <si>
    <t>Check1</t>
  </si>
  <si>
    <t>Check2</t>
  </si>
  <si>
    <t>check</t>
  </si>
  <si>
    <t>2017 GRC</t>
  </si>
  <si>
    <t>2019 GRC</t>
  </si>
  <si>
    <t>Source: 2019 Gas General Rate Case, Docket UG-190530, compliance cost of service study.</t>
  </si>
  <si>
    <t>For the Period November 2019 - October 2020</t>
  </si>
  <si>
    <t>(See detail orders in the Summary All Program Orders Oct 2020 Filing)</t>
  </si>
  <si>
    <t xml:space="preserve">O &amp; M </t>
  </si>
  <si>
    <t>Actual (Nov 2019 - Sept 2020)</t>
  </si>
  <si>
    <t>Forecast Est. (October 2020)</t>
  </si>
  <si>
    <t>Total(Nov 2019 -Oct 2020)</t>
  </si>
  <si>
    <t xml:space="preserve">Total O&amp;M </t>
  </si>
  <si>
    <t>Dupont Plastic Replacement</t>
  </si>
  <si>
    <t>Buried Meters Replacements</t>
  </si>
  <si>
    <t>R.99999.03.09.15</t>
  </si>
  <si>
    <t>Total Capital</t>
  </si>
  <si>
    <t>Total O&amp;M + CAPITAL</t>
  </si>
  <si>
    <t>Maint Mains</t>
  </si>
  <si>
    <t>2021 Gas Schedule 149 Cost Recovery Mechanism For Pipeline Replacement (CRM) Filing (Preliminary)</t>
  </si>
  <si>
    <t>Proposed Effective November 1, 2021</t>
  </si>
  <si>
    <t>Source: F2021 Load Forecast Delivered Therms (07-22-2021)</t>
  </si>
  <si>
    <t>2021 PROGRAM YEAR</t>
  </si>
  <si>
    <t>August 2021 FILING</t>
  </si>
  <si>
    <t>2019 CRM Program, Year 3</t>
  </si>
  <si>
    <t>2020 CRM Program, Year 2</t>
  </si>
  <si>
    <t>2020 CRM Program, Year 1 True Up to Actuals</t>
  </si>
  <si>
    <t>2021 CRM Program, Year 1</t>
  </si>
  <si>
    <t>Total Revenue Requirement For Aug 2021 Filing</t>
  </si>
  <si>
    <t>2020 - 2021</t>
  </si>
  <si>
    <t>Actual Amount Nov 2020 - July 2021</t>
  </si>
  <si>
    <t>Forecast Aug - October 2021</t>
  </si>
  <si>
    <t>PSE Labor</t>
  </si>
  <si>
    <t>Remove Buried Meters mitigations in Rates</t>
  </si>
  <si>
    <t>Remove Legasy Cross Bore in Rates Estimate</t>
  </si>
  <si>
    <t>Total Capital from 2021 CRM tab</t>
  </si>
  <si>
    <t>.</t>
  </si>
  <si>
    <t>Support the Depreciation Rate</t>
  </si>
  <si>
    <t>TM Legend</t>
  </si>
  <si>
    <t>PSE included Buried Meters in its initial 2020 CRM filing, but, upon further investigation noted buried meter mitigation expenses were included in its historical test year in its 2019 GRC. These costs were above the amounts incurred between November 2019 through September 2020. Thus, PSE has removed these costs from this filing.</t>
  </si>
  <si>
    <t>Similar to above, Legacy Cross Bore costs were included in the test year of PSE's 2019 GRC. As only approximately 300 inspections were completed in 2018 as compared to over 7,300 in 2020, the costs have significantly increased and PSE is removing the estimated 2018 costs from this filing.</t>
  </si>
  <si>
    <t>AS FILED 10/16/2020</t>
  </si>
  <si>
    <t>TRUE UP FOR OCTOBER 2020 ACTUALS</t>
  </si>
  <si>
    <t>Actual October 2020 Amounts</t>
  </si>
  <si>
    <t>Total Actual CRM Program Year 2019-2020</t>
  </si>
  <si>
    <t>True up of 2020 CRM Year One</t>
  </si>
  <si>
    <t>Capital Investment</t>
  </si>
  <si>
    <t>Program Year 2020</t>
  </si>
  <si>
    <t>As  Filed Oct 16, 2020</t>
  </si>
  <si>
    <t>FILED ON OCT 16, 2020</t>
  </si>
  <si>
    <t>Projected Therms (Nov. 2021 - Oct. 2022)</t>
  </si>
  <si>
    <t>2021 Program Year Allocated Cost of Service</t>
  </si>
  <si>
    <t>Maint Services</t>
  </si>
  <si>
    <t>2020 Program Year True Up Allocated Cost of Service</t>
  </si>
  <si>
    <t>CAPITAL EXPENSE</t>
  </si>
  <si>
    <t>Maint Meters &amp; House Reg</t>
  </si>
  <si>
    <t>RSI</t>
  </si>
  <si>
    <t>Updated for RSI</t>
  </si>
  <si>
    <t>Mains, FERC 376</t>
  </si>
  <si>
    <t>Services, FERC 380</t>
  </si>
  <si>
    <t>G874</t>
  </si>
  <si>
    <t xml:space="preserve">Mains &amp; Services Expense </t>
  </si>
  <si>
    <t>G887</t>
  </si>
  <si>
    <t>Total 2019 CRM Actuals</t>
  </si>
  <si>
    <t>Rate Change Impacts by Rate Schedule</t>
  </si>
  <si>
    <t>Proposed Rates Effective November 1, 2021</t>
  </si>
  <si>
    <t>Forecasted</t>
  </si>
  <si>
    <t>UG-190530</t>
  </si>
  <si>
    <t>Therms</t>
  </si>
  <si>
    <t>12ME Oct. 2022</t>
  </si>
  <si>
    <t>Sch. 149</t>
  </si>
  <si>
    <t>Rate</t>
  </si>
  <si>
    <t>Margin</t>
  </si>
  <si>
    <t>Margin Rate</t>
  </si>
  <si>
    <t>Nov. 2021 -</t>
  </si>
  <si>
    <t>Sched 101</t>
  </si>
  <si>
    <t>Sched 106</t>
  </si>
  <si>
    <t>Sched 120</t>
  </si>
  <si>
    <t>Sched 129</t>
  </si>
  <si>
    <t>Sched 140</t>
  </si>
  <si>
    <t>Sched 141X</t>
  </si>
  <si>
    <t>Sched 141Y</t>
  </si>
  <si>
    <t>Sched 141Z</t>
  </si>
  <si>
    <t>Sched 142</t>
  </si>
  <si>
    <t>Sched 149</t>
  </si>
  <si>
    <t>Total Forecasted</t>
  </si>
  <si>
    <t>Revenue</t>
  </si>
  <si>
    <t>Rate Class</t>
  </si>
  <si>
    <r>
      <t>(Therms)</t>
    </r>
    <r>
      <rPr>
        <vertAlign val="superscript"/>
        <sz val="11"/>
        <color theme="1"/>
        <rFont val="Calibri"/>
        <family val="2"/>
      </rPr>
      <t xml:space="preserve"> (1)</t>
    </r>
  </si>
  <si>
    <r>
      <t>Revenue</t>
    </r>
    <r>
      <rPr>
        <vertAlign val="superscript"/>
        <sz val="11"/>
        <color theme="1"/>
        <rFont val="Calibri"/>
        <family val="2"/>
      </rPr>
      <t xml:space="preserve"> (1)</t>
    </r>
  </si>
  <si>
    <t>$/Therm</t>
  </si>
  <si>
    <t>Oct. 2022</t>
  </si>
  <si>
    <t>Margin Revenue</t>
  </si>
  <si>
    <r>
      <t>Revenue</t>
    </r>
    <r>
      <rPr>
        <vertAlign val="superscript"/>
        <sz val="11"/>
        <color theme="1"/>
        <rFont val="Calibri"/>
        <family val="2"/>
        <scheme val="minor"/>
      </rPr>
      <t xml:space="preserve"> (2)</t>
    </r>
  </si>
  <si>
    <t>Change</t>
  </si>
  <si>
    <t>A</t>
  </si>
  <si>
    <t>B</t>
  </si>
  <si>
    <t>C</t>
  </si>
  <si>
    <t>D</t>
  </si>
  <si>
    <t>E=D/C</t>
  </si>
  <si>
    <t xml:space="preserve">F </t>
  </si>
  <si>
    <t xml:space="preserve">G=E*F </t>
  </si>
  <si>
    <t>H</t>
  </si>
  <si>
    <t>I</t>
  </si>
  <si>
    <t>J</t>
  </si>
  <si>
    <t>K</t>
  </si>
  <si>
    <t>L</t>
  </si>
  <si>
    <t>M</t>
  </si>
  <si>
    <t>N</t>
  </si>
  <si>
    <t>O</t>
  </si>
  <si>
    <t>P</t>
  </si>
  <si>
    <t>Q</t>
  </si>
  <si>
    <t>R = sum(G:Q)</t>
  </si>
  <si>
    <t xml:space="preserve">S </t>
  </si>
  <si>
    <t>T= S/R</t>
  </si>
  <si>
    <t>23,53</t>
  </si>
  <si>
    <t>Residential Gas Lights</t>
  </si>
  <si>
    <t>Commercial &amp; Industrial</t>
  </si>
  <si>
    <t>Large Volume</t>
  </si>
  <si>
    <t>Limited Interruptible</t>
  </si>
  <si>
    <t>Non-exclusive Interruptible</t>
  </si>
  <si>
    <t>Commercial &amp; Industrial Transportation</t>
  </si>
  <si>
    <t>Large Volume Transportation</t>
  </si>
  <si>
    <t>Interruptible Transportation</t>
  </si>
  <si>
    <t>Limited Interruptible Transportation</t>
  </si>
  <si>
    <t>Non-exclusive Interruptible Transportation</t>
  </si>
  <si>
    <t>By Customer Class:</t>
  </si>
  <si>
    <t>Residential (16,23,53)</t>
  </si>
  <si>
    <t>Commercial &amp; industrial (31,31T)</t>
  </si>
  <si>
    <t>Large volume (41,41T)</t>
  </si>
  <si>
    <t>Interruptible (85,85T)</t>
  </si>
  <si>
    <t>Limited interruptible (86,86T)</t>
  </si>
  <si>
    <t>Non exclusive interruptible (87,87T)</t>
  </si>
  <si>
    <t>Subtotal</t>
  </si>
  <si>
    <r>
      <rPr>
        <vertAlign val="superscript"/>
        <sz val="11"/>
        <color theme="1"/>
        <rFont val="Calibri"/>
        <family val="2"/>
      </rPr>
      <t xml:space="preserve">(1) </t>
    </r>
    <r>
      <rPr>
        <sz val="10"/>
        <rFont val="Arial"/>
        <family val="2"/>
      </rPr>
      <t>Weather normalized volume and margin for 12 months ending December 2018, at approved rates from UG-190530 GRC compliance filing. The rates do not include schedules 140, 141 and 142.</t>
    </r>
  </si>
  <si>
    <r>
      <rPr>
        <vertAlign val="superscript"/>
        <sz val="11"/>
        <color theme="1"/>
        <rFont val="Calibri"/>
        <family val="2"/>
      </rPr>
      <t xml:space="preserve">(2) </t>
    </r>
    <r>
      <rPr>
        <sz val="10"/>
        <rFont val="Arial"/>
        <family val="2"/>
      </rPr>
      <t>Forecasted revenues at current rates effective May 1, 2021.</t>
    </r>
  </si>
  <si>
    <t>Typical Residential Bill Impacts</t>
  </si>
  <si>
    <t>Current Rates</t>
  </si>
  <si>
    <t>Schedule 149 Rate Change</t>
  </si>
  <si>
    <r>
      <t>Rates</t>
    </r>
    <r>
      <rPr>
        <vertAlign val="superscript"/>
        <sz val="11"/>
        <rFont val="Calibri"/>
        <family val="2"/>
        <scheme val="minor"/>
      </rPr>
      <t xml:space="preserve"> (1)</t>
    </r>
  </si>
  <si>
    <t>Charges</t>
  </si>
  <si>
    <t>Rates</t>
  </si>
  <si>
    <t>Volume (therms)</t>
  </si>
  <si>
    <t>Customer charge ($/month)</t>
  </si>
  <si>
    <t>Basic charge</t>
  </si>
  <si>
    <t>ERF adjusting charge (Schedule 141)</t>
  </si>
  <si>
    <t>Volumetric charges ($/therm)</t>
  </si>
  <si>
    <t>Delivery charge (Schedule 23)</t>
  </si>
  <si>
    <t>Low income charge (Schedule 129)</t>
  </si>
  <si>
    <t>Property tax charge (Schedule 140)</t>
  </si>
  <si>
    <t>EDIT adjusting charge (Schedule 141X)</t>
  </si>
  <si>
    <t>Tax Reform Credit (Schedule 141Y)</t>
  </si>
  <si>
    <t>EDIT adjusting charge (Schedule 141Z)</t>
  </si>
  <si>
    <t>Decoupling charge (Schedule 142)</t>
  </si>
  <si>
    <t>CRM Charge (Schedule 149)</t>
  </si>
  <si>
    <t>Conservation charge (Schedule 120)</t>
  </si>
  <si>
    <t>Cost of gas (Schedule 101)</t>
  </si>
  <si>
    <t>Deferral amortization (Schedule 106)</t>
  </si>
  <si>
    <t>Total volumetric charges</t>
  </si>
  <si>
    <t>Total monthly bill</t>
  </si>
  <si>
    <t>Change from bill under current rates</t>
  </si>
  <si>
    <t>Percent change from bill under current rates</t>
  </si>
  <si>
    <t>Total volumetric rates less gas costs</t>
  </si>
  <si>
    <r>
      <rPr>
        <vertAlign val="superscript"/>
        <sz val="11"/>
        <rFont val="Calibri"/>
        <family val="2"/>
        <scheme val="minor"/>
      </rPr>
      <t xml:space="preserve">(1) </t>
    </r>
    <r>
      <rPr>
        <sz val="11"/>
        <rFont val="Calibri"/>
        <family val="2"/>
        <scheme val="minor"/>
      </rPr>
      <t>Rates for Schedule 23 customers in effect May 1, 2021</t>
    </r>
  </si>
  <si>
    <t>Gas Schedule 149</t>
  </si>
  <si>
    <t>Cost Recovery Mechanism (CRM)</t>
  </si>
  <si>
    <t>Current</t>
  </si>
  <si>
    <t>Proposed</t>
  </si>
  <si>
    <t>Volume (Therms)</t>
  </si>
  <si>
    <t>Proposed Rates</t>
  </si>
  <si>
    <t>2021 Gas Schedule 149 CRM Filing (Preliminary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</si>
</sst>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quot;$&quot;* #,##0_);_(&quot;$&quot;* \(#,##0\);_(&quot;$&quot;* &quot;-&quot;??_);_(@_)"/>
    <numFmt numFmtId="166" formatCode="0.000000"/>
    <numFmt numFmtId="167" formatCode="0.0%"/>
    <numFmt numFmtId="168" formatCode="&quot;$&quot;#,##0"/>
    <numFmt numFmtId="169" formatCode="0.000%"/>
    <numFmt numFmtId="170" formatCode="_(&quot;$&quot;* #,##0.00_);_(&quot;$&quot;* \(#,##0.00\);_(&quot;$&quot;* &quot;-&quot;_);_(@_)"/>
    <numFmt numFmtId="171" formatCode="_(&quot;$&quot;* #,##0.00000_);_(&quot;$&quot;* \(#,##0.00000\);_(&quot;$&quot;* &quot;-&quot;?????_);_(@_)"/>
    <numFmt numFmtId="172" formatCode="#,##0.000000_);\(#,##0.000000\)"/>
    <numFmt numFmtId="173" formatCode="_(* #,##0_);_(* \(#,##0\);_(* &quot;-&quot;??_);_(@_)"/>
    <numFmt numFmtId="174" formatCode="#,##0.000"/>
    <numFmt numFmtId="175" formatCode="_(* #,##0.00000_);_(* \(#,##0.00000\);_(* &quot;-&quot;??_);_(@_)"/>
    <numFmt numFmtId="176" formatCode="_(* #,##0.0_);_(* \(#,##0.0\);_(* &quot;-&quot;??_);_(@_)"/>
    <numFmt numFmtId="177" formatCode="_(* #,##0.0000_);_(* \(#,##0.0000\);_(* &quot;-&quot;??_);_(@_)"/>
    <numFmt numFmtId="178" formatCode="_(* #,##0.000_);_(* \(#,##0.000\);_(* &quot;-&quot;??_);_(@_)"/>
    <numFmt numFmtId="179" formatCode="_(&quot;$&quot;* #,##0.0_);_(&quot;$&quot;* \(#,##0.0\);_(&quot;$&quot;* &quot;-&quot;??_);_(@_)"/>
    <numFmt numFmtId="180" formatCode="_(&quot;$&quot;* #,##0.00000_);_(&quot;$&quot;* \(#,##0.00000\);_(&quot;$&quot;* &quot;-&quot;??_);_(@_)"/>
  </numFmts>
  <fonts count="7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indexed="8"/>
      <name val="Calibri"/>
      <family val="2"/>
    </font>
    <font>
      <sz val="11"/>
      <color indexed="8"/>
      <name val="Calibri"/>
      <family val="2"/>
      <scheme val="minor"/>
    </font>
    <font>
      <b/>
      <sz val="11"/>
      <color indexed="8"/>
      <name val="Calibri"/>
      <family val="2"/>
    </font>
    <font>
      <b/>
      <sz val="11"/>
      <name val="Arial"/>
      <family val="2"/>
    </font>
    <font>
      <b/>
      <sz val="11"/>
      <name val="Calibri"/>
      <family val="2"/>
    </font>
    <font>
      <sz val="11"/>
      <color indexed="12"/>
      <name val="Calibri"/>
      <family val="2"/>
    </font>
    <font>
      <sz val="11"/>
      <name val="Calibri"/>
      <family val="2"/>
    </font>
    <font>
      <sz val="11"/>
      <name val="Arial"/>
      <family val="2"/>
    </font>
    <font>
      <sz val="10"/>
      <name val="Arial"/>
      <family val="2"/>
    </font>
    <font>
      <b/>
      <sz val="11"/>
      <color theme="1"/>
      <name val="Calibri"/>
      <family val="2"/>
      <scheme val="minor"/>
    </font>
    <font>
      <sz val="8"/>
      <name val="Helv"/>
    </font>
    <font>
      <b/>
      <sz val="10"/>
      <name val="Arial"/>
      <family val="2"/>
    </font>
    <font>
      <sz val="10"/>
      <color theme="1"/>
      <name val="Arial"/>
      <family val="2"/>
    </font>
    <font>
      <b/>
      <sz val="11"/>
      <name val="Calibri"/>
      <family val="2"/>
      <scheme val="minor"/>
    </font>
    <font>
      <b/>
      <sz val="12"/>
      <color theme="1"/>
      <name val="Calibri"/>
      <family val="2"/>
      <scheme val="minor"/>
    </font>
    <font>
      <sz val="12"/>
      <color theme="1"/>
      <name val="Calibri"/>
      <family val="2"/>
      <scheme val="minor"/>
    </font>
    <font>
      <sz val="12"/>
      <color theme="1"/>
      <name val="Arial"/>
      <family val="2"/>
    </font>
    <font>
      <sz val="11"/>
      <color rgb="FF0000FF"/>
      <name val="Calibri"/>
      <family val="2"/>
      <scheme val="minor"/>
    </font>
    <font>
      <sz val="11"/>
      <color rgb="FF008080"/>
      <name val="Calibri"/>
      <family val="2"/>
      <scheme val="minor"/>
    </font>
    <font>
      <sz val="10"/>
      <color rgb="FF008080"/>
      <name val="Arial"/>
      <family val="2"/>
    </font>
    <font>
      <b/>
      <sz val="9"/>
      <name val="Arial"/>
      <family val="2"/>
    </font>
    <font>
      <sz val="9"/>
      <name val="Arial"/>
      <family val="2"/>
    </font>
    <font>
      <sz val="11"/>
      <color rgb="FF0000FF"/>
      <name val="Calibri"/>
      <family val="2"/>
    </font>
    <font>
      <b/>
      <sz val="11"/>
      <color theme="0"/>
      <name val="Calibri"/>
      <family val="2"/>
    </font>
    <font>
      <sz val="11"/>
      <color rgb="FF000000"/>
      <name val="Calibri"/>
      <family val="2"/>
    </font>
    <font>
      <b/>
      <sz val="11"/>
      <color rgb="FF000000"/>
      <name val="Calibri"/>
      <family val="2"/>
    </font>
    <font>
      <sz val="10"/>
      <color rgb="FFFF0000"/>
      <name val="Arial"/>
      <family val="2"/>
    </font>
    <font>
      <b/>
      <sz val="11"/>
      <color rgb="FF0000FF"/>
      <name val="Calibri"/>
      <family val="2"/>
    </font>
    <font>
      <sz val="10"/>
      <color theme="1"/>
      <name val="Calibri"/>
      <family val="2"/>
      <scheme val="minor"/>
    </font>
    <font>
      <b/>
      <sz val="10"/>
      <color theme="1"/>
      <name val="Calibri"/>
      <family val="2"/>
      <scheme val="minor"/>
    </font>
    <font>
      <b/>
      <sz val="11"/>
      <color rgb="FFFF0000"/>
      <name val="Calibri"/>
      <family val="2"/>
    </font>
    <font>
      <sz val="11"/>
      <color rgb="FF0000FF"/>
      <name val="Times New Roman"/>
      <family val="1"/>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sz val="9"/>
      <color theme="0" tint="-0.499984740745262"/>
      <name val="Calibri"/>
      <family val="2"/>
      <scheme val="minor"/>
    </font>
    <font>
      <sz val="9"/>
      <color rgb="FF0000FF"/>
      <name val="Calibri"/>
      <family val="2"/>
      <scheme val="minor"/>
    </font>
    <font>
      <sz val="8"/>
      <color rgb="FF0000FF"/>
      <name val="Calibri"/>
      <family val="2"/>
      <scheme val="minor"/>
    </font>
    <font>
      <b/>
      <sz val="11"/>
      <color rgb="FF0000FF"/>
      <name val="Calibri"/>
      <family val="2"/>
      <scheme val="minor"/>
    </font>
    <font>
      <b/>
      <sz val="8"/>
      <name val="Arial"/>
      <family val="2"/>
    </font>
    <font>
      <sz val="11"/>
      <color theme="0"/>
      <name val="Calibri"/>
      <family val="2"/>
      <scheme val="minor"/>
    </font>
    <font>
      <b/>
      <sz val="10"/>
      <color theme="1"/>
      <name val="Arial"/>
      <family val="2"/>
    </font>
    <font>
      <sz val="11"/>
      <color theme="1"/>
      <name val="Arial"/>
      <family val="2"/>
    </font>
    <font>
      <b/>
      <sz val="8"/>
      <color rgb="FF0000FF"/>
      <name val="Arial"/>
      <family val="2"/>
    </font>
    <font>
      <b/>
      <sz val="10"/>
      <color rgb="FF0000FF"/>
      <name val="Arial"/>
      <family val="2"/>
    </font>
    <font>
      <sz val="8"/>
      <color theme="1"/>
      <name val="Calibri"/>
      <family val="2"/>
      <scheme val="minor"/>
    </font>
    <font>
      <b/>
      <sz val="10"/>
      <color theme="0"/>
      <name val="Arial"/>
      <family val="2"/>
    </font>
    <font>
      <b/>
      <u/>
      <sz val="11"/>
      <color theme="1"/>
      <name val="Calibri"/>
      <family val="2"/>
      <scheme val="minor"/>
    </font>
    <font>
      <b/>
      <sz val="8"/>
      <color rgb="FF0000FF"/>
      <name val="Calibri"/>
      <family val="2"/>
      <scheme val="minor"/>
    </font>
    <font>
      <b/>
      <sz val="9"/>
      <color rgb="FF0000FF"/>
      <name val="Calibri"/>
      <family val="2"/>
    </font>
    <font>
      <vertAlign val="superscript"/>
      <sz val="11"/>
      <color theme="1"/>
      <name val="Calibri"/>
      <family val="2"/>
    </font>
    <font>
      <vertAlign val="superscript"/>
      <sz val="11"/>
      <color theme="1"/>
      <name val="Calibri"/>
      <family val="2"/>
      <scheme val="minor"/>
    </font>
    <font>
      <u/>
      <sz val="11"/>
      <name val="Calibri"/>
      <family val="2"/>
    </font>
    <font>
      <vertAlign val="superscript"/>
      <sz val="11"/>
      <name val="Calibri"/>
      <family val="2"/>
      <scheme val="minor"/>
    </font>
    <font>
      <sz val="11"/>
      <color indexed="12"/>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1" tint="0.499984740745262"/>
        <bgColor indexed="64"/>
      </patternFill>
    </fill>
    <fill>
      <patternFill patternType="solid">
        <fgColor rgb="FFFFCCCC"/>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s>
  <borders count="49">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650">
    <xf numFmtId="0" fontId="0" fillId="0" borderId="0" xfId="0"/>
    <xf numFmtId="172" fontId="33" fillId="0" borderId="0" xfId="0" applyNumberFormat="1" applyFont="1" applyFill="1"/>
    <xf numFmtId="0" fontId="27" fillId="0" borderId="0" xfId="0" applyFont="1" applyBorder="1"/>
    <xf numFmtId="0" fontId="0" fillId="0" borderId="0" xfId="0" applyFont="1" applyBorder="1"/>
    <xf numFmtId="170" fontId="27" fillId="0" borderId="0" xfId="0" applyNumberFormat="1" applyFont="1" applyFill="1"/>
    <xf numFmtId="171" fontId="27" fillId="0" borderId="0" xfId="0" applyNumberFormat="1" applyFont="1"/>
    <xf numFmtId="42" fontId="27" fillId="0" borderId="0" xfId="0" applyNumberFormat="1" applyFont="1" applyFill="1" applyBorder="1"/>
    <xf numFmtId="42" fontId="27" fillId="0" borderId="0" xfId="0" applyNumberFormat="1" applyFont="1" applyFill="1"/>
    <xf numFmtId="42" fontId="34" fillId="0" borderId="0" xfId="0" applyNumberFormat="1" applyFont="1" applyFill="1" applyBorder="1"/>
    <xf numFmtId="42" fontId="0" fillId="0" borderId="0" xfId="0" applyNumberFormat="1" applyFont="1" applyFill="1" applyBorder="1"/>
    <xf numFmtId="0" fontId="0" fillId="0" borderId="0" xfId="0" applyFont="1" applyFill="1"/>
    <xf numFmtId="0" fontId="0" fillId="0" borderId="0" xfId="0" applyFont="1" applyFill="1" applyAlignment="1"/>
    <xf numFmtId="3" fontId="27" fillId="0" borderId="0" xfId="0" applyNumberFormat="1" applyFont="1" applyFill="1"/>
    <xf numFmtId="0" fontId="27" fillId="0" borderId="0" xfId="0" applyFont="1" applyFill="1"/>
    <xf numFmtId="0" fontId="27" fillId="0" borderId="1" xfId="0" applyFont="1" applyBorder="1"/>
    <xf numFmtId="0" fontId="27" fillId="0" borderId="1" xfId="0" applyFont="1" applyBorder="1" applyAlignment="1">
      <alignment horizontal="center"/>
    </xf>
    <xf numFmtId="0" fontId="27" fillId="0" borderId="0" xfId="0" applyFont="1" applyBorder="1" applyAlignment="1">
      <alignment horizontal="center"/>
    </xf>
    <xf numFmtId="0" fontId="27" fillId="0" borderId="0" xfId="0" quotePrefix="1" applyFont="1"/>
    <xf numFmtId="0" fontId="27" fillId="0" borderId="0" xfId="0" applyFont="1" applyAlignment="1">
      <alignment horizontal="centerContinuous"/>
    </xf>
    <xf numFmtId="0" fontId="27" fillId="0" borderId="0" xfId="0" quotePrefix="1" applyFont="1" applyAlignment="1">
      <alignment horizontal="centerContinuous"/>
    </xf>
    <xf numFmtId="0" fontId="27" fillId="0" borderId="0" xfId="0" applyFont="1"/>
    <xf numFmtId="0" fontId="0" fillId="0" borderId="0" xfId="0" applyFont="1" applyFill="1" applyBorder="1" applyAlignment="1">
      <alignment horizontal="center"/>
    </xf>
    <xf numFmtId="0" fontId="0" fillId="0" borderId="0" xfId="0" applyFont="1" applyFill="1" applyAlignment="1">
      <alignment horizontal="center"/>
    </xf>
    <xf numFmtId="0" fontId="0" fillId="0" borderId="0" xfId="0" applyFont="1" applyAlignment="1">
      <alignment horizontal="center"/>
    </xf>
    <xf numFmtId="0" fontId="19" fillId="0" borderId="0" xfId="0" applyFont="1" applyFill="1" applyAlignment="1" applyProtection="1">
      <alignment horizontal="left"/>
    </xf>
    <xf numFmtId="0" fontId="19" fillId="0" borderId="0" xfId="0" applyFont="1" applyFill="1" applyAlignment="1">
      <alignment vertical="top"/>
    </xf>
    <xf numFmtId="0" fontId="15" fillId="0" borderId="0" xfId="0" applyFont="1" applyFill="1" applyAlignment="1">
      <alignment vertical="top"/>
    </xf>
    <xf numFmtId="0" fontId="17" fillId="0" borderId="0" xfId="0" applyFont="1" applyFill="1" applyAlignment="1">
      <alignment vertical="top"/>
    </xf>
    <xf numFmtId="3" fontId="15" fillId="0" borderId="0" xfId="0" applyNumberFormat="1" applyFont="1" applyFill="1" applyAlignment="1">
      <alignment vertical="top"/>
    </xf>
    <xf numFmtId="0" fontId="19" fillId="0" borderId="0" xfId="0" applyFont="1" applyFill="1" applyAlignment="1">
      <alignment horizontal="left"/>
    </xf>
    <xf numFmtId="0" fontId="19" fillId="0" borderId="3" xfId="0" quotePrefix="1" applyFont="1" applyFill="1" applyBorder="1" applyAlignment="1">
      <alignment horizontal="left" vertical="top"/>
    </xf>
    <xf numFmtId="0" fontId="19" fillId="0" borderId="4" xfId="0" applyFont="1" applyFill="1" applyBorder="1" applyAlignment="1">
      <alignment vertical="top"/>
    </xf>
    <xf numFmtId="0" fontId="15" fillId="0" borderId="4" xfId="0" applyFont="1" applyFill="1" applyBorder="1" applyAlignment="1">
      <alignment vertical="top"/>
    </xf>
    <xf numFmtId="3" fontId="15" fillId="0" borderId="5" xfId="0" applyNumberFormat="1" applyFont="1" applyFill="1" applyBorder="1" applyAlignment="1">
      <alignment vertical="top"/>
    </xf>
    <xf numFmtId="3" fontId="15" fillId="0" borderId="0" xfId="0" applyNumberFormat="1" applyFont="1" applyFill="1" applyBorder="1" applyAlignment="1">
      <alignment vertical="top"/>
    </xf>
    <xf numFmtId="0" fontId="19" fillId="0" borderId="6" xfId="0" applyFont="1" applyFill="1" applyBorder="1" applyAlignment="1">
      <alignment vertical="top"/>
    </xf>
    <xf numFmtId="0" fontId="19" fillId="0" borderId="0" xfId="0" applyFont="1" applyFill="1" applyBorder="1" applyAlignment="1">
      <alignment vertical="top"/>
    </xf>
    <xf numFmtId="0" fontId="15" fillId="0" borderId="0" xfId="0" applyFont="1" applyFill="1" applyBorder="1" applyAlignment="1">
      <alignment vertical="top"/>
    </xf>
    <xf numFmtId="3" fontId="15" fillId="0" borderId="7" xfId="0" applyNumberFormat="1" applyFont="1" applyFill="1" applyBorder="1" applyAlignment="1">
      <alignment vertical="top"/>
    </xf>
    <xf numFmtId="0" fontId="19" fillId="0" borderId="0" xfId="0" applyFont="1" applyFill="1" applyBorder="1" applyAlignment="1">
      <alignment horizontal="center" vertical="top"/>
    </xf>
    <xf numFmtId="0" fontId="19" fillId="0" borderId="7" xfId="0" applyFont="1" applyFill="1" applyBorder="1" applyAlignment="1">
      <alignment horizontal="center" vertical="top"/>
    </xf>
    <xf numFmtId="0" fontId="18" fillId="0" borderId="0" xfId="0" applyFont="1" applyFill="1" applyBorder="1" applyAlignment="1">
      <alignment horizontal="center" vertical="top"/>
    </xf>
    <xf numFmtId="0" fontId="19" fillId="0" borderId="1" xfId="0" applyFont="1" applyFill="1" applyBorder="1" applyAlignment="1">
      <alignment horizontal="center" vertical="top"/>
    </xf>
    <xf numFmtId="0" fontId="19" fillId="0" borderId="8" xfId="0" applyFont="1" applyFill="1" applyBorder="1" applyAlignment="1">
      <alignment horizontal="center" vertical="top"/>
    </xf>
    <xf numFmtId="0" fontId="15" fillId="0" borderId="7" xfId="0" applyFont="1" applyFill="1" applyBorder="1" applyAlignment="1">
      <alignment vertical="top"/>
    </xf>
    <xf numFmtId="42" fontId="15" fillId="0" borderId="0" xfId="0" applyNumberFormat="1" applyFont="1" applyFill="1" applyAlignment="1">
      <alignment vertical="top"/>
    </xf>
    <xf numFmtId="10" fontId="20" fillId="0" borderId="0" xfId="0" applyNumberFormat="1" applyFont="1" applyFill="1" applyBorder="1" applyAlignment="1">
      <alignment vertical="top"/>
    </xf>
    <xf numFmtId="10" fontId="20" fillId="0" borderId="7" xfId="0" applyNumberFormat="1" applyFont="1" applyFill="1" applyBorder="1" applyAlignment="1">
      <alignment vertical="top"/>
    </xf>
    <xf numFmtId="10" fontId="20" fillId="0" borderId="1" xfId="0" applyNumberFormat="1" applyFont="1" applyFill="1" applyBorder="1" applyAlignment="1">
      <alignment vertical="top"/>
    </xf>
    <xf numFmtId="10" fontId="20" fillId="0" borderId="8" xfId="0" applyNumberFormat="1" applyFont="1" applyFill="1" applyBorder="1" applyAlignment="1">
      <alignment vertical="top"/>
    </xf>
    <xf numFmtId="10" fontId="15" fillId="0" borderId="9" xfId="0" applyNumberFormat="1" applyFont="1" applyFill="1" applyBorder="1" applyAlignment="1">
      <alignment vertical="top"/>
    </xf>
    <xf numFmtId="10" fontId="15" fillId="0" borderId="0" xfId="0" applyNumberFormat="1" applyFont="1" applyFill="1" applyBorder="1" applyAlignment="1">
      <alignment vertical="top"/>
    </xf>
    <xf numFmtId="10" fontId="15" fillId="0" borderId="10" xfId="0" applyNumberFormat="1" applyFont="1" applyFill="1" applyBorder="1" applyAlignment="1">
      <alignment vertical="top"/>
    </xf>
    <xf numFmtId="3" fontId="20" fillId="0" borderId="7" xfId="0" applyNumberFormat="1" applyFont="1" applyFill="1" applyBorder="1" applyAlignment="1">
      <alignment vertical="top"/>
    </xf>
    <xf numFmtId="0" fontId="19" fillId="0" borderId="11" xfId="0" applyFont="1" applyFill="1" applyBorder="1" applyAlignment="1">
      <alignment vertical="top"/>
    </xf>
    <xf numFmtId="0" fontId="19" fillId="0" borderId="2" xfId="0" applyFont="1" applyFill="1" applyBorder="1" applyAlignment="1">
      <alignment vertical="top"/>
    </xf>
    <xf numFmtId="0" fontId="15" fillId="0" borderId="2" xfId="0" applyFont="1" applyFill="1" applyBorder="1" applyAlignment="1">
      <alignment vertical="top"/>
    </xf>
    <xf numFmtId="0" fontId="18" fillId="0" borderId="0" xfId="0" applyFont="1" applyFill="1" applyAlignment="1">
      <alignment vertical="top"/>
    </xf>
    <xf numFmtId="3" fontId="15" fillId="0" borderId="0" xfId="0" applyNumberFormat="1" applyFont="1" applyFill="1" applyAlignment="1" applyProtection="1">
      <alignment vertical="top"/>
      <protection hidden="1"/>
    </xf>
    <xf numFmtId="3" fontId="19" fillId="2" borderId="1" xfId="0" quotePrefix="1" applyNumberFormat="1" applyFont="1" applyFill="1" applyBorder="1" applyAlignment="1">
      <alignment horizontal="center" vertical="top"/>
    </xf>
    <xf numFmtId="3" fontId="19" fillId="0" borderId="1" xfId="0" quotePrefix="1" applyNumberFormat="1" applyFont="1" applyFill="1" applyBorder="1" applyAlignment="1">
      <alignment horizontal="center" vertical="top"/>
    </xf>
    <xf numFmtId="42" fontId="14" fillId="2" borderId="0" xfId="0" applyNumberFormat="1" applyFont="1" applyFill="1" applyAlignment="1">
      <alignment vertical="top"/>
    </xf>
    <xf numFmtId="44" fontId="14" fillId="0" borderId="0" xfId="0" applyNumberFormat="1" applyFont="1" applyFill="1" applyAlignment="1">
      <alignment vertical="top"/>
    </xf>
    <xf numFmtId="42" fontId="14" fillId="2" borderId="1" xfId="0" applyNumberFormat="1" applyFont="1" applyFill="1" applyBorder="1" applyAlignment="1">
      <alignment vertical="top"/>
    </xf>
    <xf numFmtId="42" fontId="14" fillId="2" borderId="0" xfId="0" applyNumberFormat="1" applyFont="1" applyFill="1" applyBorder="1" applyAlignment="1">
      <alignment vertical="top"/>
    </xf>
    <xf numFmtId="3" fontId="14" fillId="0" borderId="0" xfId="0" applyNumberFormat="1" applyFont="1" applyFill="1" applyAlignment="1">
      <alignment vertical="top"/>
    </xf>
    <xf numFmtId="5" fontId="14" fillId="2" borderId="0" xfId="0" applyNumberFormat="1" applyFont="1" applyFill="1" applyAlignment="1">
      <alignment vertical="top"/>
    </xf>
    <xf numFmtId="5" fontId="14" fillId="0" borderId="0" xfId="0" applyNumberFormat="1" applyFont="1" applyFill="1" applyAlignment="1">
      <alignment vertical="top"/>
    </xf>
    <xf numFmtId="10" fontId="14" fillId="2" borderId="0" xfId="0" applyNumberFormat="1" applyFont="1" applyFill="1" applyAlignment="1">
      <alignment vertical="top"/>
    </xf>
    <xf numFmtId="0" fontId="19" fillId="0" borderId="0" xfId="0" quotePrefix="1" applyFont="1" applyFill="1" applyAlignment="1">
      <alignment horizontal="left" vertical="top"/>
    </xf>
    <xf numFmtId="0" fontId="21" fillId="0" borderId="0" xfId="0" applyFont="1" applyFill="1" applyAlignment="1">
      <alignment vertical="top"/>
    </xf>
    <xf numFmtId="10" fontId="14" fillId="0" borderId="0" xfId="0" applyNumberFormat="1" applyFont="1" applyFill="1" applyAlignment="1" applyProtection="1">
      <alignment vertical="top"/>
    </xf>
    <xf numFmtId="10" fontId="20" fillId="0" borderId="0" xfId="0" applyNumberFormat="1" applyFont="1" applyFill="1" applyAlignment="1">
      <alignment vertical="top"/>
    </xf>
    <xf numFmtId="0" fontId="22" fillId="0" borderId="0" xfId="0" applyFont="1" applyFill="1" applyAlignment="1">
      <alignment vertical="top"/>
    </xf>
    <xf numFmtId="10" fontId="21" fillId="0" borderId="0" xfId="0" applyNumberFormat="1" applyFont="1" applyFill="1" applyAlignment="1" applyProtection="1">
      <alignment vertical="top"/>
    </xf>
    <xf numFmtId="10" fontId="14" fillId="0" borderId="0" xfId="0" applyNumberFormat="1" applyFont="1" applyFill="1"/>
    <xf numFmtId="10" fontId="22" fillId="0" borderId="0" xfId="0" applyNumberFormat="1" applyFont="1" applyFill="1" applyAlignment="1">
      <alignment vertical="top"/>
    </xf>
    <xf numFmtId="0" fontId="20" fillId="0" borderId="0" xfId="0" applyFont="1" applyFill="1" applyAlignment="1">
      <alignment vertical="top"/>
    </xf>
    <xf numFmtId="0" fontId="13" fillId="0" borderId="0" xfId="0" applyFont="1" applyFill="1"/>
    <xf numFmtId="0" fontId="16" fillId="0" borderId="0" xfId="0" applyFont="1" applyFill="1" applyAlignment="1">
      <alignment vertical="top"/>
    </xf>
    <xf numFmtId="42" fontId="20" fillId="2" borderId="12" xfId="0" applyNumberFormat="1" applyFont="1" applyFill="1" applyBorder="1" applyAlignment="1">
      <alignment vertical="top"/>
    </xf>
    <xf numFmtId="164" fontId="14" fillId="0" borderId="0" xfId="0" applyNumberFormat="1" applyFont="1" applyFill="1" applyAlignment="1" applyProtection="1">
      <alignment vertical="top"/>
    </xf>
    <xf numFmtId="164" fontId="14" fillId="2" borderId="0" xfId="0" applyNumberFormat="1" applyFont="1" applyFill="1" applyAlignment="1" applyProtection="1">
      <alignment vertical="top"/>
    </xf>
    <xf numFmtId="164" fontId="14" fillId="0" borderId="0" xfId="0" applyNumberFormat="1" applyFont="1" applyFill="1"/>
    <xf numFmtId="164" fontId="20" fillId="0" borderId="0" xfId="0" applyNumberFormat="1" applyFont="1" applyFill="1" applyAlignment="1">
      <alignment vertical="top"/>
    </xf>
    <xf numFmtId="164" fontId="21" fillId="2" borderId="0" xfId="0" applyNumberFormat="1" applyFont="1" applyFill="1" applyAlignment="1" applyProtection="1">
      <alignment vertical="top"/>
    </xf>
    <xf numFmtId="0" fontId="12" fillId="0" borderId="0" xfId="0" applyFont="1"/>
    <xf numFmtId="0" fontId="12" fillId="0" borderId="0" xfId="0" quotePrefix="1" applyFont="1"/>
    <xf numFmtId="0" fontId="12" fillId="0" borderId="0" xfId="0" applyFont="1" applyBorder="1" applyAlignment="1">
      <alignment horizontal="center"/>
    </xf>
    <xf numFmtId="0" fontId="12" fillId="0" borderId="1" xfId="0" applyFont="1" applyBorder="1" applyAlignment="1">
      <alignment horizontal="center"/>
    </xf>
    <xf numFmtId="42" fontId="12" fillId="0" borderId="0" xfId="0" applyNumberFormat="1" applyFont="1"/>
    <xf numFmtId="0" fontId="12" fillId="0" borderId="0" xfId="0" applyFont="1" applyFill="1"/>
    <xf numFmtId="0" fontId="14" fillId="0" borderId="0" xfId="0" applyFont="1" applyFill="1"/>
    <xf numFmtId="42" fontId="12" fillId="0" borderId="0" xfId="0" applyNumberFormat="1" applyFont="1" applyFill="1"/>
    <xf numFmtId="42" fontId="12" fillId="0" borderId="15" xfId="0" applyNumberFormat="1" applyFont="1" applyFill="1" applyBorder="1"/>
    <xf numFmtId="0" fontId="26" fillId="0" borderId="0" xfId="0" applyFont="1" applyBorder="1"/>
    <xf numFmtId="42" fontId="12" fillId="0" borderId="0" xfId="0" applyNumberFormat="1" applyFont="1" applyFill="1" applyBorder="1"/>
    <xf numFmtId="42" fontId="12" fillId="0" borderId="0" xfId="0" applyNumberFormat="1" applyFont="1" applyBorder="1"/>
    <xf numFmtId="165" fontId="12" fillId="0" borderId="0" xfId="0" applyNumberFormat="1" applyFont="1" applyBorder="1"/>
    <xf numFmtId="42" fontId="12" fillId="0" borderId="15" xfId="0" applyNumberFormat="1" applyFont="1" applyBorder="1"/>
    <xf numFmtId="165" fontId="14" fillId="0" borderId="0" xfId="0" applyNumberFormat="1" applyFont="1" applyFill="1"/>
    <xf numFmtId="42" fontId="14" fillId="0" borderId="15" xfId="0" applyNumberFormat="1" applyFont="1" applyFill="1" applyBorder="1"/>
    <xf numFmtId="167" fontId="12" fillId="0" borderId="0" xfId="0" applyNumberFormat="1" applyFont="1"/>
    <xf numFmtId="0" fontId="12" fillId="0" borderId="0" xfId="0" applyFont="1" applyBorder="1" applyAlignment="1">
      <alignment horizontal="left"/>
    </xf>
    <xf numFmtId="0" fontId="12" fillId="0" borderId="0" xfId="0" applyFont="1" applyAlignment="1">
      <alignment horizontal="left"/>
    </xf>
    <xf numFmtId="42" fontId="32" fillId="0" borderId="0" xfId="0" applyNumberFormat="1" applyFont="1"/>
    <xf numFmtId="0" fontId="11" fillId="0" borderId="0" xfId="0" applyFont="1"/>
    <xf numFmtId="0" fontId="11" fillId="0" borderId="0" xfId="0" applyFont="1" applyAlignment="1">
      <alignment horizontal="centerContinuous"/>
    </xf>
    <xf numFmtId="0" fontId="11" fillId="0" borderId="1" xfId="0" applyFont="1" applyBorder="1" applyAlignment="1">
      <alignment horizontal="center"/>
    </xf>
    <xf numFmtId="0" fontId="11" fillId="0" borderId="0" xfId="0" applyFont="1" applyAlignment="1">
      <alignment horizontal="left"/>
    </xf>
    <xf numFmtId="3" fontId="11" fillId="0" borderId="0" xfId="0" applyNumberFormat="1" applyFont="1"/>
    <xf numFmtId="3" fontId="11" fillId="0" borderId="15" xfId="0" applyNumberFormat="1" applyFont="1" applyBorder="1"/>
    <xf numFmtId="3" fontId="11" fillId="0" borderId="1" xfId="0" applyNumberFormat="1" applyFont="1" applyBorder="1"/>
    <xf numFmtId="0" fontId="13" fillId="0" borderId="0" xfId="0" applyFont="1" applyAlignment="1">
      <alignment horizontal="left"/>
    </xf>
    <xf numFmtId="173" fontId="13" fillId="0" borderId="0" xfId="0" applyNumberFormat="1" applyFont="1"/>
    <xf numFmtId="0" fontId="19" fillId="2" borderId="1" xfId="0" quotePrefix="1" applyNumberFormat="1" applyFont="1" applyFill="1" applyBorder="1" applyAlignment="1">
      <alignment horizontal="center" vertical="top"/>
    </xf>
    <xf numFmtId="174" fontId="14" fillId="2" borderId="0" xfId="0" applyNumberFormat="1" applyFont="1" applyFill="1" applyAlignment="1">
      <alignment vertical="top"/>
    </xf>
    <xf numFmtId="165" fontId="33" fillId="0" borderId="0" xfId="0" applyNumberFormat="1" applyFont="1" applyBorder="1"/>
    <xf numFmtId="3" fontId="13" fillId="2" borderId="0" xfId="0" applyNumberFormat="1" applyFont="1" applyFill="1" applyAlignment="1">
      <alignment vertical="top"/>
    </xf>
    <xf numFmtId="0" fontId="26" fillId="0" borderId="0" xfId="0" applyFont="1" applyAlignment="1">
      <alignment horizontal="centerContinuous"/>
    </xf>
    <xf numFmtId="0" fontId="23" fillId="0" borderId="14" xfId="0" applyFont="1" applyBorder="1" applyAlignment="1">
      <alignment horizontal="center"/>
    </xf>
    <xf numFmtId="0" fontId="23" fillId="0" borderId="14" xfId="0" applyFont="1" applyBorder="1" applyAlignment="1">
      <alignment horizontal="center" wrapText="1"/>
    </xf>
    <xf numFmtId="0" fontId="23" fillId="0" borderId="14" xfId="0" applyFont="1" applyFill="1" applyBorder="1"/>
    <xf numFmtId="42" fontId="23" fillId="0" borderId="14" xfId="0" applyNumberFormat="1" applyFont="1" applyFill="1" applyBorder="1"/>
    <xf numFmtId="42" fontId="26" fillId="0" borderId="21" xfId="0" applyNumberFormat="1" applyFont="1" applyFill="1" applyBorder="1"/>
    <xf numFmtId="0" fontId="23" fillId="0" borderId="0" xfId="0" applyFont="1" applyFill="1"/>
    <xf numFmtId="41" fontId="23" fillId="0" borderId="0" xfId="0" applyNumberFormat="1" applyFont="1" applyFill="1"/>
    <xf numFmtId="0" fontId="29" fillId="0" borderId="0" xfId="0" applyFont="1" applyFill="1" applyAlignment="1">
      <alignment horizontal="centerContinuous"/>
    </xf>
    <xf numFmtId="0" fontId="29" fillId="0" borderId="0" xfId="0" applyFont="1" applyFill="1" applyAlignment="1">
      <alignment horizontal="center"/>
    </xf>
    <xf numFmtId="0" fontId="19" fillId="0" borderId="1" xfId="0" applyFont="1" applyBorder="1" applyAlignment="1">
      <alignment vertical="top"/>
    </xf>
    <xf numFmtId="3" fontId="19" fillId="0" borderId="1" xfId="0" applyNumberFormat="1" applyFont="1" applyFill="1" applyBorder="1" applyAlignment="1">
      <alignment horizontal="center" vertical="top"/>
    </xf>
    <xf numFmtId="0" fontId="19" fillId="0" borderId="0" xfId="0" applyFont="1" applyAlignment="1">
      <alignment vertical="top"/>
    </xf>
    <xf numFmtId="3" fontId="0" fillId="0" borderId="0" xfId="0" applyNumberFormat="1" applyFont="1" applyFill="1" applyAlignment="1" applyProtection="1">
      <alignment vertical="top"/>
      <protection hidden="1"/>
    </xf>
    <xf numFmtId="0" fontId="19" fillId="0" borderId="0" xfId="0" applyFont="1" applyAlignment="1">
      <alignment horizontal="center" vertical="top"/>
    </xf>
    <xf numFmtId="42" fontId="14" fillId="0" borderId="0" xfId="0" applyNumberFormat="1" applyFont="1" applyFill="1" applyBorder="1" applyAlignment="1">
      <alignment vertical="top"/>
    </xf>
    <xf numFmtId="42" fontId="14" fillId="0" borderId="1" xfId="0" applyNumberFormat="1" applyFont="1" applyFill="1" applyBorder="1" applyAlignment="1">
      <alignment vertical="top"/>
    </xf>
    <xf numFmtId="10" fontId="14" fillId="0" borderId="0" xfId="0" applyNumberFormat="1" applyFont="1" applyFill="1" applyAlignment="1">
      <alignment vertical="top"/>
    </xf>
    <xf numFmtId="42" fontId="14" fillId="0" borderId="0" xfId="0" applyNumberFormat="1" applyFont="1" applyFill="1" applyAlignment="1">
      <alignment vertical="top"/>
    </xf>
    <xf numFmtId="37" fontId="14" fillId="0" borderId="0" xfId="0" applyNumberFormat="1" applyFont="1" applyFill="1" applyAlignment="1">
      <alignment vertical="top"/>
    </xf>
    <xf numFmtId="169" fontId="14" fillId="0" borderId="0" xfId="0" applyNumberFormat="1" applyFont="1" applyFill="1" applyAlignment="1" applyProtection="1">
      <alignment vertical="top"/>
    </xf>
    <xf numFmtId="43" fontId="15" fillId="0" borderId="0" xfId="0" applyNumberFormat="1" applyFont="1" applyFill="1" applyAlignment="1">
      <alignment vertical="top"/>
    </xf>
    <xf numFmtId="10" fontId="15" fillId="0" borderId="0" xfId="0" applyNumberFormat="1" applyFont="1" applyFill="1" applyAlignment="1">
      <alignment vertical="top"/>
    </xf>
    <xf numFmtId="0" fontId="31" fillId="0" borderId="0" xfId="0" applyFont="1"/>
    <xf numFmtId="169" fontId="31" fillId="0" borderId="0" xfId="0" applyNumberFormat="1" applyFont="1"/>
    <xf numFmtId="0" fontId="31" fillId="0" borderId="0" xfId="0" applyFont="1" applyBorder="1" applyAlignment="1">
      <alignment horizontal="center"/>
    </xf>
    <xf numFmtId="0" fontId="31" fillId="0" borderId="0" xfId="0" applyFont="1" applyAlignment="1">
      <alignment horizontal="center"/>
    </xf>
    <xf numFmtId="0" fontId="31" fillId="0" borderId="14" xfId="0" applyFont="1" applyBorder="1" applyAlignment="1">
      <alignment horizontal="left"/>
    </xf>
    <xf numFmtId="164" fontId="31" fillId="0" borderId="14" xfId="0" applyNumberFormat="1" applyFont="1" applyBorder="1" applyAlignment="1">
      <alignment vertical="center" wrapText="1"/>
    </xf>
    <xf numFmtId="0" fontId="38" fillId="3" borderId="0" xfId="0" applyFont="1" applyFill="1" applyBorder="1" applyAlignment="1">
      <alignment horizontal="centerContinuous" vertical="top"/>
    </xf>
    <xf numFmtId="3" fontId="38" fillId="3" borderId="7" xfId="0" applyNumberFormat="1" applyFont="1" applyFill="1" applyBorder="1" applyAlignment="1">
      <alignment horizontal="centerContinuous" vertical="top"/>
    </xf>
    <xf numFmtId="0" fontId="15" fillId="0" borderId="0" xfId="0" applyFont="1" applyFill="1" applyAlignment="1">
      <alignment horizontal="center" vertical="top"/>
    </xf>
    <xf numFmtId="42" fontId="16" fillId="0" borderId="0" xfId="0" applyNumberFormat="1" applyFont="1" applyFill="1" applyAlignment="1">
      <alignment vertical="top"/>
    </xf>
    <xf numFmtId="165" fontId="14" fillId="0" borderId="0" xfId="0" applyNumberFormat="1" applyFont="1" applyFill="1" applyBorder="1" applyAlignment="1">
      <alignment vertical="top"/>
    </xf>
    <xf numFmtId="165" fontId="14" fillId="0" borderId="14" xfId="0" applyNumberFormat="1" applyFont="1" applyFill="1" applyBorder="1"/>
    <xf numFmtId="10" fontId="14" fillId="0" borderId="14" xfId="0" applyNumberFormat="1" applyFont="1" applyFill="1" applyBorder="1" applyAlignment="1"/>
    <xf numFmtId="41" fontId="23" fillId="0" borderId="22" xfId="0" applyNumberFormat="1" applyFont="1" applyFill="1" applyBorder="1"/>
    <xf numFmtId="0" fontId="14" fillId="0" borderId="0" xfId="0" applyFont="1" applyFill="1" applyAlignment="1">
      <alignment vertical="top"/>
    </xf>
    <xf numFmtId="42" fontId="33" fillId="0" borderId="0" xfId="0" applyNumberFormat="1" applyFont="1"/>
    <xf numFmtId="42" fontId="32" fillId="0" borderId="0" xfId="0" applyNumberFormat="1" applyFont="1"/>
    <xf numFmtId="0" fontId="23" fillId="0" borderId="0" xfId="0" applyFont="1"/>
    <xf numFmtId="17" fontId="24" fillId="0" borderId="13" xfId="0" applyNumberFormat="1" applyFont="1" applyFill="1" applyBorder="1" applyAlignment="1">
      <alignment horizontal="centerContinuous"/>
    </xf>
    <xf numFmtId="0" fontId="14" fillId="0" borderId="18" xfId="0" applyFont="1" applyFill="1" applyBorder="1"/>
    <xf numFmtId="0" fontId="24" fillId="0" borderId="14" xfId="0" applyFont="1" applyFill="1" applyBorder="1" applyAlignment="1">
      <alignment horizontal="center" vertical="center" wrapText="1"/>
    </xf>
    <xf numFmtId="0" fontId="14" fillId="0" borderId="18" xfId="0" applyFont="1" applyFill="1" applyBorder="1" applyAlignment="1">
      <alignment horizontal="center" wrapText="1"/>
    </xf>
    <xf numFmtId="0" fontId="30" fillId="0" borderId="19" xfId="0" applyFont="1" applyFill="1" applyBorder="1"/>
    <xf numFmtId="168" fontId="14" fillId="0" borderId="14" xfId="0" applyNumberFormat="1" applyFont="1" applyFill="1" applyBorder="1"/>
    <xf numFmtId="0" fontId="14" fillId="0" borderId="14" xfId="0" applyFont="1" applyFill="1" applyBorder="1"/>
    <xf numFmtId="0" fontId="25" fillId="0" borderId="0" xfId="0" applyNumberFormat="1" applyFont="1" applyFill="1" applyAlignment="1"/>
    <xf numFmtId="0" fontId="24" fillId="0" borderId="0" xfId="0" applyFont="1" applyFill="1" applyAlignment="1">
      <alignment horizontal="centerContinuous"/>
    </xf>
    <xf numFmtId="0" fontId="14" fillId="0" borderId="14" xfId="0" applyFont="1" applyFill="1" applyBorder="1" applyAlignment="1">
      <alignment horizontal="center" wrapText="1"/>
    </xf>
    <xf numFmtId="0" fontId="28" fillId="0" borderId="14" xfId="0" applyFont="1" applyFill="1" applyBorder="1" applyAlignment="1">
      <alignment horizontal="center"/>
    </xf>
    <xf numFmtId="43" fontId="14" fillId="0" borderId="14" xfId="0" applyNumberFormat="1" applyFont="1" applyFill="1" applyBorder="1" applyAlignment="1"/>
    <xf numFmtId="0" fontId="14" fillId="0" borderId="14" xfId="0" applyNumberFormat="1" applyFont="1" applyFill="1" applyBorder="1" applyAlignment="1"/>
    <xf numFmtId="0" fontId="28" fillId="0" borderId="14" xfId="0" applyNumberFormat="1" applyFont="1" applyFill="1" applyBorder="1" applyAlignment="1"/>
    <xf numFmtId="0" fontId="27" fillId="0" borderId="0" xfId="0" applyFont="1" applyAlignment="1">
      <alignment horizontal="center"/>
    </xf>
    <xf numFmtId="0" fontId="27" fillId="0" borderId="0" xfId="0" applyFont="1" applyFill="1" applyAlignment="1">
      <alignment horizontal="center"/>
    </xf>
    <xf numFmtId="0" fontId="12" fillId="0" borderId="0" xfId="0" applyFont="1" applyAlignment="1">
      <alignment horizontal="center"/>
    </xf>
    <xf numFmtId="42" fontId="27" fillId="0" borderId="15" xfId="0" applyNumberFormat="1" applyFont="1" applyFill="1" applyBorder="1"/>
    <xf numFmtId="0" fontId="9" fillId="0" borderId="0" xfId="0" applyFont="1"/>
    <xf numFmtId="0" fontId="9" fillId="0" borderId="0" xfId="0" applyFont="1" applyFill="1"/>
    <xf numFmtId="0" fontId="14" fillId="0" borderId="0" xfId="0" applyFont="1" applyFill="1" applyBorder="1" applyAlignment="1">
      <alignment vertical="top"/>
    </xf>
    <xf numFmtId="10" fontId="14" fillId="0" borderId="1" xfId="0" applyNumberFormat="1" applyFont="1" applyFill="1" applyBorder="1" applyAlignment="1">
      <alignment vertical="top"/>
    </xf>
    <xf numFmtId="0" fontId="12" fillId="0" borderId="0" xfId="0" applyFont="1" applyFill="1" applyAlignment="1">
      <alignment horizontal="center"/>
    </xf>
    <xf numFmtId="0" fontId="41" fillId="0" borderId="0" xfId="0" applyFont="1"/>
    <xf numFmtId="0" fontId="41" fillId="0" borderId="0" xfId="0" applyFont="1" applyFill="1"/>
    <xf numFmtId="42" fontId="41" fillId="0" borderId="0" xfId="0" applyNumberFormat="1" applyFont="1"/>
    <xf numFmtId="0" fontId="13" fillId="0" borderId="0" xfId="0" applyFont="1"/>
    <xf numFmtId="165" fontId="13" fillId="0" borderId="0" xfId="0" applyNumberFormat="1" applyFont="1"/>
    <xf numFmtId="43" fontId="41" fillId="0" borderId="0" xfId="0" applyNumberFormat="1" applyFont="1"/>
    <xf numFmtId="0" fontId="42" fillId="0" borderId="4" xfId="0" applyFont="1" applyFill="1" applyBorder="1" applyAlignment="1">
      <alignment vertical="top"/>
    </xf>
    <xf numFmtId="10" fontId="37" fillId="0" borderId="10" xfId="0" applyNumberFormat="1" applyFont="1" applyFill="1" applyBorder="1" applyAlignment="1">
      <alignment vertical="top"/>
    </xf>
    <xf numFmtId="0" fontId="28" fillId="0" borderId="0" xfId="0" applyNumberFormat="1" applyFont="1" applyFill="1" applyBorder="1" applyAlignment="1"/>
    <xf numFmtId="3" fontId="45" fillId="0" borderId="0" xfId="0" applyNumberFormat="1" applyFont="1" applyFill="1" applyAlignment="1">
      <alignment vertical="top"/>
    </xf>
    <xf numFmtId="42" fontId="29" fillId="0" borderId="27" xfId="0" applyNumberFormat="1" applyFont="1" applyFill="1" applyBorder="1" applyAlignment="1">
      <alignment horizontal="left"/>
    </xf>
    <xf numFmtId="0" fontId="19" fillId="0" borderId="9" xfId="0" applyFont="1" applyFill="1" applyBorder="1" applyAlignment="1">
      <alignment vertical="top"/>
    </xf>
    <xf numFmtId="3" fontId="14" fillId="0" borderId="9" xfId="0" applyNumberFormat="1" applyFont="1" applyFill="1" applyBorder="1" applyAlignment="1">
      <alignment vertical="top"/>
    </xf>
    <xf numFmtId="0" fontId="46" fillId="0" borderId="0" xfId="0" applyFont="1" applyFill="1"/>
    <xf numFmtId="0" fontId="47" fillId="0" borderId="0" xfId="0" applyFont="1" applyFill="1"/>
    <xf numFmtId="0" fontId="48" fillId="0" borderId="19" xfId="0" applyFont="1" applyFill="1" applyBorder="1" applyAlignment="1">
      <alignment horizontal="centerContinuous"/>
    </xf>
    <xf numFmtId="0" fontId="48" fillId="0" borderId="29" xfId="0" applyFont="1" applyFill="1" applyBorder="1" applyAlignment="1">
      <alignment horizontal="centerContinuous"/>
    </xf>
    <xf numFmtId="0" fontId="48" fillId="0" borderId="0" xfId="0" applyFont="1" applyFill="1" applyAlignment="1">
      <alignment horizontal="centerContinuous"/>
    </xf>
    <xf numFmtId="0" fontId="47" fillId="0" borderId="0" xfId="0" applyFont="1" applyFill="1" applyAlignment="1">
      <alignment horizontal="centerContinuous"/>
    </xf>
    <xf numFmtId="0" fontId="49" fillId="0" borderId="0" xfId="0" applyNumberFormat="1" applyFont="1" applyFill="1" applyAlignment="1">
      <alignment horizontal="center"/>
    </xf>
    <xf numFmtId="0" fontId="49" fillId="0" borderId="0" xfId="0" applyFont="1" applyFill="1" applyAlignment="1">
      <alignment horizontal="center"/>
    </xf>
    <xf numFmtId="0" fontId="50" fillId="0" borderId="0" xfId="0" applyFont="1" applyFill="1"/>
    <xf numFmtId="0" fontId="49" fillId="0" borderId="1" xfId="0" applyNumberFormat="1" applyFont="1" applyFill="1" applyBorder="1" applyAlignment="1">
      <alignment horizontal="center"/>
    </xf>
    <xf numFmtId="0" fontId="49" fillId="0" borderId="1" xfId="0" applyFont="1" applyFill="1" applyBorder="1" applyAlignment="1">
      <alignment horizontal="center"/>
    </xf>
    <xf numFmtId="0" fontId="50" fillId="0" borderId="1" xfId="0" applyFont="1" applyFill="1" applyBorder="1"/>
    <xf numFmtId="0" fontId="47" fillId="0" borderId="0" xfId="0" applyNumberFormat="1" applyFont="1" applyFill="1" applyAlignment="1">
      <alignment horizontal="center"/>
    </xf>
    <xf numFmtId="0" fontId="47" fillId="0" borderId="0" xfId="0" applyNumberFormat="1" applyFont="1" applyFill="1" applyAlignment="1"/>
    <xf numFmtId="10" fontId="47" fillId="0" borderId="0" xfId="0" applyNumberFormat="1" applyFont="1" applyFill="1"/>
    <xf numFmtId="0" fontId="47" fillId="0" borderId="0" xfId="0" applyNumberFormat="1" applyFont="1" applyFill="1" applyAlignment="1">
      <alignment horizontal="left"/>
    </xf>
    <xf numFmtId="166" fontId="47" fillId="0" borderId="0" xfId="0" applyNumberFormat="1" applyFont="1" applyFill="1" applyAlignment="1"/>
    <xf numFmtId="10" fontId="47" fillId="0" borderId="15" xfId="0" applyNumberFormat="1" applyFont="1" applyFill="1" applyBorder="1"/>
    <xf numFmtId="0" fontId="47" fillId="0" borderId="15" xfId="0" applyFont="1" applyFill="1" applyBorder="1"/>
    <xf numFmtId="10" fontId="47" fillId="7" borderId="15" xfId="0" applyNumberFormat="1" applyFont="1" applyFill="1" applyBorder="1"/>
    <xf numFmtId="164" fontId="47" fillId="0" borderId="0" xfId="0" applyNumberFormat="1" applyFont="1" applyFill="1" applyAlignment="1"/>
    <xf numFmtId="166" fontId="47" fillId="0" borderId="1" xfId="0" applyNumberFormat="1" applyFont="1" applyFill="1" applyBorder="1" applyAlignment="1"/>
    <xf numFmtId="166" fontId="47" fillId="0" borderId="0" xfId="0" applyNumberFormat="1" applyFont="1" applyFill="1" applyBorder="1" applyAlignment="1"/>
    <xf numFmtId="166" fontId="47" fillId="7" borderId="0" xfId="0" applyNumberFormat="1" applyFont="1" applyFill="1" applyAlignment="1"/>
    <xf numFmtId="9" fontId="47" fillId="0" borderId="0" xfId="0" applyNumberFormat="1" applyFont="1" applyFill="1" applyAlignment="1"/>
    <xf numFmtId="166" fontId="48" fillId="0" borderId="28" xfId="0" applyNumberFormat="1" applyFont="1" applyFill="1" applyBorder="1" applyAlignment="1" applyProtection="1">
      <protection locked="0"/>
    </xf>
    <xf numFmtId="173" fontId="47" fillId="0" borderId="0" xfId="0" applyNumberFormat="1" applyFont="1" applyFill="1"/>
    <xf numFmtId="43" fontId="12" fillId="0" borderId="0" xfId="0" applyNumberFormat="1" applyFont="1"/>
    <xf numFmtId="179" fontId="12" fillId="0" borderId="0" xfId="0" applyNumberFormat="1" applyFont="1" applyBorder="1"/>
    <xf numFmtId="179" fontId="14" fillId="0" borderId="0" xfId="0" applyNumberFormat="1" applyFont="1" applyFill="1"/>
    <xf numFmtId="0" fontId="51" fillId="0" borderId="0" xfId="0" applyFont="1" applyAlignment="1">
      <alignment horizontal="right"/>
    </xf>
    <xf numFmtId="176" fontId="51" fillId="0" borderId="0" xfId="0" applyNumberFormat="1" applyFont="1"/>
    <xf numFmtId="3" fontId="15" fillId="0" borderId="30" xfId="0" applyNumberFormat="1" applyFont="1" applyFill="1" applyBorder="1" applyAlignment="1">
      <alignment vertical="top"/>
    </xf>
    <xf numFmtId="0" fontId="38" fillId="3" borderId="0" xfId="0" applyFont="1" applyFill="1" applyBorder="1" applyAlignment="1">
      <alignment horizontal="left" vertical="top"/>
    </xf>
    <xf numFmtId="3" fontId="38" fillId="3" borderId="25" xfId="0" applyNumberFormat="1" applyFont="1" applyFill="1" applyBorder="1" applyAlignment="1">
      <alignment horizontal="centerContinuous" vertical="top"/>
    </xf>
    <xf numFmtId="0" fontId="19" fillId="0" borderId="25" xfId="0" applyFont="1" applyFill="1" applyBorder="1" applyAlignment="1">
      <alignment horizontal="center" vertical="top"/>
    </xf>
    <xf numFmtId="0" fontId="19" fillId="0" borderId="31" xfId="0" applyFont="1" applyFill="1" applyBorder="1" applyAlignment="1">
      <alignment horizontal="center" vertical="top"/>
    </xf>
    <xf numFmtId="0" fontId="15" fillId="0" borderId="25" xfId="0" applyFont="1" applyFill="1" applyBorder="1" applyAlignment="1">
      <alignment vertical="top"/>
    </xf>
    <xf numFmtId="10" fontId="20" fillId="0" borderId="25" xfId="0" applyNumberFormat="1" applyFont="1" applyFill="1" applyBorder="1" applyAlignment="1">
      <alignment vertical="top"/>
    </xf>
    <xf numFmtId="10" fontId="20" fillId="0" borderId="31" xfId="0" applyNumberFormat="1" applyFont="1" applyFill="1" applyBorder="1" applyAlignment="1">
      <alignment vertical="top"/>
    </xf>
    <xf numFmtId="44" fontId="15" fillId="0" borderId="0" xfId="0" applyNumberFormat="1" applyFont="1" applyFill="1" applyAlignment="1">
      <alignment vertical="top"/>
    </xf>
    <xf numFmtId="10" fontId="37" fillId="0" borderId="32" xfId="0" applyNumberFormat="1" applyFont="1" applyFill="1" applyBorder="1" applyAlignment="1">
      <alignment vertical="top"/>
    </xf>
    <xf numFmtId="10" fontId="20" fillId="0" borderId="33" xfId="0" applyNumberFormat="1" applyFont="1" applyFill="1" applyBorder="1" applyAlignment="1">
      <alignment vertical="top"/>
    </xf>
    <xf numFmtId="3" fontId="20" fillId="0" borderId="0" xfId="0" applyNumberFormat="1" applyFont="1" applyFill="1" applyBorder="1" applyAlignment="1">
      <alignment vertical="top"/>
    </xf>
    <xf numFmtId="42" fontId="20" fillId="0" borderId="0" xfId="0" applyNumberFormat="1" applyFont="1" applyFill="1" applyBorder="1" applyAlignment="1">
      <alignment vertical="top"/>
    </xf>
    <xf numFmtId="0" fontId="0" fillId="0" borderId="0" xfId="0" applyFill="1"/>
    <xf numFmtId="0" fontId="28" fillId="0" borderId="3" xfId="0" applyFont="1" applyFill="1" applyBorder="1" applyAlignment="1">
      <alignment horizontal="centerContinuous"/>
    </xf>
    <xf numFmtId="0" fontId="18" fillId="0" borderId="4" xfId="0" applyFont="1" applyFill="1" applyBorder="1" applyAlignment="1">
      <alignment horizontal="centerContinuous"/>
    </xf>
    <xf numFmtId="0" fontId="18" fillId="0" borderId="5" xfId="0" applyFont="1" applyFill="1" applyBorder="1" applyAlignment="1">
      <alignment horizontal="centerContinuous"/>
    </xf>
    <xf numFmtId="0" fontId="35" fillId="0" borderId="6" xfId="0" applyFont="1" applyFill="1" applyBorder="1" applyAlignment="1">
      <alignment horizontal="center"/>
    </xf>
    <xf numFmtId="0" fontId="35" fillId="0" borderId="0" xfId="0" applyFont="1" applyFill="1" applyBorder="1" applyAlignment="1">
      <alignment horizontal="center"/>
    </xf>
    <xf numFmtId="43" fontId="35" fillId="0" borderId="0" xfId="0" applyNumberFormat="1" applyFont="1" applyFill="1" applyBorder="1" applyAlignment="1">
      <alignment horizontal="center" wrapText="1"/>
    </xf>
    <xf numFmtId="0" fontId="35" fillId="0" borderId="7" xfId="0" applyFont="1" applyFill="1" applyBorder="1" applyAlignment="1">
      <alignment horizontal="center" wrapText="1"/>
    </xf>
    <xf numFmtId="43" fontId="35" fillId="0" borderId="0" xfId="0" applyNumberFormat="1" applyFont="1" applyFill="1" applyBorder="1" applyAlignment="1">
      <alignment horizontal="center"/>
    </xf>
    <xf numFmtId="0" fontId="35" fillId="0" borderId="7" xfId="0" applyFont="1" applyFill="1" applyBorder="1" applyAlignment="1">
      <alignment horizontal="center"/>
    </xf>
    <xf numFmtId="0" fontId="36" fillId="0" borderId="6" xfId="0" applyFont="1" applyFill="1" applyBorder="1"/>
    <xf numFmtId="0" fontId="36" fillId="0" borderId="0" xfId="0" applyFont="1" applyFill="1" applyBorder="1"/>
    <xf numFmtId="0" fontId="36" fillId="0" borderId="7" xfId="0" applyFont="1" applyFill="1" applyBorder="1"/>
    <xf numFmtId="0" fontId="36" fillId="0" borderId="6" xfId="0" applyFont="1" applyFill="1" applyBorder="1" applyAlignment="1">
      <alignment horizontal="left"/>
    </xf>
    <xf numFmtId="10" fontId="36" fillId="0" borderId="0" xfId="0" applyNumberFormat="1" applyFont="1" applyFill="1" applyBorder="1"/>
    <xf numFmtId="10" fontId="36" fillId="0" borderId="7" xfId="0" applyNumberFormat="1" applyFont="1" applyFill="1" applyBorder="1"/>
    <xf numFmtId="0" fontId="36" fillId="0" borderId="11" xfId="0" applyFont="1" applyFill="1" applyBorder="1" applyAlignment="1">
      <alignment horizontal="left"/>
    </xf>
    <xf numFmtId="0" fontId="36" fillId="0" borderId="2" xfId="0" applyFont="1" applyFill="1" applyBorder="1"/>
    <xf numFmtId="10" fontId="36" fillId="0" borderId="2" xfId="0" applyNumberFormat="1" applyFont="1" applyFill="1" applyBorder="1"/>
    <xf numFmtId="10" fontId="36" fillId="0" borderId="12" xfId="0" applyNumberFormat="1" applyFont="1" applyFill="1" applyBorder="1"/>
    <xf numFmtId="0" fontId="24" fillId="0" borderId="13" xfId="0" applyFont="1" applyFill="1" applyBorder="1" applyAlignment="1">
      <alignment horizontal="centerContinuous"/>
    </xf>
    <xf numFmtId="0" fontId="24" fillId="0" borderId="0" xfId="0" applyFont="1" applyFill="1" applyBorder="1"/>
    <xf numFmtId="0" fontId="24" fillId="0" borderId="0" xfId="0" applyFont="1" applyFill="1" applyBorder="1" applyAlignment="1">
      <alignment horizontal="center" vertical="center" wrapText="1"/>
    </xf>
    <xf numFmtId="165" fontId="14" fillId="0" borderId="0" xfId="0" applyNumberFormat="1" applyFont="1" applyFill="1" applyBorder="1"/>
    <xf numFmtId="168" fontId="14" fillId="0" borderId="0" xfId="0" applyNumberFormat="1" applyFont="1" applyFill="1" applyBorder="1"/>
    <xf numFmtId="10" fontId="27" fillId="0" borderId="0" xfId="0" applyNumberFormat="1" applyFont="1"/>
    <xf numFmtId="0" fontId="7" fillId="0" borderId="0" xfId="0" applyFont="1"/>
    <xf numFmtId="0" fontId="5" fillId="0" borderId="0" xfId="0" applyFont="1" applyFill="1"/>
    <xf numFmtId="0" fontId="5" fillId="0" borderId="0" xfId="0" applyFont="1"/>
    <xf numFmtId="0" fontId="5" fillId="0" borderId="0" xfId="0" applyFont="1"/>
    <xf numFmtId="0" fontId="5" fillId="0" borderId="0" xfId="0" applyFont="1" applyFill="1" applyAlignment="1">
      <alignment horizontal="centerContinuous"/>
    </xf>
    <xf numFmtId="0" fontId="5" fillId="0" borderId="16" xfId="0" applyFont="1" applyFill="1" applyBorder="1"/>
    <xf numFmtId="0" fontId="5" fillId="0" borderId="13" xfId="0" applyFont="1" applyFill="1" applyBorder="1" applyAlignment="1">
      <alignment horizontal="centerContinuous"/>
    </xf>
    <xf numFmtId="0" fontId="5" fillId="0" borderId="17" xfId="0" applyFont="1" applyFill="1" applyBorder="1" applyAlignment="1">
      <alignment horizontal="centerContinuous"/>
    </xf>
    <xf numFmtId="43" fontId="5" fillId="0" borderId="0" xfId="0" applyNumberFormat="1" applyFont="1" applyFill="1"/>
    <xf numFmtId="43" fontId="5" fillId="0" borderId="0" xfId="0" applyNumberFormat="1" applyFont="1"/>
    <xf numFmtId="0" fontId="5" fillId="0" borderId="14" xfId="0" applyFont="1" applyFill="1" applyBorder="1"/>
    <xf numFmtId="168" fontId="5" fillId="0" borderId="14" xfId="0" applyNumberFormat="1" applyFont="1" applyFill="1" applyBorder="1"/>
    <xf numFmtId="10" fontId="5" fillId="0" borderId="0" xfId="0" applyNumberFormat="1" applyFont="1" applyFill="1"/>
    <xf numFmtId="0" fontId="5" fillId="0" borderId="14" xfId="0" applyFont="1" applyFill="1" applyBorder="1" applyAlignment="1">
      <alignment horizontal="center"/>
    </xf>
    <xf numFmtId="175" fontId="5" fillId="0" borderId="0" xfId="0" applyNumberFormat="1" applyFont="1" applyFill="1"/>
    <xf numFmtId="43" fontId="5" fillId="0" borderId="0" xfId="0" applyNumberFormat="1" applyFont="1" applyFill="1" applyAlignment="1">
      <alignment wrapText="1"/>
    </xf>
    <xf numFmtId="177" fontId="5" fillId="0" borderId="0" xfId="0" applyNumberFormat="1" applyFont="1" applyFill="1"/>
    <xf numFmtId="178" fontId="5" fillId="0" borderId="0" xfId="0" applyNumberFormat="1" applyFont="1" applyFill="1"/>
    <xf numFmtId="173" fontId="5" fillId="0" borderId="0" xfId="0" applyNumberFormat="1" applyFont="1" applyFill="1"/>
    <xf numFmtId="0" fontId="5" fillId="0" borderId="0" xfId="0" applyFont="1" applyFill="1" applyBorder="1"/>
    <xf numFmtId="44" fontId="5" fillId="0" borderId="0" xfId="0" applyNumberFormat="1" applyFont="1" applyFill="1" applyBorder="1"/>
    <xf numFmtId="43" fontId="5" fillId="0" borderId="0" xfId="0" applyNumberFormat="1" applyFont="1" applyFill="1" applyBorder="1"/>
    <xf numFmtId="0" fontId="5" fillId="0" borderId="0" xfId="0" applyFont="1" applyBorder="1"/>
    <xf numFmtId="42" fontId="5" fillId="0" borderId="0" xfId="0" applyNumberFormat="1" applyFont="1" applyFill="1"/>
    <xf numFmtId="44" fontId="5" fillId="0" borderId="0" xfId="0" applyNumberFormat="1" applyFont="1" applyFill="1"/>
    <xf numFmtId="0" fontId="0" fillId="0" borderId="0" xfId="0" applyFont="1" applyFill="1" applyAlignment="1">
      <alignment horizontal="centerContinuous"/>
    </xf>
    <xf numFmtId="0" fontId="8" fillId="0" borderId="0" xfId="0" applyFont="1" applyFill="1" applyAlignment="1"/>
    <xf numFmtId="0" fontId="8" fillId="0" borderId="0" xfId="0" applyFont="1" applyFill="1" applyAlignment="1">
      <alignment horizontal="centerContinuous"/>
    </xf>
    <xf numFmtId="0" fontId="14" fillId="0" borderId="0" xfId="0" applyFont="1" applyFill="1" applyAlignment="1">
      <alignment horizontal="centerContinuous"/>
    </xf>
    <xf numFmtId="0" fontId="10" fillId="0" borderId="0" xfId="0" applyFont="1" applyAlignment="1">
      <alignment horizontal="centerContinuous"/>
    </xf>
    <xf numFmtId="0" fontId="12" fillId="0" borderId="0" xfId="0" applyFont="1" applyAlignment="1">
      <alignment horizontal="centerContinuous"/>
    </xf>
    <xf numFmtId="0" fontId="9" fillId="0" borderId="0" xfId="0" applyFont="1" applyFill="1" applyAlignment="1">
      <alignment horizontal="centerContinuous"/>
    </xf>
    <xf numFmtId="0" fontId="4" fillId="0" borderId="0" xfId="0" applyFont="1" applyAlignment="1">
      <alignment horizontal="centerContinuous"/>
    </xf>
    <xf numFmtId="0" fontId="4" fillId="0" borderId="0" xfId="0" applyFont="1" applyFill="1" applyAlignment="1">
      <alignment horizontal="centerContinuous"/>
    </xf>
    <xf numFmtId="0" fontId="4" fillId="0" borderId="0" xfId="0" applyFont="1" applyAlignment="1">
      <alignment horizontal="left"/>
    </xf>
    <xf numFmtId="0" fontId="4" fillId="0" borderId="0" xfId="0" applyFont="1"/>
    <xf numFmtId="42" fontId="4" fillId="0" borderId="0" xfId="0" applyNumberFormat="1" applyFont="1"/>
    <xf numFmtId="167" fontId="4" fillId="0" borderId="0" xfId="0" applyNumberFormat="1" applyFont="1"/>
    <xf numFmtId="0" fontId="4" fillId="0" borderId="0" xfId="0" applyFont="1" applyFill="1" applyAlignment="1">
      <alignment horizontal="center"/>
    </xf>
    <xf numFmtId="42" fontId="13" fillId="0" borderId="0" xfId="0" applyNumberFormat="1" applyFont="1" applyFill="1"/>
    <xf numFmtId="0" fontId="41" fillId="0" borderId="0" xfId="0" applyFont="1" applyAlignment="1">
      <alignment horizontal="center"/>
    </xf>
    <xf numFmtId="0" fontId="19" fillId="0" borderId="0" xfId="0" applyFont="1" applyFill="1" applyAlignment="1">
      <alignment horizontal="center" vertical="top"/>
    </xf>
    <xf numFmtId="0" fontId="26" fillId="0" borderId="0" xfId="0" applyFont="1" applyFill="1" applyAlignment="1">
      <alignment horizontal="centerContinuous"/>
    </xf>
    <xf numFmtId="43" fontId="11" fillId="0" borderId="0" xfId="0" applyNumberFormat="1" applyFont="1"/>
    <xf numFmtId="0" fontId="24" fillId="0" borderId="0" xfId="0" applyFont="1"/>
    <xf numFmtId="0" fontId="55" fillId="0" borderId="0" xfId="0" applyFont="1" applyFill="1"/>
    <xf numFmtId="42" fontId="23" fillId="0" borderId="22" xfId="0" applyNumberFormat="1" applyFont="1" applyFill="1" applyBorder="1"/>
    <xf numFmtId="0" fontId="26" fillId="0" borderId="24" xfId="0" applyFont="1" applyFill="1" applyBorder="1"/>
    <xf numFmtId="0" fontId="3" fillId="0" borderId="0" xfId="0" applyFont="1" applyFill="1" applyAlignment="1">
      <alignment vertical="top"/>
    </xf>
    <xf numFmtId="42" fontId="3" fillId="0" borderId="0" xfId="0" applyNumberFormat="1" applyFont="1" applyFill="1" applyAlignment="1">
      <alignment vertical="top"/>
    </xf>
    <xf numFmtId="42" fontId="3" fillId="2" borderId="0" xfId="0" applyNumberFormat="1" applyFont="1" applyFill="1" applyAlignment="1">
      <alignment vertical="top"/>
    </xf>
    <xf numFmtId="0" fontId="3" fillId="0" borderId="0" xfId="0" applyFont="1" applyFill="1"/>
    <xf numFmtId="164" fontId="3" fillId="2" borderId="0" xfId="0" applyNumberFormat="1" applyFont="1" applyFill="1" applyBorder="1" applyAlignment="1">
      <alignment horizontal="center"/>
    </xf>
    <xf numFmtId="164" fontId="3" fillId="0" borderId="0" xfId="0" applyNumberFormat="1" applyFont="1" applyFill="1" applyBorder="1" applyAlignment="1">
      <alignment horizontal="center"/>
    </xf>
    <xf numFmtId="164" fontId="3" fillId="0" borderId="0" xfId="0" applyNumberFormat="1" applyFont="1" applyFill="1" applyAlignment="1">
      <alignment vertical="top"/>
    </xf>
    <xf numFmtId="0" fontId="38" fillId="6" borderId="23" xfId="0" applyFont="1" applyFill="1" applyBorder="1" applyAlignment="1">
      <alignment horizontal="center" vertical="center"/>
    </xf>
    <xf numFmtId="0" fontId="3" fillId="0" borderId="0" xfId="0" applyFont="1"/>
    <xf numFmtId="0" fontId="3" fillId="0" borderId="0" xfId="0" applyFont="1" applyFill="1"/>
    <xf numFmtId="0" fontId="24" fillId="0" borderId="14" xfId="0" applyFont="1" applyBorder="1"/>
    <xf numFmtId="0" fontId="24" fillId="0" borderId="19" xfId="0" applyFont="1" applyBorder="1" applyAlignment="1">
      <alignment horizontal="center"/>
    </xf>
    <xf numFmtId="0" fontId="24" fillId="0" borderId="14" xfId="0" applyFont="1" applyFill="1" applyBorder="1" applyAlignment="1">
      <alignment wrapText="1"/>
    </xf>
    <xf numFmtId="0" fontId="24" fillId="0" borderId="14" xfId="0" applyFont="1" applyFill="1" applyBorder="1"/>
    <xf numFmtId="0" fontId="39" fillId="0" borderId="14" xfId="0" applyFont="1" applyFill="1" applyBorder="1" applyAlignment="1">
      <alignment vertical="center"/>
    </xf>
    <xf numFmtId="0" fontId="39" fillId="0" borderId="19" xfId="0" applyFont="1" applyFill="1" applyBorder="1" applyAlignment="1">
      <alignment vertical="center"/>
    </xf>
    <xf numFmtId="165" fontId="23" fillId="0" borderId="14" xfId="0" applyNumberFormat="1" applyFont="1" applyFill="1" applyBorder="1"/>
    <xf numFmtId="10" fontId="27" fillId="0" borderId="14" xfId="0" applyNumberFormat="1" applyFont="1" applyFill="1" applyBorder="1"/>
    <xf numFmtId="0" fontId="40" fillId="0" borderId="24" xfId="0" applyFont="1" applyFill="1" applyBorder="1" applyAlignment="1">
      <alignment vertical="center"/>
    </xf>
    <xf numFmtId="0" fontId="40" fillId="0" borderId="20" xfId="0" applyFont="1" applyFill="1" applyBorder="1" applyAlignment="1">
      <alignment vertical="center"/>
    </xf>
    <xf numFmtId="165" fontId="57" fillId="0" borderId="24" xfId="0" applyNumberFormat="1" applyFont="1" applyFill="1" applyBorder="1"/>
    <xf numFmtId="0" fontId="27" fillId="0" borderId="14" xfId="0" applyFont="1" applyFill="1" applyBorder="1"/>
    <xf numFmtId="0" fontId="27" fillId="0" borderId="0" xfId="0" applyFont="1" applyFill="1"/>
    <xf numFmtId="0" fontId="43" fillId="0" borderId="0" xfId="0" applyFont="1" applyFill="1"/>
    <xf numFmtId="10" fontId="43" fillId="0" borderId="0" xfId="0" applyNumberFormat="1" applyFont="1" applyFill="1" applyBorder="1"/>
    <xf numFmtId="0" fontId="3" fillId="0" borderId="14" xfId="0" applyFont="1" applyFill="1" applyBorder="1"/>
    <xf numFmtId="0" fontId="43" fillId="0" borderId="14" xfId="0" applyFont="1" applyFill="1" applyBorder="1"/>
    <xf numFmtId="0" fontId="58" fillId="0" borderId="0" xfId="0" applyFont="1" applyFill="1"/>
    <xf numFmtId="0" fontId="44" fillId="8" borderId="14" xfId="0" applyFont="1" applyFill="1" applyBorder="1" applyAlignment="1">
      <alignment horizontal="centerContinuous"/>
    </xf>
    <xf numFmtId="0" fontId="3" fillId="8" borderId="14" xfId="0" applyFont="1" applyFill="1" applyBorder="1" applyAlignment="1">
      <alignment horizontal="centerContinuous"/>
    </xf>
    <xf numFmtId="0" fontId="38" fillId="6" borderId="14" xfId="0" applyFont="1" applyFill="1" applyBorder="1" applyAlignment="1">
      <alignment horizontal="center" vertical="center"/>
    </xf>
    <xf numFmtId="0" fontId="44" fillId="0" borderId="14" xfId="0" applyFont="1" applyFill="1" applyBorder="1"/>
    <xf numFmtId="0" fontId="3" fillId="0" borderId="14" xfId="0" applyFont="1" applyBorder="1"/>
    <xf numFmtId="44" fontId="23" fillId="0" borderId="14" xfId="0" applyNumberFormat="1" applyFont="1" applyFill="1" applyBorder="1"/>
    <xf numFmtId="0" fontId="43" fillId="0" borderId="14" xfId="0" applyFont="1" applyFill="1" applyBorder="1" applyAlignment="1">
      <alignment horizontal="center"/>
    </xf>
    <xf numFmtId="9" fontId="26" fillId="0" borderId="14" xfId="0" applyNumberFormat="1" applyFont="1" applyFill="1" applyBorder="1"/>
    <xf numFmtId="0" fontId="14" fillId="0" borderId="14" xfId="0" applyFont="1" applyFill="1" applyBorder="1"/>
    <xf numFmtId="0" fontId="59" fillId="0" borderId="0" xfId="0" applyFont="1" applyFill="1"/>
    <xf numFmtId="3" fontId="27" fillId="0" borderId="14" xfId="0" applyNumberFormat="1" applyFont="1" applyFill="1" applyBorder="1"/>
    <xf numFmtId="41" fontId="23" fillId="0" borderId="14" xfId="0" applyNumberFormat="1" applyFont="1" applyFill="1" applyBorder="1"/>
    <xf numFmtId="0" fontId="60" fillId="0" borderId="0" xfId="0" applyFont="1" applyFill="1"/>
    <xf numFmtId="0" fontId="39" fillId="0" borderId="34" xfId="0" applyFont="1" applyBorder="1" applyAlignment="1">
      <alignment vertical="center"/>
    </xf>
    <xf numFmtId="41" fontId="23" fillId="0" borderId="43" xfId="0" applyNumberFormat="1" applyFont="1" applyFill="1" applyBorder="1"/>
    <xf numFmtId="3" fontId="27" fillId="0" borderId="43" xfId="0" applyNumberFormat="1" applyFont="1" applyFill="1" applyBorder="1"/>
    <xf numFmtId="0" fontId="61" fillId="0" borderId="0" xfId="0" applyFont="1" applyFill="1"/>
    <xf numFmtId="0" fontId="40" fillId="0" borderId="14" xfId="0" applyFont="1" applyFill="1" applyBorder="1" applyAlignment="1">
      <alignment vertical="center"/>
    </xf>
    <xf numFmtId="0" fontId="24" fillId="0" borderId="19" xfId="0" applyFont="1" applyFill="1" applyBorder="1"/>
    <xf numFmtId="165" fontId="57" fillId="0" borderId="14" xfId="0" applyNumberFormat="1" applyFont="1" applyFill="1" applyBorder="1"/>
    <xf numFmtId="10" fontId="23" fillId="0" borderId="14" xfId="0" applyNumberFormat="1" applyFont="1" applyFill="1" applyBorder="1"/>
    <xf numFmtId="44" fontId="43" fillId="0" borderId="0" xfId="0" applyNumberFormat="1" applyFont="1" applyFill="1"/>
    <xf numFmtId="42" fontId="27" fillId="0" borderId="14" xfId="0" applyNumberFormat="1" applyFont="1" applyFill="1" applyBorder="1"/>
    <xf numFmtId="0" fontId="3" fillId="5" borderId="26" xfId="0" applyFont="1" applyFill="1" applyBorder="1" applyAlignment="1">
      <alignment wrapText="1"/>
    </xf>
    <xf numFmtId="0" fontId="3" fillId="5" borderId="26" xfId="0" applyFont="1" applyFill="1" applyBorder="1"/>
    <xf numFmtId="0" fontId="43" fillId="0" borderId="26" xfId="0" applyFont="1" applyFill="1" applyBorder="1"/>
    <xf numFmtId="165" fontId="27" fillId="0" borderId="26" xfId="0" applyNumberFormat="1" applyFont="1" applyFill="1" applyBorder="1"/>
    <xf numFmtId="0" fontId="62" fillId="6" borderId="0" xfId="0" applyFont="1" applyFill="1" applyAlignment="1">
      <alignment horizontal="centerContinuous"/>
    </xf>
    <xf numFmtId="0" fontId="54" fillId="0" borderId="3" xfId="0" applyFont="1" applyFill="1" applyBorder="1" applyAlignment="1">
      <alignment horizontal="centerContinuous"/>
    </xf>
    <xf numFmtId="0" fontId="35" fillId="0" borderId="44" xfId="0" applyFont="1" applyFill="1" applyBorder="1" applyAlignment="1">
      <alignment horizontal="center"/>
    </xf>
    <xf numFmtId="0" fontId="35" fillId="0" borderId="15" xfId="0" applyFont="1" applyFill="1" applyBorder="1" applyAlignment="1">
      <alignment horizontal="center"/>
    </xf>
    <xf numFmtId="43" fontId="35" fillId="0" borderId="15" xfId="0" applyNumberFormat="1" applyFont="1" applyFill="1" applyBorder="1" applyAlignment="1">
      <alignment horizontal="center" wrapText="1"/>
    </xf>
    <xf numFmtId="0" fontId="35" fillId="0" borderId="45" xfId="0" applyFont="1" applyFill="1" applyBorder="1" applyAlignment="1">
      <alignment horizontal="center" wrapText="1"/>
    </xf>
    <xf numFmtId="0" fontId="35" fillId="0" borderId="46" xfId="0" applyFont="1" applyFill="1" applyBorder="1" applyAlignment="1">
      <alignment horizontal="center"/>
    </xf>
    <xf numFmtId="0" fontId="35" fillId="0" borderId="1" xfId="0" applyFont="1" applyFill="1" applyBorder="1" applyAlignment="1">
      <alignment horizontal="center"/>
    </xf>
    <xf numFmtId="43" fontId="35" fillId="0" borderId="1" xfId="0" applyNumberFormat="1" applyFont="1" applyFill="1" applyBorder="1" applyAlignment="1">
      <alignment horizontal="center"/>
    </xf>
    <xf numFmtId="0" fontId="35" fillId="0" borderId="8" xfId="0" applyFont="1" applyFill="1" applyBorder="1" applyAlignment="1">
      <alignment horizontal="center"/>
    </xf>
    <xf numFmtId="0" fontId="63" fillId="0" borderId="0" xfId="0" applyFont="1"/>
    <xf numFmtId="0" fontId="64" fillId="0" borderId="0" xfId="0" applyFont="1"/>
    <xf numFmtId="0" fontId="53" fillId="0" borderId="0" xfId="0" applyFont="1"/>
    <xf numFmtId="0" fontId="61" fillId="0" borderId="0" xfId="0" applyFont="1"/>
    <xf numFmtId="0" fontId="29" fillId="0" borderId="0" xfId="0" applyFont="1"/>
    <xf numFmtId="0" fontId="3" fillId="0" borderId="0" xfId="0" applyFont="1"/>
    <xf numFmtId="0" fontId="3" fillId="0" borderId="0" xfId="0" applyFont="1" applyFill="1"/>
    <xf numFmtId="0" fontId="52" fillId="0" borderId="16" xfId="0" applyFont="1" applyBorder="1"/>
    <xf numFmtId="0" fontId="3" fillId="0" borderId="13" xfId="0" applyFont="1" applyBorder="1"/>
    <xf numFmtId="0" fontId="54" fillId="0" borderId="13" xfId="0" applyFont="1" applyFill="1" applyBorder="1" applyAlignment="1">
      <alignment horizontal="centerContinuous"/>
    </xf>
    <xf numFmtId="0" fontId="32" fillId="0" borderId="17" xfId="0" applyFont="1" applyFill="1" applyBorder="1" applyAlignment="1">
      <alignment horizontal="centerContinuous"/>
    </xf>
    <xf numFmtId="0" fontId="3" fillId="0" borderId="0" xfId="0" applyFont="1" applyFill="1" applyAlignment="1">
      <alignment horizontal="centerContinuous"/>
    </xf>
    <xf numFmtId="0" fontId="38" fillId="6" borderId="16" xfId="0" applyFont="1" applyFill="1" applyBorder="1" applyAlignment="1">
      <alignment horizontal="centerContinuous" vertical="center"/>
    </xf>
    <xf numFmtId="0" fontId="56" fillId="6" borderId="13" xfId="0" applyFont="1" applyFill="1" applyBorder="1" applyAlignment="1">
      <alignment horizontal="centerContinuous"/>
    </xf>
    <xf numFmtId="0" fontId="56" fillId="6" borderId="17" xfId="0" applyFont="1" applyFill="1" applyBorder="1" applyAlignment="1">
      <alignment horizontal="centerContinuous"/>
    </xf>
    <xf numFmtId="0" fontId="56" fillId="0" borderId="0" xfId="0" applyFont="1" applyFill="1" applyBorder="1" applyAlignment="1">
      <alignment horizontal="centerContinuous"/>
    </xf>
    <xf numFmtId="0" fontId="56" fillId="6" borderId="6" xfId="0" applyFont="1" applyFill="1" applyBorder="1" applyAlignment="1">
      <alignment horizontal="centerContinuous"/>
    </xf>
    <xf numFmtId="0" fontId="56" fillId="6" borderId="0" xfId="0" applyFont="1" applyFill="1" applyBorder="1" applyAlignment="1">
      <alignment horizontal="centerContinuous"/>
    </xf>
    <xf numFmtId="0" fontId="56" fillId="6" borderId="7" xfId="0" applyFont="1" applyFill="1" applyBorder="1" applyAlignment="1">
      <alignment horizontal="centerContinuous"/>
    </xf>
    <xf numFmtId="0" fontId="40" fillId="0" borderId="34" xfId="0" applyFont="1" applyFill="1" applyBorder="1" applyAlignment="1">
      <alignment horizontal="center" vertical="center"/>
    </xf>
    <xf numFmtId="0" fontId="40" fillId="0" borderId="14" xfId="0" applyFont="1" applyFill="1" applyBorder="1" applyAlignment="1">
      <alignment horizontal="center" vertical="center"/>
    </xf>
    <xf numFmtId="0" fontId="24" fillId="0" borderId="14" xfId="0" applyFont="1" applyFill="1" applyBorder="1" applyAlignment="1">
      <alignment horizontal="center" wrapText="1"/>
    </xf>
    <xf numFmtId="0" fontId="24" fillId="0" borderId="35" xfId="0" applyFont="1" applyFill="1" applyBorder="1" applyAlignment="1">
      <alignment wrapText="1"/>
    </xf>
    <xf numFmtId="0" fontId="24" fillId="0" borderId="47" xfId="0" applyFont="1" applyFill="1" applyBorder="1" applyAlignment="1">
      <alignment wrapText="1"/>
    </xf>
    <xf numFmtId="0" fontId="24" fillId="8" borderId="34" xfId="0" applyFont="1" applyFill="1" applyBorder="1" applyAlignment="1">
      <alignment horizontal="center" wrapText="1"/>
    </xf>
    <xf numFmtId="0" fontId="24" fillId="0" borderId="19" xfId="0" applyFont="1" applyFill="1" applyBorder="1" applyAlignment="1">
      <alignment horizontal="center" wrapText="1"/>
    </xf>
    <xf numFmtId="0" fontId="39" fillId="0" borderId="34" xfId="0" applyFont="1" applyFill="1" applyBorder="1" applyAlignment="1">
      <alignment vertical="center"/>
    </xf>
    <xf numFmtId="0" fontId="39" fillId="0" borderId="14" xfId="0" applyFont="1" applyFill="1" applyBorder="1" applyAlignment="1">
      <alignment vertical="center"/>
    </xf>
    <xf numFmtId="173" fontId="0" fillId="0" borderId="14" xfId="0" applyNumberFormat="1" applyFont="1" applyFill="1" applyBorder="1"/>
    <xf numFmtId="173" fontId="3" fillId="0" borderId="14" xfId="0" applyNumberFormat="1" applyFont="1" applyFill="1" applyBorder="1"/>
    <xf numFmtId="173" fontId="0" fillId="0" borderId="36" xfId="0" applyNumberFormat="1" applyFont="1" applyFill="1" applyBorder="1"/>
    <xf numFmtId="173" fontId="0" fillId="0" borderId="1" xfId="0" applyNumberFormat="1" applyFont="1" applyFill="1" applyBorder="1"/>
    <xf numFmtId="173" fontId="3" fillId="0" borderId="34" xfId="0" applyNumberFormat="1" applyFont="1" applyFill="1" applyBorder="1"/>
    <xf numFmtId="173" fontId="0" fillId="0" borderId="42" xfId="0" applyNumberFormat="1" applyFont="1" applyFill="1" applyBorder="1"/>
    <xf numFmtId="173" fontId="0" fillId="0" borderId="26" xfId="0" applyNumberFormat="1" applyFont="1" applyFill="1" applyBorder="1"/>
    <xf numFmtId="173" fontId="0" fillId="0" borderId="37" xfId="0" applyNumberFormat="1" applyFont="1" applyFill="1" applyBorder="1"/>
    <xf numFmtId="173" fontId="0" fillId="0" borderId="15" xfId="0" applyNumberFormat="1" applyFont="1" applyFill="1" applyBorder="1"/>
    <xf numFmtId="173" fontId="0" fillId="0" borderId="41" xfId="0" applyNumberFormat="1" applyFont="1" applyFill="1" applyBorder="1"/>
    <xf numFmtId="173" fontId="0" fillId="0" borderId="48" xfId="0" applyNumberFormat="1" applyFont="1" applyFill="1" applyBorder="1"/>
    <xf numFmtId="0" fontId="40" fillId="0" borderId="38" xfId="0" applyFont="1" applyFill="1" applyBorder="1" applyAlignment="1">
      <alignment vertical="center"/>
    </xf>
    <xf numFmtId="0" fontId="40" fillId="0" borderId="18" xfId="0" applyFont="1" applyFill="1" applyBorder="1" applyAlignment="1">
      <alignment vertical="center"/>
    </xf>
    <xf numFmtId="173" fontId="24" fillId="0" borderId="18" xfId="0" applyNumberFormat="1" applyFont="1" applyFill="1" applyBorder="1"/>
    <xf numFmtId="43" fontId="24" fillId="0" borderId="18" xfId="0" applyNumberFormat="1" applyFont="1" applyFill="1" applyBorder="1"/>
    <xf numFmtId="173" fontId="24" fillId="0" borderId="36" xfId="0" applyNumberFormat="1" applyFont="1" applyFill="1" applyBorder="1"/>
    <xf numFmtId="173" fontId="24" fillId="0" borderId="1" xfId="0" applyNumberFormat="1" applyFont="1" applyFill="1" applyBorder="1"/>
    <xf numFmtId="43" fontId="24" fillId="0" borderId="38" xfId="0" applyNumberFormat="1" applyFont="1" applyFill="1" applyBorder="1"/>
    <xf numFmtId="173" fontId="24" fillId="0" borderId="42" xfId="0" applyNumberFormat="1" applyFont="1" applyFill="1" applyBorder="1"/>
    <xf numFmtId="0" fontId="3" fillId="0" borderId="6" xfId="0" applyFont="1" applyFill="1" applyBorder="1"/>
    <xf numFmtId="0" fontId="3" fillId="0" borderId="0" xfId="0" applyFont="1" applyFill="1" applyBorder="1"/>
    <xf numFmtId="0" fontId="3" fillId="0" borderId="7" xfId="0" applyFont="1" applyFill="1" applyBorder="1"/>
    <xf numFmtId="0" fontId="3" fillId="6" borderId="17" xfId="0" applyFont="1" applyFill="1" applyBorder="1" applyAlignment="1">
      <alignment horizontal="centerContinuous"/>
    </xf>
    <xf numFmtId="0" fontId="40" fillId="0" borderId="39" xfId="0" applyFont="1" applyFill="1" applyBorder="1" applyAlignment="1">
      <alignment horizontal="center" vertical="center"/>
    </xf>
    <xf numFmtId="0" fontId="40" fillId="0" borderId="40" xfId="0" applyFont="1" applyFill="1" applyBorder="1" applyAlignment="1">
      <alignment horizontal="center" vertical="center"/>
    </xf>
    <xf numFmtId="0" fontId="24" fillId="0" borderId="14" xfId="0" applyFont="1" applyFill="1" applyBorder="1" applyAlignment="1">
      <alignment wrapText="1"/>
    </xf>
    <xf numFmtId="0" fontId="3" fillId="0" borderId="38" xfId="0" applyFont="1" applyFill="1" applyBorder="1"/>
    <xf numFmtId="0" fontId="39" fillId="0" borderId="19" xfId="0" applyFont="1" applyBorder="1" applyAlignment="1">
      <alignment vertical="center"/>
    </xf>
    <xf numFmtId="173" fontId="0" fillId="0" borderId="18" xfId="0" applyNumberFormat="1" applyFont="1" applyFill="1" applyBorder="1"/>
    <xf numFmtId="173" fontId="0" fillId="0" borderId="38" xfId="0" applyNumberFormat="1" applyFont="1" applyFill="1" applyBorder="1"/>
    <xf numFmtId="0" fontId="39" fillId="0" borderId="41" xfId="0" applyFont="1" applyFill="1" applyBorder="1" applyAlignment="1">
      <alignment vertical="center"/>
    </xf>
    <xf numFmtId="0" fontId="39" fillId="0" borderId="26" xfId="0" applyFont="1" applyBorder="1" applyAlignment="1">
      <alignment vertical="center"/>
    </xf>
    <xf numFmtId="173" fontId="3" fillId="0" borderId="26" xfId="0" applyNumberFormat="1" applyFont="1" applyFill="1" applyBorder="1"/>
    <xf numFmtId="173" fontId="3" fillId="0" borderId="37" xfId="0" applyNumberFormat="1" applyFont="1" applyFill="1" applyBorder="1"/>
    <xf numFmtId="173" fontId="0" fillId="0" borderId="0" xfId="0" applyNumberFormat="1" applyFont="1" applyFill="1" applyBorder="1"/>
    <xf numFmtId="0" fontId="40" fillId="0" borderId="42" xfId="0" applyFont="1" applyBorder="1" applyAlignment="1">
      <alignment vertical="center"/>
    </xf>
    <xf numFmtId="173" fontId="24" fillId="0" borderId="36" xfId="0" applyNumberFormat="1" applyFont="1" applyBorder="1"/>
    <xf numFmtId="173" fontId="24" fillId="0" borderId="38" xfId="0" applyNumberFormat="1" applyFont="1" applyFill="1" applyBorder="1"/>
    <xf numFmtId="0" fontId="3" fillId="0" borderId="0" xfId="0" applyFont="1" applyBorder="1"/>
    <xf numFmtId="0" fontId="40" fillId="0" borderId="41" xfId="0" applyFont="1" applyFill="1" applyBorder="1" applyAlignment="1">
      <alignment vertical="center"/>
    </xf>
    <xf numFmtId="0" fontId="40" fillId="0" borderId="26" xfId="0" applyFont="1" applyFill="1" applyBorder="1" applyAlignment="1">
      <alignment vertical="center"/>
    </xf>
    <xf numFmtId="173" fontId="24" fillId="0" borderId="26" xfId="0" applyNumberFormat="1" applyFont="1" applyFill="1" applyBorder="1"/>
    <xf numFmtId="173" fontId="24" fillId="0" borderId="37" xfId="0" applyNumberFormat="1" applyFont="1" applyFill="1" applyBorder="1"/>
    <xf numFmtId="173" fontId="24" fillId="0" borderId="27" xfId="0" applyNumberFormat="1" applyFont="1" applyFill="1" applyBorder="1"/>
    <xf numFmtId="173" fontId="24" fillId="0" borderId="41" xfId="0" applyNumberFormat="1" applyFont="1" applyFill="1" applyBorder="1"/>
    <xf numFmtId="173" fontId="24" fillId="0" borderId="48" xfId="0" applyNumberFormat="1" applyFont="1" applyFill="1" applyBorder="1"/>
    <xf numFmtId="10" fontId="43" fillId="0" borderId="14" xfId="0" applyNumberFormat="1" applyFont="1" applyFill="1" applyBorder="1"/>
    <xf numFmtId="44" fontId="43" fillId="0" borderId="14" xfId="0" applyNumberFormat="1" applyFont="1" applyFill="1" applyBorder="1"/>
    <xf numFmtId="0" fontId="3" fillId="0" borderId="14" xfId="0" applyFont="1" applyFill="1" applyBorder="1"/>
    <xf numFmtId="43" fontId="43" fillId="0" borderId="14" xfId="0" applyNumberFormat="1" applyFont="1" applyFill="1" applyBorder="1"/>
    <xf numFmtId="165" fontId="44" fillId="0" borderId="24" xfId="0" applyNumberFormat="1" applyFont="1" applyFill="1" applyBorder="1"/>
    <xf numFmtId="10" fontId="43" fillId="0" borderId="0" xfId="0" applyNumberFormat="1" applyFont="1" applyFill="1"/>
    <xf numFmtId="0" fontId="3" fillId="0" borderId="0" xfId="0" applyFont="1"/>
    <xf numFmtId="0" fontId="29" fillId="8" borderId="27" xfId="0" applyFont="1" applyFill="1" applyBorder="1" applyAlignment="1">
      <alignment horizontal="left"/>
    </xf>
    <xf numFmtId="0" fontId="29" fillId="8" borderId="27" xfId="0" applyFont="1" applyFill="1" applyBorder="1" applyAlignment="1">
      <alignment horizontal="centerContinuous"/>
    </xf>
    <xf numFmtId="42" fontId="29" fillId="8" borderId="27" xfId="0" applyNumberFormat="1" applyFont="1" applyFill="1" applyBorder="1" applyAlignment="1">
      <alignment horizontal="left"/>
    </xf>
    <xf numFmtId="0" fontId="19" fillId="0" borderId="1" xfId="0" applyFont="1" applyFill="1" applyBorder="1" applyAlignment="1">
      <alignment vertical="top"/>
    </xf>
    <xf numFmtId="3" fontId="65" fillId="0" borderId="1" xfId="0" applyNumberFormat="1" applyFont="1" applyFill="1" applyBorder="1" applyAlignment="1">
      <alignment horizontal="center" vertical="top"/>
    </xf>
    <xf numFmtId="0" fontId="19" fillId="0" borderId="0" xfId="0" applyFont="1" applyBorder="1" applyAlignment="1">
      <alignment vertical="top"/>
    </xf>
    <xf numFmtId="3" fontId="19" fillId="0" borderId="0" xfId="0" applyNumberFormat="1" applyFont="1" applyFill="1" applyBorder="1" applyAlignment="1">
      <alignment horizontal="center" vertical="top"/>
    </xf>
    <xf numFmtId="0" fontId="19" fillId="0" borderId="16" xfId="0" applyFont="1" applyFill="1" applyBorder="1" applyAlignment="1">
      <alignment vertical="top"/>
    </xf>
    <xf numFmtId="0" fontId="19" fillId="0" borderId="13" xfId="0" applyFont="1" applyFill="1" applyBorder="1" applyAlignment="1">
      <alignment vertical="top"/>
    </xf>
    <xf numFmtId="44" fontId="19" fillId="0" borderId="13" xfId="0" applyNumberFormat="1" applyFont="1" applyFill="1" applyBorder="1" applyAlignment="1">
      <alignment horizontal="center" vertical="top"/>
    </xf>
    <xf numFmtId="42" fontId="3" fillId="0" borderId="0" xfId="0" applyNumberFormat="1" applyFont="1" applyFill="1"/>
    <xf numFmtId="10" fontId="3" fillId="0" borderId="0" xfId="0" applyNumberFormat="1" applyFont="1"/>
    <xf numFmtId="42" fontId="3" fillId="0" borderId="0" xfId="0" applyNumberFormat="1" applyFont="1" applyFill="1" applyBorder="1"/>
    <xf numFmtId="42" fontId="3" fillId="0" borderId="1" xfId="0" applyNumberFormat="1" applyFont="1" applyFill="1" applyBorder="1"/>
    <xf numFmtId="42" fontId="3" fillId="0" borderId="9" xfId="0" applyNumberFormat="1" applyFont="1" applyFill="1" applyBorder="1"/>
    <xf numFmtId="10" fontId="3" fillId="0" borderId="0" xfId="0" applyNumberFormat="1" applyFont="1" applyFill="1"/>
    <xf numFmtId="169" fontId="3" fillId="0" borderId="0" xfId="0" applyNumberFormat="1" applyFont="1" applyFill="1"/>
    <xf numFmtId="0" fontId="57" fillId="0" borderId="0" xfId="0" applyFont="1" applyFill="1"/>
    <xf numFmtId="0" fontId="3" fillId="0" borderId="0" xfId="0" applyFont="1" applyFill="1" applyAlignment="1">
      <alignment horizontal="centerContinuous"/>
    </xf>
    <xf numFmtId="9" fontId="3" fillId="0" borderId="0" xfId="0" applyNumberFormat="1" applyFont="1"/>
    <xf numFmtId="0" fontId="3" fillId="0" borderId="0" xfId="0" applyFont="1" applyAlignment="1">
      <alignment wrapText="1"/>
    </xf>
    <xf numFmtId="9" fontId="3" fillId="0" borderId="0" xfId="0" applyNumberFormat="1" applyFont="1"/>
    <xf numFmtId="44" fontId="14" fillId="0" borderId="0" xfId="0" applyNumberFormat="1" applyFont="1" applyFill="1"/>
    <xf numFmtId="0" fontId="19" fillId="0" borderId="0" xfId="0" applyFont="1" applyFill="1" applyAlignment="1">
      <alignment horizontal="center" vertical="top"/>
    </xf>
    <xf numFmtId="0" fontId="24" fillId="0" borderId="0" xfId="0" applyFont="1" applyFill="1" applyBorder="1"/>
    <xf numFmtId="165" fontId="23" fillId="0" borderId="0" xfId="0" applyNumberFormat="1" applyFont="1" applyFill="1" applyBorder="1"/>
    <xf numFmtId="165" fontId="57" fillId="0" borderId="0" xfId="0" applyNumberFormat="1" applyFont="1" applyFill="1" applyBorder="1"/>
    <xf numFmtId="10" fontId="27" fillId="0" borderId="0" xfId="0" applyNumberFormat="1" applyFont="1" applyFill="1" applyBorder="1"/>
    <xf numFmtId="0" fontId="6" fillId="0" borderId="14" xfId="0" applyFont="1" applyFill="1" applyBorder="1"/>
    <xf numFmtId="0" fontId="6" fillId="0" borderId="14" xfId="0" applyFont="1" applyBorder="1"/>
    <xf numFmtId="10" fontId="26" fillId="2" borderId="14" xfId="0" applyNumberFormat="1" applyFont="1" applyFill="1" applyBorder="1"/>
    <xf numFmtId="10" fontId="14" fillId="2" borderId="14" xfId="0" applyNumberFormat="1" applyFont="1" applyFill="1" applyBorder="1"/>
    <xf numFmtId="0" fontId="14" fillId="2" borderId="14" xfId="0" applyFont="1" applyFill="1" applyBorder="1"/>
    <xf numFmtId="167" fontId="26" fillId="0" borderId="14" xfId="0" applyNumberFormat="1" applyFont="1" applyFill="1" applyBorder="1"/>
    <xf numFmtId="42" fontId="2" fillId="0" borderId="15" xfId="0" applyNumberFormat="1" applyFont="1" applyBorder="1"/>
    <xf numFmtId="42" fontId="2" fillId="0" borderId="0" xfId="0" applyNumberFormat="1" applyFont="1" applyBorder="1"/>
    <xf numFmtId="42" fontId="2" fillId="0" borderId="0" xfId="0" applyNumberFormat="1" applyFont="1" applyFill="1"/>
    <xf numFmtId="42" fontId="2" fillId="0" borderId="15" xfId="0" applyNumberFormat="1" applyFont="1" applyFill="1" applyBorder="1"/>
    <xf numFmtId="42" fontId="2" fillId="0" borderId="0" xfId="0" applyNumberFormat="1" applyFont="1" applyFill="1" applyBorder="1"/>
    <xf numFmtId="0" fontId="6" fillId="2" borderId="14" xfId="0" applyFont="1" applyFill="1" applyBorder="1"/>
    <xf numFmtId="0" fontId="43" fillId="2" borderId="14" xfId="0" applyFont="1" applyFill="1" applyBorder="1" applyAlignment="1">
      <alignment horizontal="center"/>
    </xf>
    <xf numFmtId="0" fontId="2" fillId="0" borderId="0" xfId="0" applyFont="1" applyFill="1" applyAlignment="1">
      <alignment horizontal="centerContinuous"/>
    </xf>
    <xf numFmtId="165" fontId="33" fillId="0" borderId="0" xfId="0" applyNumberFormat="1" applyFont="1"/>
    <xf numFmtId="0" fontId="40" fillId="0" borderId="34" xfId="0" applyFont="1" applyFill="1" applyBorder="1" applyAlignment="1">
      <alignment vertical="center"/>
    </xf>
    <xf numFmtId="10" fontId="40" fillId="0" borderId="14" xfId="0" applyNumberFormat="1" applyFont="1" applyFill="1" applyBorder="1" applyAlignment="1">
      <alignment vertical="center"/>
    </xf>
    <xf numFmtId="173" fontId="26" fillId="0" borderId="14" xfId="0" applyNumberFormat="1" applyFont="1" applyFill="1" applyBorder="1"/>
    <xf numFmtId="173" fontId="24" fillId="0" borderId="14" xfId="0" applyNumberFormat="1" applyFont="1" applyFill="1" applyBorder="1"/>
    <xf numFmtId="173" fontId="26" fillId="0" borderId="36" xfId="0" applyNumberFormat="1" applyFont="1" applyFill="1" applyBorder="1"/>
    <xf numFmtId="173" fontId="26" fillId="0" borderId="1" xfId="0" applyNumberFormat="1" applyFont="1" applyFill="1" applyBorder="1"/>
    <xf numFmtId="173" fontId="24" fillId="0" borderId="34" xfId="0" applyNumberFormat="1" applyFont="1" applyFill="1" applyBorder="1"/>
    <xf numFmtId="173" fontId="26" fillId="0" borderId="42" xfId="0" applyNumberFormat="1" applyFont="1" applyFill="1" applyBorder="1"/>
    <xf numFmtId="0" fontId="40" fillId="0" borderId="6" xfId="0" applyFont="1" applyFill="1" applyBorder="1" applyAlignment="1">
      <alignment vertical="center"/>
    </xf>
    <xf numFmtId="0" fontId="40" fillId="0" borderId="0" xfId="0" applyFont="1" applyFill="1" applyBorder="1" applyAlignment="1">
      <alignment vertical="center"/>
    </xf>
    <xf numFmtId="173" fontId="24" fillId="0" borderId="0" xfId="0" applyNumberFormat="1" applyFont="1" applyFill="1" applyBorder="1"/>
    <xf numFmtId="43" fontId="24" fillId="0" borderId="0" xfId="0" applyNumberFormat="1" applyFont="1" applyFill="1" applyBorder="1"/>
    <xf numFmtId="173" fontId="24" fillId="0" borderId="7" xfId="0" applyNumberFormat="1" applyFont="1" applyFill="1" applyBorder="1"/>
    <xf numFmtId="43" fontId="24" fillId="0" borderId="6" xfId="0" applyNumberFormat="1" applyFont="1" applyFill="1" applyBorder="1"/>
    <xf numFmtId="173" fontId="24" fillId="2" borderId="7" xfId="0" applyNumberFormat="1" applyFont="1" applyFill="1" applyBorder="1"/>
    <xf numFmtId="0" fontId="19" fillId="2" borderId="0" xfId="0" applyFont="1" applyFill="1" applyAlignment="1">
      <alignment vertical="top"/>
    </xf>
    <xf numFmtId="0" fontId="29" fillId="2" borderId="0" xfId="0" applyFont="1" applyFill="1" applyAlignment="1">
      <alignment horizontal="centerContinuous"/>
    </xf>
    <xf numFmtId="42" fontId="29" fillId="2" borderId="27" xfId="0" applyNumberFormat="1" applyFont="1" applyFill="1" applyBorder="1" applyAlignment="1">
      <alignment horizontal="left"/>
    </xf>
    <xf numFmtId="0" fontId="5" fillId="0" borderId="14" xfId="0" applyFont="1" applyFill="1" applyBorder="1"/>
    <xf numFmtId="10" fontId="43" fillId="4" borderId="14" xfId="0" applyNumberFormat="1" applyFont="1" applyFill="1" applyBorder="1"/>
    <xf numFmtId="0" fontId="5" fillId="2" borderId="0" xfId="0" applyFont="1" applyFill="1"/>
    <xf numFmtId="0" fontId="3" fillId="2" borderId="0" xfId="0" applyFont="1" applyFill="1" applyAlignment="1">
      <alignment wrapText="1"/>
    </xf>
    <xf numFmtId="0" fontId="2" fillId="2" borderId="14" xfId="0" applyFont="1" applyFill="1" applyBorder="1"/>
    <xf numFmtId="9" fontId="2" fillId="2" borderId="0" xfId="0" applyNumberFormat="1" applyFont="1" applyFill="1"/>
    <xf numFmtId="9" fontId="3" fillId="2" borderId="0" xfId="0" applyNumberFormat="1" applyFont="1" applyFill="1"/>
    <xf numFmtId="0" fontId="14" fillId="2" borderId="0" xfId="0" applyFont="1" applyFill="1"/>
    <xf numFmtId="10" fontId="2" fillId="0" borderId="0" xfId="0" applyNumberFormat="1" applyFont="1" applyFill="1"/>
    <xf numFmtId="17" fontId="32" fillId="0" borderId="1" xfId="0" applyNumberFormat="1" applyFont="1" applyFill="1" applyBorder="1" applyAlignment="1">
      <alignment horizontal="center"/>
    </xf>
    <xf numFmtId="17" fontId="2" fillId="0" borderId="1" xfId="0" applyNumberFormat="1" applyFont="1" applyFill="1" applyBorder="1" applyAlignment="1">
      <alignment horizontal="center"/>
    </xf>
    <xf numFmtId="3" fontId="32" fillId="0" borderId="0" xfId="0" applyNumberFormat="1" applyFont="1" applyFill="1"/>
    <xf numFmtId="0" fontId="2" fillId="0" borderId="0" xfId="0" applyFont="1" applyAlignment="1">
      <alignment horizontal="centerContinuous"/>
    </xf>
    <xf numFmtId="0" fontId="2" fillId="0" borderId="0" xfId="0" applyFont="1"/>
    <xf numFmtId="42" fontId="41" fillId="0" borderId="0" xfId="0" applyNumberFormat="1" applyFont="1" applyFill="1"/>
    <xf numFmtId="173" fontId="41" fillId="0" borderId="0" xfId="0" applyNumberFormat="1" applyFont="1" applyFill="1"/>
    <xf numFmtId="3" fontId="34" fillId="0" borderId="0" xfId="0" applyNumberFormat="1" applyFont="1" applyFill="1"/>
    <xf numFmtId="42" fontId="0" fillId="0" borderId="0" xfId="0" applyNumberFormat="1"/>
    <xf numFmtId="0" fontId="2" fillId="0" borderId="0" xfId="0" applyFont="1"/>
    <xf numFmtId="0" fontId="2" fillId="0" borderId="0" xfId="0" applyFont="1" applyAlignment="1">
      <alignment horizontal="center"/>
    </xf>
    <xf numFmtId="0" fontId="2" fillId="0" borderId="0" xfId="0" applyFont="1" applyBorder="1" applyAlignment="1">
      <alignment horizontal="center"/>
    </xf>
    <xf numFmtId="0" fontId="32" fillId="0" borderId="0" xfId="0" applyFont="1" applyBorder="1" applyAlignment="1">
      <alignment horizontal="center"/>
    </xf>
    <xf numFmtId="0" fontId="2" fillId="0" borderId="1" xfId="0" applyFont="1" applyBorder="1" applyAlignment="1">
      <alignment horizontal="center"/>
    </xf>
    <xf numFmtId="0" fontId="32" fillId="0" borderId="1" xfId="0" applyFont="1" applyFill="1" applyBorder="1" applyAlignment="1">
      <alignment horizontal="center"/>
    </xf>
    <xf numFmtId="0" fontId="2" fillId="0" borderId="1" xfId="0" applyFont="1" applyBorder="1" applyAlignment="1">
      <alignment horizontal="center"/>
    </xf>
    <xf numFmtId="3" fontId="2" fillId="0" borderId="0" xfId="0" applyNumberFormat="1" applyFont="1" applyBorder="1" applyAlignment="1">
      <alignment horizontal="center"/>
    </xf>
    <xf numFmtId="42" fontId="2" fillId="0" borderId="0" xfId="0" applyNumberFormat="1" applyFont="1" applyBorder="1" applyAlignment="1">
      <alignment horizontal="center"/>
    </xf>
    <xf numFmtId="42" fontId="2" fillId="0" borderId="0" xfId="0" applyNumberFormat="1" applyFont="1" applyBorder="1" applyAlignment="1">
      <alignment horizontal="center"/>
    </xf>
    <xf numFmtId="0" fontId="2" fillId="0" borderId="0" xfId="0" applyFont="1" applyAlignment="1">
      <alignment horizontal="left"/>
    </xf>
    <xf numFmtId="42" fontId="33" fillId="0" borderId="0" xfId="0" applyNumberFormat="1" applyFont="1"/>
    <xf numFmtId="180" fontId="2" fillId="0" borderId="0" xfId="0" applyNumberFormat="1" applyFont="1"/>
    <xf numFmtId="42" fontId="2" fillId="0" borderId="0" xfId="0" applyNumberFormat="1" applyFont="1"/>
    <xf numFmtId="42" fontId="14" fillId="0" borderId="0" xfId="0" applyNumberFormat="1" applyFont="1"/>
    <xf numFmtId="10" fontId="2" fillId="0" borderId="0" xfId="0" applyNumberFormat="1" applyFont="1"/>
    <xf numFmtId="42" fontId="32" fillId="0" borderId="0" xfId="0" applyNumberFormat="1" applyFont="1"/>
    <xf numFmtId="180" fontId="2" fillId="0" borderId="1" xfId="0" applyNumberFormat="1" applyFont="1" applyBorder="1"/>
    <xf numFmtId="3" fontId="2" fillId="0" borderId="15" xfId="0" applyNumberFormat="1" applyFont="1" applyBorder="1"/>
    <xf numFmtId="42" fontId="2" fillId="0" borderId="15" xfId="0" applyNumberFormat="1" applyFont="1" applyBorder="1"/>
    <xf numFmtId="42" fontId="14" fillId="0" borderId="15" xfId="0" applyNumberFormat="1" applyFont="1" applyBorder="1"/>
    <xf numFmtId="10" fontId="2" fillId="0" borderId="15" xfId="0" applyNumberFormat="1" applyFont="1" applyBorder="1"/>
    <xf numFmtId="3" fontId="2" fillId="0" borderId="0" xfId="0" applyNumberFormat="1" applyFont="1"/>
    <xf numFmtId="10" fontId="2" fillId="0" borderId="0" xfId="0" applyNumberFormat="1" applyFont="1"/>
    <xf numFmtId="0" fontId="68" fillId="0" borderId="0" xfId="0" applyFont="1" applyBorder="1" applyAlignment="1">
      <alignment horizontal="left"/>
    </xf>
    <xf numFmtId="0" fontId="19" fillId="0" borderId="0" xfId="0" applyFont="1" applyAlignment="1">
      <alignment horizontal="left"/>
    </xf>
    <xf numFmtId="3" fontId="21" fillId="0" borderId="0" xfId="0" applyNumberFormat="1" applyFont="1" applyBorder="1"/>
    <xf numFmtId="42" fontId="21" fillId="0" borderId="0" xfId="0" applyNumberFormat="1" applyFont="1" applyBorder="1"/>
    <xf numFmtId="0" fontId="21" fillId="0" borderId="0" xfId="0" applyFont="1"/>
    <xf numFmtId="42" fontId="21" fillId="0" borderId="0" xfId="0" applyNumberFormat="1" applyFont="1"/>
    <xf numFmtId="10" fontId="21" fillId="0" borderId="0" xfId="0" applyNumberFormat="1" applyFont="1"/>
    <xf numFmtId="0" fontId="21" fillId="0" borderId="0" xfId="0" applyFont="1" applyAlignment="1">
      <alignment horizontal="left"/>
    </xf>
    <xf numFmtId="173" fontId="21" fillId="0" borderId="0" xfId="0" applyNumberFormat="1" applyFont="1" applyFill="1"/>
    <xf numFmtId="165" fontId="21" fillId="0" borderId="0" xfId="0" applyNumberFormat="1" applyFont="1" applyFill="1"/>
    <xf numFmtId="173" fontId="21" fillId="0" borderId="0" xfId="0" applyNumberFormat="1" applyFont="1" applyFill="1"/>
    <xf numFmtId="0" fontId="21" fillId="0" borderId="0" xfId="0" applyFont="1" applyFill="1" applyBorder="1" applyAlignment="1">
      <alignment horizontal="left" vertical="center" textRotation="180"/>
    </xf>
    <xf numFmtId="0" fontId="21" fillId="0" borderId="0" xfId="0" applyFont="1" applyFill="1" applyBorder="1" applyAlignment="1">
      <alignment horizontal="left"/>
    </xf>
    <xf numFmtId="0" fontId="21" fillId="0" borderId="0" xfId="0" applyFont="1" applyBorder="1" applyAlignment="1">
      <alignment horizontal="left"/>
    </xf>
    <xf numFmtId="173" fontId="21" fillId="0" borderId="15" xfId="0" applyNumberFormat="1" applyFont="1" applyFill="1" applyBorder="1"/>
    <xf numFmtId="165" fontId="21" fillId="0" borderId="15" xfId="0" applyNumberFormat="1" applyFont="1" applyFill="1" applyBorder="1"/>
    <xf numFmtId="180" fontId="2" fillId="0" borderId="15" xfId="0" applyNumberFormat="1" applyFont="1" applyBorder="1"/>
    <xf numFmtId="173" fontId="21" fillId="0" borderId="15" xfId="0" applyNumberFormat="1" applyFont="1" applyFill="1" applyBorder="1"/>
    <xf numFmtId="0" fontId="21" fillId="0" borderId="0" xfId="0" applyFont="1" applyFill="1"/>
    <xf numFmtId="0" fontId="21" fillId="0" borderId="0" xfId="0" applyFont="1" applyBorder="1"/>
    <xf numFmtId="44" fontId="21" fillId="0" borderId="0" xfId="0" applyNumberFormat="1" applyFont="1"/>
    <xf numFmtId="165" fontId="2" fillId="0" borderId="0" xfId="0" applyNumberFormat="1" applyFont="1"/>
    <xf numFmtId="0" fontId="14" fillId="0" borderId="0" xfId="0" applyFont="1"/>
    <xf numFmtId="0" fontId="14" fillId="0" borderId="1" xfId="0" applyFont="1" applyBorder="1" applyAlignment="1">
      <alignment horizontal="centerContinuous"/>
    </xf>
    <xf numFmtId="0" fontId="14" fillId="0" borderId="0" xfId="0" applyFont="1" applyBorder="1" applyAlignment="1">
      <alignment horizontal="left"/>
    </xf>
    <xf numFmtId="0" fontId="14" fillId="0" borderId="1" xfId="0" applyFont="1" applyBorder="1" applyAlignment="1">
      <alignment horizontal="center"/>
    </xf>
    <xf numFmtId="0" fontId="14" fillId="0" borderId="0" xfId="0" applyFont="1" applyBorder="1" applyAlignment="1">
      <alignment horizontal="center"/>
    </xf>
    <xf numFmtId="0" fontId="70" fillId="0" borderId="0" xfId="0" applyFont="1"/>
    <xf numFmtId="170" fontId="14" fillId="0" borderId="0" xfId="0" applyNumberFormat="1" applyFont="1"/>
    <xf numFmtId="0" fontId="70" fillId="0" borderId="0" xfId="0" applyFont="1" applyBorder="1"/>
    <xf numFmtId="44" fontId="70" fillId="0" borderId="0" xfId="0" applyNumberFormat="1" applyFont="1" applyBorder="1"/>
    <xf numFmtId="44" fontId="14" fillId="0" borderId="0" xfId="0" applyNumberFormat="1" applyFont="1"/>
    <xf numFmtId="170" fontId="14" fillId="0" borderId="0" xfId="0" applyNumberFormat="1" applyFont="1" applyBorder="1"/>
    <xf numFmtId="44" fontId="14" fillId="0" borderId="0" xfId="0" applyNumberFormat="1" applyFont="1" applyBorder="1"/>
    <xf numFmtId="44" fontId="14" fillId="0" borderId="15" xfId="0" applyNumberFormat="1" applyFont="1" applyBorder="1"/>
    <xf numFmtId="44" fontId="70" fillId="0" borderId="0" xfId="0" applyNumberFormat="1" applyFont="1"/>
    <xf numFmtId="0" fontId="14" fillId="0" borderId="0" xfId="0" applyFont="1" applyBorder="1"/>
    <xf numFmtId="171" fontId="33" fillId="0" borderId="0" xfId="0" applyNumberFormat="1" applyFont="1"/>
    <xf numFmtId="171" fontId="70" fillId="0" borderId="0" xfId="0" applyNumberFormat="1" applyFont="1" applyBorder="1"/>
    <xf numFmtId="171" fontId="14" fillId="0" borderId="0" xfId="0" applyNumberFormat="1" applyFont="1"/>
    <xf numFmtId="171" fontId="2" fillId="0" borderId="0" xfId="0" applyNumberFormat="1" applyFont="1"/>
    <xf numFmtId="171" fontId="14" fillId="0" borderId="15" xfId="0" applyNumberFormat="1" applyFont="1" applyBorder="1"/>
    <xf numFmtId="171" fontId="2" fillId="0" borderId="0" xfId="0" applyNumberFormat="1" applyFont="1" applyFill="1"/>
    <xf numFmtId="170" fontId="14" fillId="0" borderId="15" xfId="0" applyNumberFormat="1" applyFont="1" applyBorder="1"/>
    <xf numFmtId="171" fontId="14" fillId="0" borderId="0" xfId="0" applyNumberFormat="1" applyFont="1" applyBorder="1"/>
    <xf numFmtId="167" fontId="14" fillId="0" borderId="0" xfId="0" applyNumberFormat="1" applyFont="1"/>
    <xf numFmtId="167" fontId="14" fillId="0" borderId="0" xfId="0" applyNumberFormat="1" applyFont="1" applyBorder="1"/>
    <xf numFmtId="10" fontId="14" fillId="0" borderId="0" xfId="0" applyNumberFormat="1" applyFont="1"/>
    <xf numFmtId="0" fontId="14" fillId="0" borderId="0" xfId="0" applyFont="1" applyFill="1" applyAlignment="1"/>
    <xf numFmtId="0" fontId="14" fillId="0" borderId="0" xfId="0" applyFont="1" applyAlignment="1"/>
    <xf numFmtId="0" fontId="14" fillId="0" borderId="0" xfId="0" applyFont="1" applyAlignment="1">
      <alignment horizontal="centerContinuous"/>
    </xf>
    <xf numFmtId="0" fontId="2" fillId="0" borderId="0" xfId="0" applyFont="1"/>
    <xf numFmtId="0" fontId="2" fillId="0" borderId="0" xfId="0" applyFont="1" applyAlignment="1">
      <alignment horizontal="center"/>
    </xf>
    <xf numFmtId="0" fontId="2" fillId="0" borderId="0" xfId="0" applyFont="1" applyBorder="1" applyAlignment="1">
      <alignment horizontal="center"/>
    </xf>
    <xf numFmtId="0" fontId="14" fillId="0" borderId="0" xfId="0" applyFont="1" applyAlignment="1">
      <alignment horizontal="center"/>
    </xf>
    <xf numFmtId="0" fontId="2" fillId="0" borderId="0" xfId="0" applyFont="1" applyAlignment="1">
      <alignment horizontal="left"/>
    </xf>
    <xf numFmtId="180" fontId="32" fillId="0" borderId="0" xfId="0" applyNumberFormat="1" applyFont="1"/>
    <xf numFmtId="42" fontId="2" fillId="0" borderId="0" xfId="0" applyNumberFormat="1" applyFont="1"/>
    <xf numFmtId="167" fontId="2" fillId="0" borderId="0" xfId="0" applyNumberFormat="1" applyFont="1"/>
    <xf numFmtId="180" fontId="32" fillId="0" borderId="1" xfId="0" applyNumberFormat="1" applyFont="1" applyBorder="1"/>
    <xf numFmtId="3" fontId="2" fillId="0" borderId="15" xfId="0" applyNumberFormat="1" applyFont="1" applyBorder="1"/>
    <xf numFmtId="180" fontId="2" fillId="0" borderId="0" xfId="0" applyNumberFormat="1" applyFont="1"/>
    <xf numFmtId="42" fontId="2" fillId="0" borderId="15" xfId="0" applyNumberFormat="1" applyFont="1" applyBorder="1"/>
    <xf numFmtId="167" fontId="2" fillId="0" borderId="15" xfId="0" applyNumberFormat="1" applyFont="1" applyBorder="1"/>
    <xf numFmtId="3" fontId="14" fillId="0" borderId="0" xfId="0" applyNumberFormat="1" applyFont="1" applyFill="1" applyBorder="1"/>
    <xf numFmtId="171" fontId="14" fillId="0" borderId="0" xfId="0" applyNumberFormat="1" applyFont="1" applyFill="1"/>
    <xf numFmtId="171" fontId="14" fillId="0" borderId="0" xfId="0" applyNumberFormat="1" applyFont="1" applyFill="1" applyBorder="1"/>
    <xf numFmtId="3" fontId="2" fillId="0" borderId="0" xfId="0" applyNumberFormat="1" applyFont="1"/>
    <xf numFmtId="165" fontId="0" fillId="0" borderId="0" xfId="0" applyNumberFormat="1" applyFont="1"/>
    <xf numFmtId="0" fontId="2" fillId="0" borderId="0" xfId="0" quotePrefix="1" applyFont="1"/>
    <xf numFmtId="180" fontId="33" fillId="0" borderId="0" xfId="0" applyNumberFormat="1" applyFont="1"/>
    <xf numFmtId="180" fontId="33" fillId="0" borderId="1" xfId="0" applyNumberFormat="1" applyFont="1" applyBorder="1"/>
    <xf numFmtId="3" fontId="32" fillId="0" borderId="0" xfId="0" applyNumberFormat="1" applyFont="1"/>
    <xf numFmtId="44" fontId="32" fillId="0" borderId="0" xfId="0" applyNumberFormat="1" applyFont="1"/>
    <xf numFmtId="44" fontId="32" fillId="0" borderId="0" xfId="0" applyNumberFormat="1" applyFont="1" applyBorder="1"/>
    <xf numFmtId="171" fontId="32" fillId="0" borderId="0" xfId="0" applyNumberFormat="1" applyFont="1"/>
    <xf numFmtId="171" fontId="32" fillId="0" borderId="0" xfId="0" applyNumberFormat="1" applyFont="1" applyFill="1"/>
    <xf numFmtId="0" fontId="1" fillId="0" borderId="0" xfId="0" applyFont="1"/>
    <xf numFmtId="0" fontId="14" fillId="0" borderId="0" xfId="0" applyFont="1" applyAlignment="1">
      <alignment horizontal="center"/>
    </xf>
    <xf numFmtId="0" fontId="2" fillId="0" borderId="0" xfId="0" applyFont="1" applyAlignment="1">
      <alignment horizontal="center"/>
    </xf>
    <xf numFmtId="0" fontId="14" fillId="0" borderId="0" xfId="0" applyFont="1" applyFill="1" applyAlignment="1">
      <alignment horizontal="center"/>
    </xf>
    <xf numFmtId="0" fontId="19" fillId="0" borderId="0" xfId="0" applyFont="1" applyFill="1" applyAlignment="1">
      <alignment horizontal="center" vertical="top"/>
    </xf>
    <xf numFmtId="0" fontId="53" fillId="0" borderId="0" xfId="0" applyFont="1" applyAlignment="1">
      <alignment horizontal="left" wrapText="1"/>
    </xf>
    <xf numFmtId="0" fontId="54" fillId="0" borderId="16" xfId="0" applyFont="1" applyFill="1" applyBorder="1" applyAlignment="1">
      <alignment horizontal="center"/>
    </xf>
    <xf numFmtId="0" fontId="54" fillId="0" borderId="13" xfId="0" applyFont="1" applyFill="1" applyBorder="1" applyAlignment="1">
      <alignment horizontal="center"/>
    </xf>
    <xf numFmtId="0" fontId="54" fillId="0" borderId="1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00FF"/>
      <color rgb="FF008080"/>
      <color rgb="FFE31D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pageSetUpPr fitToPage="1"/>
  </sheetPr>
  <dimension ref="A1:O23"/>
  <sheetViews>
    <sheetView tabSelected="1" zoomScale="90" zoomScaleNormal="90" workbookViewId="0">
      <selection activeCell="A3" sqref="A3"/>
    </sheetView>
  </sheetViews>
  <sheetFormatPr defaultColWidth="8.7265625" defaultRowHeight="12.5" outlineLevelCol="1" x14ac:dyDescent="0.25"/>
  <cols>
    <col min="1" max="1" width="4.54296875" style="20" customWidth="1"/>
    <col min="2" max="2" width="3" style="20" customWidth="1"/>
    <col min="3" max="3" width="42.90625" style="20" bestFit="1" customWidth="1"/>
    <col min="4" max="4" width="13.7265625" style="20" customWidth="1"/>
    <col min="5" max="5" width="15.26953125" style="20" bestFit="1" customWidth="1"/>
    <col min="6" max="6" width="13.7265625" style="20" bestFit="1" customWidth="1"/>
    <col min="7" max="8" width="13" style="20" bestFit="1" customWidth="1"/>
    <col min="9" max="9" width="12.54296875" style="20" bestFit="1" customWidth="1"/>
    <col min="10" max="10" width="13.81640625" style="20" bestFit="1" customWidth="1"/>
    <col min="11" max="11" width="12" style="20" bestFit="1" customWidth="1"/>
    <col min="12" max="12" width="8.7265625" style="20"/>
    <col min="13" max="13" width="12.1796875" style="20" bestFit="1" customWidth="1" outlineLevel="1"/>
    <col min="14" max="14" width="10.1796875" style="20" bestFit="1" customWidth="1"/>
    <col min="15" max="15" width="20.08984375" style="20" customWidth="1"/>
    <col min="16" max="16384" width="8.7265625" style="20"/>
  </cols>
  <sheetData>
    <row r="1" spans="1:15" x14ac:dyDescent="0.25">
      <c r="A1" s="292" t="s">
        <v>0</v>
      </c>
      <c r="B1" s="292"/>
      <c r="C1" s="292"/>
      <c r="D1" s="292"/>
      <c r="E1" s="292"/>
      <c r="F1" s="292"/>
      <c r="G1" s="292"/>
      <c r="H1" s="292"/>
      <c r="I1" s="292"/>
      <c r="J1" s="292"/>
      <c r="K1" s="292"/>
    </row>
    <row r="2" spans="1:15" x14ac:dyDescent="0.25">
      <c r="A2" s="292" t="s">
        <v>278</v>
      </c>
      <c r="B2" s="292"/>
      <c r="C2" s="292"/>
      <c r="D2" s="292"/>
      <c r="E2" s="292"/>
      <c r="F2" s="292"/>
      <c r="G2" s="292"/>
      <c r="H2" s="292"/>
      <c r="I2" s="292"/>
      <c r="J2" s="292"/>
      <c r="K2" s="292"/>
    </row>
    <row r="3" spans="1:15" x14ac:dyDescent="0.25">
      <c r="A3" s="292" t="s">
        <v>148</v>
      </c>
      <c r="B3" s="292"/>
      <c r="C3" s="292"/>
      <c r="D3" s="292"/>
      <c r="E3" s="292"/>
      <c r="F3" s="292"/>
      <c r="G3" s="292"/>
      <c r="H3" s="292"/>
      <c r="I3" s="292"/>
      <c r="J3" s="292"/>
      <c r="K3" s="292"/>
    </row>
    <row r="4" spans="1:15" x14ac:dyDescent="0.25">
      <c r="A4" s="292" t="s">
        <v>279</v>
      </c>
      <c r="B4" s="292"/>
      <c r="C4" s="292"/>
      <c r="D4" s="292"/>
      <c r="E4" s="292"/>
      <c r="F4" s="292"/>
      <c r="G4" s="292"/>
      <c r="H4" s="292"/>
      <c r="I4" s="292"/>
      <c r="J4" s="292"/>
      <c r="K4" s="292"/>
    </row>
    <row r="5" spans="1:15" x14ac:dyDescent="0.25">
      <c r="B5" s="19"/>
      <c r="C5" s="18"/>
      <c r="D5" s="18"/>
      <c r="E5" s="18"/>
      <c r="F5" s="18"/>
      <c r="G5" s="18"/>
      <c r="H5" s="18"/>
      <c r="I5" s="18"/>
      <c r="J5" s="18"/>
      <c r="K5" s="18"/>
    </row>
    <row r="6" spans="1:15" x14ac:dyDescent="0.25">
      <c r="B6" s="17"/>
      <c r="F6" s="16" t="s">
        <v>149</v>
      </c>
      <c r="G6" s="16" t="s">
        <v>149</v>
      </c>
      <c r="I6" s="16" t="s">
        <v>149</v>
      </c>
      <c r="J6" s="16" t="s">
        <v>149</v>
      </c>
    </row>
    <row r="7" spans="1:15" x14ac:dyDescent="0.25">
      <c r="E7" s="16" t="s">
        <v>149</v>
      </c>
      <c r="F7" s="16" t="s">
        <v>116</v>
      </c>
      <c r="G7" s="16" t="s">
        <v>117</v>
      </c>
      <c r="H7" s="16" t="s">
        <v>149</v>
      </c>
      <c r="I7" s="16" t="s">
        <v>118</v>
      </c>
      <c r="J7" s="16" t="s">
        <v>119</v>
      </c>
      <c r="K7" s="16"/>
    </row>
    <row r="8" spans="1:15" x14ac:dyDescent="0.25">
      <c r="A8" s="174" t="s">
        <v>151</v>
      </c>
      <c r="E8" s="16" t="s">
        <v>121</v>
      </c>
      <c r="F8" s="16" t="s">
        <v>122</v>
      </c>
      <c r="G8" s="16" t="s">
        <v>123</v>
      </c>
      <c r="H8" s="16" t="s">
        <v>124</v>
      </c>
      <c r="I8" s="16" t="s">
        <v>125</v>
      </c>
      <c r="J8" s="16" t="s">
        <v>126</v>
      </c>
      <c r="K8" s="16"/>
    </row>
    <row r="9" spans="1:15" x14ac:dyDescent="0.25">
      <c r="A9" s="15" t="s">
        <v>152</v>
      </c>
      <c r="B9" s="14"/>
      <c r="C9" s="14"/>
      <c r="D9" s="15" t="s">
        <v>90</v>
      </c>
      <c r="E9" s="15" t="s">
        <v>128</v>
      </c>
      <c r="F9" s="15" t="s">
        <v>129</v>
      </c>
      <c r="G9" s="15" t="s">
        <v>130</v>
      </c>
      <c r="H9" s="15" t="s">
        <v>131</v>
      </c>
      <c r="I9" s="15" t="s">
        <v>131</v>
      </c>
      <c r="J9" s="15" t="s">
        <v>131</v>
      </c>
      <c r="K9" s="15" t="s">
        <v>132</v>
      </c>
      <c r="M9" s="307" t="s">
        <v>259</v>
      </c>
      <c r="N9" s="307" t="s">
        <v>260</v>
      </c>
    </row>
    <row r="10" spans="1:15" x14ac:dyDescent="0.25">
      <c r="C10" s="23" t="s">
        <v>153</v>
      </c>
      <c r="D10" s="23" t="s">
        <v>154</v>
      </c>
      <c r="E10" s="22" t="s">
        <v>155</v>
      </c>
      <c r="F10" s="21" t="s">
        <v>156</v>
      </c>
      <c r="G10" s="22" t="s">
        <v>157</v>
      </c>
      <c r="H10" s="21" t="s">
        <v>158</v>
      </c>
      <c r="I10" s="21" t="s">
        <v>159</v>
      </c>
      <c r="J10" s="21" t="s">
        <v>160</v>
      </c>
      <c r="K10" s="21" t="s">
        <v>161</v>
      </c>
      <c r="L10" s="21"/>
      <c r="M10" s="183"/>
      <c r="N10" s="183"/>
    </row>
    <row r="11" spans="1:15" s="13" customFormat="1" x14ac:dyDescent="0.25">
      <c r="A11" s="175">
        <v>1</v>
      </c>
      <c r="B11" s="11" t="s">
        <v>204</v>
      </c>
      <c r="C11" s="10"/>
      <c r="D11" s="9"/>
      <c r="E11" s="8"/>
      <c r="F11" s="8"/>
      <c r="G11" s="8"/>
      <c r="H11" s="8"/>
      <c r="I11" s="8"/>
      <c r="J11" s="8"/>
      <c r="K11" s="8"/>
      <c r="M11" s="184"/>
      <c r="N11" s="184"/>
    </row>
    <row r="12" spans="1:15" s="13" customFormat="1" x14ac:dyDescent="0.25">
      <c r="A12" s="175">
        <f>A11+1</f>
        <v>2</v>
      </c>
      <c r="B12" s="20"/>
      <c r="C12" s="20" t="s">
        <v>283</v>
      </c>
      <c r="D12" s="9">
        <f t="shared" ref="D12:D13" si="0">SUM(E12:K12)</f>
        <v>6589498.4750629161</v>
      </c>
      <c r="E12" s="8">
        <f>'CRM 2019 Rev Req Alloc'!F21</f>
        <v>4334011.4683862757</v>
      </c>
      <c r="F12" s="8">
        <f>'CRM 2019 Rev Req Alloc'!G21</f>
        <v>1580778.2388208781</v>
      </c>
      <c r="G12" s="8">
        <f>'CRM 2019 Rev Req Alloc'!H21</f>
        <v>346743.45250637276</v>
      </c>
      <c r="H12" s="8">
        <f>'CRM 2019 Rev Req Alloc'!I21</f>
        <v>168937.16643880366</v>
      </c>
      <c r="I12" s="8">
        <f>'CRM 2019 Rev Req Alloc'!J21</f>
        <v>18196.974035503721</v>
      </c>
      <c r="J12" s="8">
        <f>'CRM 2019 Rev Req Alloc'!K21</f>
        <v>132095.28770777324</v>
      </c>
      <c r="K12" s="8">
        <f>'CRM 2019 Rev Req Alloc'!L21</f>
        <v>8735.8871673091708</v>
      </c>
      <c r="M12" s="536">
        <f>D12-'CRM 2019 Rev Req Alloc'!E21</f>
        <v>0</v>
      </c>
      <c r="N12" s="537">
        <f>D12-'Summary - Revenue Requirement'!B11</f>
        <v>0</v>
      </c>
    </row>
    <row r="13" spans="1:15" s="13" customFormat="1" x14ac:dyDescent="0.25">
      <c r="A13" s="175">
        <f t="shared" ref="A13:A22" si="1">A12+1</f>
        <v>3</v>
      </c>
      <c r="B13" s="2"/>
      <c r="C13" s="2" t="s">
        <v>284</v>
      </c>
      <c r="D13" s="9">
        <f t="shared" si="0"/>
        <v>5999565.1661180267</v>
      </c>
      <c r="E13" s="8">
        <f>'CRM 2020 Rev Req Alloc (YEAR 2)'!F21</f>
        <v>3910567.8133160449</v>
      </c>
      <c r="F13" s="8">
        <f>'CRM 2020 Rev Req Alloc (YEAR 2)'!G21</f>
        <v>1511131.8813984548</v>
      </c>
      <c r="G13" s="8">
        <f>'CRM 2020 Rev Req Alloc (YEAR 2)'!H21</f>
        <v>296139.23095008568</v>
      </c>
      <c r="H13" s="8">
        <f>'CRM 2020 Rev Req Alloc (YEAR 2)'!I21</f>
        <v>145890.77418433872</v>
      </c>
      <c r="I13" s="8">
        <f>'CRM 2020 Rev Req Alloc (YEAR 2)'!J21</f>
        <v>15870.511534343468</v>
      </c>
      <c r="J13" s="8">
        <f>'CRM 2020 Rev Req Alloc (YEAR 2)'!K21</f>
        <v>112033.27053474236</v>
      </c>
      <c r="K13" s="8">
        <f>'CRM 2020 Rev Req Alloc (YEAR 2)'!L21</f>
        <v>7931.6842000165725</v>
      </c>
      <c r="M13" s="536">
        <f>D13-'CRM 2020 Rev Req Alloc (YEAR 2)'!E21</f>
        <v>0</v>
      </c>
      <c r="N13" s="537">
        <f>D13-'Summary - Revenue Requirement'!B12</f>
        <v>0</v>
      </c>
    </row>
    <row r="14" spans="1:15" s="13" customFormat="1" x14ac:dyDescent="0.25">
      <c r="A14" s="175">
        <f t="shared" si="1"/>
        <v>4</v>
      </c>
      <c r="B14" s="2"/>
      <c r="C14" s="2" t="s">
        <v>285</v>
      </c>
      <c r="D14" s="9">
        <f t="shared" ref="D14" si="2">SUM(E14:K14)</f>
        <v>-109844.95791394994</v>
      </c>
      <c r="E14" s="8">
        <f>'CRM 2020 Rev Req Alloc TrueUp'!F25</f>
        <v>-71194.043177047628</v>
      </c>
      <c r="F14" s="8">
        <f>'CRM 2020 Rev Req Alloc TrueUp'!G25</f>
        <v>-28486.153672248583</v>
      </c>
      <c r="G14" s="8">
        <f>'CRM 2020 Rev Req Alloc TrueUp'!H25</f>
        <v>-5199.0289721098816</v>
      </c>
      <c r="H14" s="8">
        <f>'CRM 2020 Rev Req Alloc TrueUp'!I25</f>
        <v>-2580.8050059718871</v>
      </c>
      <c r="I14" s="8">
        <f>'CRM 2020 Rev Req Alloc TrueUp'!J25</f>
        <v>-282.62302128865082</v>
      </c>
      <c r="J14" s="8">
        <f>'CRM 2020 Rev Req Alloc TrueUp'!K25</f>
        <v>-1957.3362783283039</v>
      </c>
      <c r="K14" s="8">
        <f>'CRM 2020 Rev Req Alloc TrueUp'!L25</f>
        <v>-144.96778695501052</v>
      </c>
      <c r="M14" s="536">
        <f>D14-'CRM 2020 Rev Req Alloc TrueUp'!E25</f>
        <v>0</v>
      </c>
      <c r="N14" s="537">
        <f>D14-'Summary - Revenue Requirement'!B13</f>
        <v>4.6566128730773926E-10</v>
      </c>
      <c r="O14" s="20"/>
    </row>
    <row r="15" spans="1:15" x14ac:dyDescent="0.25">
      <c r="A15" s="175">
        <f t="shared" si="1"/>
        <v>5</v>
      </c>
      <c r="B15" s="2"/>
      <c r="C15" s="2" t="s">
        <v>286</v>
      </c>
      <c r="D15" s="9">
        <f t="shared" ref="D15" si="3">SUM(E15:K15)</f>
        <v>9255948.5950490944</v>
      </c>
      <c r="E15" s="8">
        <f>'CRM 2021 Rev Req Alloc'!F28</f>
        <v>5869533.5674903449</v>
      </c>
      <c r="F15" s="8">
        <f>'CRM 2021 Rev Req Alloc'!G28</f>
        <v>2668236.3490456268</v>
      </c>
      <c r="G15" s="8">
        <f>'CRM 2021 Rev Req Alloc'!H28</f>
        <v>363914.74482210015</v>
      </c>
      <c r="H15" s="8">
        <f>'CRM 2021 Rev Req Alloc'!I28</f>
        <v>187299.77265328789</v>
      </c>
      <c r="I15" s="8">
        <f>'CRM 2021 Rev Req Alloc'!J28</f>
        <v>21148.520464115052</v>
      </c>
      <c r="J15" s="8">
        <f>'CRM 2021 Rev Req Alloc'!K28</f>
        <v>133711.38758175386</v>
      </c>
      <c r="K15" s="8">
        <f>'CRM 2021 Rev Req Alloc'!L28</f>
        <v>12104.25299186556</v>
      </c>
      <c r="M15" s="185">
        <f>D15-'CRM 2021 Rev Req Alloc'!E28</f>
        <v>0</v>
      </c>
      <c r="N15" s="537">
        <f>D15-'Summary - Revenue Requirement'!B14</f>
        <v>0</v>
      </c>
    </row>
    <row r="16" spans="1:15" x14ac:dyDescent="0.25">
      <c r="A16" s="175">
        <f t="shared" si="1"/>
        <v>6</v>
      </c>
      <c r="B16" s="3" t="s">
        <v>150</v>
      </c>
      <c r="C16" s="6"/>
      <c r="D16" s="177">
        <f>SUM(D12:D15)</f>
        <v>21735167.278316088</v>
      </c>
      <c r="E16" s="177">
        <f t="shared" ref="E16:K16" si="4">SUM(E12:E15)</f>
        <v>14042918.806015618</v>
      </c>
      <c r="F16" s="177">
        <f t="shared" si="4"/>
        <v>5731660.3155927118</v>
      </c>
      <c r="G16" s="177">
        <f t="shared" si="4"/>
        <v>1001598.3993064486</v>
      </c>
      <c r="H16" s="177">
        <f t="shared" si="4"/>
        <v>499546.90827045846</v>
      </c>
      <c r="I16" s="177">
        <f t="shared" si="4"/>
        <v>54933.383012673585</v>
      </c>
      <c r="J16" s="177">
        <f t="shared" si="4"/>
        <v>375882.60954594117</v>
      </c>
      <c r="K16" s="177">
        <f t="shared" si="4"/>
        <v>28626.856572236291</v>
      </c>
      <c r="M16" s="185"/>
      <c r="N16" s="537">
        <f>D16-'Summary - Revenue Requirement'!B15</f>
        <v>0</v>
      </c>
    </row>
    <row r="17" spans="1:14" x14ac:dyDescent="0.25">
      <c r="A17" s="175">
        <f t="shared" si="1"/>
        <v>7</v>
      </c>
      <c r="E17" s="266"/>
      <c r="F17" s="266"/>
      <c r="G17" s="266"/>
      <c r="H17" s="266"/>
      <c r="I17" s="266"/>
      <c r="J17" s="266"/>
      <c r="K17" s="266"/>
    </row>
    <row r="18" spans="1:14" ht="13" x14ac:dyDescent="0.3">
      <c r="A18" s="175">
        <f t="shared" si="1"/>
        <v>8</v>
      </c>
      <c r="B18" s="478" t="s">
        <v>309</v>
      </c>
      <c r="C18" s="13"/>
      <c r="D18" s="12">
        <f>SUM(E18:K18)</f>
        <v>1181370479</v>
      </c>
      <c r="E18" s="538">
        <f>SUM('Forecasted Volume'!N8:N10)</f>
        <v>636130875</v>
      </c>
      <c r="F18" s="538">
        <f>SUM('Forecasted Volume'!N11,'Forecasted Volume'!N16)</f>
        <v>237857448</v>
      </c>
      <c r="G18" s="538">
        <f>SUM('Forecasted Volume'!N12,'Forecasted Volume'!N17)</f>
        <v>90741230</v>
      </c>
      <c r="H18" s="538">
        <f>SUM('Forecasted Volume'!N13,'Forecasted Volume'!N18)</f>
        <v>75920268</v>
      </c>
      <c r="I18" s="538">
        <f>SUM('Forecasted Volume'!N14,'Forecasted Volume'!N19)</f>
        <v>6631132</v>
      </c>
      <c r="J18" s="538">
        <f>SUM('Forecasted Volume'!N15,'Forecasted Volume'!N20)</f>
        <v>102471068</v>
      </c>
      <c r="K18" s="538">
        <f>'Forecasted Volume'!N21</f>
        <v>31618458</v>
      </c>
      <c r="L18" s="7"/>
      <c r="M18" s="188">
        <f>D18-'Forecasted Volume'!N22</f>
        <v>0</v>
      </c>
      <c r="N18" s="188"/>
    </row>
    <row r="19" spans="1:14" ht="13" x14ac:dyDescent="0.3">
      <c r="A19" s="175">
        <f t="shared" si="1"/>
        <v>9</v>
      </c>
      <c r="B19" s="95"/>
      <c r="C19" s="6"/>
      <c r="D19" s="6"/>
      <c r="E19" s="6"/>
      <c r="F19" s="6"/>
      <c r="G19" s="6"/>
      <c r="H19" s="6"/>
      <c r="I19" s="6"/>
      <c r="J19" s="6"/>
      <c r="K19" s="6"/>
      <c r="L19" s="7"/>
    </row>
    <row r="20" spans="1:14" x14ac:dyDescent="0.25">
      <c r="A20" s="175">
        <f t="shared" si="1"/>
        <v>10</v>
      </c>
      <c r="B20" s="10" t="s">
        <v>236</v>
      </c>
      <c r="C20" s="7"/>
      <c r="D20" s="7"/>
      <c r="E20" s="7"/>
      <c r="F20" s="7"/>
      <c r="G20" s="7"/>
      <c r="H20" s="7"/>
      <c r="I20" s="7"/>
      <c r="J20" s="7"/>
      <c r="K20" s="7"/>
      <c r="L20" s="7"/>
    </row>
    <row r="21" spans="1:14" x14ac:dyDescent="0.25">
      <c r="A21" s="175">
        <f t="shared" si="1"/>
        <v>11</v>
      </c>
      <c r="C21" s="20" t="s">
        <v>133</v>
      </c>
      <c r="D21" s="5"/>
      <c r="E21" s="5">
        <f t="shared" ref="E21:K21" si="5">ROUND(E16/E18,5)</f>
        <v>2.2079999999999999E-2</v>
      </c>
      <c r="F21" s="5">
        <f t="shared" si="5"/>
        <v>2.41E-2</v>
      </c>
      <c r="G21" s="5">
        <f t="shared" si="5"/>
        <v>1.1039999999999999E-2</v>
      </c>
      <c r="H21" s="5">
        <f t="shared" si="5"/>
        <v>6.5799999999999999E-3</v>
      </c>
      <c r="I21" s="5">
        <f t="shared" si="5"/>
        <v>8.2799999999999992E-3</v>
      </c>
      <c r="J21" s="5">
        <f t="shared" si="5"/>
        <v>3.6700000000000001E-3</v>
      </c>
      <c r="K21" s="5">
        <f t="shared" si="5"/>
        <v>9.1E-4</v>
      </c>
    </row>
    <row r="22" spans="1:14" x14ac:dyDescent="0.25">
      <c r="A22" s="175">
        <f t="shared" si="1"/>
        <v>12</v>
      </c>
      <c r="C22" s="20" t="s">
        <v>134</v>
      </c>
      <c r="D22" s="7"/>
      <c r="E22" s="4">
        <f>ROUND(E21*19,2)</f>
        <v>0.42</v>
      </c>
      <c r="F22" s="7"/>
      <c r="G22" s="7"/>
      <c r="H22" s="7"/>
      <c r="I22" s="7"/>
      <c r="J22" s="7"/>
      <c r="K22" s="7"/>
      <c r="L22" s="7"/>
    </row>
    <row r="23" spans="1:14" x14ac:dyDescent="0.25">
      <c r="A23" s="175"/>
      <c r="C23" s="7"/>
      <c r="D23" s="7"/>
      <c r="E23" s="4"/>
      <c r="F23" s="7"/>
      <c r="G23" s="7"/>
      <c r="H23" s="7"/>
      <c r="I23" s="7"/>
      <c r="J23" s="7"/>
      <c r="K23" s="7"/>
      <c r="L23" s="7"/>
    </row>
  </sheetData>
  <printOptions horizontalCentered="1"/>
  <pageMargins left="0.7" right="0.7" top="0.75" bottom="0.75" header="0.3" footer="0.3"/>
  <pageSetup scale="84" orientation="landscape" blackAndWhite="1" horizontalDpi="300" verticalDpi="300" r:id="rId1"/>
  <headerFooter>
    <oddFooter>&amp;L&amp;F
&amp;A&amp;C&amp;P&amp;R&amp;D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O145"/>
  <sheetViews>
    <sheetView zoomScale="90" zoomScaleNormal="90" workbookViewId="0">
      <selection activeCell="C3" sqref="C3"/>
    </sheetView>
  </sheetViews>
  <sheetFormatPr defaultColWidth="8.7265625" defaultRowHeight="14.5" outlineLevelCol="1" x14ac:dyDescent="0.35"/>
  <cols>
    <col min="1" max="1" width="3.54296875" style="86" customWidth="1"/>
    <col min="2" max="2" width="2.54296875" style="86" customWidth="1"/>
    <col min="3" max="3" width="31.1796875" style="86" customWidth="1"/>
    <col min="4" max="4" width="9.1796875" style="86" bestFit="1" customWidth="1"/>
    <col min="5" max="5" width="13.7265625" style="86" customWidth="1"/>
    <col min="6" max="12" width="12.81640625" style="86" customWidth="1"/>
    <col min="13" max="13" width="8.7265625" style="86"/>
    <col min="14" max="14" width="9.1796875" style="86" customWidth="1" outlineLevel="1"/>
    <col min="15" max="15" width="9.1796875" customWidth="1"/>
    <col min="16" max="16384" width="8.7265625" style="86"/>
  </cols>
  <sheetData>
    <row r="1" spans="1:15" x14ac:dyDescent="0.35">
      <c r="B1" s="296" t="s">
        <v>0</v>
      </c>
      <c r="C1" s="297"/>
      <c r="D1" s="297"/>
      <c r="E1" s="297"/>
      <c r="F1" s="297"/>
      <c r="G1" s="297"/>
      <c r="H1" s="297"/>
      <c r="I1" s="297"/>
      <c r="J1" s="297"/>
      <c r="K1" s="297"/>
      <c r="L1" s="297"/>
    </row>
    <row r="2" spans="1:15" customFormat="1" x14ac:dyDescent="0.35">
      <c r="A2" s="86"/>
      <c r="B2" s="295" t="str">
        <f>'CRM Rates'!$A$2</f>
        <v>2021 Gas Schedule 149 Cost Recovery Mechanism For Pipeline Replacement (CRM) Filing (Preliminary)</v>
      </c>
      <c r="C2" s="295"/>
      <c r="D2" s="295"/>
      <c r="E2" s="295"/>
      <c r="F2" s="295"/>
      <c r="G2" s="295"/>
      <c r="H2" s="295"/>
      <c r="I2" s="295"/>
      <c r="J2" s="295"/>
      <c r="K2" s="295"/>
      <c r="L2" s="295"/>
      <c r="M2" s="86"/>
      <c r="N2" s="86"/>
    </row>
    <row r="3" spans="1:15" customFormat="1" x14ac:dyDescent="0.35">
      <c r="A3" s="86"/>
      <c r="B3" s="479" t="s">
        <v>232</v>
      </c>
      <c r="C3" s="298"/>
      <c r="D3" s="298"/>
      <c r="E3" s="298"/>
      <c r="F3" s="298"/>
      <c r="G3" s="298"/>
      <c r="H3" s="298"/>
      <c r="I3" s="298"/>
      <c r="J3" s="298"/>
      <c r="K3" s="298"/>
      <c r="L3" s="298"/>
      <c r="M3" s="86"/>
      <c r="N3" s="86"/>
    </row>
    <row r="4" spans="1:15" customFormat="1" x14ac:dyDescent="0.35">
      <c r="A4" s="86"/>
      <c r="B4" s="87"/>
      <c r="C4" s="86"/>
      <c r="D4" s="86"/>
      <c r="E4" s="86"/>
      <c r="F4" s="86"/>
      <c r="G4" s="86"/>
      <c r="H4" s="86"/>
      <c r="I4" s="86"/>
      <c r="J4" s="86"/>
      <c r="K4" s="86"/>
      <c r="L4" s="86"/>
      <c r="M4" s="86"/>
      <c r="N4" s="86"/>
    </row>
    <row r="5" spans="1:15" customFormat="1" x14ac:dyDescent="0.35">
      <c r="A5" s="86"/>
      <c r="B5" s="86"/>
      <c r="C5" s="86"/>
      <c r="D5" s="86"/>
      <c r="E5" s="86"/>
      <c r="F5" s="88"/>
      <c r="G5" s="88" t="s">
        <v>116</v>
      </c>
      <c r="H5" s="88" t="s">
        <v>117</v>
      </c>
      <c r="I5" s="88"/>
      <c r="J5" s="88" t="s">
        <v>118</v>
      </c>
      <c r="K5" s="88" t="s">
        <v>119</v>
      </c>
      <c r="L5" s="88"/>
      <c r="M5" s="86"/>
      <c r="N5" s="86"/>
    </row>
    <row r="6" spans="1:15" customFormat="1" x14ac:dyDescent="0.35">
      <c r="A6" s="86"/>
      <c r="B6" s="86"/>
      <c r="C6" s="86"/>
      <c r="D6" s="88" t="s">
        <v>120</v>
      </c>
      <c r="E6" s="86"/>
      <c r="F6" s="88" t="s">
        <v>135</v>
      </c>
      <c r="G6" s="88" t="s">
        <v>122</v>
      </c>
      <c r="H6" s="88" t="s">
        <v>123</v>
      </c>
      <c r="I6" s="88" t="s">
        <v>124</v>
      </c>
      <c r="J6" s="88" t="s">
        <v>125</v>
      </c>
      <c r="K6" s="88" t="s">
        <v>126</v>
      </c>
      <c r="L6" s="88"/>
      <c r="M6" s="86"/>
      <c r="N6" s="86"/>
    </row>
    <row r="7" spans="1:15" customFormat="1" x14ac:dyDescent="0.35">
      <c r="A7" s="86"/>
      <c r="B7" s="86"/>
      <c r="C7" s="86"/>
      <c r="D7" s="89" t="s">
        <v>127</v>
      </c>
      <c r="E7" s="89" t="s">
        <v>90</v>
      </c>
      <c r="F7" s="89" t="s">
        <v>128</v>
      </c>
      <c r="G7" s="89" t="s">
        <v>129</v>
      </c>
      <c r="H7" s="89" t="s">
        <v>130</v>
      </c>
      <c r="I7" s="89" t="s">
        <v>131</v>
      </c>
      <c r="J7" s="89" t="s">
        <v>131</v>
      </c>
      <c r="K7" s="89" t="s">
        <v>131</v>
      </c>
      <c r="L7" s="89" t="s">
        <v>132</v>
      </c>
      <c r="M7" s="86"/>
      <c r="N7" s="186" t="s">
        <v>104</v>
      </c>
      <c r="O7" s="186" t="s">
        <v>260</v>
      </c>
    </row>
    <row r="8" spans="1:15" customFormat="1" x14ac:dyDescent="0.35">
      <c r="A8" s="86"/>
      <c r="B8" s="91" t="s">
        <v>136</v>
      </c>
      <c r="C8" s="86"/>
      <c r="D8" s="86"/>
      <c r="E8" s="97"/>
      <c r="F8" s="97"/>
      <c r="G8" s="97"/>
      <c r="H8" s="97"/>
      <c r="I8" s="97"/>
      <c r="J8" s="97"/>
      <c r="K8" s="97"/>
      <c r="L8" s="97"/>
      <c r="M8" s="86"/>
      <c r="N8" s="187"/>
    </row>
    <row r="9" spans="1:15" customFormat="1" x14ac:dyDescent="0.35">
      <c r="A9" s="86"/>
      <c r="B9" s="86"/>
      <c r="C9" s="178" t="s">
        <v>233</v>
      </c>
      <c r="D9" s="182">
        <v>376</v>
      </c>
      <c r="E9" s="117">
        <f>('2020 + true up CAP'!$F$29+'2020 + true up CAP'!$F$35)*'Summary 2020'!O15</f>
        <v>4089302.2278776676</v>
      </c>
      <c r="F9" s="98">
        <f>$E$9*'Allocation Factors'!E12</f>
        <v>2690237.5658403025</v>
      </c>
      <c r="G9" s="98">
        <f>$E$9*'Allocation Factors'!F12</f>
        <v>979694.12233576307</v>
      </c>
      <c r="H9" s="98">
        <f>$E$9*'Allocation Factors'!G12</f>
        <v>215536.25707486336</v>
      </c>
      <c r="I9" s="98">
        <f>$E$9*'Allocation Factors'!H12</f>
        <v>104982.4355879779</v>
      </c>
      <c r="J9" s="98">
        <f>$E$9*'Allocation Factors'!I12</f>
        <v>11305.297560347006</v>
      </c>
      <c r="K9" s="98">
        <f>$E$9*'Allocation Factors'!J12</f>
        <v>82124.843305154034</v>
      </c>
      <c r="L9" s="98">
        <f>$E$9*'Allocation Factors'!K12</f>
        <v>5421.7061732592929</v>
      </c>
      <c r="M9" s="86"/>
      <c r="N9" s="187">
        <f>SUM(F9:L9)-E9</f>
        <v>0</v>
      </c>
    </row>
    <row r="10" spans="1:15" customFormat="1" x14ac:dyDescent="0.35">
      <c r="A10" s="86"/>
      <c r="B10" s="86"/>
      <c r="C10" s="178" t="s">
        <v>234</v>
      </c>
      <c r="D10" s="182">
        <v>380</v>
      </c>
      <c r="E10" s="117">
        <f>('2020 + true up CAP'!$F$29+'2020 + true up CAP'!$F$35)*'Summary 2020'!O16</f>
        <v>303446.63948602095</v>
      </c>
      <c r="F10" s="98">
        <f>$E$10*'Allocation Factors'!E17</f>
        <v>174627.7810508924</v>
      </c>
      <c r="G10" s="98">
        <f>$E$10*'Allocation Factors'!F17</f>
        <v>123408.69370809034</v>
      </c>
      <c r="H10" s="98">
        <f>$E$10*'Allocation Factors'!G17</f>
        <v>2192.4181318362507</v>
      </c>
      <c r="I10" s="98">
        <f>$E$10*'Allocation Factors'!H17</f>
        <v>2200.8881797258537</v>
      </c>
      <c r="J10" s="98">
        <f>$E$10*'Allocation Factors'!I17</f>
        <v>346.89839442917207</v>
      </c>
      <c r="K10" s="98">
        <f>$E$10*'Allocation Factors'!J17</f>
        <v>283.24284979328348</v>
      </c>
      <c r="L10" s="98">
        <f>$E$10*'Allocation Factors'!K17</f>
        <v>386.71717125372624</v>
      </c>
      <c r="M10" s="86"/>
      <c r="N10" s="187">
        <f t="shared" ref="N10:N15" si="0">SUM(F10:L10)-E10</f>
        <v>0</v>
      </c>
    </row>
    <row r="11" spans="1:15" customFormat="1" x14ac:dyDescent="0.35">
      <c r="A11" s="86"/>
      <c r="B11" s="86"/>
      <c r="C11" s="86" t="s">
        <v>90</v>
      </c>
      <c r="D11" s="176"/>
      <c r="E11" s="99">
        <f>SUM(E9:E10)</f>
        <v>4392748.8673636885</v>
      </c>
      <c r="F11" s="99">
        <f t="shared" ref="F11:L11" si="1">SUM(F9:F10)</f>
        <v>2864865.346891195</v>
      </c>
      <c r="G11" s="99">
        <f t="shared" si="1"/>
        <v>1103102.8160438533</v>
      </c>
      <c r="H11" s="99">
        <f t="shared" si="1"/>
        <v>217728.67520669961</v>
      </c>
      <c r="I11" s="99">
        <f t="shared" si="1"/>
        <v>107183.32376770375</v>
      </c>
      <c r="J11" s="99">
        <f t="shared" si="1"/>
        <v>11652.195954776178</v>
      </c>
      <c r="K11" s="99">
        <f t="shared" si="1"/>
        <v>82408.086154947319</v>
      </c>
      <c r="L11" s="99">
        <f t="shared" si="1"/>
        <v>5808.4233445130194</v>
      </c>
      <c r="M11" s="86"/>
      <c r="N11" s="187">
        <f>SUM(F11:L11)-E11</f>
        <v>0</v>
      </c>
    </row>
    <row r="12" spans="1:15" customFormat="1" x14ac:dyDescent="0.35">
      <c r="A12" s="86"/>
      <c r="B12" s="86"/>
      <c r="C12" s="86"/>
      <c r="D12" s="176"/>
      <c r="E12" s="97"/>
      <c r="F12" s="97"/>
      <c r="G12" s="97"/>
      <c r="H12" s="97"/>
      <c r="I12" s="97"/>
      <c r="J12" s="97"/>
      <c r="K12" s="97"/>
      <c r="L12" s="97"/>
      <c r="M12" s="86"/>
      <c r="N12" s="187"/>
    </row>
    <row r="13" spans="1:15" s="91" customFormat="1" x14ac:dyDescent="0.35">
      <c r="B13" s="91" t="s">
        <v>53</v>
      </c>
      <c r="D13" s="182"/>
      <c r="E13" s="93"/>
      <c r="F13" s="93"/>
      <c r="G13" s="93"/>
      <c r="H13" s="93"/>
      <c r="I13" s="93"/>
      <c r="J13" s="93"/>
      <c r="K13" s="93"/>
      <c r="L13" s="93"/>
      <c r="N13" s="187"/>
    </row>
    <row r="14" spans="1:15" s="91" customFormat="1" x14ac:dyDescent="0.35">
      <c r="C14" s="178" t="s">
        <v>233</v>
      </c>
      <c r="D14" s="182">
        <v>376</v>
      </c>
      <c r="E14" s="503">
        <f>'2020 + true up CAP'!$F$27*'Summary 2020'!I26</f>
        <v>1216134.4935474058</v>
      </c>
      <c r="F14" s="100">
        <f>$E$14*'Allocation Factors'!E12</f>
        <v>800060.8703733295</v>
      </c>
      <c r="G14" s="100">
        <f>$E$14*'Allocation Factors'!F12</f>
        <v>291355.28481506399</v>
      </c>
      <c r="H14" s="100">
        <f>$E$14*'Allocation Factors'!G12</f>
        <v>64099.21845636786</v>
      </c>
      <c r="I14" s="100">
        <f>$E$14*'Allocation Factors'!H12</f>
        <v>31221.160486692697</v>
      </c>
      <c r="J14" s="100">
        <f>$E$14*'Allocation Factors'!I12</f>
        <v>3362.1291743190341</v>
      </c>
      <c r="K14" s="100">
        <f>$E$14*'Allocation Factors'!J12</f>
        <v>24423.446630993625</v>
      </c>
      <c r="L14" s="100">
        <f>$E$14*'Allocation Factors'!K12</f>
        <v>1612.3836106390081</v>
      </c>
      <c r="N14" s="187">
        <f t="shared" si="0"/>
        <v>0</v>
      </c>
    </row>
    <row r="15" spans="1:15" s="91" customFormat="1" x14ac:dyDescent="0.35">
      <c r="C15" s="178" t="s">
        <v>234</v>
      </c>
      <c r="D15" s="182">
        <v>380</v>
      </c>
      <c r="E15" s="157">
        <f>'2020 + true up CAP'!$F$27*'Summary 2020'!I27</f>
        <v>118019.56710236633</v>
      </c>
      <c r="F15" s="100">
        <f>$E$15*'Allocation Factors'!E17</f>
        <v>67918.020639745984</v>
      </c>
      <c r="G15" s="100">
        <f>$E$15*'Allocation Factors'!F17</f>
        <v>47997.369925621795</v>
      </c>
      <c r="H15" s="100">
        <f>$E$15*'Allocation Factors'!G17</f>
        <v>852.69765802963491</v>
      </c>
      <c r="I15" s="100">
        <f>$E$15*'Allocation Factors'!H17</f>
        <v>855.99191558661573</v>
      </c>
      <c r="J15" s="100">
        <f>$E$15*'Allocation Factors'!I17</f>
        <v>134.91926754694828</v>
      </c>
      <c r="K15" s="100">
        <f>$E$15*'Allocation Factors'!J17</f>
        <v>110.16170280898379</v>
      </c>
      <c r="L15" s="100">
        <f>$E$15*'Allocation Factors'!K17</f>
        <v>150.4059930263916</v>
      </c>
      <c r="N15" s="187">
        <f t="shared" si="0"/>
        <v>0</v>
      </c>
    </row>
    <row r="16" spans="1:15" s="91" customFormat="1" x14ac:dyDescent="0.35">
      <c r="C16" s="91" t="s">
        <v>90</v>
      </c>
      <c r="E16" s="94">
        <f>SUM(E14:E15)</f>
        <v>1334154.0606497722</v>
      </c>
      <c r="F16" s="94">
        <f t="shared" ref="F16:L16" si="2">SUM(F14:F15)</f>
        <v>867978.89101307548</v>
      </c>
      <c r="G16" s="94">
        <f t="shared" si="2"/>
        <v>339352.65474068577</v>
      </c>
      <c r="H16" s="94">
        <f t="shared" si="2"/>
        <v>64951.916114397492</v>
      </c>
      <c r="I16" s="94">
        <f t="shared" si="2"/>
        <v>32077.152402279313</v>
      </c>
      <c r="J16" s="94">
        <f t="shared" si="2"/>
        <v>3497.0484418659826</v>
      </c>
      <c r="K16" s="94">
        <f t="shared" si="2"/>
        <v>24533.608333802607</v>
      </c>
      <c r="L16" s="94">
        <f t="shared" si="2"/>
        <v>1762.7896036653997</v>
      </c>
      <c r="N16" s="187">
        <f>SUM(F16:L16)-E16</f>
        <v>0</v>
      </c>
    </row>
    <row r="17" spans="1:15" s="91" customFormat="1" x14ac:dyDescent="0.35">
      <c r="E17" s="96"/>
      <c r="F17" s="96"/>
      <c r="G17" s="96"/>
      <c r="H17" s="96"/>
      <c r="I17" s="96"/>
      <c r="J17" s="96"/>
      <c r="K17" s="96"/>
      <c r="L17" s="96"/>
      <c r="N17" s="78"/>
      <c r="O17" s="187"/>
    </row>
    <row r="18" spans="1:15" s="91" customFormat="1" x14ac:dyDescent="0.35">
      <c r="E18" s="93"/>
      <c r="F18" s="93"/>
      <c r="G18" s="93"/>
      <c r="H18" s="93"/>
      <c r="I18" s="93"/>
      <c r="J18" s="93"/>
      <c r="K18" s="93"/>
      <c r="L18" s="93"/>
      <c r="N18" s="78"/>
    </row>
    <row r="19" spans="1:15" s="91" customFormat="1" x14ac:dyDescent="0.35">
      <c r="B19" s="91" t="s">
        <v>137</v>
      </c>
      <c r="E19" s="93">
        <f>E11+E16</f>
        <v>5726902.9280134607</v>
      </c>
      <c r="F19" s="93">
        <f t="shared" ref="F19:L19" si="3">F11+F16</f>
        <v>3732844.2379042706</v>
      </c>
      <c r="G19" s="93">
        <f t="shared" si="3"/>
        <v>1442455.4707845391</v>
      </c>
      <c r="H19" s="93">
        <f t="shared" si="3"/>
        <v>282680.5913210971</v>
      </c>
      <c r="I19" s="93">
        <f t="shared" si="3"/>
        <v>139260.47616998307</v>
      </c>
      <c r="J19" s="93">
        <f t="shared" si="3"/>
        <v>15149.24439664216</v>
      </c>
      <c r="K19" s="93">
        <f t="shared" si="3"/>
        <v>106941.69448874993</v>
      </c>
      <c r="L19" s="93">
        <f t="shared" si="3"/>
        <v>7571.2129481784195</v>
      </c>
      <c r="N19" s="187">
        <f t="shared" ref="N19" si="4">SUM(F19:L19)-E19</f>
        <v>0</v>
      </c>
    </row>
    <row r="20" spans="1:15" s="91" customFormat="1" x14ac:dyDescent="0.35">
      <c r="B20" s="91" t="s">
        <v>138</v>
      </c>
      <c r="E20" s="1">
        <f>'2019 GRC'!$J$18</f>
        <v>0.95455299999999998</v>
      </c>
      <c r="F20" s="93"/>
      <c r="G20" s="93"/>
      <c r="H20" s="93"/>
      <c r="I20" s="93"/>
      <c r="J20" s="93"/>
      <c r="K20" s="93"/>
      <c r="L20" s="93"/>
      <c r="N20" s="78"/>
    </row>
    <row r="21" spans="1:15" s="91" customFormat="1" x14ac:dyDescent="0.35">
      <c r="B21" s="92" t="s">
        <v>139</v>
      </c>
      <c r="C21" s="92"/>
      <c r="D21" s="92"/>
      <c r="E21" s="101">
        <f>E19/$E$20</f>
        <v>5999565.1661180267</v>
      </c>
      <c r="F21" s="101">
        <f t="shared" ref="F21:L21" si="5">F19/$E$20</f>
        <v>3910567.8133160449</v>
      </c>
      <c r="G21" s="101">
        <f t="shared" si="5"/>
        <v>1511131.8813984548</v>
      </c>
      <c r="H21" s="101">
        <f t="shared" si="5"/>
        <v>296139.23095008568</v>
      </c>
      <c r="I21" s="101">
        <f t="shared" si="5"/>
        <v>145890.77418433872</v>
      </c>
      <c r="J21" s="101">
        <f t="shared" si="5"/>
        <v>15870.511534343468</v>
      </c>
      <c r="K21" s="101">
        <f t="shared" si="5"/>
        <v>112033.27053474236</v>
      </c>
      <c r="L21" s="101">
        <f t="shared" si="5"/>
        <v>7931.6842000165725</v>
      </c>
      <c r="N21" s="187">
        <f t="shared" ref="N21" si="6">SUM(F21:L21)-E21</f>
        <v>0</v>
      </c>
      <c r="O21" s="187">
        <f>E21-'Summary - Revenue Requirement'!B12</f>
        <v>0</v>
      </c>
    </row>
    <row r="22" spans="1:15" s="91" customFormat="1" x14ac:dyDescent="0.35">
      <c r="F22" s="93"/>
      <c r="G22" s="93"/>
      <c r="H22" s="93"/>
      <c r="I22" s="93"/>
      <c r="J22" s="93"/>
      <c r="K22" s="93"/>
      <c r="L22" s="93"/>
      <c r="N22" s="78"/>
    </row>
    <row r="23" spans="1:15" customFormat="1" x14ac:dyDescent="0.35">
      <c r="A23" s="86"/>
      <c r="B23" s="86" t="s">
        <v>140</v>
      </c>
      <c r="C23" s="86"/>
      <c r="D23" s="86"/>
      <c r="E23" s="102">
        <f>SUM(F23:L23)</f>
        <v>0.99999999999999989</v>
      </c>
      <c r="F23" s="102">
        <f>F21/$E21</f>
        <v>0.6518085402923206</v>
      </c>
      <c r="G23" s="102">
        <f t="shared" ref="G23:L23" si="7">G21/$E21</f>
        <v>0.25187356742659089</v>
      </c>
      <c r="H23" s="102">
        <f t="shared" si="7"/>
        <v>4.9360115733470787E-2</v>
      </c>
      <c r="I23" s="102">
        <f t="shared" si="7"/>
        <v>2.4316891332099029E-2</v>
      </c>
      <c r="J23" s="102">
        <f t="shared" si="7"/>
        <v>2.6452769650658469E-3</v>
      </c>
      <c r="K23" s="102">
        <f t="shared" si="7"/>
        <v>1.8673565072255503E-2</v>
      </c>
      <c r="L23" s="102">
        <f t="shared" si="7"/>
        <v>1.3220431781973141E-3</v>
      </c>
      <c r="M23" s="86"/>
      <c r="N23" s="86"/>
      <c r="O23" s="91"/>
    </row>
    <row r="24" spans="1:15" customFormat="1" x14ac:dyDescent="0.35">
      <c r="A24" s="86"/>
      <c r="B24" s="86"/>
      <c r="C24" s="86"/>
      <c r="D24" s="86"/>
      <c r="E24" s="86"/>
      <c r="F24" s="90"/>
      <c r="G24" s="90"/>
      <c r="H24" s="90"/>
      <c r="I24" s="90"/>
      <c r="J24" s="90"/>
      <c r="K24" s="90"/>
      <c r="L24" s="90"/>
      <c r="M24" s="86"/>
      <c r="N24" s="86"/>
      <c r="O24" s="187"/>
    </row>
    <row r="25" spans="1:15" customFormat="1" x14ac:dyDescent="0.35">
      <c r="A25" s="86"/>
      <c r="B25" s="86"/>
      <c r="C25" s="86"/>
      <c r="D25" s="86"/>
      <c r="E25" s="86"/>
      <c r="F25" s="86"/>
      <c r="G25" s="86"/>
      <c r="H25" s="86"/>
      <c r="I25" s="86"/>
      <c r="J25" s="86"/>
      <c r="K25" s="86"/>
      <c r="L25" s="86"/>
      <c r="M25" s="86"/>
      <c r="N25" s="86"/>
      <c r="O25" s="91"/>
    </row>
    <row r="26" spans="1:15" customFormat="1" x14ac:dyDescent="0.35">
      <c r="A26" s="86"/>
      <c r="B26" s="86"/>
      <c r="C26" s="86"/>
      <c r="D26" s="86"/>
      <c r="E26" s="86"/>
      <c r="F26" s="86"/>
      <c r="G26" s="86"/>
      <c r="H26" s="86"/>
      <c r="I26" s="86"/>
      <c r="J26" s="86"/>
      <c r="K26" s="86"/>
      <c r="L26" s="86"/>
      <c r="M26" s="86"/>
      <c r="N26" s="86"/>
      <c r="O26" s="91"/>
    </row>
    <row r="27" spans="1:15" customFormat="1" x14ac:dyDescent="0.35">
      <c r="A27" s="86"/>
      <c r="B27" s="86"/>
      <c r="C27" s="86"/>
      <c r="D27" s="86"/>
      <c r="E27" s="86"/>
      <c r="F27" s="86"/>
      <c r="G27" s="86"/>
      <c r="H27" s="86"/>
      <c r="I27" s="86"/>
      <c r="J27" s="86"/>
      <c r="K27" s="86"/>
      <c r="L27" s="86"/>
      <c r="M27" s="86"/>
      <c r="N27" s="86"/>
      <c r="O27" s="91"/>
    </row>
    <row r="28" spans="1:15" customFormat="1" x14ac:dyDescent="0.35">
      <c r="A28" s="86"/>
      <c r="B28" s="86"/>
      <c r="C28" s="86"/>
      <c r="D28" s="86"/>
      <c r="E28" s="86"/>
      <c r="F28" s="86"/>
      <c r="G28" s="86"/>
      <c r="H28" s="86"/>
      <c r="I28" s="86"/>
      <c r="J28" s="86"/>
      <c r="K28" s="86"/>
      <c r="L28" s="86"/>
      <c r="M28" s="86"/>
      <c r="N28" s="86"/>
    </row>
    <row r="29" spans="1:15" customFormat="1" x14ac:dyDescent="0.35">
      <c r="A29" s="86"/>
      <c r="B29" s="86"/>
      <c r="C29" s="86"/>
      <c r="D29" s="86"/>
      <c r="E29" s="86"/>
      <c r="F29" s="86"/>
      <c r="G29" s="86"/>
      <c r="H29" s="86"/>
      <c r="I29" s="86"/>
      <c r="J29" s="86"/>
      <c r="K29" s="86"/>
      <c r="L29" s="86"/>
      <c r="M29" s="86"/>
      <c r="N29" s="86"/>
    </row>
    <row r="30" spans="1:15" customFormat="1" x14ac:dyDescent="0.35">
      <c r="A30" s="86"/>
      <c r="B30" s="86"/>
      <c r="C30" s="86"/>
      <c r="D30" s="86"/>
      <c r="E30" s="86"/>
      <c r="F30" s="86"/>
      <c r="G30" s="86"/>
      <c r="H30" s="86"/>
      <c r="I30" s="86"/>
      <c r="J30" s="86"/>
      <c r="K30" s="86"/>
      <c r="L30" s="86"/>
      <c r="M30" s="86"/>
      <c r="N30" s="86"/>
    </row>
    <row r="31" spans="1:15" customFormat="1" x14ac:dyDescent="0.35">
      <c r="A31" s="86"/>
      <c r="B31" s="86"/>
      <c r="C31" s="86"/>
      <c r="D31" s="86"/>
      <c r="E31" s="86"/>
      <c r="F31" s="86"/>
      <c r="G31" s="86"/>
      <c r="H31" s="86"/>
      <c r="I31" s="86"/>
      <c r="J31" s="86"/>
      <c r="K31" s="86"/>
      <c r="L31" s="86"/>
      <c r="M31" s="86"/>
      <c r="N31" s="86"/>
    </row>
    <row r="32" spans="1:15" customFormat="1" x14ac:dyDescent="0.35">
      <c r="A32" s="86"/>
      <c r="B32" s="86"/>
      <c r="C32" s="86"/>
      <c r="D32" s="86"/>
      <c r="E32" s="86"/>
      <c r="F32" s="86"/>
      <c r="G32" s="86"/>
      <c r="H32" s="86"/>
      <c r="I32" s="86"/>
      <c r="J32" s="86"/>
      <c r="K32" s="86"/>
      <c r="L32" s="86"/>
      <c r="M32" s="86"/>
      <c r="N32" s="86"/>
    </row>
    <row r="33" spans="1:14" customFormat="1" x14ac:dyDescent="0.35">
      <c r="A33" s="86"/>
      <c r="B33" s="86"/>
      <c r="C33" s="86"/>
      <c r="D33" s="86"/>
      <c r="E33" s="86"/>
      <c r="F33" s="86"/>
      <c r="G33" s="86"/>
      <c r="H33" s="86"/>
      <c r="I33" s="86"/>
      <c r="J33" s="86"/>
      <c r="K33" s="86"/>
      <c r="L33" s="86"/>
      <c r="M33" s="86"/>
      <c r="N33" s="86"/>
    </row>
    <row r="34" spans="1:14" customFormat="1" x14ac:dyDescent="0.35">
      <c r="A34" s="86"/>
      <c r="B34" s="86"/>
      <c r="C34" s="86"/>
      <c r="D34" s="86"/>
      <c r="E34" s="86"/>
      <c r="F34" s="86"/>
      <c r="G34" s="86"/>
      <c r="H34" s="86"/>
      <c r="I34" s="86"/>
      <c r="J34" s="86"/>
      <c r="K34" s="86"/>
      <c r="L34" s="86"/>
      <c r="M34" s="86"/>
      <c r="N34" s="86"/>
    </row>
    <row r="35" spans="1:14" customFormat="1" x14ac:dyDescent="0.35">
      <c r="A35" s="86"/>
      <c r="B35" s="86"/>
      <c r="C35" s="86"/>
      <c r="D35" s="86"/>
      <c r="E35" s="86"/>
      <c r="F35" s="86"/>
      <c r="G35" s="86"/>
      <c r="H35" s="86"/>
      <c r="I35" s="86"/>
      <c r="J35" s="86"/>
      <c r="K35" s="86"/>
      <c r="L35" s="86"/>
      <c r="M35" s="86"/>
      <c r="N35" s="86"/>
    </row>
    <row r="36" spans="1:14" customFormat="1" x14ac:dyDescent="0.35">
      <c r="A36" s="86"/>
      <c r="B36" s="86"/>
      <c r="C36" s="86"/>
      <c r="D36" s="86"/>
      <c r="E36" s="86"/>
      <c r="F36" s="86"/>
      <c r="G36" s="86"/>
      <c r="H36" s="86"/>
      <c r="I36" s="86"/>
      <c r="J36" s="86"/>
      <c r="K36" s="86"/>
      <c r="L36" s="86"/>
      <c r="M36" s="86"/>
      <c r="N36" s="86"/>
    </row>
    <row r="37" spans="1:14" customFormat="1" x14ac:dyDescent="0.35">
      <c r="A37" s="86"/>
      <c r="B37" s="86"/>
      <c r="C37" s="86"/>
      <c r="D37" s="86"/>
      <c r="E37" s="86"/>
      <c r="F37" s="86"/>
      <c r="G37" s="86"/>
      <c r="H37" s="86"/>
      <c r="I37" s="86"/>
      <c r="J37" s="86"/>
      <c r="K37" s="86"/>
      <c r="L37" s="86"/>
      <c r="M37" s="86"/>
      <c r="N37" s="86"/>
    </row>
    <row r="38" spans="1:14" customFormat="1" x14ac:dyDescent="0.35">
      <c r="A38" s="86"/>
      <c r="B38" s="86"/>
      <c r="C38" s="86"/>
      <c r="D38" s="86"/>
      <c r="E38" s="86"/>
      <c r="F38" s="86"/>
      <c r="G38" s="86"/>
      <c r="H38" s="86"/>
      <c r="I38" s="86"/>
      <c r="J38" s="86"/>
      <c r="K38" s="86"/>
      <c r="L38" s="86"/>
      <c r="M38" s="86"/>
      <c r="N38" s="86"/>
    </row>
    <row r="39" spans="1:14" customFormat="1" x14ac:dyDescent="0.35">
      <c r="A39" s="86"/>
      <c r="B39" s="86"/>
      <c r="C39" s="86"/>
      <c r="D39" s="86"/>
      <c r="E39" s="86"/>
      <c r="F39" s="86"/>
      <c r="G39" s="86"/>
      <c r="H39" s="86"/>
      <c r="I39" s="86"/>
      <c r="J39" s="86"/>
      <c r="K39" s="86"/>
      <c r="L39" s="86"/>
      <c r="M39" s="86"/>
      <c r="N39" s="86"/>
    </row>
    <row r="40" spans="1:14" customFormat="1" x14ac:dyDescent="0.35">
      <c r="A40" s="86"/>
      <c r="B40" s="86"/>
      <c r="C40" s="86"/>
      <c r="D40" s="86"/>
      <c r="E40" s="86"/>
      <c r="F40" s="86"/>
      <c r="G40" s="86"/>
      <c r="H40" s="86"/>
      <c r="I40" s="86"/>
      <c r="J40" s="86"/>
      <c r="K40" s="86"/>
      <c r="L40" s="86"/>
      <c r="M40" s="86"/>
      <c r="N40" s="86"/>
    </row>
    <row r="41" spans="1:14" customFormat="1" x14ac:dyDescent="0.35">
      <c r="A41" s="86"/>
      <c r="B41" s="86"/>
      <c r="C41" s="86"/>
      <c r="D41" s="86"/>
      <c r="E41" s="86"/>
      <c r="F41" s="86"/>
      <c r="G41" s="86"/>
      <c r="H41" s="86"/>
      <c r="I41" s="86"/>
      <c r="J41" s="86"/>
      <c r="K41" s="86"/>
      <c r="L41" s="86"/>
      <c r="M41" s="86"/>
      <c r="N41" s="86"/>
    </row>
    <row r="42" spans="1:14" customFormat="1" x14ac:dyDescent="0.35">
      <c r="A42" s="86"/>
      <c r="B42" s="86"/>
      <c r="C42" s="86"/>
      <c r="D42" s="86"/>
      <c r="E42" s="86"/>
      <c r="F42" s="86"/>
      <c r="G42" s="86"/>
      <c r="H42" s="86"/>
      <c r="I42" s="86"/>
      <c r="J42" s="86"/>
      <c r="K42" s="86"/>
      <c r="L42" s="86"/>
      <c r="M42" s="86"/>
      <c r="N42" s="86"/>
    </row>
    <row r="43" spans="1:14" customFormat="1" x14ac:dyDescent="0.35">
      <c r="A43" s="86"/>
      <c r="B43" s="86"/>
      <c r="C43" s="86"/>
      <c r="D43" s="86"/>
      <c r="E43" s="86"/>
      <c r="F43" s="86"/>
      <c r="G43" s="86"/>
      <c r="H43" s="86"/>
      <c r="I43" s="86"/>
      <c r="J43" s="86"/>
      <c r="K43" s="86"/>
      <c r="L43" s="86"/>
      <c r="M43" s="86"/>
      <c r="N43" s="86"/>
    </row>
    <row r="44" spans="1:14" customFormat="1" x14ac:dyDescent="0.35">
      <c r="A44" s="86"/>
      <c r="B44" s="86"/>
      <c r="C44" s="86"/>
      <c r="D44" s="86"/>
      <c r="E44" s="86"/>
      <c r="F44" s="86"/>
      <c r="G44" s="86"/>
      <c r="H44" s="86"/>
      <c r="I44" s="86"/>
      <c r="J44" s="86"/>
      <c r="K44" s="86"/>
      <c r="L44" s="86"/>
      <c r="M44" s="86"/>
      <c r="N44" s="86"/>
    </row>
    <row r="45" spans="1:14" customFormat="1" x14ac:dyDescent="0.35">
      <c r="A45" s="86"/>
      <c r="B45" s="86"/>
      <c r="C45" s="86"/>
      <c r="D45" s="86"/>
      <c r="E45" s="86"/>
      <c r="F45" s="86"/>
      <c r="G45" s="86"/>
      <c r="H45" s="86"/>
      <c r="I45" s="86"/>
      <c r="J45" s="86"/>
      <c r="K45" s="86"/>
      <c r="L45" s="86"/>
      <c r="M45" s="86"/>
      <c r="N45" s="86"/>
    </row>
    <row r="46" spans="1:14" customFormat="1" x14ac:dyDescent="0.35">
      <c r="A46" s="86"/>
      <c r="B46" s="86"/>
      <c r="C46" s="86"/>
      <c r="D46" s="86"/>
      <c r="E46" s="86"/>
      <c r="F46" s="86"/>
      <c r="G46" s="86"/>
      <c r="H46" s="86"/>
      <c r="I46" s="86"/>
      <c r="J46" s="86"/>
      <c r="K46" s="86"/>
      <c r="L46" s="86"/>
      <c r="M46" s="86"/>
      <c r="N46" s="86"/>
    </row>
    <row r="47" spans="1:14" customFormat="1" x14ac:dyDescent="0.35">
      <c r="A47" s="86"/>
      <c r="B47" s="86"/>
      <c r="C47" s="86"/>
      <c r="D47" s="86"/>
      <c r="E47" s="86"/>
      <c r="F47" s="86"/>
      <c r="G47" s="86"/>
      <c r="H47" s="86"/>
      <c r="I47" s="86"/>
      <c r="J47" s="86"/>
      <c r="K47" s="86"/>
      <c r="L47" s="86"/>
      <c r="M47" s="86"/>
      <c r="N47" s="86"/>
    </row>
    <row r="48" spans="1:14" customFormat="1" x14ac:dyDescent="0.35">
      <c r="A48" s="86"/>
      <c r="B48" s="86"/>
      <c r="C48" s="86"/>
      <c r="D48" s="86"/>
      <c r="E48" s="86"/>
      <c r="F48" s="86"/>
      <c r="G48" s="86"/>
      <c r="H48" s="86"/>
      <c r="I48" s="86"/>
      <c r="J48" s="86"/>
      <c r="K48" s="86"/>
      <c r="L48" s="86"/>
      <c r="M48" s="86"/>
      <c r="N48" s="86"/>
    </row>
    <row r="49" spans="1:14" customFormat="1" x14ac:dyDescent="0.35">
      <c r="A49" s="86"/>
      <c r="B49" s="86"/>
      <c r="C49" s="86"/>
      <c r="D49" s="86"/>
      <c r="E49" s="86"/>
      <c r="F49" s="86"/>
      <c r="G49" s="86"/>
      <c r="H49" s="86"/>
      <c r="I49" s="86"/>
      <c r="J49" s="86"/>
      <c r="K49" s="86"/>
      <c r="L49" s="86"/>
      <c r="M49" s="86"/>
      <c r="N49" s="86"/>
    </row>
    <row r="50" spans="1:14" customFormat="1" x14ac:dyDescent="0.35">
      <c r="A50" s="86"/>
      <c r="B50" s="86"/>
      <c r="C50" s="86"/>
      <c r="D50" s="86"/>
      <c r="E50" s="86"/>
      <c r="F50" s="86"/>
      <c r="G50" s="86"/>
      <c r="H50" s="86"/>
      <c r="I50" s="86"/>
      <c r="J50" s="86"/>
      <c r="K50" s="86"/>
      <c r="L50" s="86"/>
      <c r="M50" s="86"/>
      <c r="N50" s="86"/>
    </row>
    <row r="51" spans="1:14" customFormat="1" x14ac:dyDescent="0.35">
      <c r="A51" s="86"/>
      <c r="B51" s="86"/>
      <c r="C51" s="86"/>
      <c r="D51" s="86"/>
      <c r="E51" s="86"/>
      <c r="F51" s="86"/>
      <c r="G51" s="86"/>
      <c r="H51" s="86"/>
      <c r="I51" s="86"/>
      <c r="J51" s="86"/>
      <c r="K51" s="86"/>
      <c r="L51" s="86"/>
      <c r="M51" s="86"/>
      <c r="N51" s="86"/>
    </row>
    <row r="52" spans="1:14" customFormat="1" x14ac:dyDescent="0.35">
      <c r="A52" s="86"/>
      <c r="B52" s="86"/>
      <c r="C52" s="86"/>
      <c r="D52" s="86"/>
      <c r="E52" s="86"/>
      <c r="F52" s="86"/>
      <c r="G52" s="86"/>
      <c r="H52" s="86"/>
      <c r="I52" s="86"/>
      <c r="J52" s="86"/>
      <c r="K52" s="86"/>
      <c r="L52" s="86"/>
      <c r="M52" s="86"/>
      <c r="N52" s="86"/>
    </row>
    <row r="53" spans="1:14" customFormat="1" x14ac:dyDescent="0.35">
      <c r="A53" s="86"/>
      <c r="B53" s="86"/>
      <c r="C53" s="86"/>
      <c r="D53" s="86"/>
      <c r="E53" s="86"/>
      <c r="F53" s="86"/>
      <c r="G53" s="86"/>
      <c r="H53" s="86"/>
      <c r="I53" s="86"/>
      <c r="J53" s="86"/>
      <c r="K53" s="86"/>
      <c r="L53" s="86"/>
      <c r="M53" s="86"/>
      <c r="N53" s="86"/>
    </row>
    <row r="54" spans="1:14" customFormat="1" x14ac:dyDescent="0.35">
      <c r="A54" s="86"/>
      <c r="B54" s="86"/>
      <c r="C54" s="86"/>
      <c r="D54" s="86"/>
      <c r="E54" s="86"/>
      <c r="F54" s="86"/>
      <c r="G54" s="86"/>
      <c r="H54" s="86"/>
      <c r="I54" s="86"/>
      <c r="J54" s="86"/>
      <c r="K54" s="86"/>
      <c r="L54" s="86"/>
      <c r="M54" s="86"/>
      <c r="N54" s="86"/>
    </row>
    <row r="55" spans="1:14" customFormat="1" x14ac:dyDescent="0.35">
      <c r="A55" s="86"/>
      <c r="B55" s="86"/>
      <c r="C55" s="86"/>
      <c r="D55" s="86"/>
      <c r="E55" s="86"/>
      <c r="F55" s="86"/>
      <c r="G55" s="86"/>
      <c r="H55" s="86"/>
      <c r="I55" s="86"/>
      <c r="J55" s="86"/>
      <c r="K55" s="86"/>
      <c r="L55" s="86"/>
      <c r="M55" s="86"/>
      <c r="N55" s="86"/>
    </row>
    <row r="56" spans="1:14" customFormat="1" x14ac:dyDescent="0.35">
      <c r="A56" s="86"/>
      <c r="B56" s="86"/>
      <c r="C56" s="86"/>
      <c r="D56" s="86"/>
      <c r="E56" s="86"/>
      <c r="F56" s="86"/>
      <c r="G56" s="86"/>
      <c r="H56" s="86"/>
      <c r="I56" s="86"/>
      <c r="J56" s="86"/>
      <c r="K56" s="86"/>
      <c r="L56" s="86"/>
      <c r="M56" s="86"/>
      <c r="N56" s="86"/>
    </row>
    <row r="57" spans="1:14" customFormat="1" x14ac:dyDescent="0.35">
      <c r="A57" s="86"/>
      <c r="B57" s="86"/>
      <c r="C57" s="86"/>
      <c r="D57" s="86"/>
      <c r="E57" s="86"/>
      <c r="F57" s="86"/>
      <c r="G57" s="86"/>
      <c r="H57" s="86"/>
      <c r="I57" s="86"/>
      <c r="J57" s="86"/>
      <c r="K57" s="86"/>
      <c r="L57" s="86"/>
      <c r="M57" s="86"/>
      <c r="N57" s="86"/>
    </row>
    <row r="58" spans="1:14" customFormat="1" x14ac:dyDescent="0.35">
      <c r="A58" s="86"/>
      <c r="B58" s="86"/>
      <c r="C58" s="86"/>
      <c r="D58" s="86"/>
      <c r="E58" s="86"/>
      <c r="F58" s="86"/>
      <c r="G58" s="86"/>
      <c r="H58" s="86"/>
      <c r="I58" s="86"/>
      <c r="J58" s="86"/>
      <c r="K58" s="86"/>
      <c r="L58" s="86"/>
      <c r="M58" s="86"/>
      <c r="N58" s="86"/>
    </row>
    <row r="59" spans="1:14" customFormat="1" x14ac:dyDescent="0.35">
      <c r="A59" s="86"/>
      <c r="B59" s="86"/>
      <c r="C59" s="86"/>
      <c r="D59" s="86"/>
      <c r="E59" s="86"/>
      <c r="F59" s="86"/>
      <c r="G59" s="86"/>
      <c r="H59" s="86"/>
      <c r="I59" s="86"/>
      <c r="J59" s="86"/>
      <c r="K59" s="86"/>
      <c r="L59" s="86"/>
      <c r="M59" s="86"/>
      <c r="N59" s="86"/>
    </row>
    <row r="60" spans="1:14" customFormat="1" x14ac:dyDescent="0.35">
      <c r="A60" s="86"/>
      <c r="B60" s="86"/>
      <c r="C60" s="86"/>
      <c r="D60" s="86"/>
      <c r="E60" s="86"/>
      <c r="F60" s="86"/>
      <c r="G60" s="86"/>
      <c r="H60" s="86"/>
      <c r="I60" s="86"/>
      <c r="J60" s="86"/>
      <c r="K60" s="86"/>
      <c r="L60" s="86"/>
      <c r="M60" s="86"/>
      <c r="N60" s="86"/>
    </row>
    <row r="61" spans="1:14" customFormat="1" x14ac:dyDescent="0.35">
      <c r="A61" s="86"/>
      <c r="B61" s="86"/>
      <c r="C61" s="86"/>
      <c r="D61" s="86"/>
      <c r="E61" s="86"/>
      <c r="F61" s="86"/>
      <c r="G61" s="86"/>
      <c r="H61" s="86"/>
      <c r="I61" s="86"/>
      <c r="J61" s="86"/>
      <c r="K61" s="86"/>
      <c r="L61" s="86"/>
      <c r="M61" s="86"/>
      <c r="N61" s="86"/>
    </row>
    <row r="62" spans="1:14" customFormat="1" x14ac:dyDescent="0.35">
      <c r="A62" s="86"/>
      <c r="B62" s="86"/>
      <c r="C62" s="86"/>
      <c r="D62" s="86"/>
      <c r="E62" s="86"/>
      <c r="F62" s="86"/>
      <c r="G62" s="86"/>
      <c r="H62" s="86"/>
      <c r="I62" s="86"/>
      <c r="J62" s="86"/>
      <c r="K62" s="86"/>
      <c r="L62" s="86"/>
      <c r="M62" s="86"/>
      <c r="N62" s="86"/>
    </row>
    <row r="63" spans="1:14" customFormat="1" x14ac:dyDescent="0.35">
      <c r="A63" s="86"/>
      <c r="B63" s="86"/>
      <c r="C63" s="86"/>
      <c r="D63" s="86"/>
      <c r="E63" s="86"/>
      <c r="F63" s="86"/>
      <c r="G63" s="86"/>
      <c r="H63" s="86"/>
      <c r="I63" s="86"/>
      <c r="J63" s="86"/>
      <c r="K63" s="86"/>
      <c r="L63" s="86"/>
      <c r="M63" s="86"/>
      <c r="N63" s="86"/>
    </row>
    <row r="64" spans="1:14" customFormat="1" x14ac:dyDescent="0.35">
      <c r="A64" s="86"/>
      <c r="B64" s="86"/>
      <c r="C64" s="86"/>
      <c r="D64" s="86"/>
      <c r="E64" s="86"/>
      <c r="F64" s="86"/>
      <c r="G64" s="86"/>
      <c r="H64" s="86"/>
      <c r="I64" s="86"/>
      <c r="J64" s="86"/>
      <c r="K64" s="86"/>
      <c r="L64" s="86"/>
      <c r="M64" s="86"/>
      <c r="N64" s="86"/>
    </row>
    <row r="65" spans="1:14" customFormat="1" x14ac:dyDescent="0.35">
      <c r="A65" s="86"/>
      <c r="B65" s="86"/>
      <c r="C65" s="86"/>
      <c r="D65" s="86"/>
      <c r="E65" s="86"/>
      <c r="F65" s="86"/>
      <c r="G65" s="86"/>
      <c r="H65" s="86"/>
      <c r="I65" s="86"/>
      <c r="J65" s="86"/>
      <c r="K65" s="86"/>
      <c r="L65" s="86"/>
      <c r="M65" s="86"/>
      <c r="N65" s="86"/>
    </row>
    <row r="66" spans="1:14" customFormat="1" x14ac:dyDescent="0.35">
      <c r="A66" s="86"/>
      <c r="B66" s="86"/>
      <c r="C66" s="86"/>
      <c r="D66" s="86"/>
      <c r="E66" s="86"/>
      <c r="F66" s="86"/>
      <c r="G66" s="86"/>
      <c r="H66" s="86"/>
      <c r="I66" s="86"/>
      <c r="J66" s="86"/>
      <c r="K66" s="86"/>
      <c r="L66" s="86"/>
      <c r="M66" s="86"/>
      <c r="N66" s="86"/>
    </row>
    <row r="67" spans="1:14" customFormat="1" x14ac:dyDescent="0.35">
      <c r="A67" s="86"/>
      <c r="B67" s="86"/>
      <c r="C67" s="86"/>
      <c r="D67" s="86"/>
      <c r="E67" s="86"/>
      <c r="F67" s="86"/>
      <c r="G67" s="86"/>
      <c r="H67" s="86"/>
      <c r="I67" s="86"/>
      <c r="J67" s="86"/>
      <c r="K67" s="86"/>
      <c r="L67" s="86"/>
      <c r="M67" s="86"/>
      <c r="N67" s="86"/>
    </row>
    <row r="68" spans="1:14" customFormat="1" x14ac:dyDescent="0.35">
      <c r="A68" s="86"/>
      <c r="B68" s="86"/>
      <c r="C68" s="86"/>
      <c r="D68" s="86"/>
      <c r="E68" s="86"/>
      <c r="F68" s="86"/>
      <c r="G68" s="86"/>
      <c r="H68" s="86"/>
      <c r="I68" s="86"/>
      <c r="J68" s="86"/>
      <c r="K68" s="86"/>
      <c r="L68" s="86"/>
      <c r="M68" s="86"/>
      <c r="N68" s="86"/>
    </row>
    <row r="69" spans="1:14" customFormat="1" x14ac:dyDescent="0.35">
      <c r="A69" s="86"/>
      <c r="B69" s="86"/>
      <c r="C69" s="86"/>
      <c r="D69" s="86"/>
      <c r="E69" s="86"/>
      <c r="F69" s="86"/>
      <c r="G69" s="86"/>
      <c r="H69" s="86"/>
      <c r="I69" s="86"/>
      <c r="J69" s="86"/>
      <c r="K69" s="86"/>
      <c r="L69" s="86"/>
      <c r="M69" s="86"/>
      <c r="N69" s="86"/>
    </row>
    <row r="70" spans="1:14" customFormat="1" x14ac:dyDescent="0.35">
      <c r="A70" s="86"/>
      <c r="B70" s="86"/>
      <c r="C70" s="86"/>
      <c r="D70" s="86"/>
      <c r="E70" s="86"/>
      <c r="F70" s="86"/>
      <c r="G70" s="86"/>
      <c r="H70" s="86"/>
      <c r="I70" s="86"/>
      <c r="J70" s="86"/>
      <c r="K70" s="86"/>
      <c r="L70" s="86"/>
      <c r="M70" s="86"/>
      <c r="N70" s="86"/>
    </row>
    <row r="71" spans="1:14" customFormat="1" x14ac:dyDescent="0.35">
      <c r="A71" s="86"/>
      <c r="B71" s="86"/>
      <c r="C71" s="86"/>
      <c r="D71" s="86"/>
      <c r="E71" s="86"/>
      <c r="F71" s="86"/>
      <c r="G71" s="86"/>
      <c r="H71" s="86"/>
      <c r="I71" s="86"/>
      <c r="J71" s="86"/>
      <c r="K71" s="86"/>
      <c r="L71" s="86"/>
      <c r="M71" s="86"/>
      <c r="N71" s="86"/>
    </row>
    <row r="72" spans="1:14" customFormat="1" x14ac:dyDescent="0.35">
      <c r="A72" s="86"/>
      <c r="B72" s="86"/>
      <c r="C72" s="86"/>
      <c r="D72" s="86"/>
      <c r="E72" s="86"/>
      <c r="F72" s="86"/>
      <c r="G72" s="86"/>
      <c r="H72" s="86"/>
      <c r="I72" s="86"/>
      <c r="J72" s="86"/>
      <c r="K72" s="86"/>
      <c r="L72" s="86"/>
      <c r="M72" s="86"/>
      <c r="N72" s="86"/>
    </row>
    <row r="73" spans="1:14" customFormat="1" x14ac:dyDescent="0.35">
      <c r="A73" s="86"/>
      <c r="B73" s="86"/>
      <c r="C73" s="86"/>
      <c r="D73" s="86"/>
      <c r="E73" s="86"/>
      <c r="F73" s="86"/>
      <c r="G73" s="86"/>
      <c r="H73" s="86"/>
      <c r="I73" s="86"/>
      <c r="J73" s="86"/>
      <c r="K73" s="86"/>
      <c r="L73" s="86"/>
      <c r="M73" s="86"/>
      <c r="N73" s="86"/>
    </row>
    <row r="74" spans="1:14" customFormat="1" x14ac:dyDescent="0.35">
      <c r="A74" s="86"/>
      <c r="B74" s="86"/>
      <c r="C74" s="86"/>
      <c r="D74" s="86"/>
      <c r="E74" s="86"/>
      <c r="F74" s="86"/>
      <c r="G74" s="86"/>
      <c r="H74" s="86"/>
      <c r="I74" s="86"/>
      <c r="J74" s="86"/>
      <c r="K74" s="86"/>
      <c r="L74" s="86"/>
      <c r="M74" s="86"/>
      <c r="N74" s="86"/>
    </row>
    <row r="75" spans="1:14" customFormat="1" x14ac:dyDescent="0.35">
      <c r="A75" s="86"/>
      <c r="B75" s="86"/>
      <c r="C75" s="86"/>
      <c r="D75" s="86"/>
      <c r="E75" s="86"/>
      <c r="F75" s="86"/>
      <c r="G75" s="86"/>
      <c r="H75" s="86"/>
      <c r="I75" s="86"/>
      <c r="J75" s="86"/>
      <c r="K75" s="86"/>
      <c r="L75" s="86"/>
      <c r="M75" s="86"/>
      <c r="N75" s="86"/>
    </row>
    <row r="76" spans="1:14" customFormat="1" x14ac:dyDescent="0.35">
      <c r="A76" s="86"/>
      <c r="B76" s="86"/>
      <c r="C76" s="86"/>
      <c r="D76" s="86"/>
      <c r="E76" s="86"/>
      <c r="F76" s="86"/>
      <c r="G76" s="86"/>
      <c r="H76" s="86"/>
      <c r="I76" s="86"/>
      <c r="J76" s="86"/>
      <c r="K76" s="86"/>
      <c r="L76" s="86"/>
      <c r="M76" s="86"/>
      <c r="N76" s="86"/>
    </row>
    <row r="77" spans="1:14" customFormat="1" x14ac:dyDescent="0.35">
      <c r="A77" s="86"/>
      <c r="B77" s="86"/>
      <c r="C77" s="86"/>
      <c r="D77" s="86"/>
      <c r="E77" s="86"/>
      <c r="F77" s="86"/>
      <c r="G77" s="86"/>
      <c r="H77" s="86"/>
      <c r="I77" s="86"/>
      <c r="J77" s="86"/>
      <c r="K77" s="86"/>
      <c r="L77" s="86"/>
      <c r="M77" s="86"/>
      <c r="N77" s="86"/>
    </row>
    <row r="78" spans="1:14" customFormat="1" x14ac:dyDescent="0.35">
      <c r="A78" s="86"/>
      <c r="B78" s="86"/>
      <c r="C78" s="86"/>
      <c r="D78" s="86"/>
      <c r="E78" s="86"/>
      <c r="F78" s="86"/>
      <c r="G78" s="86"/>
      <c r="H78" s="86"/>
      <c r="I78" s="86"/>
      <c r="J78" s="86"/>
      <c r="K78" s="86"/>
      <c r="L78" s="86"/>
      <c r="M78" s="86"/>
      <c r="N78" s="86"/>
    </row>
    <row r="79" spans="1:14" customFormat="1" x14ac:dyDescent="0.35">
      <c r="A79" s="86"/>
      <c r="B79" s="86"/>
      <c r="C79" s="86"/>
      <c r="D79" s="86"/>
      <c r="E79" s="86"/>
      <c r="F79" s="86"/>
      <c r="G79" s="86"/>
      <c r="H79" s="86"/>
      <c r="I79" s="86"/>
      <c r="J79" s="86"/>
      <c r="K79" s="86"/>
      <c r="L79" s="86"/>
      <c r="M79" s="86"/>
      <c r="N79" s="86"/>
    </row>
    <row r="80" spans="1:14" customFormat="1" x14ac:dyDescent="0.35">
      <c r="A80" s="86"/>
      <c r="B80" s="86"/>
      <c r="C80" s="86"/>
      <c r="D80" s="86"/>
      <c r="E80" s="86"/>
      <c r="F80" s="86"/>
      <c r="G80" s="86"/>
      <c r="H80" s="86"/>
      <c r="I80" s="86"/>
      <c r="J80" s="86"/>
      <c r="K80" s="86"/>
      <c r="L80" s="86"/>
      <c r="M80" s="86"/>
      <c r="N80" s="86"/>
    </row>
    <row r="81" spans="1:14" customFormat="1" x14ac:dyDescent="0.35">
      <c r="A81" s="86"/>
      <c r="B81" s="86"/>
      <c r="C81" s="86"/>
      <c r="D81" s="86"/>
      <c r="E81" s="86"/>
      <c r="F81" s="86"/>
      <c r="G81" s="86"/>
      <c r="H81" s="86"/>
      <c r="I81" s="86"/>
      <c r="J81" s="86"/>
      <c r="K81" s="86"/>
      <c r="L81" s="86"/>
      <c r="M81" s="86"/>
      <c r="N81" s="86"/>
    </row>
    <row r="82" spans="1:14" customFormat="1" x14ac:dyDescent="0.35">
      <c r="A82" s="86"/>
      <c r="B82" s="86"/>
      <c r="C82" s="86"/>
      <c r="D82" s="86"/>
      <c r="E82" s="86"/>
      <c r="F82" s="86"/>
      <c r="G82" s="86"/>
      <c r="H82" s="86"/>
      <c r="I82" s="86"/>
      <c r="J82" s="86"/>
      <c r="K82" s="86"/>
      <c r="L82" s="86"/>
      <c r="M82" s="86"/>
      <c r="N82" s="86"/>
    </row>
    <row r="83" spans="1:14" customFormat="1" x14ac:dyDescent="0.35">
      <c r="A83" s="86"/>
      <c r="B83" s="86"/>
      <c r="C83" s="86"/>
      <c r="D83" s="86"/>
      <c r="E83" s="86"/>
      <c r="F83" s="86"/>
      <c r="G83" s="86"/>
      <c r="H83" s="86"/>
      <c r="I83" s="86"/>
      <c r="J83" s="86"/>
      <c r="K83" s="86"/>
      <c r="L83" s="86"/>
      <c r="M83" s="86"/>
      <c r="N83" s="86"/>
    </row>
    <row r="84" spans="1:14" customFormat="1" x14ac:dyDescent="0.35">
      <c r="A84" s="86"/>
      <c r="B84" s="86"/>
      <c r="C84" s="86"/>
      <c r="D84" s="86"/>
      <c r="E84" s="86"/>
      <c r="F84" s="86"/>
      <c r="G84" s="86"/>
      <c r="H84" s="86"/>
      <c r="I84" s="86"/>
      <c r="J84" s="86"/>
      <c r="K84" s="86"/>
      <c r="L84" s="86"/>
      <c r="M84" s="86"/>
      <c r="N84" s="86"/>
    </row>
    <row r="85" spans="1:14" customFormat="1" x14ac:dyDescent="0.35">
      <c r="A85" s="86"/>
      <c r="B85" s="86"/>
      <c r="C85" s="86"/>
      <c r="D85" s="86"/>
      <c r="E85" s="86"/>
      <c r="F85" s="86"/>
      <c r="G85" s="86"/>
      <c r="H85" s="86"/>
      <c r="I85" s="86"/>
      <c r="J85" s="86"/>
      <c r="K85" s="86"/>
      <c r="L85" s="86"/>
      <c r="M85" s="86"/>
      <c r="N85" s="86"/>
    </row>
    <row r="86" spans="1:14" customFormat="1" x14ac:dyDescent="0.35">
      <c r="A86" s="86"/>
      <c r="B86" s="86"/>
      <c r="C86" s="86"/>
      <c r="D86" s="86"/>
      <c r="E86" s="86"/>
      <c r="F86" s="86"/>
      <c r="G86" s="86"/>
      <c r="H86" s="86"/>
      <c r="I86" s="86"/>
      <c r="J86" s="86"/>
      <c r="K86" s="86"/>
      <c r="L86" s="86"/>
      <c r="M86" s="86"/>
      <c r="N86" s="86"/>
    </row>
    <row r="87" spans="1:14" customFormat="1" x14ac:dyDescent="0.35">
      <c r="A87" s="86"/>
      <c r="B87" s="86"/>
      <c r="C87" s="86"/>
      <c r="D87" s="86"/>
      <c r="E87" s="86"/>
      <c r="F87" s="86"/>
      <c r="G87" s="86"/>
      <c r="H87" s="86"/>
      <c r="I87" s="86"/>
      <c r="J87" s="86"/>
      <c r="K87" s="86"/>
      <c r="L87" s="86"/>
      <c r="M87" s="86"/>
      <c r="N87" s="86"/>
    </row>
    <row r="88" spans="1:14" customFormat="1" x14ac:dyDescent="0.35">
      <c r="A88" s="86"/>
      <c r="B88" s="86"/>
      <c r="C88" s="86"/>
      <c r="D88" s="86"/>
      <c r="E88" s="86"/>
      <c r="F88" s="86"/>
      <c r="G88" s="86"/>
      <c r="H88" s="86"/>
      <c r="I88" s="86"/>
      <c r="J88" s="86"/>
      <c r="K88" s="86"/>
      <c r="L88" s="86"/>
      <c r="M88" s="86"/>
      <c r="N88" s="86"/>
    </row>
    <row r="89" spans="1:14" customFormat="1" x14ac:dyDescent="0.35">
      <c r="A89" s="86"/>
      <c r="B89" s="86"/>
      <c r="C89" s="86"/>
      <c r="D89" s="86"/>
      <c r="E89" s="86"/>
      <c r="F89" s="86"/>
      <c r="G89" s="86"/>
      <c r="H89" s="86"/>
      <c r="I89" s="86"/>
      <c r="J89" s="86"/>
      <c r="K89" s="86"/>
      <c r="L89" s="86"/>
      <c r="M89" s="86"/>
      <c r="N89" s="86"/>
    </row>
    <row r="90" spans="1:14" customFormat="1" x14ac:dyDescent="0.35">
      <c r="A90" s="86"/>
      <c r="B90" s="86"/>
      <c r="C90" s="86"/>
      <c r="D90" s="86"/>
      <c r="E90" s="86"/>
      <c r="F90" s="86"/>
      <c r="G90" s="86"/>
      <c r="H90" s="86"/>
      <c r="I90" s="86"/>
      <c r="J90" s="86"/>
      <c r="K90" s="86"/>
      <c r="L90" s="86"/>
      <c r="M90" s="86"/>
      <c r="N90" s="86"/>
    </row>
    <row r="91" spans="1:14" customFormat="1" x14ac:dyDescent="0.35">
      <c r="A91" s="86"/>
      <c r="B91" s="86"/>
      <c r="C91" s="86"/>
      <c r="D91" s="86"/>
      <c r="E91" s="86"/>
      <c r="F91" s="86"/>
      <c r="G91" s="86"/>
      <c r="H91" s="86"/>
      <c r="I91" s="86"/>
      <c r="J91" s="86"/>
      <c r="K91" s="86"/>
      <c r="L91" s="86"/>
      <c r="M91" s="86"/>
      <c r="N91" s="86"/>
    </row>
    <row r="92" spans="1:14" customFormat="1" x14ac:dyDescent="0.35">
      <c r="A92" s="86"/>
      <c r="B92" s="86"/>
      <c r="C92" s="86"/>
      <c r="D92" s="86"/>
      <c r="E92" s="86"/>
      <c r="F92" s="86"/>
      <c r="G92" s="86"/>
      <c r="H92" s="86"/>
      <c r="I92" s="86"/>
      <c r="J92" s="86"/>
      <c r="K92" s="86"/>
      <c r="L92" s="86"/>
      <c r="M92" s="86"/>
      <c r="N92" s="86"/>
    </row>
    <row r="93" spans="1:14" customFormat="1" x14ac:dyDescent="0.35">
      <c r="A93" s="86"/>
      <c r="B93" s="86"/>
      <c r="C93" s="86"/>
      <c r="D93" s="86"/>
      <c r="E93" s="86"/>
      <c r="F93" s="86"/>
      <c r="G93" s="86"/>
      <c r="H93" s="86"/>
      <c r="I93" s="86"/>
      <c r="J93" s="86"/>
      <c r="K93" s="86"/>
      <c r="L93" s="86"/>
      <c r="M93" s="86"/>
      <c r="N93" s="86"/>
    </row>
    <row r="94" spans="1:14" customFormat="1" x14ac:dyDescent="0.35">
      <c r="A94" s="86"/>
      <c r="B94" s="86"/>
      <c r="C94" s="86"/>
      <c r="D94" s="86"/>
      <c r="E94" s="86"/>
      <c r="F94" s="86"/>
      <c r="G94" s="86"/>
      <c r="H94" s="86"/>
      <c r="I94" s="86"/>
      <c r="J94" s="86"/>
      <c r="K94" s="86"/>
      <c r="L94" s="86"/>
      <c r="M94" s="86"/>
      <c r="N94" s="86"/>
    </row>
    <row r="95" spans="1:14" customFormat="1" x14ac:dyDescent="0.35">
      <c r="A95" s="86"/>
      <c r="B95" s="86"/>
      <c r="C95" s="86"/>
      <c r="D95" s="86"/>
      <c r="E95" s="86"/>
      <c r="F95" s="86"/>
      <c r="G95" s="86"/>
      <c r="H95" s="86"/>
      <c r="I95" s="86"/>
      <c r="J95" s="86"/>
      <c r="K95" s="86"/>
      <c r="L95" s="86"/>
      <c r="M95" s="86"/>
      <c r="N95" s="86"/>
    </row>
    <row r="96" spans="1:14" customFormat="1" x14ac:dyDescent="0.35">
      <c r="A96" s="86"/>
      <c r="B96" s="86"/>
      <c r="C96" s="86"/>
      <c r="D96" s="86"/>
      <c r="E96" s="86"/>
      <c r="F96" s="86"/>
      <c r="G96" s="86"/>
      <c r="H96" s="86"/>
      <c r="I96" s="86"/>
      <c r="J96" s="86"/>
      <c r="K96" s="86"/>
      <c r="L96" s="86"/>
      <c r="M96" s="86"/>
      <c r="N96" s="86"/>
    </row>
    <row r="97" spans="1:14" customFormat="1" x14ac:dyDescent="0.35">
      <c r="A97" s="86"/>
      <c r="B97" s="86"/>
      <c r="C97" s="86"/>
      <c r="D97" s="86"/>
      <c r="E97" s="86"/>
      <c r="F97" s="86"/>
      <c r="G97" s="86"/>
      <c r="H97" s="86"/>
      <c r="I97" s="86"/>
      <c r="J97" s="86"/>
      <c r="K97" s="86"/>
      <c r="L97" s="86"/>
      <c r="M97" s="86"/>
      <c r="N97" s="86"/>
    </row>
    <row r="98" spans="1:14" customFormat="1" x14ac:dyDescent="0.35">
      <c r="A98" s="86"/>
      <c r="B98" s="86"/>
      <c r="C98" s="86"/>
      <c r="D98" s="86"/>
      <c r="E98" s="86"/>
      <c r="F98" s="86"/>
      <c r="G98" s="86"/>
      <c r="H98" s="86"/>
      <c r="I98" s="86"/>
      <c r="J98" s="86"/>
      <c r="K98" s="86"/>
      <c r="L98" s="86"/>
      <c r="M98" s="86"/>
      <c r="N98" s="86"/>
    </row>
    <row r="99" spans="1:14" customFormat="1" x14ac:dyDescent="0.35">
      <c r="A99" s="86"/>
      <c r="B99" s="86"/>
      <c r="C99" s="86"/>
      <c r="D99" s="86"/>
      <c r="E99" s="86"/>
      <c r="F99" s="86"/>
      <c r="G99" s="86"/>
      <c r="H99" s="86"/>
      <c r="I99" s="86"/>
      <c r="J99" s="86"/>
      <c r="K99" s="86"/>
      <c r="L99" s="86"/>
      <c r="M99" s="86"/>
      <c r="N99" s="86"/>
    </row>
    <row r="100" spans="1:14" customFormat="1" x14ac:dyDescent="0.35">
      <c r="A100" s="86"/>
      <c r="B100" s="86"/>
      <c r="C100" s="86"/>
      <c r="D100" s="86"/>
      <c r="E100" s="86"/>
      <c r="F100" s="86"/>
      <c r="G100" s="86"/>
      <c r="H100" s="86"/>
      <c r="I100" s="86"/>
      <c r="J100" s="86"/>
      <c r="K100" s="86"/>
      <c r="L100" s="86"/>
      <c r="M100" s="86"/>
      <c r="N100" s="86"/>
    </row>
    <row r="101" spans="1:14" customFormat="1" x14ac:dyDescent="0.35">
      <c r="A101" s="86"/>
      <c r="B101" s="86"/>
      <c r="C101" s="86"/>
      <c r="D101" s="86"/>
      <c r="E101" s="86"/>
      <c r="F101" s="86"/>
      <c r="G101" s="86"/>
      <c r="H101" s="86"/>
      <c r="I101" s="86"/>
      <c r="J101" s="86"/>
      <c r="K101" s="86"/>
      <c r="L101" s="86"/>
      <c r="M101" s="86"/>
      <c r="N101" s="86"/>
    </row>
    <row r="102" spans="1:14" customFormat="1" x14ac:dyDescent="0.35">
      <c r="A102" s="86"/>
      <c r="B102" s="86"/>
      <c r="C102" s="86"/>
      <c r="D102" s="86"/>
      <c r="E102" s="86"/>
      <c r="F102" s="86"/>
      <c r="G102" s="86"/>
      <c r="H102" s="86"/>
      <c r="I102" s="86"/>
      <c r="J102" s="86"/>
      <c r="K102" s="86"/>
      <c r="L102" s="86"/>
      <c r="M102" s="86"/>
      <c r="N102" s="86"/>
    </row>
    <row r="103" spans="1:14" customFormat="1" x14ac:dyDescent="0.35">
      <c r="A103" s="86"/>
      <c r="B103" s="86"/>
      <c r="C103" s="86"/>
      <c r="D103" s="86"/>
      <c r="E103" s="86"/>
      <c r="F103" s="86"/>
      <c r="G103" s="86"/>
      <c r="H103" s="86"/>
      <c r="I103" s="86"/>
      <c r="J103" s="86"/>
      <c r="K103" s="86"/>
      <c r="L103" s="86"/>
      <c r="M103" s="86"/>
      <c r="N103" s="86"/>
    </row>
    <row r="104" spans="1:14" customFormat="1" x14ac:dyDescent="0.35">
      <c r="A104" s="86"/>
      <c r="B104" s="86"/>
      <c r="C104" s="86"/>
      <c r="D104" s="86"/>
      <c r="E104" s="86"/>
      <c r="F104" s="86"/>
      <c r="G104" s="86"/>
      <c r="H104" s="86"/>
      <c r="I104" s="86"/>
      <c r="J104" s="86"/>
      <c r="K104" s="86"/>
      <c r="L104" s="86"/>
      <c r="M104" s="86"/>
      <c r="N104" s="86"/>
    </row>
    <row r="105" spans="1:14" customFormat="1" x14ac:dyDescent="0.35">
      <c r="A105" s="86"/>
      <c r="B105" s="86"/>
      <c r="C105" s="86"/>
      <c r="D105" s="86"/>
      <c r="E105" s="86"/>
      <c r="F105" s="86"/>
      <c r="G105" s="86"/>
      <c r="H105" s="86"/>
      <c r="I105" s="86"/>
      <c r="J105" s="86"/>
      <c r="K105" s="86"/>
      <c r="L105" s="86"/>
      <c r="M105" s="86"/>
      <c r="N105" s="86"/>
    </row>
    <row r="106" spans="1:14" customFormat="1" x14ac:dyDescent="0.35">
      <c r="A106" s="86"/>
      <c r="B106" s="86"/>
      <c r="C106" s="86"/>
      <c r="D106" s="86"/>
      <c r="E106" s="86"/>
      <c r="F106" s="86"/>
      <c r="G106" s="86"/>
      <c r="H106" s="86"/>
      <c r="I106" s="86"/>
      <c r="J106" s="86"/>
      <c r="K106" s="86"/>
      <c r="L106" s="86"/>
      <c r="M106" s="86"/>
      <c r="N106" s="86"/>
    </row>
    <row r="107" spans="1:14" customFormat="1" x14ac:dyDescent="0.35">
      <c r="A107" s="86"/>
      <c r="B107" s="86"/>
      <c r="C107" s="86"/>
      <c r="D107" s="86"/>
      <c r="E107" s="86"/>
      <c r="F107" s="86"/>
      <c r="G107" s="86"/>
      <c r="H107" s="86"/>
      <c r="I107" s="86"/>
      <c r="J107" s="86"/>
      <c r="K107" s="86"/>
      <c r="L107" s="86"/>
      <c r="M107" s="86"/>
      <c r="N107" s="86"/>
    </row>
    <row r="108" spans="1:14" customFormat="1" x14ac:dyDescent="0.35">
      <c r="A108" s="86"/>
      <c r="B108" s="86"/>
      <c r="C108" s="86"/>
      <c r="D108" s="86"/>
      <c r="E108" s="86"/>
      <c r="F108" s="86"/>
      <c r="G108" s="86"/>
      <c r="H108" s="86"/>
      <c r="I108" s="86"/>
      <c r="J108" s="86"/>
      <c r="K108" s="86"/>
      <c r="L108" s="86"/>
      <c r="M108" s="86"/>
      <c r="N108" s="86"/>
    </row>
    <row r="109" spans="1:14" customFormat="1" x14ac:dyDescent="0.35">
      <c r="A109" s="86"/>
      <c r="B109" s="86"/>
      <c r="C109" s="86"/>
      <c r="D109" s="86"/>
      <c r="E109" s="86"/>
      <c r="F109" s="86"/>
      <c r="G109" s="86"/>
      <c r="H109" s="86"/>
      <c r="I109" s="86"/>
      <c r="J109" s="86"/>
      <c r="K109" s="86"/>
      <c r="L109" s="86"/>
      <c r="M109" s="86"/>
      <c r="N109" s="86"/>
    </row>
    <row r="110" spans="1:14" customFormat="1" x14ac:dyDescent="0.35">
      <c r="A110" s="86"/>
      <c r="B110" s="86"/>
      <c r="C110" s="86"/>
      <c r="D110" s="86"/>
      <c r="E110" s="86"/>
      <c r="F110" s="86"/>
      <c r="G110" s="86"/>
      <c r="H110" s="86"/>
      <c r="I110" s="86"/>
      <c r="J110" s="86"/>
      <c r="K110" s="86"/>
      <c r="L110" s="86"/>
      <c r="M110" s="86"/>
      <c r="N110" s="86"/>
    </row>
    <row r="111" spans="1:14" customFormat="1" x14ac:dyDescent="0.35">
      <c r="A111" s="86"/>
      <c r="B111" s="86"/>
      <c r="C111" s="86"/>
      <c r="D111" s="86"/>
      <c r="E111" s="86"/>
      <c r="F111" s="86"/>
      <c r="G111" s="86"/>
      <c r="H111" s="86"/>
      <c r="I111" s="86"/>
      <c r="J111" s="86"/>
      <c r="K111" s="86"/>
      <c r="L111" s="86"/>
      <c r="M111" s="86"/>
      <c r="N111" s="86"/>
    </row>
    <row r="112" spans="1:14" customFormat="1" x14ac:dyDescent="0.35">
      <c r="A112" s="86"/>
      <c r="B112" s="86"/>
      <c r="C112" s="86"/>
      <c r="D112" s="86"/>
      <c r="E112" s="86"/>
      <c r="F112" s="86"/>
      <c r="G112" s="86"/>
      <c r="H112" s="86"/>
      <c r="I112" s="86"/>
      <c r="J112" s="86"/>
      <c r="K112" s="86"/>
      <c r="L112" s="86"/>
      <c r="M112" s="86"/>
      <c r="N112" s="86"/>
    </row>
    <row r="113" spans="1:14" customFormat="1" x14ac:dyDescent="0.35">
      <c r="A113" s="86"/>
      <c r="B113" s="86"/>
      <c r="C113" s="86"/>
      <c r="D113" s="86"/>
      <c r="E113" s="86"/>
      <c r="F113" s="86"/>
      <c r="G113" s="86"/>
      <c r="H113" s="86"/>
      <c r="I113" s="86"/>
      <c r="J113" s="86"/>
      <c r="K113" s="86"/>
      <c r="L113" s="86"/>
      <c r="M113" s="86"/>
      <c r="N113" s="86"/>
    </row>
    <row r="114" spans="1:14" customFormat="1" x14ac:dyDescent="0.35">
      <c r="A114" s="86"/>
      <c r="B114" s="86"/>
      <c r="C114" s="86"/>
      <c r="D114" s="86"/>
      <c r="E114" s="86"/>
      <c r="F114" s="86"/>
      <c r="G114" s="86"/>
      <c r="H114" s="86"/>
      <c r="I114" s="86"/>
      <c r="J114" s="86"/>
      <c r="K114" s="86"/>
      <c r="L114" s="86"/>
      <c r="M114" s="86"/>
      <c r="N114" s="86"/>
    </row>
    <row r="115" spans="1:14" customFormat="1" x14ac:dyDescent="0.35">
      <c r="A115" s="86"/>
      <c r="B115" s="86"/>
      <c r="C115" s="86"/>
      <c r="D115" s="86"/>
      <c r="E115" s="86"/>
      <c r="F115" s="86"/>
      <c r="G115" s="86"/>
      <c r="H115" s="86"/>
      <c r="I115" s="86"/>
      <c r="J115" s="86"/>
      <c r="K115" s="86"/>
      <c r="L115" s="86"/>
      <c r="M115" s="86"/>
      <c r="N115" s="86"/>
    </row>
    <row r="116" spans="1:14" customFormat="1" x14ac:dyDescent="0.35">
      <c r="A116" s="86"/>
      <c r="B116" s="86"/>
      <c r="C116" s="86"/>
      <c r="D116" s="86"/>
      <c r="E116" s="86"/>
      <c r="F116" s="86"/>
      <c r="G116" s="86"/>
      <c r="H116" s="86"/>
      <c r="I116" s="86"/>
      <c r="J116" s="86"/>
      <c r="K116" s="86"/>
      <c r="L116" s="86"/>
      <c r="M116" s="86"/>
      <c r="N116" s="86"/>
    </row>
    <row r="117" spans="1:14" customFormat="1" x14ac:dyDescent="0.35">
      <c r="A117" s="86"/>
      <c r="B117" s="86"/>
      <c r="C117" s="86"/>
      <c r="D117" s="86"/>
      <c r="E117" s="86"/>
      <c r="F117" s="86"/>
      <c r="G117" s="86"/>
      <c r="H117" s="86"/>
      <c r="I117" s="86"/>
      <c r="J117" s="86"/>
      <c r="K117" s="86"/>
      <c r="L117" s="86"/>
      <c r="M117" s="86"/>
      <c r="N117" s="86"/>
    </row>
    <row r="118" spans="1:14" customFormat="1" x14ac:dyDescent="0.35">
      <c r="A118" s="86"/>
      <c r="B118" s="86"/>
      <c r="C118" s="86"/>
      <c r="D118" s="86"/>
      <c r="E118" s="86"/>
      <c r="F118" s="86"/>
      <c r="G118" s="86"/>
      <c r="H118" s="86"/>
      <c r="I118" s="86"/>
      <c r="J118" s="86"/>
      <c r="K118" s="86"/>
      <c r="L118" s="86"/>
      <c r="M118" s="86"/>
      <c r="N118" s="86"/>
    </row>
    <row r="119" spans="1:14" customFormat="1" x14ac:dyDescent="0.35">
      <c r="A119" s="86"/>
      <c r="B119" s="86"/>
      <c r="C119" s="86"/>
      <c r="D119" s="86"/>
      <c r="E119" s="86"/>
      <c r="F119" s="86"/>
      <c r="G119" s="86"/>
      <c r="H119" s="86"/>
      <c r="I119" s="86"/>
      <c r="J119" s="86"/>
      <c r="K119" s="86"/>
      <c r="L119" s="86"/>
      <c r="M119" s="86"/>
      <c r="N119" s="86"/>
    </row>
    <row r="120" spans="1:14" customFormat="1" x14ac:dyDescent="0.35">
      <c r="A120" s="86"/>
      <c r="B120" s="86"/>
      <c r="C120" s="86"/>
      <c r="D120" s="86"/>
      <c r="E120" s="86"/>
      <c r="F120" s="86"/>
      <c r="G120" s="86"/>
      <c r="H120" s="86"/>
      <c r="I120" s="86"/>
      <c r="J120" s="86"/>
      <c r="K120" s="86"/>
      <c r="L120" s="86"/>
      <c r="M120" s="86"/>
      <c r="N120" s="86"/>
    </row>
    <row r="121" spans="1:14" customFormat="1" x14ac:dyDescent="0.35">
      <c r="A121" s="86"/>
      <c r="B121" s="86"/>
      <c r="C121" s="86"/>
      <c r="D121" s="86"/>
      <c r="E121" s="86"/>
      <c r="F121" s="86"/>
      <c r="G121" s="86"/>
      <c r="H121" s="86"/>
      <c r="I121" s="86"/>
      <c r="J121" s="86"/>
      <c r="K121" s="86"/>
      <c r="L121" s="86"/>
      <c r="M121" s="86"/>
      <c r="N121" s="86"/>
    </row>
    <row r="122" spans="1:14" customFormat="1" x14ac:dyDescent="0.35">
      <c r="A122" s="86"/>
      <c r="B122" s="86"/>
      <c r="C122" s="86"/>
      <c r="D122" s="86"/>
      <c r="E122" s="86"/>
      <c r="F122" s="86"/>
      <c r="G122" s="86"/>
      <c r="H122" s="86"/>
      <c r="I122" s="86"/>
      <c r="J122" s="86"/>
      <c r="K122" s="86"/>
      <c r="L122" s="86"/>
      <c r="M122" s="86"/>
      <c r="N122" s="86"/>
    </row>
    <row r="123" spans="1:14" customFormat="1" x14ac:dyDescent="0.35">
      <c r="A123" s="86"/>
      <c r="B123" s="86"/>
      <c r="C123" s="86"/>
      <c r="D123" s="86"/>
      <c r="E123" s="86"/>
      <c r="F123" s="86"/>
      <c r="G123" s="86"/>
      <c r="H123" s="86"/>
      <c r="I123" s="86"/>
      <c r="J123" s="86"/>
      <c r="K123" s="86"/>
      <c r="L123" s="86"/>
      <c r="M123" s="86"/>
      <c r="N123" s="86"/>
    </row>
    <row r="124" spans="1:14" customFormat="1" x14ac:dyDescent="0.35">
      <c r="A124" s="86"/>
      <c r="B124" s="86"/>
      <c r="C124" s="86"/>
      <c r="D124" s="86"/>
      <c r="E124" s="86"/>
      <c r="F124" s="86"/>
      <c r="G124" s="86"/>
      <c r="H124" s="86"/>
      <c r="I124" s="86"/>
      <c r="J124" s="86"/>
      <c r="K124" s="86"/>
      <c r="L124" s="86"/>
      <c r="M124" s="86"/>
      <c r="N124" s="86"/>
    </row>
    <row r="125" spans="1:14" customFormat="1" x14ac:dyDescent="0.35">
      <c r="A125" s="86"/>
      <c r="B125" s="86"/>
      <c r="C125" s="86"/>
      <c r="D125" s="86"/>
      <c r="E125" s="86"/>
      <c r="F125" s="86"/>
      <c r="G125" s="86"/>
      <c r="H125" s="86"/>
      <c r="I125" s="86"/>
      <c r="J125" s="86"/>
      <c r="K125" s="86"/>
      <c r="L125" s="86"/>
      <c r="M125" s="86"/>
      <c r="N125" s="86"/>
    </row>
    <row r="126" spans="1:14" customFormat="1" x14ac:dyDescent="0.35">
      <c r="A126" s="86"/>
      <c r="B126" s="86"/>
      <c r="C126" s="86"/>
      <c r="D126" s="86"/>
      <c r="E126" s="86"/>
      <c r="F126" s="86"/>
      <c r="G126" s="86"/>
      <c r="H126" s="86"/>
      <c r="I126" s="86"/>
      <c r="J126" s="86"/>
      <c r="K126" s="86"/>
      <c r="L126" s="86"/>
      <c r="M126" s="86"/>
      <c r="N126" s="86"/>
    </row>
    <row r="127" spans="1:14" customFormat="1" x14ac:dyDescent="0.35">
      <c r="A127" s="86"/>
      <c r="B127" s="86"/>
      <c r="C127" s="86"/>
      <c r="D127" s="86"/>
      <c r="E127" s="86"/>
      <c r="F127" s="86"/>
      <c r="G127" s="86"/>
      <c r="H127" s="86"/>
      <c r="I127" s="86"/>
      <c r="J127" s="86"/>
      <c r="K127" s="86"/>
      <c r="L127" s="86"/>
      <c r="M127" s="86"/>
      <c r="N127" s="86"/>
    </row>
    <row r="128" spans="1:14" customFormat="1" x14ac:dyDescent="0.35">
      <c r="A128" s="86"/>
      <c r="B128" s="86"/>
      <c r="C128" s="86"/>
      <c r="D128" s="86"/>
      <c r="E128" s="86"/>
      <c r="F128" s="86"/>
      <c r="G128" s="86"/>
      <c r="H128" s="86"/>
      <c r="I128" s="86"/>
      <c r="J128" s="86"/>
      <c r="K128" s="86"/>
      <c r="L128" s="86"/>
      <c r="M128" s="86"/>
      <c r="N128" s="86"/>
    </row>
    <row r="129" spans="1:14" customFormat="1" x14ac:dyDescent="0.35">
      <c r="A129" s="86"/>
      <c r="B129" s="86"/>
      <c r="C129" s="86"/>
      <c r="D129" s="86"/>
      <c r="E129" s="86"/>
      <c r="F129" s="86"/>
      <c r="G129" s="86"/>
      <c r="H129" s="86"/>
      <c r="I129" s="86"/>
      <c r="J129" s="86"/>
      <c r="K129" s="86"/>
      <c r="L129" s="86"/>
      <c r="M129" s="86"/>
      <c r="N129" s="86"/>
    </row>
    <row r="130" spans="1:14" customFormat="1" x14ac:dyDescent="0.35">
      <c r="A130" s="86"/>
      <c r="B130" s="86"/>
      <c r="C130" s="86"/>
      <c r="D130" s="86"/>
      <c r="E130" s="86"/>
      <c r="F130" s="86"/>
      <c r="G130" s="86"/>
      <c r="H130" s="86"/>
      <c r="I130" s="86"/>
      <c r="J130" s="86"/>
      <c r="K130" s="86"/>
      <c r="L130" s="86"/>
      <c r="M130" s="86"/>
      <c r="N130" s="86"/>
    </row>
    <row r="131" spans="1:14" customFormat="1" x14ac:dyDescent="0.35">
      <c r="A131" s="86"/>
      <c r="B131" s="86"/>
      <c r="C131" s="86"/>
      <c r="D131" s="86"/>
      <c r="E131" s="86"/>
      <c r="F131" s="86"/>
      <c r="G131" s="86"/>
      <c r="H131" s="86"/>
      <c r="I131" s="86"/>
      <c r="J131" s="86"/>
      <c r="K131" s="86"/>
      <c r="L131" s="86"/>
      <c r="M131" s="86"/>
      <c r="N131" s="86"/>
    </row>
    <row r="132" spans="1:14" customFormat="1" x14ac:dyDescent="0.35">
      <c r="A132" s="86"/>
      <c r="B132" s="86"/>
      <c r="C132" s="86"/>
      <c r="D132" s="86"/>
      <c r="E132" s="86"/>
      <c r="F132" s="86"/>
      <c r="G132" s="86"/>
      <c r="H132" s="86"/>
      <c r="I132" s="86"/>
      <c r="J132" s="86"/>
      <c r="K132" s="86"/>
      <c r="L132" s="86"/>
      <c r="M132" s="86"/>
      <c r="N132" s="86"/>
    </row>
    <row r="133" spans="1:14" customFormat="1" x14ac:dyDescent="0.35">
      <c r="A133" s="86"/>
      <c r="B133" s="86"/>
      <c r="C133" s="86"/>
      <c r="D133" s="86"/>
      <c r="E133" s="86"/>
      <c r="F133" s="86"/>
      <c r="G133" s="86"/>
      <c r="H133" s="86"/>
      <c r="I133" s="86"/>
      <c r="J133" s="86"/>
      <c r="K133" s="86"/>
      <c r="L133" s="86"/>
      <c r="M133" s="86"/>
      <c r="N133" s="86"/>
    </row>
    <row r="134" spans="1:14" customFormat="1" x14ac:dyDescent="0.35">
      <c r="A134" s="86"/>
      <c r="B134" s="86"/>
      <c r="C134" s="86"/>
      <c r="D134" s="86"/>
      <c r="E134" s="86"/>
      <c r="F134" s="86"/>
      <c r="G134" s="86"/>
      <c r="H134" s="86"/>
      <c r="I134" s="86"/>
      <c r="J134" s="86"/>
      <c r="K134" s="86"/>
      <c r="L134" s="86"/>
      <c r="M134" s="86"/>
      <c r="N134" s="86"/>
    </row>
    <row r="135" spans="1:14" customFormat="1" x14ac:dyDescent="0.35">
      <c r="A135" s="86"/>
      <c r="B135" s="86"/>
      <c r="C135" s="86"/>
      <c r="D135" s="86"/>
      <c r="E135" s="86"/>
      <c r="F135" s="86"/>
      <c r="G135" s="86"/>
      <c r="H135" s="86"/>
      <c r="I135" s="86"/>
      <c r="J135" s="86"/>
      <c r="K135" s="86"/>
      <c r="L135" s="86"/>
      <c r="M135" s="86"/>
      <c r="N135" s="86"/>
    </row>
    <row r="136" spans="1:14" customFormat="1" x14ac:dyDescent="0.35">
      <c r="A136" s="86"/>
      <c r="B136" s="86"/>
      <c r="C136" s="86"/>
      <c r="D136" s="86"/>
      <c r="E136" s="86"/>
      <c r="F136" s="86"/>
      <c r="G136" s="86"/>
      <c r="H136" s="86"/>
      <c r="I136" s="86"/>
      <c r="J136" s="86"/>
      <c r="K136" s="86"/>
      <c r="L136" s="86"/>
      <c r="M136" s="86"/>
      <c r="N136" s="86"/>
    </row>
    <row r="137" spans="1:14" customFormat="1" x14ac:dyDescent="0.35">
      <c r="A137" s="86"/>
      <c r="B137" s="86"/>
      <c r="C137" s="86"/>
      <c r="D137" s="86"/>
      <c r="E137" s="86"/>
      <c r="F137" s="86"/>
      <c r="G137" s="86"/>
      <c r="H137" s="86"/>
      <c r="I137" s="86"/>
      <c r="J137" s="86"/>
      <c r="K137" s="86"/>
      <c r="L137" s="86"/>
      <c r="M137" s="86"/>
      <c r="N137" s="86"/>
    </row>
    <row r="138" spans="1:14" customFormat="1" x14ac:dyDescent="0.35">
      <c r="A138" s="86"/>
      <c r="B138" s="86"/>
      <c r="C138" s="86"/>
      <c r="D138" s="86"/>
      <c r="E138" s="86"/>
      <c r="F138" s="86"/>
      <c r="G138" s="86"/>
      <c r="H138" s="86"/>
      <c r="I138" s="86"/>
      <c r="J138" s="86"/>
      <c r="K138" s="86"/>
      <c r="L138" s="86"/>
      <c r="M138" s="86"/>
      <c r="N138" s="86"/>
    </row>
    <row r="139" spans="1:14" customFormat="1" x14ac:dyDescent="0.35">
      <c r="A139" s="86"/>
      <c r="B139" s="86"/>
      <c r="C139" s="86"/>
      <c r="D139" s="86"/>
      <c r="E139" s="86"/>
      <c r="F139" s="86"/>
      <c r="G139" s="86"/>
      <c r="H139" s="86"/>
      <c r="I139" s="86"/>
      <c r="J139" s="86"/>
      <c r="K139" s="86"/>
      <c r="L139" s="86"/>
      <c r="M139" s="86"/>
      <c r="N139" s="86"/>
    </row>
    <row r="140" spans="1:14" customFormat="1" x14ac:dyDescent="0.35">
      <c r="A140" s="86"/>
      <c r="B140" s="86"/>
      <c r="C140" s="86"/>
      <c r="D140" s="86"/>
      <c r="E140" s="86"/>
      <c r="F140" s="86"/>
      <c r="G140" s="86"/>
      <c r="H140" s="86"/>
      <c r="I140" s="86"/>
      <c r="J140" s="86"/>
      <c r="K140" s="86"/>
      <c r="L140" s="86"/>
      <c r="M140" s="86"/>
      <c r="N140" s="86"/>
    </row>
    <row r="141" spans="1:14" customFormat="1" x14ac:dyDescent="0.35">
      <c r="A141" s="86"/>
      <c r="B141" s="86"/>
      <c r="C141" s="86"/>
      <c r="D141" s="86"/>
      <c r="E141" s="86"/>
      <c r="F141" s="86"/>
      <c r="G141" s="86"/>
      <c r="H141" s="86"/>
      <c r="I141" s="86"/>
      <c r="J141" s="86"/>
      <c r="K141" s="86"/>
      <c r="L141" s="86"/>
      <c r="M141" s="86"/>
      <c r="N141" s="86"/>
    </row>
    <row r="142" spans="1:14" customFormat="1" x14ac:dyDescent="0.35">
      <c r="A142" s="86"/>
      <c r="B142" s="86"/>
      <c r="C142" s="86"/>
      <c r="D142" s="86"/>
      <c r="E142" s="86"/>
      <c r="F142" s="86"/>
      <c r="G142" s="86"/>
      <c r="H142" s="86"/>
      <c r="I142" s="86"/>
      <c r="J142" s="86"/>
      <c r="K142" s="86"/>
      <c r="L142" s="86"/>
      <c r="M142" s="86"/>
      <c r="N142" s="86"/>
    </row>
    <row r="143" spans="1:14" customFormat="1" x14ac:dyDescent="0.35">
      <c r="A143" s="86"/>
      <c r="B143" s="86"/>
      <c r="C143" s="86"/>
      <c r="D143" s="86"/>
      <c r="E143" s="86"/>
      <c r="F143" s="86"/>
      <c r="G143" s="86"/>
      <c r="H143" s="86"/>
      <c r="I143" s="86"/>
      <c r="J143" s="86"/>
      <c r="K143" s="86"/>
      <c r="L143" s="86"/>
      <c r="M143" s="86"/>
      <c r="N143" s="86"/>
    </row>
    <row r="144" spans="1:14" customFormat="1" x14ac:dyDescent="0.35">
      <c r="A144" s="86"/>
      <c r="B144" s="86"/>
      <c r="C144" s="86"/>
      <c r="D144" s="86"/>
      <c r="E144" s="86"/>
      <c r="F144" s="86"/>
      <c r="G144" s="86"/>
      <c r="H144" s="86"/>
      <c r="I144" s="86"/>
      <c r="J144" s="86"/>
      <c r="K144" s="86"/>
      <c r="L144" s="86"/>
      <c r="M144" s="86"/>
      <c r="N144" s="86"/>
    </row>
    <row r="145" spans="1:14" customFormat="1" x14ac:dyDescent="0.35">
      <c r="A145" s="86"/>
      <c r="B145" s="86"/>
      <c r="C145" s="86"/>
      <c r="D145" s="86"/>
      <c r="E145" s="86"/>
      <c r="F145" s="86"/>
      <c r="G145" s="86"/>
      <c r="H145" s="86"/>
      <c r="I145" s="86"/>
      <c r="J145" s="86"/>
      <c r="K145" s="86"/>
      <c r="L145" s="86"/>
      <c r="M145" s="86"/>
      <c r="N145" s="86"/>
    </row>
  </sheetData>
  <printOptions horizontalCentered="1"/>
  <pageMargins left="0.7" right="0.7" top="0.75" bottom="0.75" header="0.3" footer="0.3"/>
  <pageSetup scale="85" orientation="landscape" blackAndWhite="1" horizontalDpi="300" verticalDpi="300" r:id="rId1"/>
  <headerFooter>
    <oddFooter>&amp;L&amp;F
&amp;A&amp;C&amp;P&amp;R&amp;D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pageSetUpPr fitToPage="1"/>
  </sheetPr>
  <dimension ref="A1:O145"/>
  <sheetViews>
    <sheetView zoomScale="90" zoomScaleNormal="90" workbookViewId="0">
      <selection activeCell="C2" sqref="C2"/>
    </sheetView>
  </sheetViews>
  <sheetFormatPr defaultColWidth="8.7265625" defaultRowHeight="14.5" outlineLevelCol="1" x14ac:dyDescent="0.35"/>
  <cols>
    <col min="1" max="1" width="3.54296875" style="86" customWidth="1"/>
    <col min="2" max="2" width="2.54296875" style="86" customWidth="1"/>
    <col min="3" max="3" width="31.1796875" style="86" customWidth="1"/>
    <col min="4" max="4" width="9.1796875" style="86" bestFit="1" customWidth="1"/>
    <col min="5" max="5" width="13.7265625" style="86" customWidth="1"/>
    <col min="6" max="12" width="12.81640625" style="86" customWidth="1"/>
    <col min="13" max="13" width="9.1796875" style="86"/>
    <col min="14" max="14" width="9.1796875" style="86" customWidth="1" outlineLevel="1"/>
    <col min="15" max="15" width="9.1796875" customWidth="1"/>
    <col min="16" max="16384" width="8.7265625" style="86"/>
  </cols>
  <sheetData>
    <row r="1" spans="1:15" x14ac:dyDescent="0.35">
      <c r="B1" s="296" t="s">
        <v>0</v>
      </c>
      <c r="C1" s="297"/>
      <c r="D1" s="297"/>
      <c r="E1" s="297"/>
      <c r="F1" s="297"/>
      <c r="G1" s="297"/>
      <c r="H1" s="297"/>
      <c r="I1" s="297"/>
      <c r="J1" s="297"/>
      <c r="K1" s="297"/>
      <c r="L1" s="297"/>
    </row>
    <row r="2" spans="1:15" customFormat="1" x14ac:dyDescent="0.35">
      <c r="A2" s="86"/>
      <c r="B2" s="295" t="str">
        <f>'CRM Rates'!$A$2</f>
        <v>2021 Gas Schedule 149 Cost Recovery Mechanism For Pipeline Replacement (CRM) Filing (Preliminary)</v>
      </c>
      <c r="C2" s="295"/>
      <c r="D2" s="295"/>
      <c r="E2" s="295"/>
      <c r="F2" s="295"/>
      <c r="G2" s="295"/>
      <c r="H2" s="295"/>
      <c r="I2" s="295"/>
      <c r="J2" s="295"/>
      <c r="K2" s="295"/>
      <c r="L2" s="295"/>
      <c r="M2" s="86"/>
      <c r="N2" s="86"/>
    </row>
    <row r="3" spans="1:15" customFormat="1" x14ac:dyDescent="0.35">
      <c r="A3" s="86"/>
      <c r="B3" s="502" t="s">
        <v>200</v>
      </c>
      <c r="C3" s="502"/>
      <c r="D3" s="502"/>
      <c r="E3" s="502"/>
      <c r="F3" s="502"/>
      <c r="G3" s="502"/>
      <c r="H3" s="502"/>
      <c r="I3" s="502"/>
      <c r="J3" s="502"/>
      <c r="K3" s="502"/>
      <c r="L3" s="502"/>
      <c r="M3" s="86"/>
      <c r="N3" s="86"/>
    </row>
    <row r="4" spans="1:15" customFormat="1" x14ac:dyDescent="0.35">
      <c r="A4" s="86"/>
      <c r="B4" s="87"/>
      <c r="C4" s="86"/>
      <c r="D4" s="86"/>
      <c r="E4" s="86"/>
      <c r="F4" s="86"/>
      <c r="G4" s="86"/>
      <c r="H4" s="86"/>
      <c r="I4" s="86"/>
      <c r="J4" s="86"/>
      <c r="K4" s="86"/>
      <c r="L4" s="86"/>
      <c r="M4" s="86"/>
      <c r="N4" s="86"/>
    </row>
    <row r="5" spans="1:15" customFormat="1" x14ac:dyDescent="0.35">
      <c r="A5" s="86"/>
      <c r="B5" s="86"/>
      <c r="C5" s="86"/>
      <c r="D5" s="86"/>
      <c r="E5" s="86"/>
      <c r="F5" s="88"/>
      <c r="G5" s="88" t="s">
        <v>116</v>
      </c>
      <c r="H5" s="88" t="s">
        <v>117</v>
      </c>
      <c r="I5" s="88"/>
      <c r="J5" s="88" t="s">
        <v>118</v>
      </c>
      <c r="K5" s="88" t="s">
        <v>119</v>
      </c>
      <c r="L5" s="88"/>
      <c r="M5" s="86"/>
      <c r="N5" s="86"/>
    </row>
    <row r="6" spans="1:15" customFormat="1" x14ac:dyDescent="0.35">
      <c r="A6" s="86"/>
      <c r="B6" s="86"/>
      <c r="C6" s="86"/>
      <c r="D6" s="88" t="s">
        <v>120</v>
      </c>
      <c r="E6" s="86"/>
      <c r="F6" s="88" t="s">
        <v>135</v>
      </c>
      <c r="G6" s="88" t="s">
        <v>122</v>
      </c>
      <c r="H6" s="88" t="s">
        <v>123</v>
      </c>
      <c r="I6" s="88" t="s">
        <v>124</v>
      </c>
      <c r="J6" s="88" t="s">
        <v>125</v>
      </c>
      <c r="K6" s="88" t="s">
        <v>126</v>
      </c>
      <c r="L6" s="88"/>
      <c r="M6" s="86"/>
      <c r="N6" s="86"/>
    </row>
    <row r="7" spans="1:15" customFormat="1" x14ac:dyDescent="0.35">
      <c r="A7" s="86"/>
      <c r="B7" s="86"/>
      <c r="C7" s="86"/>
      <c r="D7" s="89" t="s">
        <v>127</v>
      </c>
      <c r="E7" s="89" t="s">
        <v>90</v>
      </c>
      <c r="F7" s="89" t="s">
        <v>128</v>
      </c>
      <c r="G7" s="89" t="s">
        <v>129</v>
      </c>
      <c r="H7" s="89" t="s">
        <v>130</v>
      </c>
      <c r="I7" s="89" t="s">
        <v>131</v>
      </c>
      <c r="J7" s="89" t="s">
        <v>131</v>
      </c>
      <c r="K7" s="89" t="s">
        <v>131</v>
      </c>
      <c r="L7" s="89" t="s">
        <v>132</v>
      </c>
      <c r="M7" s="86"/>
      <c r="N7" s="186" t="s">
        <v>104</v>
      </c>
      <c r="O7" s="186" t="s">
        <v>260</v>
      </c>
    </row>
    <row r="8" spans="1:15" customFormat="1" x14ac:dyDescent="0.35">
      <c r="A8" s="86"/>
      <c r="B8" s="91" t="s">
        <v>136</v>
      </c>
      <c r="C8" s="86"/>
      <c r="D8" s="86"/>
      <c r="E8" s="97"/>
      <c r="F8" s="97"/>
      <c r="G8" s="97"/>
      <c r="H8" s="97"/>
      <c r="I8" s="97"/>
      <c r="J8" s="97"/>
      <c r="K8" s="97"/>
      <c r="L8" s="97"/>
      <c r="M8" s="86"/>
      <c r="N8" s="187"/>
    </row>
    <row r="9" spans="1:15" customFormat="1" x14ac:dyDescent="0.35">
      <c r="A9" s="86"/>
      <c r="B9" s="86"/>
      <c r="C9" s="178" t="s">
        <v>233</v>
      </c>
      <c r="D9" s="182">
        <v>376</v>
      </c>
      <c r="E9" s="117">
        <f>('2019 CRM'!$G$29+'2019 CRM'!$G$35)*'2019 CRM Final'!E14</f>
        <v>4799206.1351088993</v>
      </c>
      <c r="F9" s="98">
        <f>$E$9*'Allocation Factors'!E12</f>
        <v>3157263.4917673902</v>
      </c>
      <c r="G9" s="98">
        <f>$E$9*'Allocation Factors'!F12</f>
        <v>1149769.2712441348</v>
      </c>
      <c r="H9" s="98">
        <f>$E$9*'Allocation Factors'!G12</f>
        <v>252953.40614355725</v>
      </c>
      <c r="I9" s="98">
        <f>$E$9*'Allocation Factors'!H12</f>
        <v>123207.41311751503</v>
      </c>
      <c r="J9" s="98">
        <f>$E$9*'Allocation Factors'!I12</f>
        <v>13267.900093314433</v>
      </c>
      <c r="K9" s="98">
        <f>$E$9*'Allocation Factors'!J12</f>
        <v>96381.736998565233</v>
      </c>
      <c r="L9" s="98">
        <f>$E$9*'Allocation Factors'!K12</f>
        <v>6362.9157444222492</v>
      </c>
      <c r="M9" s="86"/>
      <c r="N9" s="187">
        <f t="shared" ref="N9:N16" si="0">SUM(F9:L9)-E9</f>
        <v>0</v>
      </c>
    </row>
    <row r="10" spans="1:15" customFormat="1" x14ac:dyDescent="0.35">
      <c r="A10" s="86"/>
      <c r="B10" s="86"/>
      <c r="C10" s="178" t="s">
        <v>234</v>
      </c>
      <c r="D10" s="182">
        <v>380</v>
      </c>
      <c r="E10" s="117">
        <f>('2019 CRM'!$G$29+'2019 CRM'!$G$35)*'2019 CRM Final'!E15</f>
        <v>8549.2263746919307</v>
      </c>
      <c r="F10" s="98">
        <f>$E$10*'Allocation Factors'!E17</f>
        <v>4919.9174986513326</v>
      </c>
      <c r="G10" s="98">
        <f>$E$10*'Allocation Factors'!F17</f>
        <v>3476.8843079051057</v>
      </c>
      <c r="H10" s="98">
        <f>$E$10*'Allocation Factors'!G17</f>
        <v>61.768615888431185</v>
      </c>
      <c r="I10" s="98">
        <f>$E$10*'Allocation Factors'!H17</f>
        <v>62.007248805689223</v>
      </c>
      <c r="J10" s="98">
        <f>$E$10*'Allocation Factors'!I17</f>
        <v>9.7734247708773374</v>
      </c>
      <c r="K10" s="98">
        <f>$E$10*'Allocation Factors'!J17</f>
        <v>7.9800100801814846</v>
      </c>
      <c r="L10" s="98">
        <f>$E$10*'Allocation Factors'!K17</f>
        <v>10.895268590314766</v>
      </c>
      <c r="M10" s="86"/>
      <c r="N10" s="187">
        <f t="shared" si="0"/>
        <v>0</v>
      </c>
    </row>
    <row r="11" spans="1:15" customFormat="1" x14ac:dyDescent="0.35">
      <c r="A11" s="86"/>
      <c r="B11" s="86"/>
      <c r="C11" s="86" t="s">
        <v>90</v>
      </c>
      <c r="D11" s="176"/>
      <c r="E11" s="99">
        <f>SUM(E9:E10)</f>
        <v>4807755.3614835916</v>
      </c>
      <c r="F11" s="99">
        <f t="shared" ref="F11:L11" si="1">SUM(F9:F10)</f>
        <v>3162183.4092660416</v>
      </c>
      <c r="G11" s="99">
        <f t="shared" si="1"/>
        <v>1153246.1555520399</v>
      </c>
      <c r="H11" s="99">
        <f t="shared" si="1"/>
        <v>253015.17475944568</v>
      </c>
      <c r="I11" s="99">
        <f t="shared" si="1"/>
        <v>123269.42036632072</v>
      </c>
      <c r="J11" s="99">
        <f t="shared" si="1"/>
        <v>13277.67351808531</v>
      </c>
      <c r="K11" s="99">
        <f t="shared" si="1"/>
        <v>96389.717008645413</v>
      </c>
      <c r="L11" s="99">
        <f t="shared" si="1"/>
        <v>6373.8110130125642</v>
      </c>
      <c r="M11" s="86"/>
      <c r="N11" s="187">
        <f t="shared" si="0"/>
        <v>0</v>
      </c>
    </row>
    <row r="12" spans="1:15" customFormat="1" x14ac:dyDescent="0.35">
      <c r="A12" s="86"/>
      <c r="B12" s="86"/>
      <c r="C12" s="86"/>
      <c r="D12" s="176"/>
      <c r="E12" s="97"/>
      <c r="F12" s="97"/>
      <c r="G12" s="97"/>
      <c r="H12" s="97"/>
      <c r="I12" s="97"/>
      <c r="J12" s="97"/>
      <c r="K12" s="97"/>
      <c r="L12" s="97"/>
      <c r="M12" s="86"/>
      <c r="N12" s="187"/>
    </row>
    <row r="13" spans="1:15" s="91" customFormat="1" x14ac:dyDescent="0.35">
      <c r="B13" s="91" t="s">
        <v>53</v>
      </c>
      <c r="D13" s="182"/>
      <c r="E13" s="93"/>
      <c r="F13" s="93"/>
      <c r="G13" s="93"/>
      <c r="H13" s="93"/>
      <c r="I13" s="93"/>
      <c r="J13" s="93"/>
      <c r="K13" s="93"/>
      <c r="L13" s="93"/>
      <c r="N13" s="187"/>
    </row>
    <row r="14" spans="1:15" s="91" customFormat="1" x14ac:dyDescent="0.35">
      <c r="C14" s="178" t="s">
        <v>233</v>
      </c>
      <c r="D14" s="182">
        <v>376</v>
      </c>
      <c r="E14" s="157">
        <f>'2019 CRM'!$G$27*'2019 CRM Final'!E23</f>
        <v>1478824.9839915903</v>
      </c>
      <c r="F14" s="100">
        <f>$E$14*'Allocation Factors'!E12</f>
        <v>972877.59709121089</v>
      </c>
      <c r="G14" s="100">
        <f>$E$14*'Allocation Factors'!F12</f>
        <v>354289.32958368293</v>
      </c>
      <c r="H14" s="100">
        <f>$E$14*'Allocation Factors'!G12</f>
        <v>77944.936362350301</v>
      </c>
      <c r="I14" s="100">
        <f>$E$14*'Allocation Factors'!H12</f>
        <v>37965.07080582402</v>
      </c>
      <c r="J14" s="100">
        <f>$E$14*'Allocation Factors'!I12</f>
        <v>4088.3641149647169</v>
      </c>
      <c r="K14" s="100">
        <f>$E$14*'Allocation Factors'!J12</f>
        <v>29699.020350737799</v>
      </c>
      <c r="L14" s="100">
        <f>$E$14*'Allocation Factors'!K12</f>
        <v>1960.6656828195514</v>
      </c>
      <c r="N14" s="187">
        <f t="shared" si="0"/>
        <v>0</v>
      </c>
    </row>
    <row r="15" spans="1:15" s="91" customFormat="1" x14ac:dyDescent="0.35">
      <c r="C15" s="178" t="s">
        <v>234</v>
      </c>
      <c r="D15" s="182">
        <v>380</v>
      </c>
      <c r="E15" s="157">
        <f>'2019 CRM'!$G$27*'2019 CRM Final'!E24</f>
        <v>3445.1923915506541</v>
      </c>
      <c r="F15" s="100">
        <f>$E$15*'Allocation Factors'!E17</f>
        <v>1982.6428252721626</v>
      </c>
      <c r="G15" s="100">
        <f>$E$15*'Allocation Factors'!F17</f>
        <v>1401.1250654628004</v>
      </c>
      <c r="H15" s="100">
        <f>$E$15*'Allocation Factors'!G17</f>
        <v>24.891698519692824</v>
      </c>
      <c r="I15" s="100">
        <f>$E$15*'Allocation Factors'!H17</f>
        <v>24.987863514615015</v>
      </c>
      <c r="J15" s="100">
        <f>$E$15*'Allocation Factors'!I17</f>
        <v>3.9385234621574323</v>
      </c>
      <c r="K15" s="100">
        <f>$E$15*'Allocation Factors'!J17</f>
        <v>3.215807934870536</v>
      </c>
      <c r="L15" s="100">
        <f>$E$15*'Allocation Factors'!K17</f>
        <v>4.3906073843559748</v>
      </c>
      <c r="N15" s="187">
        <f t="shared" si="0"/>
        <v>0</v>
      </c>
    </row>
    <row r="16" spans="1:15" s="91" customFormat="1" x14ac:dyDescent="0.35">
      <c r="C16" s="91" t="s">
        <v>90</v>
      </c>
      <c r="E16" s="94">
        <f>SUM(E14:E15)</f>
        <v>1482270.176383141</v>
      </c>
      <c r="F16" s="94">
        <f t="shared" ref="F16:L16" si="2">SUM(F14:F15)</f>
        <v>974860.23991648306</v>
      </c>
      <c r="G16" s="94">
        <f t="shared" si="2"/>
        <v>355690.45464914571</v>
      </c>
      <c r="H16" s="94">
        <f t="shared" si="2"/>
        <v>77969.828060870001</v>
      </c>
      <c r="I16" s="94">
        <f t="shared" si="2"/>
        <v>37990.058669338636</v>
      </c>
      <c r="J16" s="94">
        <f t="shared" si="2"/>
        <v>4092.3026384268742</v>
      </c>
      <c r="K16" s="94">
        <f t="shared" si="2"/>
        <v>29702.236158672669</v>
      </c>
      <c r="L16" s="94">
        <f t="shared" si="2"/>
        <v>1965.0562902039073</v>
      </c>
      <c r="N16" s="187">
        <f t="shared" si="0"/>
        <v>0</v>
      </c>
    </row>
    <row r="17" spans="1:15" s="91" customFormat="1" x14ac:dyDescent="0.35">
      <c r="E17" s="96"/>
      <c r="F17" s="96"/>
      <c r="G17" s="96"/>
      <c r="H17" s="96"/>
      <c r="I17" s="96"/>
      <c r="J17" s="96"/>
      <c r="K17" s="96"/>
      <c r="L17" s="96"/>
      <c r="N17" s="78"/>
      <c r="O17" s="187"/>
    </row>
    <row r="18" spans="1:15" s="91" customFormat="1" x14ac:dyDescent="0.35">
      <c r="E18" s="93"/>
      <c r="F18" s="93"/>
      <c r="G18" s="93"/>
      <c r="H18" s="93"/>
      <c r="I18" s="93"/>
      <c r="J18" s="93"/>
      <c r="K18" s="93"/>
      <c r="L18" s="93"/>
      <c r="N18" s="78"/>
    </row>
    <row r="19" spans="1:15" s="91" customFormat="1" x14ac:dyDescent="0.35">
      <c r="B19" s="91" t="s">
        <v>137</v>
      </c>
      <c r="E19" s="93">
        <f>E11+E16</f>
        <v>6290025.5378667321</v>
      </c>
      <c r="F19" s="93">
        <f t="shared" ref="F19:L19" si="3">F11+F16</f>
        <v>4137043.6491825245</v>
      </c>
      <c r="G19" s="93">
        <f t="shared" si="3"/>
        <v>1508936.6102011856</v>
      </c>
      <c r="H19" s="93">
        <f t="shared" si="3"/>
        <v>330985.00282031565</v>
      </c>
      <c r="I19" s="93">
        <f t="shared" si="3"/>
        <v>161259.47903565934</v>
      </c>
      <c r="J19" s="93">
        <f t="shared" si="3"/>
        <v>17369.976156512184</v>
      </c>
      <c r="K19" s="93">
        <f t="shared" si="3"/>
        <v>126091.95316731808</v>
      </c>
      <c r="L19" s="93">
        <f t="shared" si="3"/>
        <v>8338.8673032164716</v>
      </c>
      <c r="N19" s="187">
        <f t="shared" ref="N19" si="4">SUM(F19:L19)-E19</f>
        <v>0</v>
      </c>
    </row>
    <row r="20" spans="1:15" s="91" customFormat="1" x14ac:dyDescent="0.35">
      <c r="B20" s="91" t="s">
        <v>138</v>
      </c>
      <c r="E20" s="1">
        <f>'2019 GRC'!$J$18</f>
        <v>0.95455299999999998</v>
      </c>
      <c r="F20" s="93"/>
      <c r="G20" s="93"/>
      <c r="H20" s="93"/>
      <c r="I20" s="93"/>
      <c r="J20" s="93"/>
      <c r="K20" s="93"/>
      <c r="L20" s="93"/>
      <c r="N20" s="78"/>
    </row>
    <row r="21" spans="1:15" s="91" customFormat="1" x14ac:dyDescent="0.35">
      <c r="B21" s="92" t="s">
        <v>139</v>
      </c>
      <c r="C21" s="92"/>
      <c r="D21" s="92"/>
      <c r="E21" s="101">
        <f>E19/$E$20</f>
        <v>6589498.475062917</v>
      </c>
      <c r="F21" s="101">
        <f t="shared" ref="F21:L21" si="5">F19/$E$20</f>
        <v>4334011.4683862757</v>
      </c>
      <c r="G21" s="101">
        <f t="shared" si="5"/>
        <v>1580778.2388208781</v>
      </c>
      <c r="H21" s="101">
        <f t="shared" si="5"/>
        <v>346743.45250637276</v>
      </c>
      <c r="I21" s="101">
        <f t="shared" si="5"/>
        <v>168937.16643880366</v>
      </c>
      <c r="J21" s="101">
        <f t="shared" si="5"/>
        <v>18196.974035503721</v>
      </c>
      <c r="K21" s="101">
        <f t="shared" si="5"/>
        <v>132095.28770777324</v>
      </c>
      <c r="L21" s="101">
        <f t="shared" si="5"/>
        <v>8735.8871673091708</v>
      </c>
      <c r="N21" s="187">
        <f t="shared" ref="N21" si="6">SUM(F21:L21)-E21</f>
        <v>0</v>
      </c>
      <c r="O21" s="187">
        <f>E21-'Summary - Revenue Requirement'!B11</f>
        <v>0</v>
      </c>
    </row>
    <row r="22" spans="1:15" s="91" customFormat="1" x14ac:dyDescent="0.35">
      <c r="F22" s="93"/>
      <c r="G22" s="93"/>
      <c r="H22" s="93"/>
      <c r="I22" s="93"/>
      <c r="J22" s="93"/>
      <c r="K22" s="93"/>
      <c r="L22" s="93"/>
      <c r="N22" s="78"/>
    </row>
    <row r="23" spans="1:15" customFormat="1" x14ac:dyDescent="0.35">
      <c r="A23" s="86"/>
      <c r="B23" s="86" t="s">
        <v>140</v>
      </c>
      <c r="C23" s="86"/>
      <c r="D23" s="86"/>
      <c r="E23" s="102">
        <f>SUM(F23:L23)</f>
        <v>0.99999999999999989</v>
      </c>
      <c r="F23" s="102">
        <f>F21/$E21</f>
        <v>0.65771492091359718</v>
      </c>
      <c r="G23" s="102">
        <f t="shared" ref="G23:L23" si="7">G21/$E21</f>
        <v>0.23989355863775122</v>
      </c>
      <c r="H23" s="102">
        <f t="shared" si="7"/>
        <v>5.2620613513847433E-2</v>
      </c>
      <c r="I23" s="102">
        <f t="shared" si="7"/>
        <v>2.5637332959120327E-2</v>
      </c>
      <c r="J23" s="102">
        <f t="shared" si="7"/>
        <v>2.7615112294763792E-3</v>
      </c>
      <c r="K23" s="102">
        <f t="shared" si="7"/>
        <v>2.0046334058300544E-2</v>
      </c>
      <c r="L23" s="102">
        <f t="shared" si="7"/>
        <v>1.3257286879068228E-3</v>
      </c>
      <c r="M23" s="86"/>
      <c r="N23" s="86"/>
      <c r="O23" s="91"/>
    </row>
    <row r="24" spans="1:15" customFormat="1" x14ac:dyDescent="0.35">
      <c r="A24" s="86"/>
      <c r="B24" s="86"/>
      <c r="C24" s="86"/>
      <c r="D24" s="86"/>
      <c r="E24" s="86"/>
      <c r="F24" s="90"/>
      <c r="G24" s="90"/>
      <c r="H24" s="90"/>
      <c r="I24" s="90"/>
      <c r="J24" s="90"/>
      <c r="K24" s="90"/>
      <c r="L24" s="90"/>
      <c r="M24" s="86"/>
      <c r="N24" s="86"/>
      <c r="O24" s="187"/>
    </row>
    <row r="25" spans="1:15" customFormat="1" x14ac:dyDescent="0.35">
      <c r="A25" s="86"/>
      <c r="B25" s="86"/>
      <c r="C25" s="86"/>
      <c r="D25" s="86"/>
      <c r="E25" s="86"/>
      <c r="F25" s="86"/>
      <c r="G25" s="86"/>
      <c r="H25" s="86"/>
      <c r="I25" s="86"/>
      <c r="J25" s="86"/>
      <c r="K25" s="86"/>
      <c r="L25" s="86"/>
      <c r="M25" s="86"/>
      <c r="N25" s="86"/>
      <c r="O25" s="91"/>
    </row>
    <row r="26" spans="1:15" customFormat="1" x14ac:dyDescent="0.35">
      <c r="A26" s="86"/>
      <c r="B26" s="86"/>
      <c r="C26" s="86"/>
      <c r="D26" s="86"/>
      <c r="E26" s="86"/>
      <c r="F26" s="86"/>
      <c r="G26" s="86"/>
      <c r="H26" s="86"/>
      <c r="I26" s="86"/>
      <c r="J26" s="86"/>
      <c r="K26" s="86"/>
      <c r="L26" s="86"/>
      <c r="M26" s="86"/>
      <c r="N26" s="86"/>
      <c r="O26" s="91"/>
    </row>
    <row r="27" spans="1:15" customFormat="1" x14ac:dyDescent="0.35">
      <c r="A27" s="86"/>
      <c r="B27" s="86"/>
      <c r="C27" s="86"/>
      <c r="D27" s="86"/>
      <c r="E27" s="86"/>
      <c r="F27" s="86"/>
      <c r="G27" s="86"/>
      <c r="H27" s="86"/>
      <c r="I27" s="86"/>
      <c r="J27" s="86"/>
      <c r="K27" s="86"/>
      <c r="L27" s="86"/>
      <c r="M27" s="86"/>
      <c r="N27" s="86"/>
      <c r="O27" s="91"/>
    </row>
    <row r="28" spans="1:15" customFormat="1" x14ac:dyDescent="0.35">
      <c r="A28" s="86"/>
      <c r="B28" s="86"/>
      <c r="C28" s="86"/>
      <c r="D28" s="86"/>
      <c r="E28" s="86"/>
      <c r="F28" s="86"/>
      <c r="G28" s="86"/>
      <c r="H28" s="86"/>
      <c r="I28" s="86"/>
      <c r="J28" s="86"/>
      <c r="K28" s="86"/>
      <c r="L28" s="86"/>
      <c r="M28" s="86"/>
      <c r="N28" s="86"/>
    </row>
    <row r="29" spans="1:15" customFormat="1" x14ac:dyDescent="0.35">
      <c r="A29" s="86"/>
      <c r="B29" s="86"/>
      <c r="C29" s="86"/>
      <c r="D29" s="86"/>
      <c r="E29" s="86"/>
      <c r="F29" s="86"/>
      <c r="G29" s="86"/>
      <c r="H29" s="86"/>
      <c r="I29" s="86"/>
      <c r="J29" s="86"/>
      <c r="K29" s="86"/>
      <c r="L29" s="86"/>
      <c r="M29" s="86"/>
      <c r="N29" s="86"/>
    </row>
    <row r="30" spans="1:15" customFormat="1" x14ac:dyDescent="0.35">
      <c r="A30" s="86"/>
      <c r="B30" s="86"/>
      <c r="C30" s="86"/>
      <c r="D30" s="86"/>
      <c r="E30" s="86"/>
      <c r="F30" s="86"/>
      <c r="G30" s="86"/>
      <c r="H30" s="86"/>
      <c r="I30" s="86"/>
      <c r="J30" s="86"/>
      <c r="K30" s="86"/>
      <c r="L30" s="86"/>
      <c r="M30" s="86"/>
      <c r="N30" s="86"/>
    </row>
    <row r="31" spans="1:15" customFormat="1" x14ac:dyDescent="0.35">
      <c r="A31" s="86"/>
      <c r="B31" s="86"/>
      <c r="C31" s="86"/>
      <c r="D31" s="86"/>
      <c r="E31" s="86"/>
      <c r="F31" s="86"/>
      <c r="G31" s="86"/>
      <c r="H31" s="86"/>
      <c r="I31" s="86"/>
      <c r="J31" s="86"/>
      <c r="K31" s="86"/>
      <c r="L31" s="86"/>
      <c r="M31" s="86"/>
      <c r="N31" s="86"/>
    </row>
    <row r="32" spans="1:15" customFormat="1" x14ac:dyDescent="0.35">
      <c r="A32" s="86"/>
      <c r="B32" s="86"/>
      <c r="C32" s="86"/>
      <c r="D32" s="86"/>
      <c r="E32" s="86"/>
      <c r="F32" s="86"/>
      <c r="G32" s="86"/>
      <c r="H32" s="86"/>
      <c r="I32" s="86"/>
      <c r="J32" s="86"/>
      <c r="K32" s="86"/>
      <c r="L32" s="86"/>
      <c r="M32" s="86"/>
      <c r="N32" s="86"/>
    </row>
    <row r="33" spans="1:14" customFormat="1" x14ac:dyDescent="0.35">
      <c r="A33" s="86"/>
      <c r="B33" s="86"/>
      <c r="C33" s="86"/>
      <c r="D33" s="86"/>
      <c r="E33" s="86"/>
      <c r="F33" s="86"/>
      <c r="G33" s="86"/>
      <c r="H33" s="86"/>
      <c r="I33" s="86"/>
      <c r="J33" s="86"/>
      <c r="K33" s="86"/>
      <c r="L33" s="86"/>
      <c r="M33" s="86"/>
      <c r="N33" s="86"/>
    </row>
    <row r="34" spans="1:14" customFormat="1" x14ac:dyDescent="0.35">
      <c r="A34" s="86"/>
      <c r="B34" s="86"/>
      <c r="C34" s="86"/>
      <c r="D34" s="86"/>
      <c r="E34" s="86"/>
      <c r="F34" s="86"/>
      <c r="G34" s="86"/>
      <c r="H34" s="86"/>
      <c r="I34" s="86"/>
      <c r="J34" s="86"/>
      <c r="K34" s="86"/>
      <c r="L34" s="86"/>
      <c r="M34" s="86"/>
      <c r="N34" s="86"/>
    </row>
    <row r="35" spans="1:14" customFormat="1" x14ac:dyDescent="0.35">
      <c r="A35" s="86"/>
      <c r="B35" s="86"/>
      <c r="C35" s="86"/>
      <c r="D35" s="86"/>
      <c r="E35" s="86"/>
      <c r="F35" s="86"/>
      <c r="G35" s="86"/>
      <c r="H35" s="86"/>
      <c r="I35" s="86"/>
      <c r="J35" s="86"/>
      <c r="K35" s="86"/>
      <c r="L35" s="86"/>
      <c r="M35" s="86"/>
      <c r="N35" s="86"/>
    </row>
    <row r="36" spans="1:14" customFormat="1" x14ac:dyDescent="0.35">
      <c r="A36" s="86"/>
      <c r="B36" s="86"/>
      <c r="C36" s="86"/>
      <c r="D36" s="86"/>
      <c r="E36" s="86"/>
      <c r="F36" s="86"/>
      <c r="G36" s="86"/>
      <c r="H36" s="86"/>
      <c r="I36" s="86"/>
      <c r="J36" s="86"/>
      <c r="K36" s="86"/>
      <c r="L36" s="86"/>
      <c r="M36" s="86"/>
      <c r="N36" s="86"/>
    </row>
    <row r="37" spans="1:14" customFormat="1" x14ac:dyDescent="0.35">
      <c r="A37" s="86"/>
      <c r="B37" s="86"/>
      <c r="C37" s="86"/>
      <c r="D37" s="86"/>
      <c r="E37" s="86"/>
      <c r="F37" s="86"/>
      <c r="G37" s="86"/>
      <c r="H37" s="86"/>
      <c r="I37" s="86"/>
      <c r="J37" s="86"/>
      <c r="K37" s="86"/>
      <c r="L37" s="86"/>
      <c r="M37" s="86"/>
      <c r="N37" s="86"/>
    </row>
    <row r="38" spans="1:14" customFormat="1" x14ac:dyDescent="0.35">
      <c r="A38" s="86"/>
      <c r="B38" s="86"/>
      <c r="C38" s="86"/>
      <c r="D38" s="86"/>
      <c r="E38" s="86"/>
      <c r="F38" s="86"/>
      <c r="G38" s="86"/>
      <c r="H38" s="86"/>
      <c r="I38" s="86"/>
      <c r="J38" s="86"/>
      <c r="K38" s="86"/>
      <c r="L38" s="86"/>
      <c r="M38" s="86"/>
      <c r="N38" s="86"/>
    </row>
    <row r="39" spans="1:14" customFormat="1" x14ac:dyDescent="0.35">
      <c r="A39" s="86"/>
      <c r="B39" s="86"/>
      <c r="C39" s="86"/>
      <c r="D39" s="86"/>
      <c r="E39" s="86"/>
      <c r="F39" s="86"/>
      <c r="G39" s="86"/>
      <c r="H39" s="86"/>
      <c r="I39" s="86"/>
      <c r="J39" s="86"/>
      <c r="K39" s="86"/>
      <c r="L39" s="86"/>
      <c r="M39" s="86"/>
      <c r="N39" s="86"/>
    </row>
    <row r="40" spans="1:14" customFormat="1" x14ac:dyDescent="0.35">
      <c r="A40" s="86"/>
      <c r="B40" s="86"/>
      <c r="C40" s="86"/>
      <c r="D40" s="86"/>
      <c r="E40" s="86"/>
      <c r="F40" s="86"/>
      <c r="G40" s="86"/>
      <c r="H40" s="86"/>
      <c r="I40" s="86"/>
      <c r="J40" s="86"/>
      <c r="K40" s="86"/>
      <c r="L40" s="86"/>
      <c r="M40" s="86"/>
      <c r="N40" s="86"/>
    </row>
    <row r="41" spans="1:14" customFormat="1" x14ac:dyDescent="0.35">
      <c r="A41" s="86"/>
      <c r="B41" s="86"/>
      <c r="C41" s="86"/>
      <c r="D41" s="86"/>
      <c r="E41" s="86"/>
      <c r="F41" s="86"/>
      <c r="G41" s="86"/>
      <c r="H41" s="86"/>
      <c r="I41" s="86"/>
      <c r="J41" s="86"/>
      <c r="K41" s="86"/>
      <c r="L41" s="86"/>
      <c r="M41" s="86"/>
      <c r="N41" s="86"/>
    </row>
    <row r="42" spans="1:14" customFormat="1" x14ac:dyDescent="0.35">
      <c r="A42" s="86"/>
      <c r="B42" s="86"/>
      <c r="C42" s="86"/>
      <c r="D42" s="86"/>
      <c r="E42" s="86"/>
      <c r="F42" s="86"/>
      <c r="G42" s="86"/>
      <c r="H42" s="86"/>
      <c r="I42" s="86"/>
      <c r="J42" s="86"/>
      <c r="K42" s="86"/>
      <c r="L42" s="86"/>
      <c r="M42" s="86"/>
      <c r="N42" s="86"/>
    </row>
    <row r="43" spans="1:14" customFormat="1" x14ac:dyDescent="0.35">
      <c r="A43" s="86"/>
      <c r="B43" s="86"/>
      <c r="C43" s="86"/>
      <c r="D43" s="86"/>
      <c r="E43" s="86"/>
      <c r="F43" s="86"/>
      <c r="G43" s="86"/>
      <c r="H43" s="86"/>
      <c r="I43" s="86"/>
      <c r="J43" s="86"/>
      <c r="K43" s="86"/>
      <c r="L43" s="86"/>
      <c r="M43" s="86"/>
      <c r="N43" s="86"/>
    </row>
    <row r="44" spans="1:14" customFormat="1" x14ac:dyDescent="0.35">
      <c r="A44" s="86"/>
      <c r="B44" s="86"/>
      <c r="C44" s="86"/>
      <c r="D44" s="86"/>
      <c r="E44" s="86"/>
      <c r="F44" s="86"/>
      <c r="G44" s="86"/>
      <c r="H44" s="86"/>
      <c r="I44" s="86"/>
      <c r="J44" s="86"/>
      <c r="K44" s="86"/>
      <c r="L44" s="86"/>
      <c r="M44" s="86"/>
      <c r="N44" s="86"/>
    </row>
    <row r="45" spans="1:14" customFormat="1" x14ac:dyDescent="0.35">
      <c r="A45" s="86"/>
      <c r="B45" s="86"/>
      <c r="C45" s="86"/>
      <c r="D45" s="86"/>
      <c r="E45" s="86"/>
      <c r="F45" s="86"/>
      <c r="G45" s="86"/>
      <c r="H45" s="86"/>
      <c r="I45" s="86"/>
      <c r="J45" s="86"/>
      <c r="K45" s="86"/>
      <c r="L45" s="86"/>
      <c r="M45" s="86"/>
      <c r="N45" s="86"/>
    </row>
    <row r="46" spans="1:14" customFormat="1" x14ac:dyDescent="0.35">
      <c r="A46" s="86"/>
      <c r="B46" s="86"/>
      <c r="C46" s="86"/>
      <c r="D46" s="86"/>
      <c r="E46" s="86"/>
      <c r="F46" s="86"/>
      <c r="G46" s="86"/>
      <c r="H46" s="86"/>
      <c r="I46" s="86"/>
      <c r="J46" s="86"/>
      <c r="K46" s="86"/>
      <c r="L46" s="86"/>
      <c r="M46" s="86"/>
      <c r="N46" s="86"/>
    </row>
    <row r="47" spans="1:14" customFormat="1" x14ac:dyDescent="0.35">
      <c r="A47" s="86"/>
      <c r="B47" s="86"/>
      <c r="C47" s="86"/>
      <c r="D47" s="86"/>
      <c r="E47" s="86"/>
      <c r="F47" s="86"/>
      <c r="G47" s="86"/>
      <c r="H47" s="86"/>
      <c r="I47" s="86"/>
      <c r="J47" s="86"/>
      <c r="K47" s="86"/>
      <c r="L47" s="86"/>
      <c r="M47" s="86"/>
      <c r="N47" s="86"/>
    </row>
    <row r="48" spans="1:14" customFormat="1" x14ac:dyDescent="0.35">
      <c r="A48" s="86"/>
      <c r="B48" s="86"/>
      <c r="C48" s="86"/>
      <c r="D48" s="86"/>
      <c r="E48" s="86"/>
      <c r="F48" s="86"/>
      <c r="G48" s="86"/>
      <c r="H48" s="86"/>
      <c r="I48" s="86"/>
      <c r="J48" s="86"/>
      <c r="K48" s="86"/>
      <c r="L48" s="86"/>
      <c r="M48" s="86"/>
      <c r="N48" s="86"/>
    </row>
    <row r="49" spans="1:14" customFormat="1" x14ac:dyDescent="0.35">
      <c r="A49" s="86"/>
      <c r="B49" s="86"/>
      <c r="C49" s="86"/>
      <c r="D49" s="86"/>
      <c r="E49" s="86"/>
      <c r="F49" s="86"/>
      <c r="G49" s="86"/>
      <c r="H49" s="86"/>
      <c r="I49" s="86"/>
      <c r="J49" s="86"/>
      <c r="K49" s="86"/>
      <c r="L49" s="86"/>
      <c r="M49" s="86"/>
      <c r="N49" s="86"/>
    </row>
    <row r="50" spans="1:14" customFormat="1" x14ac:dyDescent="0.35">
      <c r="A50" s="86"/>
      <c r="B50" s="86"/>
      <c r="C50" s="86"/>
      <c r="D50" s="86"/>
      <c r="E50" s="86"/>
      <c r="F50" s="86"/>
      <c r="G50" s="86"/>
      <c r="H50" s="86"/>
      <c r="I50" s="86"/>
      <c r="J50" s="86"/>
      <c r="K50" s="86"/>
      <c r="L50" s="86"/>
      <c r="M50" s="86"/>
      <c r="N50" s="86"/>
    </row>
    <row r="51" spans="1:14" customFormat="1" x14ac:dyDescent="0.35">
      <c r="A51" s="86"/>
      <c r="B51" s="86"/>
      <c r="C51" s="86"/>
      <c r="D51" s="86"/>
      <c r="E51" s="86"/>
      <c r="F51" s="86"/>
      <c r="G51" s="86"/>
      <c r="H51" s="86"/>
      <c r="I51" s="86"/>
      <c r="J51" s="86"/>
      <c r="K51" s="86"/>
      <c r="L51" s="86"/>
      <c r="M51" s="86"/>
      <c r="N51" s="86"/>
    </row>
    <row r="52" spans="1:14" customFormat="1" x14ac:dyDescent="0.35">
      <c r="A52" s="86"/>
      <c r="B52" s="86"/>
      <c r="C52" s="86"/>
      <c r="D52" s="86"/>
      <c r="E52" s="86"/>
      <c r="F52" s="86"/>
      <c r="G52" s="86"/>
      <c r="H52" s="86"/>
      <c r="I52" s="86"/>
      <c r="J52" s="86"/>
      <c r="K52" s="86"/>
      <c r="L52" s="86"/>
      <c r="M52" s="86"/>
      <c r="N52" s="86"/>
    </row>
    <row r="53" spans="1:14" customFormat="1" x14ac:dyDescent="0.35">
      <c r="A53" s="86"/>
      <c r="B53" s="86"/>
      <c r="C53" s="86"/>
      <c r="D53" s="86"/>
      <c r="E53" s="86"/>
      <c r="F53" s="86"/>
      <c r="G53" s="86"/>
      <c r="H53" s="86"/>
      <c r="I53" s="86"/>
      <c r="J53" s="86"/>
      <c r="K53" s="86"/>
      <c r="L53" s="86"/>
      <c r="M53" s="86"/>
      <c r="N53" s="86"/>
    </row>
    <row r="54" spans="1:14" customFormat="1" x14ac:dyDescent="0.35">
      <c r="A54" s="86"/>
      <c r="B54" s="86"/>
      <c r="C54" s="86"/>
      <c r="D54" s="86"/>
      <c r="E54" s="86"/>
      <c r="F54" s="86"/>
      <c r="G54" s="86"/>
      <c r="H54" s="86"/>
      <c r="I54" s="86"/>
      <c r="J54" s="86"/>
      <c r="K54" s="86"/>
      <c r="L54" s="86"/>
      <c r="M54" s="86"/>
      <c r="N54" s="86"/>
    </row>
    <row r="55" spans="1:14" customFormat="1" x14ac:dyDescent="0.35">
      <c r="A55" s="86"/>
      <c r="B55" s="86"/>
      <c r="C55" s="86"/>
      <c r="D55" s="86"/>
      <c r="E55" s="86"/>
      <c r="F55" s="86"/>
      <c r="G55" s="86"/>
      <c r="H55" s="86"/>
      <c r="I55" s="86"/>
      <c r="J55" s="86"/>
      <c r="K55" s="86"/>
      <c r="L55" s="86"/>
      <c r="M55" s="86"/>
      <c r="N55" s="86"/>
    </row>
    <row r="56" spans="1:14" customFormat="1" x14ac:dyDescent="0.35">
      <c r="A56" s="86"/>
      <c r="B56" s="86"/>
      <c r="C56" s="86"/>
      <c r="D56" s="86"/>
      <c r="E56" s="86"/>
      <c r="F56" s="86"/>
      <c r="G56" s="86"/>
      <c r="H56" s="86"/>
      <c r="I56" s="86"/>
      <c r="J56" s="86"/>
      <c r="K56" s="86"/>
      <c r="L56" s="86"/>
      <c r="M56" s="86"/>
      <c r="N56" s="86"/>
    </row>
    <row r="57" spans="1:14" customFormat="1" x14ac:dyDescent="0.35">
      <c r="A57" s="86"/>
      <c r="B57" s="86"/>
      <c r="C57" s="86"/>
      <c r="D57" s="86"/>
      <c r="E57" s="86"/>
      <c r="F57" s="86"/>
      <c r="G57" s="86"/>
      <c r="H57" s="86"/>
      <c r="I57" s="86"/>
      <c r="J57" s="86"/>
      <c r="K57" s="86"/>
      <c r="L57" s="86"/>
      <c r="M57" s="86"/>
      <c r="N57" s="86"/>
    </row>
    <row r="58" spans="1:14" customFormat="1" x14ac:dyDescent="0.35">
      <c r="A58" s="86"/>
      <c r="B58" s="86"/>
      <c r="C58" s="86"/>
      <c r="D58" s="86"/>
      <c r="E58" s="86"/>
      <c r="F58" s="86"/>
      <c r="G58" s="86"/>
      <c r="H58" s="86"/>
      <c r="I58" s="86"/>
      <c r="J58" s="86"/>
      <c r="K58" s="86"/>
      <c r="L58" s="86"/>
      <c r="M58" s="86"/>
      <c r="N58" s="86"/>
    </row>
    <row r="59" spans="1:14" customFormat="1" x14ac:dyDescent="0.35">
      <c r="A59" s="86"/>
      <c r="B59" s="86"/>
      <c r="C59" s="86"/>
      <c r="D59" s="86"/>
      <c r="E59" s="86"/>
      <c r="F59" s="86"/>
      <c r="G59" s="86"/>
      <c r="H59" s="86"/>
      <c r="I59" s="86"/>
      <c r="J59" s="86"/>
      <c r="K59" s="86"/>
      <c r="L59" s="86"/>
      <c r="M59" s="86"/>
      <c r="N59" s="86"/>
    </row>
    <row r="60" spans="1:14" customFormat="1" x14ac:dyDescent="0.35">
      <c r="A60" s="86"/>
      <c r="B60" s="86"/>
      <c r="C60" s="86"/>
      <c r="D60" s="86"/>
      <c r="E60" s="86"/>
      <c r="F60" s="86"/>
      <c r="G60" s="86"/>
      <c r="H60" s="86"/>
      <c r="I60" s="86"/>
      <c r="J60" s="86"/>
      <c r="K60" s="86"/>
      <c r="L60" s="86"/>
      <c r="M60" s="86"/>
      <c r="N60" s="86"/>
    </row>
    <row r="61" spans="1:14" customFormat="1" x14ac:dyDescent="0.35">
      <c r="A61" s="86"/>
      <c r="B61" s="86"/>
      <c r="C61" s="86"/>
      <c r="D61" s="86"/>
      <c r="E61" s="86"/>
      <c r="F61" s="86"/>
      <c r="G61" s="86"/>
      <c r="H61" s="86"/>
      <c r="I61" s="86"/>
      <c r="J61" s="86"/>
      <c r="K61" s="86"/>
      <c r="L61" s="86"/>
      <c r="M61" s="86"/>
      <c r="N61" s="86"/>
    </row>
    <row r="62" spans="1:14" customFormat="1" x14ac:dyDescent="0.35">
      <c r="A62" s="86"/>
      <c r="B62" s="86"/>
      <c r="C62" s="86"/>
      <c r="D62" s="86"/>
      <c r="E62" s="86"/>
      <c r="F62" s="86"/>
      <c r="G62" s="86"/>
      <c r="H62" s="86"/>
      <c r="I62" s="86"/>
      <c r="J62" s="86"/>
      <c r="K62" s="86"/>
      <c r="L62" s="86"/>
      <c r="M62" s="86"/>
      <c r="N62" s="86"/>
    </row>
    <row r="63" spans="1:14" customFormat="1" x14ac:dyDescent="0.35">
      <c r="A63" s="86"/>
      <c r="B63" s="86"/>
      <c r="C63" s="86"/>
      <c r="D63" s="86"/>
      <c r="E63" s="86"/>
      <c r="F63" s="86"/>
      <c r="G63" s="86"/>
      <c r="H63" s="86"/>
      <c r="I63" s="86"/>
      <c r="J63" s="86"/>
      <c r="K63" s="86"/>
      <c r="L63" s="86"/>
      <c r="M63" s="86"/>
      <c r="N63" s="86"/>
    </row>
    <row r="64" spans="1:14" customFormat="1" x14ac:dyDescent="0.35">
      <c r="A64" s="86"/>
      <c r="B64" s="86"/>
      <c r="C64" s="86"/>
      <c r="D64" s="86"/>
      <c r="E64" s="86"/>
      <c r="F64" s="86"/>
      <c r="G64" s="86"/>
      <c r="H64" s="86"/>
      <c r="I64" s="86"/>
      <c r="J64" s="86"/>
      <c r="K64" s="86"/>
      <c r="L64" s="86"/>
      <c r="M64" s="86"/>
      <c r="N64" s="86"/>
    </row>
    <row r="65" spans="1:14" customFormat="1" x14ac:dyDescent="0.35">
      <c r="A65" s="86"/>
      <c r="B65" s="86"/>
      <c r="C65" s="86"/>
      <c r="D65" s="86"/>
      <c r="E65" s="86"/>
      <c r="F65" s="86"/>
      <c r="G65" s="86"/>
      <c r="H65" s="86"/>
      <c r="I65" s="86"/>
      <c r="J65" s="86"/>
      <c r="K65" s="86"/>
      <c r="L65" s="86"/>
      <c r="M65" s="86"/>
      <c r="N65" s="86"/>
    </row>
    <row r="66" spans="1:14" customFormat="1" x14ac:dyDescent="0.35">
      <c r="A66" s="86"/>
      <c r="B66" s="86"/>
      <c r="C66" s="86"/>
      <c r="D66" s="86"/>
      <c r="E66" s="86"/>
      <c r="F66" s="86"/>
      <c r="G66" s="86"/>
      <c r="H66" s="86"/>
      <c r="I66" s="86"/>
      <c r="J66" s="86"/>
      <c r="K66" s="86"/>
      <c r="L66" s="86"/>
      <c r="M66" s="86"/>
      <c r="N66" s="86"/>
    </row>
    <row r="67" spans="1:14" customFormat="1" x14ac:dyDescent="0.35">
      <c r="A67" s="86"/>
      <c r="B67" s="86"/>
      <c r="C67" s="86"/>
      <c r="D67" s="86"/>
      <c r="E67" s="86"/>
      <c r="F67" s="86"/>
      <c r="G67" s="86"/>
      <c r="H67" s="86"/>
      <c r="I67" s="86"/>
      <c r="J67" s="86"/>
      <c r="K67" s="86"/>
      <c r="L67" s="86"/>
      <c r="M67" s="86"/>
      <c r="N67" s="86"/>
    </row>
    <row r="68" spans="1:14" customFormat="1" x14ac:dyDescent="0.35">
      <c r="A68" s="86"/>
      <c r="B68" s="86"/>
      <c r="C68" s="86"/>
      <c r="D68" s="86"/>
      <c r="E68" s="86"/>
      <c r="F68" s="86"/>
      <c r="G68" s="86"/>
      <c r="H68" s="86"/>
      <c r="I68" s="86"/>
      <c r="J68" s="86"/>
      <c r="K68" s="86"/>
      <c r="L68" s="86"/>
      <c r="M68" s="86"/>
      <c r="N68" s="86"/>
    </row>
    <row r="69" spans="1:14" customFormat="1" x14ac:dyDescent="0.35">
      <c r="A69" s="86"/>
      <c r="B69" s="86"/>
      <c r="C69" s="86"/>
      <c r="D69" s="86"/>
      <c r="E69" s="86"/>
      <c r="F69" s="86"/>
      <c r="G69" s="86"/>
      <c r="H69" s="86"/>
      <c r="I69" s="86"/>
      <c r="J69" s="86"/>
      <c r="K69" s="86"/>
      <c r="L69" s="86"/>
      <c r="M69" s="86"/>
      <c r="N69" s="86"/>
    </row>
    <row r="70" spans="1:14" customFormat="1" x14ac:dyDescent="0.35">
      <c r="A70" s="86"/>
      <c r="B70" s="86"/>
      <c r="C70" s="86"/>
      <c r="D70" s="86"/>
      <c r="E70" s="86"/>
      <c r="F70" s="86"/>
      <c r="G70" s="86"/>
      <c r="H70" s="86"/>
      <c r="I70" s="86"/>
      <c r="J70" s="86"/>
      <c r="K70" s="86"/>
      <c r="L70" s="86"/>
      <c r="M70" s="86"/>
      <c r="N70" s="86"/>
    </row>
    <row r="71" spans="1:14" customFormat="1" x14ac:dyDescent="0.35">
      <c r="A71" s="86"/>
      <c r="B71" s="86"/>
      <c r="C71" s="86"/>
      <c r="D71" s="86"/>
      <c r="E71" s="86"/>
      <c r="F71" s="86"/>
      <c r="G71" s="86"/>
      <c r="H71" s="86"/>
      <c r="I71" s="86"/>
      <c r="J71" s="86"/>
      <c r="K71" s="86"/>
      <c r="L71" s="86"/>
      <c r="M71" s="86"/>
      <c r="N71" s="86"/>
    </row>
    <row r="72" spans="1:14" customFormat="1" x14ac:dyDescent="0.35">
      <c r="A72" s="86"/>
      <c r="B72" s="86"/>
      <c r="C72" s="86"/>
      <c r="D72" s="86"/>
      <c r="E72" s="86"/>
      <c r="F72" s="86"/>
      <c r="G72" s="86"/>
      <c r="H72" s="86"/>
      <c r="I72" s="86"/>
      <c r="J72" s="86"/>
      <c r="K72" s="86"/>
      <c r="L72" s="86"/>
      <c r="M72" s="86"/>
      <c r="N72" s="86"/>
    </row>
    <row r="73" spans="1:14" customFormat="1" x14ac:dyDescent="0.35">
      <c r="A73" s="86"/>
      <c r="B73" s="86"/>
      <c r="C73" s="86"/>
      <c r="D73" s="86"/>
      <c r="E73" s="86"/>
      <c r="F73" s="86"/>
      <c r="G73" s="86"/>
      <c r="H73" s="86"/>
      <c r="I73" s="86"/>
      <c r="J73" s="86"/>
      <c r="K73" s="86"/>
      <c r="L73" s="86"/>
      <c r="M73" s="86"/>
      <c r="N73" s="86"/>
    </row>
    <row r="74" spans="1:14" customFormat="1" x14ac:dyDescent="0.35">
      <c r="A74" s="86"/>
      <c r="B74" s="86"/>
      <c r="C74" s="86"/>
      <c r="D74" s="86"/>
      <c r="E74" s="86"/>
      <c r="F74" s="86"/>
      <c r="G74" s="86"/>
      <c r="H74" s="86"/>
      <c r="I74" s="86"/>
      <c r="J74" s="86"/>
      <c r="K74" s="86"/>
      <c r="L74" s="86"/>
      <c r="M74" s="86"/>
      <c r="N74" s="86"/>
    </row>
    <row r="75" spans="1:14" customFormat="1" x14ac:dyDescent="0.35">
      <c r="A75" s="86"/>
      <c r="B75" s="86"/>
      <c r="C75" s="86"/>
      <c r="D75" s="86"/>
      <c r="E75" s="86"/>
      <c r="F75" s="86"/>
      <c r="G75" s="86"/>
      <c r="H75" s="86"/>
      <c r="I75" s="86"/>
      <c r="J75" s="86"/>
      <c r="K75" s="86"/>
      <c r="L75" s="86"/>
      <c r="M75" s="86"/>
      <c r="N75" s="86"/>
    </row>
    <row r="76" spans="1:14" customFormat="1" x14ac:dyDescent="0.35">
      <c r="A76" s="86"/>
      <c r="B76" s="86"/>
      <c r="C76" s="86"/>
      <c r="D76" s="86"/>
      <c r="E76" s="86"/>
      <c r="F76" s="86"/>
      <c r="G76" s="86"/>
      <c r="H76" s="86"/>
      <c r="I76" s="86"/>
      <c r="J76" s="86"/>
      <c r="K76" s="86"/>
      <c r="L76" s="86"/>
      <c r="M76" s="86"/>
      <c r="N76" s="86"/>
    </row>
    <row r="77" spans="1:14" customFormat="1" x14ac:dyDescent="0.35">
      <c r="A77" s="86"/>
      <c r="B77" s="86"/>
      <c r="C77" s="86"/>
      <c r="D77" s="86"/>
      <c r="E77" s="86"/>
      <c r="F77" s="86"/>
      <c r="G77" s="86"/>
      <c r="H77" s="86"/>
      <c r="I77" s="86"/>
      <c r="J77" s="86"/>
      <c r="K77" s="86"/>
      <c r="L77" s="86"/>
      <c r="M77" s="86"/>
      <c r="N77" s="86"/>
    </row>
    <row r="78" spans="1:14" customFormat="1" x14ac:dyDescent="0.35">
      <c r="A78" s="86"/>
      <c r="B78" s="86"/>
      <c r="C78" s="86"/>
      <c r="D78" s="86"/>
      <c r="E78" s="86"/>
      <c r="F78" s="86"/>
      <c r="G78" s="86"/>
      <c r="H78" s="86"/>
      <c r="I78" s="86"/>
      <c r="J78" s="86"/>
      <c r="K78" s="86"/>
      <c r="L78" s="86"/>
      <c r="M78" s="86"/>
      <c r="N78" s="86"/>
    </row>
    <row r="79" spans="1:14" customFormat="1" x14ac:dyDescent="0.35">
      <c r="A79" s="86"/>
      <c r="B79" s="86"/>
      <c r="C79" s="86"/>
      <c r="D79" s="86"/>
      <c r="E79" s="86"/>
      <c r="F79" s="86"/>
      <c r="G79" s="86"/>
      <c r="H79" s="86"/>
      <c r="I79" s="86"/>
      <c r="J79" s="86"/>
      <c r="K79" s="86"/>
      <c r="L79" s="86"/>
      <c r="M79" s="86"/>
      <c r="N79" s="86"/>
    </row>
    <row r="80" spans="1:14" customFormat="1" x14ac:dyDescent="0.35">
      <c r="A80" s="86"/>
      <c r="B80" s="86"/>
      <c r="C80" s="86"/>
      <c r="D80" s="86"/>
      <c r="E80" s="86"/>
      <c r="F80" s="86"/>
      <c r="G80" s="86"/>
      <c r="H80" s="86"/>
      <c r="I80" s="86"/>
      <c r="J80" s="86"/>
      <c r="K80" s="86"/>
      <c r="L80" s="86"/>
      <c r="M80" s="86"/>
      <c r="N80" s="86"/>
    </row>
    <row r="81" spans="1:14" customFormat="1" x14ac:dyDescent="0.35">
      <c r="A81" s="86"/>
      <c r="B81" s="86"/>
      <c r="C81" s="86"/>
      <c r="D81" s="86"/>
      <c r="E81" s="86"/>
      <c r="F81" s="86"/>
      <c r="G81" s="86"/>
      <c r="H81" s="86"/>
      <c r="I81" s="86"/>
      <c r="J81" s="86"/>
      <c r="K81" s="86"/>
      <c r="L81" s="86"/>
      <c r="M81" s="86"/>
      <c r="N81" s="86"/>
    </row>
    <row r="82" spans="1:14" customFormat="1" x14ac:dyDescent="0.35">
      <c r="A82" s="86"/>
      <c r="B82" s="86"/>
      <c r="C82" s="86"/>
      <c r="D82" s="86"/>
      <c r="E82" s="86"/>
      <c r="F82" s="86"/>
      <c r="G82" s="86"/>
      <c r="H82" s="86"/>
      <c r="I82" s="86"/>
      <c r="J82" s="86"/>
      <c r="K82" s="86"/>
      <c r="L82" s="86"/>
      <c r="M82" s="86"/>
      <c r="N82" s="86"/>
    </row>
    <row r="83" spans="1:14" customFormat="1" x14ac:dyDescent="0.35">
      <c r="A83" s="86"/>
      <c r="B83" s="86"/>
      <c r="C83" s="86"/>
      <c r="D83" s="86"/>
      <c r="E83" s="86"/>
      <c r="F83" s="86"/>
      <c r="G83" s="86"/>
      <c r="H83" s="86"/>
      <c r="I83" s="86"/>
      <c r="J83" s="86"/>
      <c r="K83" s="86"/>
      <c r="L83" s="86"/>
      <c r="M83" s="86"/>
      <c r="N83" s="86"/>
    </row>
    <row r="84" spans="1:14" customFormat="1" x14ac:dyDescent="0.35">
      <c r="A84" s="86"/>
      <c r="B84" s="86"/>
      <c r="C84" s="86"/>
      <c r="D84" s="86"/>
      <c r="E84" s="86"/>
      <c r="F84" s="86"/>
      <c r="G84" s="86"/>
      <c r="H84" s="86"/>
      <c r="I84" s="86"/>
      <c r="J84" s="86"/>
      <c r="K84" s="86"/>
      <c r="L84" s="86"/>
      <c r="M84" s="86"/>
      <c r="N84" s="86"/>
    </row>
    <row r="85" spans="1:14" customFormat="1" x14ac:dyDescent="0.35">
      <c r="A85" s="86"/>
      <c r="B85" s="86"/>
      <c r="C85" s="86"/>
      <c r="D85" s="86"/>
      <c r="E85" s="86"/>
      <c r="F85" s="86"/>
      <c r="G85" s="86"/>
      <c r="H85" s="86"/>
      <c r="I85" s="86"/>
      <c r="J85" s="86"/>
      <c r="K85" s="86"/>
      <c r="L85" s="86"/>
      <c r="M85" s="86"/>
      <c r="N85" s="86"/>
    </row>
    <row r="86" spans="1:14" customFormat="1" x14ac:dyDescent="0.35">
      <c r="A86" s="86"/>
      <c r="B86" s="86"/>
      <c r="C86" s="86"/>
      <c r="D86" s="86"/>
      <c r="E86" s="86"/>
      <c r="F86" s="86"/>
      <c r="G86" s="86"/>
      <c r="H86" s="86"/>
      <c r="I86" s="86"/>
      <c r="J86" s="86"/>
      <c r="K86" s="86"/>
      <c r="L86" s="86"/>
      <c r="M86" s="86"/>
      <c r="N86" s="86"/>
    </row>
    <row r="87" spans="1:14" customFormat="1" x14ac:dyDescent="0.35">
      <c r="A87" s="86"/>
      <c r="B87" s="86"/>
      <c r="C87" s="86"/>
      <c r="D87" s="86"/>
      <c r="E87" s="86"/>
      <c r="F87" s="86"/>
      <c r="G87" s="86"/>
      <c r="H87" s="86"/>
      <c r="I87" s="86"/>
      <c r="J87" s="86"/>
      <c r="K87" s="86"/>
      <c r="L87" s="86"/>
      <c r="M87" s="86"/>
      <c r="N87" s="86"/>
    </row>
    <row r="88" spans="1:14" customFormat="1" x14ac:dyDescent="0.35">
      <c r="A88" s="86"/>
      <c r="B88" s="86"/>
      <c r="C88" s="86"/>
      <c r="D88" s="86"/>
      <c r="E88" s="86"/>
      <c r="F88" s="86"/>
      <c r="G88" s="86"/>
      <c r="H88" s="86"/>
      <c r="I88" s="86"/>
      <c r="J88" s="86"/>
      <c r="K88" s="86"/>
      <c r="L88" s="86"/>
      <c r="M88" s="86"/>
      <c r="N88" s="86"/>
    </row>
    <row r="89" spans="1:14" customFormat="1" x14ac:dyDescent="0.35">
      <c r="A89" s="86"/>
      <c r="B89" s="86"/>
      <c r="C89" s="86"/>
      <c r="D89" s="86"/>
      <c r="E89" s="86"/>
      <c r="F89" s="86"/>
      <c r="G89" s="86"/>
      <c r="H89" s="86"/>
      <c r="I89" s="86"/>
      <c r="J89" s="86"/>
      <c r="K89" s="86"/>
      <c r="L89" s="86"/>
      <c r="M89" s="86"/>
      <c r="N89" s="86"/>
    </row>
    <row r="90" spans="1:14" customFormat="1" x14ac:dyDescent="0.35">
      <c r="A90" s="86"/>
      <c r="B90" s="86"/>
      <c r="C90" s="86"/>
      <c r="D90" s="86"/>
      <c r="E90" s="86"/>
      <c r="F90" s="86"/>
      <c r="G90" s="86"/>
      <c r="H90" s="86"/>
      <c r="I90" s="86"/>
      <c r="J90" s="86"/>
      <c r="K90" s="86"/>
      <c r="L90" s="86"/>
      <c r="M90" s="86"/>
      <c r="N90" s="86"/>
    </row>
    <row r="91" spans="1:14" customFormat="1" x14ac:dyDescent="0.35">
      <c r="A91" s="86"/>
      <c r="B91" s="86"/>
      <c r="C91" s="86"/>
      <c r="D91" s="86"/>
      <c r="E91" s="86"/>
      <c r="F91" s="86"/>
      <c r="G91" s="86"/>
      <c r="H91" s="86"/>
      <c r="I91" s="86"/>
      <c r="J91" s="86"/>
      <c r="K91" s="86"/>
      <c r="L91" s="86"/>
      <c r="M91" s="86"/>
      <c r="N91" s="86"/>
    </row>
    <row r="92" spans="1:14" customFormat="1" x14ac:dyDescent="0.35">
      <c r="A92" s="86"/>
      <c r="B92" s="86"/>
      <c r="C92" s="86"/>
      <c r="D92" s="86"/>
      <c r="E92" s="86"/>
      <c r="F92" s="86"/>
      <c r="G92" s="86"/>
      <c r="H92" s="86"/>
      <c r="I92" s="86"/>
      <c r="J92" s="86"/>
      <c r="K92" s="86"/>
      <c r="L92" s="86"/>
      <c r="M92" s="86"/>
      <c r="N92" s="86"/>
    </row>
    <row r="93" spans="1:14" customFormat="1" x14ac:dyDescent="0.35">
      <c r="A93" s="86"/>
      <c r="B93" s="86"/>
      <c r="C93" s="86"/>
      <c r="D93" s="86"/>
      <c r="E93" s="86"/>
      <c r="F93" s="86"/>
      <c r="G93" s="86"/>
      <c r="H93" s="86"/>
      <c r="I93" s="86"/>
      <c r="J93" s="86"/>
      <c r="K93" s="86"/>
      <c r="L93" s="86"/>
      <c r="M93" s="86"/>
      <c r="N93" s="86"/>
    </row>
    <row r="94" spans="1:14" customFormat="1" x14ac:dyDescent="0.35">
      <c r="A94" s="86"/>
      <c r="B94" s="86"/>
      <c r="C94" s="86"/>
      <c r="D94" s="86"/>
      <c r="E94" s="86"/>
      <c r="F94" s="86"/>
      <c r="G94" s="86"/>
      <c r="H94" s="86"/>
      <c r="I94" s="86"/>
      <c r="J94" s="86"/>
      <c r="K94" s="86"/>
      <c r="L94" s="86"/>
      <c r="M94" s="86"/>
      <c r="N94" s="86"/>
    </row>
    <row r="95" spans="1:14" customFormat="1" x14ac:dyDescent="0.35">
      <c r="A95" s="86"/>
      <c r="B95" s="86"/>
      <c r="C95" s="86"/>
      <c r="D95" s="86"/>
      <c r="E95" s="86"/>
      <c r="F95" s="86"/>
      <c r="G95" s="86"/>
      <c r="H95" s="86"/>
      <c r="I95" s="86"/>
      <c r="J95" s="86"/>
      <c r="K95" s="86"/>
      <c r="L95" s="86"/>
      <c r="M95" s="86"/>
      <c r="N95" s="86"/>
    </row>
    <row r="96" spans="1:14" customFormat="1" x14ac:dyDescent="0.35">
      <c r="A96" s="86"/>
      <c r="B96" s="86"/>
      <c r="C96" s="86"/>
      <c r="D96" s="86"/>
      <c r="E96" s="86"/>
      <c r="F96" s="86"/>
      <c r="G96" s="86"/>
      <c r="H96" s="86"/>
      <c r="I96" s="86"/>
      <c r="J96" s="86"/>
      <c r="K96" s="86"/>
      <c r="L96" s="86"/>
      <c r="M96" s="86"/>
      <c r="N96" s="86"/>
    </row>
    <row r="97" spans="1:14" customFormat="1" x14ac:dyDescent="0.35">
      <c r="A97" s="86"/>
      <c r="B97" s="86"/>
      <c r="C97" s="86"/>
      <c r="D97" s="86"/>
      <c r="E97" s="86"/>
      <c r="F97" s="86"/>
      <c r="G97" s="86"/>
      <c r="H97" s="86"/>
      <c r="I97" s="86"/>
      <c r="J97" s="86"/>
      <c r="K97" s="86"/>
      <c r="L97" s="86"/>
      <c r="M97" s="86"/>
      <c r="N97" s="86"/>
    </row>
    <row r="98" spans="1:14" customFormat="1" x14ac:dyDescent="0.35">
      <c r="A98" s="86"/>
      <c r="B98" s="86"/>
      <c r="C98" s="86"/>
      <c r="D98" s="86"/>
      <c r="E98" s="86"/>
      <c r="F98" s="86"/>
      <c r="G98" s="86"/>
      <c r="H98" s="86"/>
      <c r="I98" s="86"/>
      <c r="J98" s="86"/>
      <c r="K98" s="86"/>
      <c r="L98" s="86"/>
      <c r="M98" s="86"/>
      <c r="N98" s="86"/>
    </row>
    <row r="99" spans="1:14" customFormat="1" x14ac:dyDescent="0.35">
      <c r="A99" s="86"/>
      <c r="B99" s="86"/>
      <c r="C99" s="86"/>
      <c r="D99" s="86"/>
      <c r="E99" s="86"/>
      <c r="F99" s="86"/>
      <c r="G99" s="86"/>
      <c r="H99" s="86"/>
      <c r="I99" s="86"/>
      <c r="J99" s="86"/>
      <c r="K99" s="86"/>
      <c r="L99" s="86"/>
      <c r="M99" s="86"/>
      <c r="N99" s="86"/>
    </row>
    <row r="100" spans="1:14" customFormat="1" x14ac:dyDescent="0.35">
      <c r="A100" s="86"/>
      <c r="B100" s="86"/>
      <c r="C100" s="86"/>
      <c r="D100" s="86"/>
      <c r="E100" s="86"/>
      <c r="F100" s="86"/>
      <c r="G100" s="86"/>
      <c r="H100" s="86"/>
      <c r="I100" s="86"/>
      <c r="J100" s="86"/>
      <c r="K100" s="86"/>
      <c r="L100" s="86"/>
      <c r="M100" s="86"/>
      <c r="N100" s="86"/>
    </row>
    <row r="101" spans="1:14" customFormat="1" x14ac:dyDescent="0.35">
      <c r="A101" s="86"/>
      <c r="B101" s="86"/>
      <c r="C101" s="86"/>
      <c r="D101" s="86"/>
      <c r="E101" s="86"/>
      <c r="F101" s="86"/>
      <c r="G101" s="86"/>
      <c r="H101" s="86"/>
      <c r="I101" s="86"/>
      <c r="J101" s="86"/>
      <c r="K101" s="86"/>
      <c r="L101" s="86"/>
      <c r="M101" s="86"/>
      <c r="N101" s="86"/>
    </row>
    <row r="102" spans="1:14" customFormat="1" x14ac:dyDescent="0.35">
      <c r="A102" s="86"/>
      <c r="B102" s="86"/>
      <c r="C102" s="86"/>
      <c r="D102" s="86"/>
      <c r="E102" s="86"/>
      <c r="F102" s="86"/>
      <c r="G102" s="86"/>
      <c r="H102" s="86"/>
      <c r="I102" s="86"/>
      <c r="J102" s="86"/>
      <c r="K102" s="86"/>
      <c r="L102" s="86"/>
      <c r="M102" s="86"/>
      <c r="N102" s="86"/>
    </row>
    <row r="103" spans="1:14" customFormat="1" x14ac:dyDescent="0.35">
      <c r="A103" s="86"/>
      <c r="B103" s="86"/>
      <c r="C103" s="86"/>
      <c r="D103" s="86"/>
      <c r="E103" s="86"/>
      <c r="F103" s="86"/>
      <c r="G103" s="86"/>
      <c r="H103" s="86"/>
      <c r="I103" s="86"/>
      <c r="J103" s="86"/>
      <c r="K103" s="86"/>
      <c r="L103" s="86"/>
      <c r="M103" s="86"/>
      <c r="N103" s="86"/>
    </row>
    <row r="104" spans="1:14" customFormat="1" x14ac:dyDescent="0.35">
      <c r="A104" s="86"/>
      <c r="B104" s="86"/>
      <c r="C104" s="86"/>
      <c r="D104" s="86"/>
      <c r="E104" s="86"/>
      <c r="F104" s="86"/>
      <c r="G104" s="86"/>
      <c r="H104" s="86"/>
      <c r="I104" s="86"/>
      <c r="J104" s="86"/>
      <c r="K104" s="86"/>
      <c r="L104" s="86"/>
      <c r="M104" s="86"/>
      <c r="N104" s="86"/>
    </row>
    <row r="105" spans="1:14" customFormat="1" x14ac:dyDescent="0.35">
      <c r="A105" s="86"/>
      <c r="B105" s="86"/>
      <c r="C105" s="86"/>
      <c r="D105" s="86"/>
      <c r="E105" s="86"/>
      <c r="F105" s="86"/>
      <c r="G105" s="86"/>
      <c r="H105" s="86"/>
      <c r="I105" s="86"/>
      <c r="J105" s="86"/>
      <c r="K105" s="86"/>
      <c r="L105" s="86"/>
      <c r="M105" s="86"/>
      <c r="N105" s="86"/>
    </row>
    <row r="106" spans="1:14" customFormat="1" x14ac:dyDescent="0.35">
      <c r="A106" s="86"/>
      <c r="B106" s="86"/>
      <c r="C106" s="86"/>
      <c r="D106" s="86"/>
      <c r="E106" s="86"/>
      <c r="F106" s="86"/>
      <c r="G106" s="86"/>
      <c r="H106" s="86"/>
      <c r="I106" s="86"/>
      <c r="J106" s="86"/>
      <c r="K106" s="86"/>
      <c r="L106" s="86"/>
      <c r="M106" s="86"/>
      <c r="N106" s="86"/>
    </row>
    <row r="107" spans="1:14" customFormat="1" x14ac:dyDescent="0.35">
      <c r="A107" s="86"/>
      <c r="B107" s="86"/>
      <c r="C107" s="86"/>
      <c r="D107" s="86"/>
      <c r="E107" s="86"/>
      <c r="F107" s="86"/>
      <c r="G107" s="86"/>
      <c r="H107" s="86"/>
      <c r="I107" s="86"/>
      <c r="J107" s="86"/>
      <c r="K107" s="86"/>
      <c r="L107" s="86"/>
      <c r="M107" s="86"/>
      <c r="N107" s="86"/>
    </row>
    <row r="108" spans="1:14" customFormat="1" x14ac:dyDescent="0.35">
      <c r="A108" s="86"/>
      <c r="B108" s="86"/>
      <c r="C108" s="86"/>
      <c r="D108" s="86"/>
      <c r="E108" s="86"/>
      <c r="F108" s="86"/>
      <c r="G108" s="86"/>
      <c r="H108" s="86"/>
      <c r="I108" s="86"/>
      <c r="J108" s="86"/>
      <c r="K108" s="86"/>
      <c r="L108" s="86"/>
      <c r="M108" s="86"/>
      <c r="N108" s="86"/>
    </row>
    <row r="109" spans="1:14" customFormat="1" x14ac:dyDescent="0.35">
      <c r="A109" s="86"/>
      <c r="B109" s="86"/>
      <c r="C109" s="86"/>
      <c r="D109" s="86"/>
      <c r="E109" s="86"/>
      <c r="F109" s="86"/>
      <c r="G109" s="86"/>
      <c r="H109" s="86"/>
      <c r="I109" s="86"/>
      <c r="J109" s="86"/>
      <c r="K109" s="86"/>
      <c r="L109" s="86"/>
      <c r="M109" s="86"/>
      <c r="N109" s="86"/>
    </row>
    <row r="110" spans="1:14" customFormat="1" x14ac:dyDescent="0.35">
      <c r="A110" s="86"/>
      <c r="B110" s="86"/>
      <c r="C110" s="86"/>
      <c r="D110" s="86"/>
      <c r="E110" s="86"/>
      <c r="F110" s="86"/>
      <c r="G110" s="86"/>
      <c r="H110" s="86"/>
      <c r="I110" s="86"/>
      <c r="J110" s="86"/>
      <c r="K110" s="86"/>
      <c r="L110" s="86"/>
      <c r="M110" s="86"/>
      <c r="N110" s="86"/>
    </row>
    <row r="111" spans="1:14" customFormat="1" x14ac:dyDescent="0.35">
      <c r="A111" s="86"/>
      <c r="B111" s="86"/>
      <c r="C111" s="86"/>
      <c r="D111" s="86"/>
      <c r="E111" s="86"/>
      <c r="F111" s="86"/>
      <c r="G111" s="86"/>
      <c r="H111" s="86"/>
      <c r="I111" s="86"/>
      <c r="J111" s="86"/>
      <c r="K111" s="86"/>
      <c r="L111" s="86"/>
      <c r="M111" s="86"/>
      <c r="N111" s="86"/>
    </row>
    <row r="112" spans="1:14" customFormat="1" x14ac:dyDescent="0.35">
      <c r="A112" s="86"/>
      <c r="B112" s="86"/>
      <c r="C112" s="86"/>
      <c r="D112" s="86"/>
      <c r="E112" s="86"/>
      <c r="F112" s="86"/>
      <c r="G112" s="86"/>
      <c r="H112" s="86"/>
      <c r="I112" s="86"/>
      <c r="J112" s="86"/>
      <c r="K112" s="86"/>
      <c r="L112" s="86"/>
      <c r="M112" s="86"/>
      <c r="N112" s="86"/>
    </row>
    <row r="113" spans="1:14" customFormat="1" x14ac:dyDescent="0.35">
      <c r="A113" s="86"/>
      <c r="B113" s="86"/>
      <c r="C113" s="86"/>
      <c r="D113" s="86"/>
      <c r="E113" s="86"/>
      <c r="F113" s="86"/>
      <c r="G113" s="86"/>
      <c r="H113" s="86"/>
      <c r="I113" s="86"/>
      <c r="J113" s="86"/>
      <c r="K113" s="86"/>
      <c r="L113" s="86"/>
      <c r="M113" s="86"/>
      <c r="N113" s="86"/>
    </row>
    <row r="114" spans="1:14" customFormat="1" x14ac:dyDescent="0.35">
      <c r="A114" s="86"/>
      <c r="B114" s="86"/>
      <c r="C114" s="86"/>
      <c r="D114" s="86"/>
      <c r="E114" s="86"/>
      <c r="F114" s="86"/>
      <c r="G114" s="86"/>
      <c r="H114" s="86"/>
      <c r="I114" s="86"/>
      <c r="J114" s="86"/>
      <c r="K114" s="86"/>
      <c r="L114" s="86"/>
      <c r="M114" s="86"/>
      <c r="N114" s="86"/>
    </row>
    <row r="115" spans="1:14" customFormat="1" x14ac:dyDescent="0.35">
      <c r="A115" s="86"/>
      <c r="B115" s="86"/>
      <c r="C115" s="86"/>
      <c r="D115" s="86"/>
      <c r="E115" s="86"/>
      <c r="F115" s="86"/>
      <c r="G115" s="86"/>
      <c r="H115" s="86"/>
      <c r="I115" s="86"/>
      <c r="J115" s="86"/>
      <c r="K115" s="86"/>
      <c r="L115" s="86"/>
      <c r="M115" s="86"/>
      <c r="N115" s="86"/>
    </row>
    <row r="116" spans="1:14" customFormat="1" x14ac:dyDescent="0.35">
      <c r="A116" s="86"/>
      <c r="B116" s="86"/>
      <c r="C116" s="86"/>
      <c r="D116" s="86"/>
      <c r="E116" s="86"/>
      <c r="F116" s="86"/>
      <c r="G116" s="86"/>
      <c r="H116" s="86"/>
      <c r="I116" s="86"/>
      <c r="J116" s="86"/>
      <c r="K116" s="86"/>
      <c r="L116" s="86"/>
      <c r="M116" s="86"/>
      <c r="N116" s="86"/>
    </row>
    <row r="117" spans="1:14" customFormat="1" x14ac:dyDescent="0.35">
      <c r="A117" s="86"/>
      <c r="B117" s="86"/>
      <c r="C117" s="86"/>
      <c r="D117" s="86"/>
      <c r="E117" s="86"/>
      <c r="F117" s="86"/>
      <c r="G117" s="86"/>
      <c r="H117" s="86"/>
      <c r="I117" s="86"/>
      <c r="J117" s="86"/>
      <c r="K117" s="86"/>
      <c r="L117" s="86"/>
      <c r="M117" s="86"/>
      <c r="N117" s="86"/>
    </row>
    <row r="118" spans="1:14" customFormat="1" x14ac:dyDescent="0.35">
      <c r="A118" s="86"/>
      <c r="B118" s="86"/>
      <c r="C118" s="86"/>
      <c r="D118" s="86"/>
      <c r="E118" s="86"/>
      <c r="F118" s="86"/>
      <c r="G118" s="86"/>
      <c r="H118" s="86"/>
      <c r="I118" s="86"/>
      <c r="J118" s="86"/>
      <c r="K118" s="86"/>
      <c r="L118" s="86"/>
      <c r="M118" s="86"/>
      <c r="N118" s="86"/>
    </row>
    <row r="119" spans="1:14" customFormat="1" x14ac:dyDescent="0.35">
      <c r="A119" s="86"/>
      <c r="B119" s="86"/>
      <c r="C119" s="86"/>
      <c r="D119" s="86"/>
      <c r="E119" s="86"/>
      <c r="F119" s="86"/>
      <c r="G119" s="86"/>
      <c r="H119" s="86"/>
      <c r="I119" s="86"/>
      <c r="J119" s="86"/>
      <c r="K119" s="86"/>
      <c r="L119" s="86"/>
      <c r="M119" s="86"/>
      <c r="N119" s="86"/>
    </row>
    <row r="120" spans="1:14" customFormat="1" x14ac:dyDescent="0.35">
      <c r="A120" s="86"/>
      <c r="B120" s="86"/>
      <c r="C120" s="86"/>
      <c r="D120" s="86"/>
      <c r="E120" s="86"/>
      <c r="F120" s="86"/>
      <c r="G120" s="86"/>
      <c r="H120" s="86"/>
      <c r="I120" s="86"/>
      <c r="J120" s="86"/>
      <c r="K120" s="86"/>
      <c r="L120" s="86"/>
      <c r="M120" s="86"/>
      <c r="N120" s="86"/>
    </row>
    <row r="121" spans="1:14" customFormat="1" x14ac:dyDescent="0.35">
      <c r="A121" s="86"/>
      <c r="B121" s="86"/>
      <c r="C121" s="86"/>
      <c r="D121" s="86"/>
      <c r="E121" s="86"/>
      <c r="F121" s="86"/>
      <c r="G121" s="86"/>
      <c r="H121" s="86"/>
      <c r="I121" s="86"/>
      <c r="J121" s="86"/>
      <c r="K121" s="86"/>
      <c r="L121" s="86"/>
      <c r="M121" s="86"/>
      <c r="N121" s="86"/>
    </row>
    <row r="122" spans="1:14" customFormat="1" x14ac:dyDescent="0.35">
      <c r="A122" s="86"/>
      <c r="B122" s="86"/>
      <c r="C122" s="86"/>
      <c r="D122" s="86"/>
      <c r="E122" s="86"/>
      <c r="F122" s="86"/>
      <c r="G122" s="86"/>
      <c r="H122" s="86"/>
      <c r="I122" s="86"/>
      <c r="J122" s="86"/>
      <c r="K122" s="86"/>
      <c r="L122" s="86"/>
      <c r="M122" s="86"/>
      <c r="N122" s="86"/>
    </row>
    <row r="123" spans="1:14" customFormat="1" x14ac:dyDescent="0.35">
      <c r="A123" s="86"/>
      <c r="B123" s="86"/>
      <c r="C123" s="86"/>
      <c r="D123" s="86"/>
      <c r="E123" s="86"/>
      <c r="F123" s="86"/>
      <c r="G123" s="86"/>
      <c r="H123" s="86"/>
      <c r="I123" s="86"/>
      <c r="J123" s="86"/>
      <c r="K123" s="86"/>
      <c r="L123" s="86"/>
      <c r="M123" s="86"/>
      <c r="N123" s="86"/>
    </row>
    <row r="124" spans="1:14" customFormat="1" x14ac:dyDescent="0.35">
      <c r="A124" s="86"/>
      <c r="B124" s="86"/>
      <c r="C124" s="86"/>
      <c r="D124" s="86"/>
      <c r="E124" s="86"/>
      <c r="F124" s="86"/>
      <c r="G124" s="86"/>
      <c r="H124" s="86"/>
      <c r="I124" s="86"/>
      <c r="J124" s="86"/>
      <c r="K124" s="86"/>
      <c r="L124" s="86"/>
      <c r="M124" s="86"/>
      <c r="N124" s="86"/>
    </row>
    <row r="125" spans="1:14" customFormat="1" x14ac:dyDescent="0.35">
      <c r="A125" s="86"/>
      <c r="B125" s="86"/>
      <c r="C125" s="86"/>
      <c r="D125" s="86"/>
      <c r="E125" s="86"/>
      <c r="F125" s="86"/>
      <c r="G125" s="86"/>
      <c r="H125" s="86"/>
      <c r="I125" s="86"/>
      <c r="J125" s="86"/>
      <c r="K125" s="86"/>
      <c r="L125" s="86"/>
      <c r="M125" s="86"/>
      <c r="N125" s="86"/>
    </row>
    <row r="126" spans="1:14" customFormat="1" x14ac:dyDescent="0.35">
      <c r="A126" s="86"/>
      <c r="B126" s="86"/>
      <c r="C126" s="86"/>
      <c r="D126" s="86"/>
      <c r="E126" s="86"/>
      <c r="F126" s="86"/>
      <c r="G126" s="86"/>
      <c r="H126" s="86"/>
      <c r="I126" s="86"/>
      <c r="J126" s="86"/>
      <c r="K126" s="86"/>
      <c r="L126" s="86"/>
      <c r="M126" s="86"/>
      <c r="N126" s="86"/>
    </row>
    <row r="127" spans="1:14" customFormat="1" x14ac:dyDescent="0.35">
      <c r="A127" s="86"/>
      <c r="B127" s="86"/>
      <c r="C127" s="86"/>
      <c r="D127" s="86"/>
      <c r="E127" s="86"/>
      <c r="F127" s="86"/>
      <c r="G127" s="86"/>
      <c r="H127" s="86"/>
      <c r="I127" s="86"/>
      <c r="J127" s="86"/>
      <c r="K127" s="86"/>
      <c r="L127" s="86"/>
      <c r="M127" s="86"/>
      <c r="N127" s="86"/>
    </row>
    <row r="128" spans="1:14" customFormat="1" x14ac:dyDescent="0.35">
      <c r="A128" s="86"/>
      <c r="B128" s="86"/>
      <c r="C128" s="86"/>
      <c r="D128" s="86"/>
      <c r="E128" s="86"/>
      <c r="F128" s="86"/>
      <c r="G128" s="86"/>
      <c r="H128" s="86"/>
      <c r="I128" s="86"/>
      <c r="J128" s="86"/>
      <c r="K128" s="86"/>
      <c r="L128" s="86"/>
      <c r="M128" s="86"/>
      <c r="N128" s="86"/>
    </row>
    <row r="129" spans="1:14" customFormat="1" x14ac:dyDescent="0.35">
      <c r="A129" s="86"/>
      <c r="B129" s="86"/>
      <c r="C129" s="86"/>
      <c r="D129" s="86"/>
      <c r="E129" s="86"/>
      <c r="F129" s="86"/>
      <c r="G129" s="86"/>
      <c r="H129" s="86"/>
      <c r="I129" s="86"/>
      <c r="J129" s="86"/>
      <c r="K129" s="86"/>
      <c r="L129" s="86"/>
      <c r="M129" s="86"/>
      <c r="N129" s="86"/>
    </row>
    <row r="130" spans="1:14" customFormat="1" x14ac:dyDescent="0.35">
      <c r="A130" s="86"/>
      <c r="B130" s="86"/>
      <c r="C130" s="86"/>
      <c r="D130" s="86"/>
      <c r="E130" s="86"/>
      <c r="F130" s="86"/>
      <c r="G130" s="86"/>
      <c r="H130" s="86"/>
      <c r="I130" s="86"/>
      <c r="J130" s="86"/>
      <c r="K130" s="86"/>
      <c r="L130" s="86"/>
      <c r="M130" s="86"/>
      <c r="N130" s="86"/>
    </row>
    <row r="131" spans="1:14" customFormat="1" x14ac:dyDescent="0.35">
      <c r="A131" s="86"/>
      <c r="B131" s="86"/>
      <c r="C131" s="86"/>
      <c r="D131" s="86"/>
      <c r="E131" s="86"/>
      <c r="F131" s="86"/>
      <c r="G131" s="86"/>
      <c r="H131" s="86"/>
      <c r="I131" s="86"/>
      <c r="J131" s="86"/>
      <c r="K131" s="86"/>
      <c r="L131" s="86"/>
      <c r="M131" s="86"/>
      <c r="N131" s="86"/>
    </row>
    <row r="132" spans="1:14" customFormat="1" x14ac:dyDescent="0.35">
      <c r="A132" s="86"/>
      <c r="B132" s="86"/>
      <c r="C132" s="86"/>
      <c r="D132" s="86"/>
      <c r="E132" s="86"/>
      <c r="F132" s="86"/>
      <c r="G132" s="86"/>
      <c r="H132" s="86"/>
      <c r="I132" s="86"/>
      <c r="J132" s="86"/>
      <c r="K132" s="86"/>
      <c r="L132" s="86"/>
      <c r="M132" s="86"/>
      <c r="N132" s="86"/>
    </row>
    <row r="133" spans="1:14" customFormat="1" x14ac:dyDescent="0.35">
      <c r="A133" s="86"/>
      <c r="B133" s="86"/>
      <c r="C133" s="86"/>
      <c r="D133" s="86"/>
      <c r="E133" s="86"/>
      <c r="F133" s="86"/>
      <c r="G133" s="86"/>
      <c r="H133" s="86"/>
      <c r="I133" s="86"/>
      <c r="J133" s="86"/>
      <c r="K133" s="86"/>
      <c r="L133" s="86"/>
      <c r="M133" s="86"/>
      <c r="N133" s="86"/>
    </row>
    <row r="134" spans="1:14" customFormat="1" x14ac:dyDescent="0.35">
      <c r="A134" s="86"/>
      <c r="B134" s="86"/>
      <c r="C134" s="86"/>
      <c r="D134" s="86"/>
      <c r="E134" s="86"/>
      <c r="F134" s="86"/>
      <c r="G134" s="86"/>
      <c r="H134" s="86"/>
      <c r="I134" s="86"/>
      <c r="J134" s="86"/>
      <c r="K134" s="86"/>
      <c r="L134" s="86"/>
      <c r="M134" s="86"/>
      <c r="N134" s="86"/>
    </row>
    <row r="135" spans="1:14" customFormat="1" x14ac:dyDescent="0.35">
      <c r="A135" s="86"/>
      <c r="B135" s="86"/>
      <c r="C135" s="86"/>
      <c r="D135" s="86"/>
      <c r="E135" s="86"/>
      <c r="F135" s="86"/>
      <c r="G135" s="86"/>
      <c r="H135" s="86"/>
      <c r="I135" s="86"/>
      <c r="J135" s="86"/>
      <c r="K135" s="86"/>
      <c r="L135" s="86"/>
      <c r="M135" s="86"/>
      <c r="N135" s="86"/>
    </row>
    <row r="136" spans="1:14" customFormat="1" x14ac:dyDescent="0.35">
      <c r="A136" s="86"/>
      <c r="B136" s="86"/>
      <c r="C136" s="86"/>
      <c r="D136" s="86"/>
      <c r="E136" s="86"/>
      <c r="F136" s="86"/>
      <c r="G136" s="86"/>
      <c r="H136" s="86"/>
      <c r="I136" s="86"/>
      <c r="J136" s="86"/>
      <c r="K136" s="86"/>
      <c r="L136" s="86"/>
      <c r="M136" s="86"/>
      <c r="N136" s="86"/>
    </row>
    <row r="137" spans="1:14" customFormat="1" x14ac:dyDescent="0.35">
      <c r="A137" s="86"/>
      <c r="B137" s="86"/>
      <c r="C137" s="86"/>
      <c r="D137" s="86"/>
      <c r="E137" s="86"/>
      <c r="F137" s="86"/>
      <c r="G137" s="86"/>
      <c r="H137" s="86"/>
      <c r="I137" s="86"/>
      <c r="J137" s="86"/>
      <c r="K137" s="86"/>
      <c r="L137" s="86"/>
      <c r="M137" s="86"/>
      <c r="N137" s="86"/>
    </row>
    <row r="138" spans="1:14" customFormat="1" x14ac:dyDescent="0.35">
      <c r="A138" s="86"/>
      <c r="B138" s="86"/>
      <c r="C138" s="86"/>
      <c r="D138" s="86"/>
      <c r="E138" s="86"/>
      <c r="F138" s="86"/>
      <c r="G138" s="86"/>
      <c r="H138" s="86"/>
      <c r="I138" s="86"/>
      <c r="J138" s="86"/>
      <c r="K138" s="86"/>
      <c r="L138" s="86"/>
      <c r="M138" s="86"/>
      <c r="N138" s="86"/>
    </row>
    <row r="139" spans="1:14" customFormat="1" x14ac:dyDescent="0.35">
      <c r="A139" s="86"/>
      <c r="B139" s="86"/>
      <c r="C139" s="86"/>
      <c r="D139" s="86"/>
      <c r="E139" s="86"/>
      <c r="F139" s="86"/>
      <c r="G139" s="86"/>
      <c r="H139" s="86"/>
      <c r="I139" s="86"/>
      <c r="J139" s="86"/>
      <c r="K139" s="86"/>
      <c r="L139" s="86"/>
      <c r="M139" s="86"/>
      <c r="N139" s="86"/>
    </row>
    <row r="140" spans="1:14" customFormat="1" x14ac:dyDescent="0.35">
      <c r="A140" s="86"/>
      <c r="B140" s="86"/>
      <c r="C140" s="86"/>
      <c r="D140" s="86"/>
      <c r="E140" s="86"/>
      <c r="F140" s="86"/>
      <c r="G140" s="86"/>
      <c r="H140" s="86"/>
      <c r="I140" s="86"/>
      <c r="J140" s="86"/>
      <c r="K140" s="86"/>
      <c r="L140" s="86"/>
      <c r="M140" s="86"/>
      <c r="N140" s="86"/>
    </row>
    <row r="141" spans="1:14" customFormat="1" x14ac:dyDescent="0.35">
      <c r="A141" s="86"/>
      <c r="B141" s="86"/>
      <c r="C141" s="86"/>
      <c r="D141" s="86"/>
      <c r="E141" s="86"/>
      <c r="F141" s="86"/>
      <c r="G141" s="86"/>
      <c r="H141" s="86"/>
      <c r="I141" s="86"/>
      <c r="J141" s="86"/>
      <c r="K141" s="86"/>
      <c r="L141" s="86"/>
      <c r="M141" s="86"/>
      <c r="N141" s="86"/>
    </row>
    <row r="142" spans="1:14" customFormat="1" x14ac:dyDescent="0.35">
      <c r="A142" s="86"/>
      <c r="B142" s="86"/>
      <c r="C142" s="86"/>
      <c r="D142" s="86"/>
      <c r="E142" s="86"/>
      <c r="F142" s="86"/>
      <c r="G142" s="86"/>
      <c r="H142" s="86"/>
      <c r="I142" s="86"/>
      <c r="J142" s="86"/>
      <c r="K142" s="86"/>
      <c r="L142" s="86"/>
      <c r="M142" s="86"/>
      <c r="N142" s="86"/>
    </row>
    <row r="143" spans="1:14" customFormat="1" x14ac:dyDescent="0.35">
      <c r="A143" s="86"/>
      <c r="B143" s="86"/>
      <c r="C143" s="86"/>
      <c r="D143" s="86"/>
      <c r="E143" s="86"/>
      <c r="F143" s="86"/>
      <c r="G143" s="86"/>
      <c r="H143" s="86"/>
      <c r="I143" s="86"/>
      <c r="J143" s="86"/>
      <c r="K143" s="86"/>
      <c r="L143" s="86"/>
      <c r="M143" s="86"/>
      <c r="N143" s="86"/>
    </row>
    <row r="144" spans="1:14" customFormat="1" x14ac:dyDescent="0.35">
      <c r="A144" s="86"/>
      <c r="B144" s="86"/>
      <c r="C144" s="86"/>
      <c r="D144" s="86"/>
      <c r="E144" s="86"/>
      <c r="F144" s="86"/>
      <c r="G144" s="86"/>
      <c r="H144" s="86"/>
      <c r="I144" s="86"/>
      <c r="J144" s="86"/>
      <c r="K144" s="86"/>
      <c r="L144" s="86"/>
      <c r="M144" s="86"/>
      <c r="N144" s="86"/>
    </row>
    <row r="145" spans="1:14" customFormat="1" x14ac:dyDescent="0.35">
      <c r="A145" s="86"/>
      <c r="B145" s="86"/>
      <c r="C145" s="86"/>
      <c r="D145" s="86"/>
      <c r="E145" s="86"/>
      <c r="F145" s="86"/>
      <c r="G145" s="86"/>
      <c r="H145" s="86"/>
      <c r="I145" s="86"/>
      <c r="J145" s="86"/>
      <c r="K145" s="86"/>
      <c r="L145" s="86"/>
      <c r="M145" s="86"/>
      <c r="N145" s="86"/>
    </row>
  </sheetData>
  <printOptions horizontalCentered="1"/>
  <pageMargins left="0.7" right="0.7" top="0.75" bottom="0.75" header="0.3" footer="0.3"/>
  <pageSetup scale="85" orientation="landscape" blackAndWhite="1" horizontalDpi="300" verticalDpi="300" r:id="rId1"/>
  <headerFooter>
    <oddFooter>&amp;L&amp;F
&amp;A&amp;C&amp;P&amp;R&amp;D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pageSetUpPr fitToPage="1"/>
  </sheetPr>
  <dimension ref="B1:M35"/>
  <sheetViews>
    <sheetView zoomScale="80" zoomScaleNormal="80" workbookViewId="0">
      <selection activeCell="C3" sqref="C3"/>
    </sheetView>
  </sheetViews>
  <sheetFormatPr defaultColWidth="9.1796875" defaultRowHeight="14.5" x14ac:dyDescent="0.35"/>
  <cols>
    <col min="1" max="1" width="2.81640625" style="86" customWidth="1"/>
    <col min="2" max="2" width="7.81640625" style="86" customWidth="1"/>
    <col min="3" max="3" width="27.453125" style="86" customWidth="1"/>
    <col min="4" max="4" width="17.54296875" style="86" bestFit="1" customWidth="1"/>
    <col min="5" max="5" width="17" style="86" bestFit="1" customWidth="1"/>
    <col min="6" max="6" width="16.54296875" style="86" bestFit="1" customWidth="1"/>
    <col min="7" max="7" width="15.54296875" style="86" bestFit="1" customWidth="1"/>
    <col min="8" max="8" width="15.1796875" style="86" bestFit="1" customWidth="1"/>
    <col min="9" max="9" width="14.453125" style="86" bestFit="1" customWidth="1"/>
    <col min="10" max="10" width="14.7265625" style="86" bestFit="1" customWidth="1"/>
    <col min="11" max="11" width="14.453125" style="86" bestFit="1" customWidth="1"/>
    <col min="12" max="16384" width="9.1796875" style="86"/>
  </cols>
  <sheetData>
    <row r="1" spans="2:13" x14ac:dyDescent="0.35">
      <c r="B1" s="299" t="s">
        <v>0</v>
      </c>
      <c r="C1" s="299"/>
      <c r="D1" s="299"/>
      <c r="E1" s="299"/>
      <c r="F1" s="299"/>
      <c r="G1" s="299"/>
      <c r="H1" s="299"/>
      <c r="I1" s="299"/>
      <c r="J1" s="299"/>
      <c r="K1" s="299"/>
    </row>
    <row r="2" spans="2:13" x14ac:dyDescent="0.35">
      <c r="B2" s="300" t="str">
        <f>'CRM Rates'!$A$2</f>
        <v>2021 Gas Schedule 149 Cost Recovery Mechanism For Pipeline Replacement (CRM) Filing (Preliminary)</v>
      </c>
      <c r="C2" s="300"/>
      <c r="D2" s="300"/>
      <c r="E2" s="300"/>
      <c r="F2" s="300"/>
      <c r="G2" s="300"/>
      <c r="H2" s="300"/>
      <c r="I2" s="300"/>
      <c r="J2" s="300"/>
      <c r="K2" s="300"/>
      <c r="L2" s="293"/>
    </row>
    <row r="3" spans="2:13" x14ac:dyDescent="0.35">
      <c r="B3" s="299" t="s">
        <v>205</v>
      </c>
      <c r="C3" s="299"/>
      <c r="D3" s="299"/>
      <c r="E3" s="299"/>
      <c r="F3" s="299"/>
      <c r="G3" s="299"/>
      <c r="H3" s="299"/>
      <c r="I3" s="299"/>
      <c r="J3" s="299"/>
      <c r="K3" s="299"/>
    </row>
    <row r="5" spans="2:13" x14ac:dyDescent="0.35">
      <c r="D5" s="88"/>
      <c r="E5" s="88"/>
      <c r="F5" s="88" t="s">
        <v>116</v>
      </c>
      <c r="G5" s="88" t="s">
        <v>117</v>
      </c>
      <c r="H5" s="88"/>
      <c r="I5" s="88" t="s">
        <v>118</v>
      </c>
      <c r="J5" s="88" t="s">
        <v>119</v>
      </c>
      <c r="K5" s="88"/>
    </row>
    <row r="6" spans="2:13" x14ac:dyDescent="0.35">
      <c r="D6" s="88"/>
      <c r="E6" s="88" t="s">
        <v>135</v>
      </c>
      <c r="F6" s="88" t="s">
        <v>122</v>
      </c>
      <c r="G6" s="88" t="s">
        <v>123</v>
      </c>
      <c r="H6" s="88" t="s">
        <v>124</v>
      </c>
      <c r="I6" s="88" t="s">
        <v>125</v>
      </c>
      <c r="J6" s="88" t="s">
        <v>126</v>
      </c>
      <c r="K6" s="88"/>
    </row>
    <row r="7" spans="2:13" x14ac:dyDescent="0.35">
      <c r="B7" s="89" t="s">
        <v>141</v>
      </c>
      <c r="C7" s="89" t="s">
        <v>142</v>
      </c>
      <c r="D7" s="89" t="s">
        <v>90</v>
      </c>
      <c r="E7" s="89" t="s">
        <v>128</v>
      </c>
      <c r="F7" s="89" t="s">
        <v>129</v>
      </c>
      <c r="G7" s="89" t="s">
        <v>130</v>
      </c>
      <c r="H7" s="89" t="s">
        <v>131</v>
      </c>
      <c r="I7" s="89" t="s">
        <v>131</v>
      </c>
      <c r="J7" s="89" t="s">
        <v>131</v>
      </c>
      <c r="K7" s="89" t="s">
        <v>132</v>
      </c>
    </row>
    <row r="8" spans="2:13" x14ac:dyDescent="0.35">
      <c r="B8" s="103"/>
      <c r="C8" s="88"/>
      <c r="D8" s="88"/>
      <c r="E8" s="88"/>
      <c r="F8" s="88"/>
      <c r="G8" s="88"/>
      <c r="H8" s="88"/>
      <c r="I8" s="88"/>
      <c r="J8" s="88"/>
      <c r="K8" s="88"/>
    </row>
    <row r="9" spans="2:13" x14ac:dyDescent="0.35">
      <c r="B9" s="104">
        <v>376</v>
      </c>
      <c r="C9" s="86" t="s">
        <v>83</v>
      </c>
      <c r="D9" s="90">
        <f>SUM(E9:K9)</f>
        <v>1986075583.1600001</v>
      </c>
      <c r="E9" s="105">
        <v>1306583579.4651508</v>
      </c>
      <c r="F9" s="105">
        <v>475813834.95498216</v>
      </c>
      <c r="G9" s="105">
        <v>104680767.91777025</v>
      </c>
      <c r="H9" s="105">
        <v>50987439.999063767</v>
      </c>
      <c r="I9" s="105">
        <v>5490710.6869957671</v>
      </c>
      <c r="J9" s="105">
        <v>39886058.053444222</v>
      </c>
      <c r="K9" s="105">
        <v>2633192.0825931793</v>
      </c>
    </row>
    <row r="10" spans="2:13" x14ac:dyDescent="0.35">
      <c r="B10" s="104">
        <v>376</v>
      </c>
      <c r="C10" s="86" t="s">
        <v>146</v>
      </c>
      <c r="D10" s="90">
        <f>SUM(E10:K10)</f>
        <v>-724714305.39474654</v>
      </c>
      <c r="E10" s="105">
        <v>-476769272.66064942</v>
      </c>
      <c r="F10" s="105">
        <v>-173623348.38634926</v>
      </c>
      <c r="G10" s="105">
        <v>-38197765.811616585</v>
      </c>
      <c r="H10" s="105">
        <v>-18605196.839480493</v>
      </c>
      <c r="I10" s="105">
        <v>-2003547.4054408534</v>
      </c>
      <c r="J10" s="105">
        <v>-14554328.698379485</v>
      </c>
      <c r="K10" s="105">
        <v>-960845.59283045493</v>
      </c>
      <c r="M10" s="226" t="s">
        <v>261</v>
      </c>
    </row>
    <row r="11" spans="2:13" x14ac:dyDescent="0.35">
      <c r="B11" s="104">
        <v>376</v>
      </c>
      <c r="C11" s="86" t="s">
        <v>147</v>
      </c>
      <c r="D11" s="99">
        <f>SUM(E11:K11)</f>
        <v>1261361277.7652538</v>
      </c>
      <c r="E11" s="99">
        <f t="shared" ref="E11:K11" si="0">SUM(E9:E10)</f>
        <v>829814306.80450141</v>
      </c>
      <c r="F11" s="99">
        <f t="shared" si="0"/>
        <v>302190486.5686329</v>
      </c>
      <c r="G11" s="99">
        <f t="shared" si="0"/>
        <v>66483002.106153667</v>
      </c>
      <c r="H11" s="99">
        <f t="shared" si="0"/>
        <v>32382243.159583274</v>
      </c>
      <c r="I11" s="99">
        <f t="shared" si="0"/>
        <v>3487163.2815549136</v>
      </c>
      <c r="J11" s="99">
        <f t="shared" si="0"/>
        <v>25331729.355064735</v>
      </c>
      <c r="K11" s="99">
        <f t="shared" si="0"/>
        <v>1672346.4897627244</v>
      </c>
      <c r="M11" s="227">
        <f>SUM(D9:D10)-D11</f>
        <v>0</v>
      </c>
    </row>
    <row r="12" spans="2:13" x14ac:dyDescent="0.35">
      <c r="B12" s="104"/>
      <c r="C12" s="86" t="s">
        <v>145</v>
      </c>
      <c r="D12" s="102">
        <f>SUM(E12:K12)</f>
        <v>1</v>
      </c>
      <c r="E12" s="102">
        <f t="shared" ref="E12:K12" si="1">E11/$D11</f>
        <v>0.65787203193257882</v>
      </c>
      <c r="F12" s="102">
        <f t="shared" si="1"/>
        <v>0.23957488777840238</v>
      </c>
      <c r="G12" s="102">
        <f t="shared" si="1"/>
        <v>5.2707343469383494E-2</v>
      </c>
      <c r="H12" s="102">
        <f t="shared" si="1"/>
        <v>2.5672456995790058E-2</v>
      </c>
      <c r="I12" s="102">
        <f t="shared" si="1"/>
        <v>2.7646030863838628E-3</v>
      </c>
      <c r="J12" s="102">
        <f t="shared" si="1"/>
        <v>2.0082850014188487E-2</v>
      </c>
      <c r="K12" s="102">
        <f t="shared" si="1"/>
        <v>1.3258267232728205E-3</v>
      </c>
    </row>
    <row r="14" spans="2:13" x14ac:dyDescent="0.35">
      <c r="B14" s="104">
        <v>380</v>
      </c>
      <c r="C14" s="86" t="s">
        <v>84</v>
      </c>
      <c r="D14" s="90">
        <f>SUM(E14:K14)</f>
        <v>1176419999.9999998</v>
      </c>
      <c r="E14" s="105">
        <v>677007379.39249671</v>
      </c>
      <c r="F14" s="105">
        <v>478438171.8577565</v>
      </c>
      <c r="G14" s="105">
        <v>8499697.1560583673</v>
      </c>
      <c r="H14" s="105">
        <v>8532534.3420465346</v>
      </c>
      <c r="I14" s="105">
        <v>1344876.3507996157</v>
      </c>
      <c r="J14" s="105">
        <v>1098092.7451304488</v>
      </c>
      <c r="K14" s="105">
        <v>1499248.1557116287</v>
      </c>
    </row>
    <row r="15" spans="2:13" x14ac:dyDescent="0.35">
      <c r="B15" s="104">
        <v>380</v>
      </c>
      <c r="C15" s="86" t="s">
        <v>143</v>
      </c>
      <c r="D15" s="90">
        <f>SUM(E15:K15)</f>
        <v>-574607566.79999995</v>
      </c>
      <c r="E15" s="105">
        <v>-330675747.58875829</v>
      </c>
      <c r="F15" s="105">
        <v>-233687113.27198255</v>
      </c>
      <c r="G15" s="105">
        <v>-4151570.2736944109</v>
      </c>
      <c r="H15" s="105">
        <v>-4167609.1845776159</v>
      </c>
      <c r="I15" s="105">
        <v>-656887.95462490479</v>
      </c>
      <c r="J15" s="105">
        <v>-536349.60337306384</v>
      </c>
      <c r="K15" s="105">
        <v>-732288.92298910813</v>
      </c>
      <c r="M15" s="226" t="s">
        <v>261</v>
      </c>
    </row>
    <row r="16" spans="2:13" x14ac:dyDescent="0.35">
      <c r="B16" s="104">
        <v>380</v>
      </c>
      <c r="C16" s="86" t="s">
        <v>144</v>
      </c>
      <c r="D16" s="99">
        <f t="shared" ref="D16:D17" si="2">SUM(E16:K16)</f>
        <v>601812433.19999969</v>
      </c>
      <c r="E16" s="99">
        <f t="shared" ref="E16:K16" si="3">SUM(E14:E15)</f>
        <v>346331631.80373842</v>
      </c>
      <c r="F16" s="99">
        <f t="shared" si="3"/>
        <v>244751058.58577394</v>
      </c>
      <c r="G16" s="99">
        <f t="shared" si="3"/>
        <v>4348126.8823639564</v>
      </c>
      <c r="H16" s="99">
        <f t="shared" si="3"/>
        <v>4364925.1574689187</v>
      </c>
      <c r="I16" s="99">
        <f t="shared" si="3"/>
        <v>687988.39617471094</v>
      </c>
      <c r="J16" s="99">
        <f t="shared" si="3"/>
        <v>561743.14175738499</v>
      </c>
      <c r="K16" s="99">
        <f t="shared" si="3"/>
        <v>766959.2327225206</v>
      </c>
      <c r="M16" s="227">
        <f>SUM(D14:D15)-D16</f>
        <v>0</v>
      </c>
    </row>
    <row r="17" spans="2:13" x14ac:dyDescent="0.35">
      <c r="B17" s="104"/>
      <c r="C17" s="86" t="s">
        <v>145</v>
      </c>
      <c r="D17" s="102">
        <f t="shared" si="2"/>
        <v>1.0000000000000002</v>
      </c>
      <c r="E17" s="102">
        <f t="shared" ref="E17:K17" si="4">E16/$D16</f>
        <v>0.5754810181674036</v>
      </c>
      <c r="F17" s="102">
        <f t="shared" si="4"/>
        <v>0.40668993374624429</v>
      </c>
      <c r="G17" s="102">
        <f t="shared" si="4"/>
        <v>7.2250532599397923E-3</v>
      </c>
      <c r="H17" s="102">
        <f t="shared" si="4"/>
        <v>7.2529660682804928E-3</v>
      </c>
      <c r="I17" s="102">
        <f t="shared" si="4"/>
        <v>1.1431940555240614E-3</v>
      </c>
      <c r="J17" s="102">
        <f t="shared" si="4"/>
        <v>9.3341897037660816E-4</v>
      </c>
      <c r="K17" s="102">
        <f t="shared" si="4"/>
        <v>1.2744157322313709E-3</v>
      </c>
    </row>
    <row r="18" spans="2:13" x14ac:dyDescent="0.35">
      <c r="B18" s="104"/>
      <c r="E18" s="223"/>
      <c r="F18" s="223"/>
      <c r="G18" s="223"/>
      <c r="H18" s="223"/>
      <c r="I18" s="223"/>
      <c r="J18" s="223"/>
      <c r="K18" s="223"/>
      <c r="M18" s="226"/>
    </row>
    <row r="19" spans="2:13" x14ac:dyDescent="0.35">
      <c r="B19" s="104">
        <v>874</v>
      </c>
      <c r="C19" s="178" t="s">
        <v>206</v>
      </c>
      <c r="D19" s="90">
        <f>SUM(E19:K19)</f>
        <v>18158259.387260605</v>
      </c>
      <c r="E19" s="158">
        <v>11389283.621756714</v>
      </c>
      <c r="F19" s="158">
        <v>5479076.5725610275</v>
      </c>
      <c r="G19" s="158">
        <v>649853.94867423992</v>
      </c>
      <c r="H19" s="158">
        <v>341748.81968658749</v>
      </c>
      <c r="I19" s="158">
        <v>39248.232679730892</v>
      </c>
      <c r="J19" s="158">
        <v>235320.75267707065</v>
      </c>
      <c r="K19" s="158">
        <v>23727.439225231425</v>
      </c>
      <c r="M19" s="227"/>
    </row>
    <row r="20" spans="2:13" x14ac:dyDescent="0.35">
      <c r="C20" s="178" t="s">
        <v>145</v>
      </c>
      <c r="D20" s="102">
        <f>SUM(E20:K20)</f>
        <v>0.99999999999999967</v>
      </c>
      <c r="E20" s="102">
        <f>E19/$D19</f>
        <v>0.62722331358187111</v>
      </c>
      <c r="F20" s="102">
        <f t="shared" ref="F20:K20" si="5">F19/$D19</f>
        <v>0.30174018641924538</v>
      </c>
      <c r="G20" s="102">
        <f t="shared" si="5"/>
        <v>3.5788339334449741E-2</v>
      </c>
      <c r="H20" s="102">
        <f t="shared" si="5"/>
        <v>1.8820571531561567E-2</v>
      </c>
      <c r="I20" s="102">
        <f t="shared" si="5"/>
        <v>2.1614534654828483E-3</v>
      </c>
      <c r="J20" s="102">
        <f t="shared" si="5"/>
        <v>1.2959433371800272E-2</v>
      </c>
      <c r="K20" s="102">
        <f t="shared" si="5"/>
        <v>1.3067022955888614E-3</v>
      </c>
    </row>
    <row r="22" spans="2:13" x14ac:dyDescent="0.35">
      <c r="B22" s="301">
        <v>878</v>
      </c>
      <c r="C22" s="302" t="s">
        <v>207</v>
      </c>
      <c r="D22" s="303">
        <f>SUM(E22:K22)</f>
        <v>2973291.5607245164</v>
      </c>
      <c r="E22" s="158">
        <v>2354360.0167112835</v>
      </c>
      <c r="F22" s="158">
        <v>606772.57417975529</v>
      </c>
      <c r="G22" s="158">
        <v>12028.212115445152</v>
      </c>
      <c r="H22" s="158">
        <v>68.268365354355169</v>
      </c>
      <c r="I22" s="158">
        <v>39.733230892989994</v>
      </c>
      <c r="J22" s="158">
        <v>0</v>
      </c>
      <c r="K22" s="158">
        <v>22.756121784785059</v>
      </c>
    </row>
    <row r="23" spans="2:13" x14ac:dyDescent="0.35">
      <c r="B23" s="301">
        <v>878</v>
      </c>
      <c r="C23" s="302" t="s">
        <v>145</v>
      </c>
      <c r="D23" s="304">
        <f>SUM(E23:K23)</f>
        <v>0.99999999999999978</v>
      </c>
      <c r="E23" s="304">
        <f>E22/$D22</f>
        <v>0.79183624230164129</v>
      </c>
      <c r="F23" s="304">
        <f t="shared" ref="F23:K23" si="6">F22/$D22</f>
        <v>0.20407436061598347</v>
      </c>
      <c r="G23" s="304">
        <f t="shared" si="6"/>
        <v>4.0454196535351476E-3</v>
      </c>
      <c r="H23" s="304">
        <f t="shared" si="6"/>
        <v>2.2960535137603488E-5</v>
      </c>
      <c r="I23" s="304">
        <f t="shared" si="6"/>
        <v>1.3363381989793159E-5</v>
      </c>
      <c r="J23" s="304">
        <f t="shared" si="6"/>
        <v>0</v>
      </c>
      <c r="K23" s="304">
        <f t="shared" si="6"/>
        <v>7.6535117125344954E-6</v>
      </c>
    </row>
    <row r="25" spans="2:13" x14ac:dyDescent="0.35">
      <c r="B25" s="104">
        <v>887</v>
      </c>
      <c r="C25" s="86" t="s">
        <v>277</v>
      </c>
      <c r="D25" s="90">
        <f>SUM(E25:K25)</f>
        <v>8777737.9699345045</v>
      </c>
      <c r="E25" s="158">
        <v>5774628.3140525632</v>
      </c>
      <c r="F25" s="158">
        <v>2102925.5890952814</v>
      </c>
      <c r="G25" s="158">
        <v>462651.25006558705</v>
      </c>
      <c r="H25" s="158">
        <v>225346.10055345713</v>
      </c>
      <c r="I25" s="158">
        <v>24266.96148314976</v>
      </c>
      <c r="J25" s="158">
        <v>176281.99511404205</v>
      </c>
      <c r="K25" s="158">
        <v>11637.759570425686</v>
      </c>
    </row>
    <row r="26" spans="2:13" x14ac:dyDescent="0.35">
      <c r="B26" s="104">
        <v>887</v>
      </c>
      <c r="C26" s="178" t="s">
        <v>145</v>
      </c>
      <c r="D26" s="102">
        <f>SUM(E26:K26)</f>
        <v>1.0000000000000002</v>
      </c>
      <c r="E26" s="102">
        <f>E25/$D25</f>
        <v>0.65787203193257893</v>
      </c>
      <c r="F26" s="102">
        <f t="shared" ref="F26:K26" si="7">F25/$D25</f>
        <v>0.2395748877784025</v>
      </c>
      <c r="G26" s="102">
        <f t="shared" si="7"/>
        <v>5.2707343469383508E-2</v>
      </c>
      <c r="H26" s="102">
        <f t="shared" si="7"/>
        <v>2.5672456995790061E-2</v>
      </c>
      <c r="I26" s="102">
        <f t="shared" si="7"/>
        <v>2.7646030863838636E-3</v>
      </c>
      <c r="J26" s="102">
        <f t="shared" si="7"/>
        <v>2.0082850014188493E-2</v>
      </c>
      <c r="K26" s="102">
        <f t="shared" si="7"/>
        <v>1.3258267232728208E-3</v>
      </c>
    </row>
    <row r="28" spans="2:13" x14ac:dyDescent="0.35">
      <c r="B28" s="104">
        <v>892</v>
      </c>
      <c r="C28" s="86" t="s">
        <v>311</v>
      </c>
      <c r="D28" s="90">
        <v>4898591.6298621129</v>
      </c>
      <c r="E28" s="158">
        <v>2819046.4987393692</v>
      </c>
      <c r="F28" s="158">
        <v>1992207.9053985288</v>
      </c>
      <c r="G28" s="158">
        <v>35392.585424449033</v>
      </c>
      <c r="H28" s="158">
        <v>35529.318873752731</v>
      </c>
      <c r="I28" s="158">
        <v>5600.0408316982894</v>
      </c>
      <c r="J28" s="158">
        <v>4572.4383554413616</v>
      </c>
      <c r="K28" s="158">
        <v>6242.8422388731869</v>
      </c>
    </row>
    <row r="29" spans="2:13" x14ac:dyDescent="0.35">
      <c r="B29" s="104">
        <v>892</v>
      </c>
      <c r="C29" s="178" t="s">
        <v>145</v>
      </c>
      <c r="D29" s="102">
        <f>SUM(E29:K29)</f>
        <v>1</v>
      </c>
      <c r="E29" s="102">
        <f>E28/$D28</f>
        <v>0.57548101816740349</v>
      </c>
      <c r="F29" s="102">
        <f t="shared" ref="F29:K29" si="8">F28/$D28</f>
        <v>0.40668993374624413</v>
      </c>
      <c r="G29" s="102">
        <f t="shared" si="8"/>
        <v>7.2250532599397906E-3</v>
      </c>
      <c r="H29" s="102">
        <f t="shared" si="8"/>
        <v>7.2529660682804911E-3</v>
      </c>
      <c r="I29" s="102">
        <f t="shared" si="8"/>
        <v>1.1431940555240612E-3</v>
      </c>
      <c r="J29" s="102">
        <f t="shared" si="8"/>
        <v>9.3341897037660761E-4</v>
      </c>
      <c r="K29" s="102">
        <f t="shared" si="8"/>
        <v>1.2744157322313705E-3</v>
      </c>
    </row>
    <row r="30" spans="2:13" x14ac:dyDescent="0.35">
      <c r="C30" s="302"/>
      <c r="D30" s="102"/>
      <c r="E30" s="102"/>
      <c r="F30" s="102"/>
      <c r="G30" s="102"/>
      <c r="H30" s="102"/>
      <c r="I30" s="102"/>
      <c r="J30" s="102"/>
      <c r="K30" s="102"/>
    </row>
    <row r="31" spans="2:13" x14ac:dyDescent="0.35">
      <c r="B31" s="104">
        <v>893</v>
      </c>
      <c r="C31" s="86" t="s">
        <v>314</v>
      </c>
      <c r="D31" s="90">
        <v>1085653.5718860903</v>
      </c>
      <c r="E31" s="158">
        <v>859659.84480363666</v>
      </c>
      <c r="F31" s="158">
        <v>221554.05853311255</v>
      </c>
      <c r="G31" s="158">
        <v>4391.9242966386228</v>
      </c>
      <c r="H31" s="158">
        <v>24.927186984555306</v>
      </c>
      <c r="I31" s="158">
        <v>14.50800338969719</v>
      </c>
      <c r="J31" s="158">
        <v>0</v>
      </c>
      <c r="K31" s="158">
        <v>8.309062328185103</v>
      </c>
    </row>
    <row r="32" spans="2:13" x14ac:dyDescent="0.35">
      <c r="B32" s="104">
        <v>893</v>
      </c>
      <c r="C32" s="178" t="s">
        <v>145</v>
      </c>
      <c r="D32" s="102">
        <f>SUM(E32:K32)</f>
        <v>0.99999999999999989</v>
      </c>
      <c r="E32" s="102">
        <f>E31/$D31</f>
        <v>0.7918362423016414</v>
      </c>
      <c r="F32" s="102">
        <f t="shared" ref="F32:K32" si="9">F31/$D31</f>
        <v>0.2040743606159835</v>
      </c>
      <c r="G32" s="102">
        <f t="shared" si="9"/>
        <v>4.0454196535351476E-3</v>
      </c>
      <c r="H32" s="102">
        <f t="shared" si="9"/>
        <v>2.2960535137603484E-5</v>
      </c>
      <c r="I32" s="102">
        <f t="shared" si="9"/>
        <v>1.3363381989793157E-5</v>
      </c>
      <c r="J32" s="102">
        <f t="shared" si="9"/>
        <v>0</v>
      </c>
      <c r="K32" s="102">
        <f t="shared" si="9"/>
        <v>7.6535117125344954E-6</v>
      </c>
    </row>
    <row r="33" spans="2:11" x14ac:dyDescent="0.35">
      <c r="C33" s="302"/>
      <c r="D33" s="102"/>
      <c r="E33" s="102"/>
      <c r="F33" s="102"/>
      <c r="G33" s="102"/>
      <c r="H33" s="102"/>
      <c r="I33" s="102"/>
      <c r="J33" s="102"/>
      <c r="K33" s="102"/>
    </row>
    <row r="34" spans="2:11" x14ac:dyDescent="0.35">
      <c r="C34" s="302"/>
      <c r="D34" s="102"/>
      <c r="E34" s="102"/>
      <c r="F34" s="102"/>
      <c r="G34" s="102"/>
      <c r="H34" s="102"/>
      <c r="I34" s="102"/>
      <c r="J34" s="102"/>
      <c r="K34" s="102"/>
    </row>
    <row r="35" spans="2:11" x14ac:dyDescent="0.35">
      <c r="B35" s="267" t="s">
        <v>264</v>
      </c>
    </row>
  </sheetData>
  <printOptions horizontalCentered="1"/>
  <pageMargins left="0.7" right="0.7" top="0.75" bottom="0.75" header="0.3" footer="0.3"/>
  <pageSetup scale="77" orientation="landscape" blackAndWhite="1" horizontalDpi="300" verticalDpi="300" r:id="rId1"/>
  <headerFooter>
    <oddFooter>&amp;L&amp;F
&amp;A&amp;C&amp;P&amp;R&amp;D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pageSetUpPr fitToPage="1"/>
  </sheetPr>
  <dimension ref="A1:P31"/>
  <sheetViews>
    <sheetView zoomScale="90" zoomScaleNormal="90" workbookViewId="0">
      <selection activeCell="A7" sqref="A7"/>
    </sheetView>
  </sheetViews>
  <sheetFormatPr defaultColWidth="9.1796875" defaultRowHeight="14.5" x14ac:dyDescent="0.35"/>
  <cols>
    <col min="1" max="1" width="18.6328125" style="106" customWidth="1"/>
    <col min="2" max="7" width="11" style="106" bestFit="1" customWidth="1"/>
    <col min="8" max="13" width="10" style="106" bestFit="1" customWidth="1"/>
    <col min="14" max="14" width="12.54296875" style="106" bestFit="1" customWidth="1"/>
    <col min="15" max="15" width="9.1796875" style="106"/>
    <col min="16" max="16" width="11.36328125" style="106" bestFit="1" customWidth="1"/>
    <col min="17" max="16384" width="9.1796875" style="106"/>
  </cols>
  <sheetData>
    <row r="1" spans="1:16" x14ac:dyDescent="0.35">
      <c r="A1" s="107" t="s">
        <v>0</v>
      </c>
      <c r="B1" s="107"/>
      <c r="C1" s="107"/>
      <c r="D1" s="107"/>
      <c r="E1" s="107"/>
      <c r="F1" s="107"/>
      <c r="G1" s="107"/>
      <c r="H1" s="107"/>
      <c r="I1" s="107"/>
      <c r="J1" s="107"/>
      <c r="K1" s="107"/>
      <c r="L1" s="107"/>
      <c r="M1" s="107"/>
      <c r="N1" s="107"/>
    </row>
    <row r="2" spans="1:16" x14ac:dyDescent="0.35">
      <c r="A2" s="295" t="str">
        <f>'CRM Rates'!$A$2</f>
        <v>2021 Gas Schedule 149 Cost Recovery Mechanism For Pipeline Replacement (CRM) Filing (Preliminary)</v>
      </c>
      <c r="B2" s="294"/>
      <c r="C2" s="294"/>
      <c r="D2" s="294"/>
      <c r="E2" s="294"/>
      <c r="F2" s="294"/>
      <c r="G2" s="294"/>
      <c r="H2" s="294"/>
      <c r="I2" s="294"/>
      <c r="J2" s="294"/>
      <c r="K2" s="294"/>
      <c r="L2" s="294"/>
      <c r="M2" s="294"/>
      <c r="N2" s="294"/>
    </row>
    <row r="3" spans="1:16" x14ac:dyDescent="0.35">
      <c r="A3" s="107" t="s">
        <v>162</v>
      </c>
      <c r="B3" s="107"/>
      <c r="C3" s="107"/>
      <c r="D3" s="107"/>
      <c r="E3" s="107"/>
      <c r="F3" s="107"/>
      <c r="G3" s="107"/>
      <c r="H3" s="107"/>
      <c r="I3" s="107"/>
      <c r="J3" s="107"/>
      <c r="K3" s="107"/>
      <c r="L3" s="107"/>
      <c r="M3" s="107"/>
      <c r="N3" s="107"/>
    </row>
    <row r="4" spans="1:16" s="535" customFormat="1" x14ac:dyDescent="0.35">
      <c r="A4" s="534" t="str">
        <f>TEXT(B7,"MMMM YYYY")&amp;" - "&amp;TEXT(M7,"MMMM YYYY")</f>
        <v>November 2021 - October 2022</v>
      </c>
      <c r="B4" s="534"/>
      <c r="C4" s="534"/>
      <c r="D4" s="534"/>
      <c r="E4" s="534"/>
      <c r="F4" s="534"/>
      <c r="G4" s="534"/>
      <c r="H4" s="534"/>
      <c r="I4" s="534"/>
      <c r="J4" s="534"/>
      <c r="K4" s="534"/>
      <c r="L4" s="534"/>
      <c r="M4" s="534"/>
      <c r="N4" s="534"/>
    </row>
    <row r="5" spans="1:16" x14ac:dyDescent="0.35">
      <c r="A5" s="107"/>
      <c r="B5" s="107"/>
      <c r="C5" s="107"/>
      <c r="D5" s="107"/>
      <c r="E5" s="107"/>
      <c r="F5" s="107"/>
      <c r="G5" s="107"/>
      <c r="H5" s="107"/>
      <c r="I5" s="107"/>
      <c r="J5" s="107"/>
      <c r="K5" s="107"/>
      <c r="L5" s="107"/>
    </row>
    <row r="6" spans="1:16" x14ac:dyDescent="0.35">
      <c r="A6" s="107"/>
      <c r="B6" s="107"/>
      <c r="C6" s="107"/>
      <c r="D6" s="107"/>
      <c r="E6" s="107"/>
      <c r="F6" s="107"/>
      <c r="G6" s="107"/>
      <c r="H6" s="107"/>
      <c r="I6" s="107"/>
      <c r="J6" s="107"/>
      <c r="K6" s="107"/>
      <c r="L6" s="107"/>
    </row>
    <row r="7" spans="1:16" x14ac:dyDescent="0.35">
      <c r="A7" s="106" t="s">
        <v>163</v>
      </c>
      <c r="B7" s="531">
        <v>44501</v>
      </c>
      <c r="C7" s="532">
        <f>EDATE(B7,1)</f>
        <v>44531</v>
      </c>
      <c r="D7" s="532">
        <f t="shared" ref="D7:M7" si="0">EDATE(C7,1)</f>
        <v>44562</v>
      </c>
      <c r="E7" s="532">
        <f t="shared" si="0"/>
        <v>44593</v>
      </c>
      <c r="F7" s="532">
        <f t="shared" si="0"/>
        <v>44621</v>
      </c>
      <c r="G7" s="532">
        <f t="shared" si="0"/>
        <v>44652</v>
      </c>
      <c r="H7" s="532">
        <f t="shared" si="0"/>
        <v>44682</v>
      </c>
      <c r="I7" s="532">
        <f t="shared" si="0"/>
        <v>44713</v>
      </c>
      <c r="J7" s="532">
        <f t="shared" si="0"/>
        <v>44743</v>
      </c>
      <c r="K7" s="532">
        <f t="shared" si="0"/>
        <v>44774</v>
      </c>
      <c r="L7" s="532">
        <f t="shared" si="0"/>
        <v>44805</v>
      </c>
      <c r="M7" s="532">
        <f t="shared" si="0"/>
        <v>44835</v>
      </c>
      <c r="N7" s="108" t="s">
        <v>90</v>
      </c>
    </row>
    <row r="8" spans="1:16" x14ac:dyDescent="0.35">
      <c r="A8" s="109">
        <v>16</v>
      </c>
      <c r="B8" s="533">
        <v>736</v>
      </c>
      <c r="C8" s="533">
        <v>736</v>
      </c>
      <c r="D8" s="533">
        <v>736</v>
      </c>
      <c r="E8" s="533">
        <v>736</v>
      </c>
      <c r="F8" s="533">
        <v>736</v>
      </c>
      <c r="G8" s="533">
        <v>736</v>
      </c>
      <c r="H8" s="533">
        <v>736</v>
      </c>
      <c r="I8" s="533">
        <v>736</v>
      </c>
      <c r="J8" s="533">
        <v>736</v>
      </c>
      <c r="K8" s="533">
        <v>736</v>
      </c>
      <c r="L8" s="533">
        <v>736</v>
      </c>
      <c r="M8" s="533">
        <v>736</v>
      </c>
      <c r="N8" s="110">
        <f t="shared" ref="N8:N21" si="1">SUM(B8:M8)</f>
        <v>8832</v>
      </c>
      <c r="P8" s="110"/>
    </row>
    <row r="9" spans="1:16" x14ac:dyDescent="0.35">
      <c r="A9" s="109">
        <v>23</v>
      </c>
      <c r="B9" s="533">
        <v>77226266</v>
      </c>
      <c r="C9" s="533">
        <v>101228189</v>
      </c>
      <c r="D9" s="533">
        <v>97629643</v>
      </c>
      <c r="E9" s="533">
        <v>82776520</v>
      </c>
      <c r="F9" s="533">
        <v>75711323</v>
      </c>
      <c r="G9" s="533">
        <v>53531967</v>
      </c>
      <c r="H9" s="533">
        <v>30642000</v>
      </c>
      <c r="I9" s="533">
        <v>20339874</v>
      </c>
      <c r="J9" s="533">
        <v>14770079</v>
      </c>
      <c r="K9" s="533">
        <v>14130402</v>
      </c>
      <c r="L9" s="533">
        <v>20723185</v>
      </c>
      <c r="M9" s="533">
        <v>47412595</v>
      </c>
      <c r="N9" s="110">
        <f t="shared" si="1"/>
        <v>636122043</v>
      </c>
    </row>
    <row r="10" spans="1:16" x14ac:dyDescent="0.35">
      <c r="A10" s="109">
        <v>53</v>
      </c>
      <c r="B10" s="533">
        <v>0</v>
      </c>
      <c r="C10" s="533">
        <v>0</v>
      </c>
      <c r="D10" s="533">
        <v>0</v>
      </c>
      <c r="E10" s="533">
        <v>0</v>
      </c>
      <c r="F10" s="533">
        <v>0</v>
      </c>
      <c r="G10" s="533">
        <v>0</v>
      </c>
      <c r="H10" s="533">
        <v>0</v>
      </c>
      <c r="I10" s="533">
        <v>0</v>
      </c>
      <c r="J10" s="533">
        <v>0</v>
      </c>
      <c r="K10" s="533">
        <v>0</v>
      </c>
      <c r="L10" s="533">
        <v>0</v>
      </c>
      <c r="M10" s="533">
        <v>0</v>
      </c>
      <c r="N10" s="110">
        <f t="shared" si="1"/>
        <v>0</v>
      </c>
    </row>
    <row r="11" spans="1:16" x14ac:dyDescent="0.35">
      <c r="A11" s="109">
        <v>31</v>
      </c>
      <c r="B11" s="533">
        <v>25696666</v>
      </c>
      <c r="C11" s="533">
        <v>34604284</v>
      </c>
      <c r="D11" s="533">
        <v>32247826</v>
      </c>
      <c r="E11" s="533">
        <v>29473501</v>
      </c>
      <c r="F11" s="533">
        <v>26722299</v>
      </c>
      <c r="G11" s="533">
        <v>19380229</v>
      </c>
      <c r="H11" s="533">
        <v>13744464</v>
      </c>
      <c r="I11" s="533">
        <v>10592700</v>
      </c>
      <c r="J11" s="533">
        <v>8776103</v>
      </c>
      <c r="K11" s="533">
        <v>9060379</v>
      </c>
      <c r="L11" s="533">
        <v>10256642</v>
      </c>
      <c r="M11" s="533">
        <v>17267214</v>
      </c>
      <c r="N11" s="110">
        <f t="shared" si="1"/>
        <v>237822307</v>
      </c>
    </row>
    <row r="12" spans="1:16" x14ac:dyDescent="0.35">
      <c r="A12" s="109">
        <v>41</v>
      </c>
      <c r="B12" s="533">
        <v>7215199</v>
      </c>
      <c r="C12" s="533">
        <v>8430886</v>
      </c>
      <c r="D12" s="533">
        <v>7828852</v>
      </c>
      <c r="E12" s="533">
        <v>7587579</v>
      </c>
      <c r="F12" s="533">
        <v>7109959</v>
      </c>
      <c r="G12" s="533">
        <v>5558340</v>
      </c>
      <c r="H12" s="533">
        <v>4385104</v>
      </c>
      <c r="I12" s="533">
        <v>3622276</v>
      </c>
      <c r="J12" s="533">
        <v>2887132</v>
      </c>
      <c r="K12" s="533">
        <v>3010217</v>
      </c>
      <c r="L12" s="533">
        <v>3460063</v>
      </c>
      <c r="M12" s="533">
        <v>5364177</v>
      </c>
      <c r="N12" s="110">
        <f t="shared" si="1"/>
        <v>66459784</v>
      </c>
    </row>
    <row r="13" spans="1:16" x14ac:dyDescent="0.35">
      <c r="A13" s="109">
        <v>85</v>
      </c>
      <c r="B13" s="533">
        <v>1230237</v>
      </c>
      <c r="C13" s="533">
        <v>1558385</v>
      </c>
      <c r="D13" s="533">
        <v>1304020</v>
      </c>
      <c r="E13" s="533">
        <v>1285951</v>
      </c>
      <c r="F13" s="533">
        <v>1181874</v>
      </c>
      <c r="G13" s="533">
        <v>952572</v>
      </c>
      <c r="H13" s="533">
        <v>858589</v>
      </c>
      <c r="I13" s="533">
        <v>655198</v>
      </c>
      <c r="J13" s="533">
        <v>618117</v>
      </c>
      <c r="K13" s="533">
        <v>677311</v>
      </c>
      <c r="L13" s="533">
        <v>685720</v>
      </c>
      <c r="M13" s="533">
        <v>979115</v>
      </c>
      <c r="N13" s="110">
        <f t="shared" si="1"/>
        <v>11987089</v>
      </c>
    </row>
    <row r="14" spans="1:16" x14ac:dyDescent="0.35">
      <c r="A14" s="109">
        <v>86</v>
      </c>
      <c r="B14" s="533">
        <v>650859</v>
      </c>
      <c r="C14" s="533">
        <v>950945</v>
      </c>
      <c r="D14" s="533">
        <v>816495</v>
      </c>
      <c r="E14" s="533">
        <v>803229</v>
      </c>
      <c r="F14" s="533">
        <v>753977</v>
      </c>
      <c r="G14" s="533">
        <v>526235</v>
      </c>
      <c r="H14" s="533">
        <v>441272</v>
      </c>
      <c r="I14" s="533">
        <v>265181</v>
      </c>
      <c r="J14" s="533">
        <v>191912</v>
      </c>
      <c r="K14" s="533">
        <v>156558</v>
      </c>
      <c r="L14" s="533">
        <v>175194</v>
      </c>
      <c r="M14" s="533">
        <v>393875</v>
      </c>
      <c r="N14" s="110">
        <f t="shared" si="1"/>
        <v>6125732</v>
      </c>
    </row>
    <row r="15" spans="1:16" x14ac:dyDescent="0.35">
      <c r="A15" s="109">
        <v>87</v>
      </c>
      <c r="B15" s="533">
        <v>1890183</v>
      </c>
      <c r="C15" s="533">
        <v>2322769</v>
      </c>
      <c r="D15" s="533">
        <v>1713555</v>
      </c>
      <c r="E15" s="533">
        <v>1658047</v>
      </c>
      <c r="F15" s="533">
        <v>1575980</v>
      </c>
      <c r="G15" s="533">
        <v>1204234</v>
      </c>
      <c r="H15" s="533">
        <v>1185540</v>
      </c>
      <c r="I15" s="533">
        <v>958990</v>
      </c>
      <c r="J15" s="533">
        <v>955191</v>
      </c>
      <c r="K15" s="533">
        <v>1028475</v>
      </c>
      <c r="L15" s="533">
        <v>1054506</v>
      </c>
      <c r="M15" s="533">
        <v>1669422</v>
      </c>
      <c r="N15" s="110">
        <f t="shared" si="1"/>
        <v>17216892</v>
      </c>
    </row>
    <row r="16" spans="1:16" x14ac:dyDescent="0.35">
      <c r="A16" s="109" t="s">
        <v>164</v>
      </c>
      <c r="B16" s="533">
        <v>4109</v>
      </c>
      <c r="C16" s="533">
        <v>4425</v>
      </c>
      <c r="D16" s="533">
        <v>3578</v>
      </c>
      <c r="E16" s="533">
        <v>3826</v>
      </c>
      <c r="F16" s="533">
        <v>3345</v>
      </c>
      <c r="G16" s="533">
        <v>2920</v>
      </c>
      <c r="H16" s="533">
        <v>2157</v>
      </c>
      <c r="I16" s="533">
        <v>2030</v>
      </c>
      <c r="J16" s="533">
        <v>1768</v>
      </c>
      <c r="K16" s="533">
        <v>1994</v>
      </c>
      <c r="L16" s="533">
        <v>2086</v>
      </c>
      <c r="M16" s="533">
        <v>2903</v>
      </c>
      <c r="N16" s="110">
        <f t="shared" si="1"/>
        <v>35141</v>
      </c>
    </row>
    <row r="17" spans="1:14" x14ac:dyDescent="0.35">
      <c r="A17" s="109" t="s">
        <v>165</v>
      </c>
      <c r="B17" s="533">
        <v>2114503</v>
      </c>
      <c r="C17" s="533">
        <v>2083792</v>
      </c>
      <c r="D17" s="533">
        <v>2039453</v>
      </c>
      <c r="E17" s="533">
        <v>2242537</v>
      </c>
      <c r="F17" s="533">
        <v>1891397</v>
      </c>
      <c r="G17" s="533">
        <v>2126480</v>
      </c>
      <c r="H17" s="533">
        <v>1987313</v>
      </c>
      <c r="I17" s="533">
        <v>2099137</v>
      </c>
      <c r="J17" s="533">
        <v>1909781</v>
      </c>
      <c r="K17" s="533">
        <v>1955068</v>
      </c>
      <c r="L17" s="533">
        <v>1898647</v>
      </c>
      <c r="M17" s="533">
        <v>1933338</v>
      </c>
      <c r="N17" s="110">
        <f t="shared" si="1"/>
        <v>24281446</v>
      </c>
    </row>
    <row r="18" spans="1:14" x14ac:dyDescent="0.35">
      <c r="A18" s="109" t="s">
        <v>166</v>
      </c>
      <c r="B18" s="533">
        <v>5929996</v>
      </c>
      <c r="C18" s="533">
        <v>5617114</v>
      </c>
      <c r="D18" s="533">
        <v>5098233</v>
      </c>
      <c r="E18" s="533">
        <v>6295740</v>
      </c>
      <c r="F18" s="533">
        <v>5003526</v>
      </c>
      <c r="G18" s="533">
        <v>5599532</v>
      </c>
      <c r="H18" s="533">
        <v>4991271</v>
      </c>
      <c r="I18" s="533">
        <v>5322277</v>
      </c>
      <c r="J18" s="533">
        <v>4889611</v>
      </c>
      <c r="K18" s="533">
        <v>4877840</v>
      </c>
      <c r="L18" s="533">
        <v>4918712</v>
      </c>
      <c r="M18" s="533">
        <v>5389327</v>
      </c>
      <c r="N18" s="110">
        <f t="shared" si="1"/>
        <v>63933179</v>
      </c>
    </row>
    <row r="19" spans="1:14" x14ac:dyDescent="0.35">
      <c r="A19" s="109" t="s">
        <v>167</v>
      </c>
      <c r="B19" s="533">
        <v>43197</v>
      </c>
      <c r="C19" s="533">
        <v>45165</v>
      </c>
      <c r="D19" s="533">
        <v>40748</v>
      </c>
      <c r="E19" s="533">
        <v>57530</v>
      </c>
      <c r="F19" s="533">
        <v>32681</v>
      </c>
      <c r="G19" s="533">
        <v>42011</v>
      </c>
      <c r="H19" s="533">
        <v>38170</v>
      </c>
      <c r="I19" s="533">
        <v>42895</v>
      </c>
      <c r="J19" s="533">
        <v>42680</v>
      </c>
      <c r="K19" s="533">
        <v>40016</v>
      </c>
      <c r="L19" s="533">
        <v>40804</v>
      </c>
      <c r="M19" s="533">
        <v>39503</v>
      </c>
      <c r="N19" s="110">
        <f t="shared" si="1"/>
        <v>505400</v>
      </c>
    </row>
    <row r="20" spans="1:14" x14ac:dyDescent="0.35">
      <c r="A20" s="109" t="s">
        <v>168</v>
      </c>
      <c r="B20" s="533">
        <v>7227681</v>
      </c>
      <c r="C20" s="533">
        <v>7811434</v>
      </c>
      <c r="D20" s="533">
        <v>6576920</v>
      </c>
      <c r="E20" s="533">
        <v>8830594</v>
      </c>
      <c r="F20" s="533">
        <v>6705515</v>
      </c>
      <c r="G20" s="533">
        <v>6811133</v>
      </c>
      <c r="H20" s="533">
        <v>6550630</v>
      </c>
      <c r="I20" s="533">
        <v>6975634</v>
      </c>
      <c r="J20" s="533">
        <v>7212794</v>
      </c>
      <c r="K20" s="533">
        <v>6993330</v>
      </c>
      <c r="L20" s="533">
        <v>6656226</v>
      </c>
      <c r="M20" s="533">
        <v>6902285</v>
      </c>
      <c r="N20" s="110">
        <f t="shared" si="1"/>
        <v>85254176</v>
      </c>
    </row>
    <row r="21" spans="1:14" x14ac:dyDescent="0.35">
      <c r="A21" s="109">
        <v>99</v>
      </c>
      <c r="B21" s="533">
        <v>3370935</v>
      </c>
      <c r="C21" s="533">
        <v>3652403</v>
      </c>
      <c r="D21" s="533">
        <v>3343103</v>
      </c>
      <c r="E21" s="533">
        <v>4509808</v>
      </c>
      <c r="F21" s="533">
        <v>2695531</v>
      </c>
      <c r="G21" s="533">
        <v>2626852</v>
      </c>
      <c r="H21" s="533">
        <v>1971660</v>
      </c>
      <c r="I21" s="533">
        <v>1964330</v>
      </c>
      <c r="J21" s="533">
        <v>1720722</v>
      </c>
      <c r="K21" s="533">
        <v>1577802</v>
      </c>
      <c r="L21" s="533">
        <v>1733639</v>
      </c>
      <c r="M21" s="533">
        <v>2451673</v>
      </c>
      <c r="N21" s="110">
        <f t="shared" si="1"/>
        <v>31618458</v>
      </c>
    </row>
    <row r="22" spans="1:14" x14ac:dyDescent="0.35">
      <c r="A22" s="109" t="s">
        <v>90</v>
      </c>
      <c r="B22" s="111">
        <f>SUM(B8:B21)</f>
        <v>132600567</v>
      </c>
      <c r="C22" s="111">
        <f t="shared" ref="C22:M22" si="2">SUM(C8:C21)</f>
        <v>168310527</v>
      </c>
      <c r="D22" s="111">
        <f t="shared" si="2"/>
        <v>158643162</v>
      </c>
      <c r="E22" s="111">
        <f t="shared" si="2"/>
        <v>145525598</v>
      </c>
      <c r="F22" s="111">
        <f t="shared" si="2"/>
        <v>129388143</v>
      </c>
      <c r="G22" s="111">
        <f t="shared" si="2"/>
        <v>98363241</v>
      </c>
      <c r="H22" s="111">
        <f t="shared" si="2"/>
        <v>66798906</v>
      </c>
      <c r="I22" s="111">
        <f t="shared" si="2"/>
        <v>52841258</v>
      </c>
      <c r="J22" s="111">
        <f t="shared" si="2"/>
        <v>43976626</v>
      </c>
      <c r="K22" s="111">
        <f t="shared" si="2"/>
        <v>43510128</v>
      </c>
      <c r="L22" s="111">
        <f t="shared" si="2"/>
        <v>51606160</v>
      </c>
      <c r="M22" s="111">
        <f t="shared" si="2"/>
        <v>89806163</v>
      </c>
      <c r="N22" s="111">
        <f>SUM(N8:N21)</f>
        <v>1181370479</v>
      </c>
    </row>
    <row r="23" spans="1:14" x14ac:dyDescent="0.35">
      <c r="A23" s="109"/>
      <c r="B23" s="310"/>
      <c r="C23" s="310"/>
      <c r="D23" s="310"/>
      <c r="E23" s="310"/>
      <c r="F23" s="310"/>
      <c r="G23" s="310"/>
      <c r="H23" s="310"/>
      <c r="I23" s="310"/>
      <c r="J23" s="310"/>
      <c r="K23" s="310"/>
      <c r="L23" s="310"/>
      <c r="M23" s="310"/>
      <c r="N23" s="110"/>
    </row>
    <row r="24" spans="1:14" x14ac:dyDescent="0.35">
      <c r="A24" s="109" t="s">
        <v>169</v>
      </c>
      <c r="B24" s="110">
        <f>SUM(B8:B12)</f>
        <v>110138867</v>
      </c>
      <c r="C24" s="110">
        <f t="shared" ref="C24:M24" si="3">SUM(C8:C12)</f>
        <v>144264095</v>
      </c>
      <c r="D24" s="110">
        <f t="shared" si="3"/>
        <v>137707057</v>
      </c>
      <c r="E24" s="110">
        <f t="shared" si="3"/>
        <v>119838336</v>
      </c>
      <c r="F24" s="110">
        <f t="shared" si="3"/>
        <v>109544317</v>
      </c>
      <c r="G24" s="110">
        <f t="shared" si="3"/>
        <v>78471272</v>
      </c>
      <c r="H24" s="110">
        <f t="shared" si="3"/>
        <v>48772304</v>
      </c>
      <c r="I24" s="110">
        <f t="shared" si="3"/>
        <v>34555586</v>
      </c>
      <c r="J24" s="110">
        <f t="shared" si="3"/>
        <v>26434050</v>
      </c>
      <c r="K24" s="110">
        <f t="shared" si="3"/>
        <v>26201734</v>
      </c>
      <c r="L24" s="110">
        <f t="shared" si="3"/>
        <v>34440626</v>
      </c>
      <c r="M24" s="110">
        <f t="shared" si="3"/>
        <v>70044722</v>
      </c>
      <c r="N24" s="110">
        <f>SUM(B24:M24)</f>
        <v>940412966</v>
      </c>
    </row>
    <row r="25" spans="1:14" x14ac:dyDescent="0.35">
      <c r="A25" s="109" t="s">
        <v>170</v>
      </c>
      <c r="B25" s="110">
        <f>SUM(B13:B15)</f>
        <v>3771279</v>
      </c>
      <c r="C25" s="110">
        <f t="shared" ref="C25:M25" si="4">SUM(C13:C15)</f>
        <v>4832099</v>
      </c>
      <c r="D25" s="110">
        <f t="shared" si="4"/>
        <v>3834070</v>
      </c>
      <c r="E25" s="110">
        <f t="shared" si="4"/>
        <v>3747227</v>
      </c>
      <c r="F25" s="110">
        <f t="shared" si="4"/>
        <v>3511831</v>
      </c>
      <c r="G25" s="110">
        <f t="shared" si="4"/>
        <v>2683041</v>
      </c>
      <c r="H25" s="110">
        <f t="shared" si="4"/>
        <v>2485401</v>
      </c>
      <c r="I25" s="110">
        <f t="shared" si="4"/>
        <v>1879369</v>
      </c>
      <c r="J25" s="110">
        <f t="shared" si="4"/>
        <v>1765220</v>
      </c>
      <c r="K25" s="110">
        <f t="shared" si="4"/>
        <v>1862344</v>
      </c>
      <c r="L25" s="110">
        <f t="shared" si="4"/>
        <v>1915420</v>
      </c>
      <c r="M25" s="110">
        <f t="shared" si="4"/>
        <v>3042412</v>
      </c>
      <c r="N25" s="110">
        <f>SUM(B25:M25)</f>
        <v>35329713</v>
      </c>
    </row>
    <row r="26" spans="1:14" x14ac:dyDescent="0.35">
      <c r="A26" s="109" t="s">
        <v>171</v>
      </c>
      <c r="B26" s="112">
        <f>SUM(B16:B21)</f>
        <v>18690421</v>
      </c>
      <c r="C26" s="112">
        <f t="shared" ref="C26:M26" si="5">SUM(C16:C21)</f>
        <v>19214333</v>
      </c>
      <c r="D26" s="112">
        <f t="shared" si="5"/>
        <v>17102035</v>
      </c>
      <c r="E26" s="112">
        <f t="shared" si="5"/>
        <v>21940035</v>
      </c>
      <c r="F26" s="112">
        <f t="shared" si="5"/>
        <v>16331995</v>
      </c>
      <c r="G26" s="112">
        <f t="shared" si="5"/>
        <v>17208928</v>
      </c>
      <c r="H26" s="112">
        <f t="shared" si="5"/>
        <v>15541201</v>
      </c>
      <c r="I26" s="112">
        <f t="shared" si="5"/>
        <v>16406303</v>
      </c>
      <c r="J26" s="112">
        <f t="shared" si="5"/>
        <v>15777356</v>
      </c>
      <c r="K26" s="112">
        <f t="shared" si="5"/>
        <v>15446050</v>
      </c>
      <c r="L26" s="112">
        <f t="shared" si="5"/>
        <v>15250114</v>
      </c>
      <c r="M26" s="112">
        <f t="shared" si="5"/>
        <v>16719029</v>
      </c>
      <c r="N26" s="112">
        <f>SUM(B26:M26)</f>
        <v>205627800</v>
      </c>
    </row>
    <row r="27" spans="1:14" x14ac:dyDescent="0.35">
      <c r="A27" s="109" t="s">
        <v>172</v>
      </c>
      <c r="B27" s="110">
        <f t="shared" ref="B27:M27" si="6">SUM(B24:B26)</f>
        <v>132600567</v>
      </c>
      <c r="C27" s="110">
        <f t="shared" si="6"/>
        <v>168310527</v>
      </c>
      <c r="D27" s="110">
        <f t="shared" si="6"/>
        <v>158643162</v>
      </c>
      <c r="E27" s="110">
        <f t="shared" si="6"/>
        <v>145525598</v>
      </c>
      <c r="F27" s="110">
        <f t="shared" si="6"/>
        <v>129388143</v>
      </c>
      <c r="G27" s="110">
        <f t="shared" si="6"/>
        <v>98363241</v>
      </c>
      <c r="H27" s="110">
        <f t="shared" si="6"/>
        <v>66798906</v>
      </c>
      <c r="I27" s="110">
        <f t="shared" si="6"/>
        <v>52841258</v>
      </c>
      <c r="J27" s="110">
        <f t="shared" si="6"/>
        <v>43976626</v>
      </c>
      <c r="K27" s="110">
        <f t="shared" si="6"/>
        <v>43510128</v>
      </c>
      <c r="L27" s="110">
        <f t="shared" si="6"/>
        <v>51606160</v>
      </c>
      <c r="M27" s="110">
        <f t="shared" si="6"/>
        <v>89806163</v>
      </c>
      <c r="N27" s="110">
        <f>SUM(B27:M27)</f>
        <v>1181370479</v>
      </c>
    </row>
    <row r="28" spans="1:14" x14ac:dyDescent="0.35">
      <c r="A28" s="113" t="s">
        <v>104</v>
      </c>
      <c r="B28" s="114">
        <f>B22-B27</f>
        <v>0</v>
      </c>
      <c r="C28" s="114">
        <f t="shared" ref="C28:N28" si="7">C22-C27</f>
        <v>0</v>
      </c>
      <c r="D28" s="114">
        <f t="shared" si="7"/>
        <v>0</v>
      </c>
      <c r="E28" s="114">
        <f t="shared" si="7"/>
        <v>0</v>
      </c>
      <c r="F28" s="114">
        <f t="shared" si="7"/>
        <v>0</v>
      </c>
      <c r="G28" s="114">
        <f t="shared" si="7"/>
        <v>0</v>
      </c>
      <c r="H28" s="114">
        <f t="shared" si="7"/>
        <v>0</v>
      </c>
      <c r="I28" s="114">
        <f t="shared" si="7"/>
        <v>0</v>
      </c>
      <c r="J28" s="114">
        <f t="shared" si="7"/>
        <v>0</v>
      </c>
      <c r="K28" s="114">
        <f t="shared" si="7"/>
        <v>0</v>
      </c>
      <c r="L28" s="114">
        <f t="shared" si="7"/>
        <v>0</v>
      </c>
      <c r="M28" s="114">
        <f t="shared" si="7"/>
        <v>0</v>
      </c>
      <c r="N28" s="114">
        <f t="shared" si="7"/>
        <v>0</v>
      </c>
    </row>
    <row r="30" spans="1:14" s="311" customFormat="1" x14ac:dyDescent="0.35">
      <c r="A30" s="641" t="s">
        <v>280</v>
      </c>
    </row>
    <row r="31" spans="1:14" x14ac:dyDescent="0.35">
      <c r="A31" s="312"/>
    </row>
  </sheetData>
  <printOptions horizontalCentered="1"/>
  <pageMargins left="0.7" right="0.7" top="0.75" bottom="0.75" header="0.3" footer="0.3"/>
  <pageSetup scale="79" orientation="landscape" blackAndWhite="1" r:id="rId1"/>
  <headerFooter>
    <oddFooter>&amp;L&amp;F 
&amp;A&amp;C&amp;P&amp;R&amp;D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topLeftCell="A5" workbookViewId="0">
      <selection activeCell="F31" sqref="F31:F33"/>
    </sheetView>
  </sheetViews>
  <sheetFormatPr defaultRowHeight="12.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90" zoomScaleNormal="90" workbookViewId="0">
      <selection activeCell="A2" sqref="A2"/>
    </sheetView>
  </sheetViews>
  <sheetFormatPr defaultColWidth="10.26953125" defaultRowHeight="14.5" outlineLevelRow="1" outlineLevelCol="1" x14ac:dyDescent="0.25"/>
  <cols>
    <col min="1" max="1" width="5.7265625" style="57" customWidth="1"/>
    <col min="2" max="2" width="7.453125" style="57" customWidth="1"/>
    <col min="3" max="3" width="26.453125" style="57" customWidth="1"/>
    <col min="4" max="4" width="15.54296875" style="26" customWidth="1"/>
    <col min="5" max="5" width="13.54296875" style="79" customWidth="1"/>
    <col min="6" max="6" width="13.453125" style="79" customWidth="1"/>
    <col min="7" max="7" width="14.54296875" style="79" bestFit="1" customWidth="1"/>
    <col min="8" max="8" width="12.54296875" style="79" customWidth="1"/>
    <col min="9" max="25" width="12.81640625" style="79" bestFit="1" customWidth="1"/>
    <col min="26" max="38" width="12.26953125" style="79" bestFit="1" customWidth="1"/>
    <col min="39" max="39" width="17" style="79" customWidth="1" outlineLevel="1"/>
    <col min="40" max="40" width="13" style="79" customWidth="1" outlineLevel="1"/>
    <col min="41" max="41" width="14.26953125" style="79" customWidth="1" outlineLevel="1"/>
    <col min="42" max="42" width="12.7265625" style="26" bestFit="1" customWidth="1"/>
    <col min="43" max="43" width="12.26953125" style="26" customWidth="1"/>
    <col min="44" max="45" width="14" style="26" customWidth="1"/>
    <col min="46" max="46" width="16.54296875" style="26" customWidth="1"/>
    <col min="47" max="47" width="15" style="26" bestFit="1" customWidth="1"/>
    <col min="48" max="48" width="11.26953125" style="26" bestFit="1" customWidth="1"/>
    <col min="49" max="16384" width="10.26953125" style="26"/>
  </cols>
  <sheetData>
    <row r="1" spans="1:41" ht="17.25" customHeight="1" x14ac:dyDescent="0.35">
      <c r="A1" s="24" t="s">
        <v>0</v>
      </c>
      <c r="B1" s="25"/>
      <c r="C1" s="25"/>
      <c r="E1" s="645"/>
      <c r="F1" s="645"/>
      <c r="G1" s="26"/>
      <c r="H1" s="27"/>
      <c r="I1" s="28"/>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row>
    <row r="2" spans="1:41" ht="12.75" customHeight="1" x14ac:dyDescent="0.35">
      <c r="A2" s="29" t="s">
        <v>1</v>
      </c>
      <c r="B2" s="25"/>
      <c r="C2" s="25"/>
      <c r="E2" s="26"/>
      <c r="F2" s="28"/>
      <c r="G2" s="28"/>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41" x14ac:dyDescent="0.35">
      <c r="A3" s="29" t="s">
        <v>2</v>
      </c>
      <c r="B3" s="25"/>
      <c r="C3" s="308" t="s">
        <v>288</v>
      </c>
      <c r="D3" s="315" t="s">
        <v>3</v>
      </c>
      <c r="E3" s="26"/>
      <c r="F3" s="28"/>
      <c r="G3" s="28"/>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row>
    <row r="4" spans="1:41" ht="7.5" customHeight="1" thickBot="1" x14ac:dyDescent="0.3">
      <c r="A4" s="25"/>
      <c r="B4" s="25"/>
      <c r="C4" s="25"/>
      <c r="E4" s="26"/>
      <c r="F4" s="28"/>
      <c r="G4" s="28"/>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row>
    <row r="5" spans="1:41" x14ac:dyDescent="0.25">
      <c r="A5" s="30" t="s">
        <v>4</v>
      </c>
      <c r="B5" s="31"/>
      <c r="C5" s="31"/>
      <c r="D5" s="189" t="s">
        <v>237</v>
      </c>
      <c r="E5" s="32"/>
      <c r="F5" s="33"/>
      <c r="G5" s="34"/>
      <c r="H5" s="26"/>
      <c r="I5" s="26"/>
      <c r="J5" s="26"/>
      <c r="K5" s="26"/>
      <c r="L5" s="26"/>
      <c r="M5" s="26"/>
      <c r="N5" s="45"/>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row>
    <row r="6" spans="1:41" x14ac:dyDescent="0.25">
      <c r="A6" s="35"/>
      <c r="B6" s="36"/>
      <c r="C6" s="36"/>
      <c r="D6" s="148" t="s">
        <v>197</v>
      </c>
      <c r="E6" s="148"/>
      <c r="F6" s="149"/>
      <c r="G6" s="34"/>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row>
    <row r="7" spans="1:41" x14ac:dyDescent="0.25">
      <c r="A7" s="35"/>
      <c r="B7" s="36"/>
      <c r="C7" s="36"/>
      <c r="D7" s="39"/>
      <c r="E7" s="39"/>
      <c r="F7" s="40" t="s">
        <v>5</v>
      </c>
      <c r="G7" s="41"/>
      <c r="H7" s="26"/>
      <c r="I7" s="26"/>
      <c r="J7" s="26"/>
      <c r="K7" s="26"/>
      <c r="L7" s="26"/>
      <c r="M7" s="150"/>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row>
    <row r="8" spans="1:41" x14ac:dyDescent="0.25">
      <c r="A8" s="35" t="s">
        <v>6</v>
      </c>
      <c r="B8" s="36"/>
      <c r="C8" s="36"/>
      <c r="D8" s="42" t="s">
        <v>7</v>
      </c>
      <c r="E8" s="42" t="s">
        <v>8</v>
      </c>
      <c r="F8" s="43" t="s">
        <v>8</v>
      </c>
      <c r="G8" s="41"/>
      <c r="H8" s="26"/>
      <c r="I8" s="26"/>
      <c r="J8" s="26"/>
      <c r="K8" s="26"/>
      <c r="L8" s="26"/>
      <c r="M8" s="141"/>
      <c r="N8" s="45"/>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41" x14ac:dyDescent="0.25">
      <c r="A9" s="35"/>
      <c r="B9" s="36"/>
      <c r="C9" s="36"/>
      <c r="D9" s="37"/>
      <c r="E9" s="37"/>
      <c r="F9" s="44"/>
      <c r="G9" s="37"/>
      <c r="H9" s="26"/>
      <c r="I9" s="26"/>
      <c r="J9" s="26"/>
      <c r="K9" s="26"/>
      <c r="L9" s="26"/>
      <c r="M9" s="141"/>
      <c r="N9" s="45"/>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row>
    <row r="10" spans="1:41" x14ac:dyDescent="0.25">
      <c r="A10" s="35"/>
      <c r="B10" s="36"/>
      <c r="C10" s="36"/>
      <c r="D10" s="46"/>
      <c r="E10" s="46"/>
      <c r="F10" s="47"/>
      <c r="G10" s="45"/>
      <c r="H10" s="26"/>
      <c r="I10" s="26"/>
      <c r="J10" s="26"/>
      <c r="K10" s="26"/>
      <c r="L10" s="26"/>
      <c r="M10" s="141"/>
      <c r="N10" s="45"/>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row>
    <row r="11" spans="1:41" x14ac:dyDescent="0.25">
      <c r="A11" s="35" t="s">
        <v>174</v>
      </c>
      <c r="B11" s="36"/>
      <c r="C11" s="36"/>
      <c r="D11" s="46">
        <f>'2019 GRC'!C12</f>
        <v>0.51500000000000001</v>
      </c>
      <c r="E11" s="46">
        <f>'2019 GRC'!D12</f>
        <v>5.4951456310679617E-2</v>
      </c>
      <c r="F11" s="47">
        <f>'2019 GRC'!E12</f>
        <v>2.8299999999999999E-2</v>
      </c>
      <c r="G11" s="45"/>
      <c r="H11" s="26"/>
      <c r="I11" s="26"/>
      <c r="J11" s="26"/>
      <c r="K11" s="26"/>
      <c r="L11" s="26"/>
      <c r="M11" s="141"/>
      <c r="N11" s="45"/>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row>
    <row r="12" spans="1:41" x14ac:dyDescent="0.25">
      <c r="A12" s="35" t="s">
        <v>9</v>
      </c>
      <c r="B12" s="36"/>
      <c r="C12" s="36"/>
      <c r="D12" s="48">
        <f>'2019 GRC'!C13</f>
        <v>0.48499999999999999</v>
      </c>
      <c r="E12" s="48">
        <f>'2019 GRC'!D13</f>
        <v>9.4E-2</v>
      </c>
      <c r="F12" s="49">
        <f>'2019 GRC'!E13</f>
        <v>4.5600000000000002E-2</v>
      </c>
      <c r="G12" s="45"/>
      <c r="H12" s="26"/>
      <c r="I12" s="26"/>
      <c r="J12" s="26"/>
      <c r="K12" s="26"/>
      <c r="L12" s="26"/>
      <c r="M12" s="141"/>
      <c r="N12" s="45"/>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row>
    <row r="13" spans="1:41" ht="15" thickBot="1" x14ac:dyDescent="0.3">
      <c r="A13" s="35" t="s">
        <v>10</v>
      </c>
      <c r="B13" s="36"/>
      <c r="C13" s="36"/>
      <c r="D13" s="50">
        <f>D10+D11+D12</f>
        <v>1</v>
      </c>
      <c r="E13" s="51"/>
      <c r="F13" s="190">
        <f>F10+F11+F12</f>
        <v>7.3899999999999993E-2</v>
      </c>
      <c r="G13" s="51"/>
      <c r="H13" s="26"/>
      <c r="I13" s="26"/>
      <c r="J13" s="26"/>
      <c r="K13" s="26"/>
      <c r="L13" s="26"/>
      <c r="M13" s="141"/>
      <c r="N13" s="45"/>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row>
    <row r="14" spans="1:41" ht="15" thickTop="1" x14ac:dyDescent="0.25">
      <c r="A14" s="35"/>
      <c r="B14" s="36"/>
      <c r="C14" s="36"/>
      <c r="D14" s="37"/>
      <c r="E14" s="37"/>
      <c r="F14" s="44"/>
      <c r="G14" s="37"/>
      <c r="H14" s="26"/>
      <c r="I14" s="26"/>
      <c r="J14" s="26"/>
      <c r="K14" s="26"/>
      <c r="L14" s="26"/>
      <c r="M14" s="141"/>
      <c r="N14" s="45"/>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row>
    <row r="15" spans="1:41" x14ac:dyDescent="0.25">
      <c r="A15" s="35" t="s">
        <v>11</v>
      </c>
      <c r="B15" s="36"/>
      <c r="C15" s="36"/>
      <c r="D15" s="37"/>
      <c r="E15" s="37"/>
      <c r="F15" s="47">
        <f>'2019 GRC'!I19</f>
        <v>0.21</v>
      </c>
      <c r="G15" s="51"/>
      <c r="H15" s="26"/>
      <c r="I15" s="26"/>
      <c r="J15" s="26"/>
      <c r="K15" s="26"/>
      <c r="L15" s="26"/>
      <c r="M15" s="141"/>
      <c r="N15" s="45"/>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1" x14ac:dyDescent="0.25">
      <c r="A16" s="35" t="s">
        <v>12</v>
      </c>
      <c r="B16" s="36"/>
      <c r="C16" s="36"/>
      <c r="D16" s="37"/>
      <c r="E16" s="37"/>
      <c r="F16" s="47">
        <f>'2019 GRC'!J16</f>
        <v>4.5447000000000001E-2</v>
      </c>
      <c r="G16" s="51"/>
      <c r="H16" s="26"/>
      <c r="I16" s="26"/>
      <c r="J16" s="26"/>
      <c r="K16" s="26"/>
      <c r="L16" s="26"/>
      <c r="M16" s="141"/>
      <c r="N16" s="45"/>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row>
    <row r="17" spans="1:48" x14ac:dyDescent="0.25">
      <c r="A17" s="35" t="s">
        <v>13</v>
      </c>
      <c r="B17" s="36"/>
      <c r="C17" s="36"/>
      <c r="D17" s="37"/>
      <c r="E17" s="37"/>
      <c r="F17" s="47">
        <f>'2021 C&amp;OM'!G7</f>
        <v>2.5037797681796828E-2</v>
      </c>
      <c r="H17" s="26"/>
      <c r="I17" s="26"/>
      <c r="J17" s="26"/>
      <c r="K17" s="26"/>
      <c r="L17" s="26"/>
      <c r="M17" s="141"/>
      <c r="N17" s="4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row>
    <row r="18" spans="1:48" x14ac:dyDescent="0.25">
      <c r="A18" s="35" t="s">
        <v>14</v>
      </c>
      <c r="B18" s="36"/>
      <c r="C18" s="36"/>
      <c r="D18" s="37"/>
      <c r="E18" s="37"/>
      <c r="F18" s="53">
        <v>2</v>
      </c>
      <c r="G18" s="28"/>
      <c r="H18" s="26"/>
      <c r="I18" s="26"/>
      <c r="J18" s="26"/>
      <c r="K18" s="26"/>
      <c r="L18" s="26"/>
      <c r="M18" s="141"/>
      <c r="N18" s="45"/>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row>
    <row r="19" spans="1:48" x14ac:dyDescent="0.25">
      <c r="A19" s="35"/>
      <c r="B19" s="36"/>
      <c r="C19" s="36"/>
      <c r="D19" s="37"/>
      <c r="E19" s="37"/>
      <c r="F19" s="38"/>
      <c r="G19" s="28"/>
      <c r="H19" s="26"/>
      <c r="I19" s="26"/>
      <c r="J19" s="26"/>
      <c r="K19" s="26"/>
      <c r="L19" s="26"/>
      <c r="M19" s="141"/>
      <c r="N19" s="45"/>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row>
    <row r="20" spans="1:48" x14ac:dyDescent="0.25">
      <c r="A20" s="35" t="s">
        <v>15</v>
      </c>
      <c r="B20" s="36"/>
      <c r="C20" s="36"/>
      <c r="D20" s="37"/>
      <c r="E20" s="37"/>
      <c r="F20" s="38"/>
      <c r="G20" s="28"/>
      <c r="H20" s="26"/>
      <c r="I20" s="26"/>
      <c r="J20" s="26"/>
      <c r="K20" s="26"/>
      <c r="L20" s="26"/>
      <c r="N20" s="151"/>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row>
    <row r="21" spans="1:48" x14ac:dyDescent="0.25">
      <c r="A21" s="35" t="s">
        <v>16</v>
      </c>
      <c r="B21" s="36"/>
      <c r="C21" s="36"/>
      <c r="D21" s="37"/>
      <c r="E21" s="37"/>
      <c r="F21" s="38"/>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row>
    <row r="22" spans="1:48" ht="15" thickBot="1" x14ac:dyDescent="0.3">
      <c r="A22" s="54" t="s">
        <v>17</v>
      </c>
      <c r="B22" s="55"/>
      <c r="C22" s="55"/>
      <c r="D22" s="55"/>
      <c r="E22" s="56"/>
      <c r="F22" s="80">
        <f>'2021 C&amp;OM'!F6</f>
        <v>43527242.899999909</v>
      </c>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row>
    <row r="23" spans="1:48" ht="6" customHeight="1" x14ac:dyDescent="0.25">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row>
    <row r="24" spans="1:48" ht="6" customHeight="1" x14ac:dyDescent="0.25">
      <c r="B24" s="26"/>
      <c r="C24" s="26"/>
      <c r="D24" s="141"/>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row>
    <row r="25" spans="1:48" x14ac:dyDescent="0.25">
      <c r="A25" s="25"/>
      <c r="B25" s="25"/>
      <c r="C25" s="25"/>
      <c r="D25" s="315"/>
      <c r="E25" s="59" t="s">
        <v>18</v>
      </c>
      <c r="F25" s="130" t="s">
        <v>19</v>
      </c>
      <c r="G25" s="60" t="s">
        <v>20</v>
      </c>
      <c r="H25" s="60" t="s">
        <v>21</v>
      </c>
      <c r="I25" s="60" t="s">
        <v>22</v>
      </c>
      <c r="J25" s="60" t="s">
        <v>23</v>
      </c>
      <c r="K25" s="60" t="s">
        <v>24</v>
      </c>
      <c r="L25" s="60" t="s">
        <v>25</v>
      </c>
      <c r="M25" s="60" t="s">
        <v>26</v>
      </c>
      <c r="N25" s="60" t="s">
        <v>27</v>
      </c>
      <c r="O25" s="60" t="s">
        <v>28</v>
      </c>
      <c r="P25" s="60" t="s">
        <v>29</v>
      </c>
      <c r="Q25" s="60" t="s">
        <v>30</v>
      </c>
      <c r="R25" s="60" t="s">
        <v>31</v>
      </c>
      <c r="S25" s="60" t="s">
        <v>32</v>
      </c>
      <c r="T25" s="60" t="s">
        <v>33</v>
      </c>
      <c r="U25" s="60" t="s">
        <v>34</v>
      </c>
      <c r="V25" s="60" t="s">
        <v>35</v>
      </c>
      <c r="W25" s="60" t="s">
        <v>36</v>
      </c>
      <c r="X25" s="60" t="s">
        <v>37</v>
      </c>
      <c r="Y25" s="60" t="s">
        <v>38</v>
      </c>
      <c r="Z25" s="60" t="s">
        <v>39</v>
      </c>
      <c r="AA25" s="60" t="s">
        <v>40</v>
      </c>
      <c r="AB25" s="60" t="s">
        <v>41</v>
      </c>
      <c r="AC25" s="60" t="s">
        <v>42</v>
      </c>
      <c r="AD25" s="60" t="s">
        <v>43</v>
      </c>
      <c r="AE25" s="60" t="s">
        <v>44</v>
      </c>
      <c r="AF25" s="60" t="s">
        <v>45</v>
      </c>
      <c r="AG25" s="60" t="s">
        <v>46</v>
      </c>
      <c r="AH25" s="60" t="s">
        <v>47</v>
      </c>
      <c r="AI25" s="60" t="s">
        <v>48</v>
      </c>
      <c r="AJ25" s="60" t="s">
        <v>49</v>
      </c>
      <c r="AK25" s="60" t="s">
        <v>50</v>
      </c>
      <c r="AL25" s="60" t="s">
        <v>51</v>
      </c>
      <c r="AM25" s="60" t="s">
        <v>52</v>
      </c>
      <c r="AN25" s="60" t="s">
        <v>74</v>
      </c>
      <c r="AO25" s="60" t="s">
        <v>75</v>
      </c>
      <c r="AP25" s="60" t="s">
        <v>175</v>
      </c>
      <c r="AQ25" s="60" t="s">
        <v>176</v>
      </c>
      <c r="AR25" s="60" t="s">
        <v>177</v>
      </c>
      <c r="AS25" s="26" t="s">
        <v>178</v>
      </c>
    </row>
    <row r="26" spans="1:48" x14ac:dyDescent="0.25">
      <c r="A26" s="25"/>
      <c r="B26" s="25"/>
      <c r="C26" s="25"/>
      <c r="D26" s="315"/>
      <c r="E26" s="115">
        <v>2021</v>
      </c>
      <c r="F26" s="115">
        <v>2022</v>
      </c>
      <c r="G26" s="115">
        <v>2023</v>
      </c>
      <c r="H26" s="115">
        <v>2024</v>
      </c>
      <c r="I26" s="115">
        <v>2025</v>
      </c>
      <c r="J26" s="115">
        <v>2026</v>
      </c>
      <c r="K26" s="115">
        <v>2027</v>
      </c>
      <c r="L26" s="115">
        <v>2028</v>
      </c>
      <c r="M26" s="115">
        <v>2029</v>
      </c>
      <c r="N26" s="115">
        <v>2030</v>
      </c>
      <c r="O26" s="115">
        <v>2031</v>
      </c>
      <c r="P26" s="115">
        <v>2032</v>
      </c>
      <c r="Q26" s="115">
        <v>2033</v>
      </c>
      <c r="R26" s="115">
        <v>2034</v>
      </c>
      <c r="S26" s="115">
        <v>2035</v>
      </c>
      <c r="T26" s="115">
        <v>2036</v>
      </c>
      <c r="U26" s="115">
        <v>2037</v>
      </c>
      <c r="V26" s="115">
        <v>2038</v>
      </c>
      <c r="W26" s="115">
        <v>2039</v>
      </c>
      <c r="X26" s="115">
        <v>2040</v>
      </c>
      <c r="Y26" s="115">
        <v>2041</v>
      </c>
      <c r="Z26" s="115">
        <v>2042</v>
      </c>
      <c r="AA26" s="115">
        <v>2043</v>
      </c>
      <c r="AB26" s="115">
        <v>2044</v>
      </c>
      <c r="AC26" s="115">
        <v>2045</v>
      </c>
      <c r="AD26" s="115">
        <v>2046</v>
      </c>
      <c r="AE26" s="115">
        <v>2047</v>
      </c>
      <c r="AF26" s="115">
        <v>2048</v>
      </c>
      <c r="AG26" s="115">
        <v>2049</v>
      </c>
      <c r="AH26" s="115">
        <v>2050</v>
      </c>
      <c r="AI26" s="115">
        <v>2051</v>
      </c>
      <c r="AJ26" s="115">
        <v>2052</v>
      </c>
      <c r="AK26" s="115">
        <v>2053</v>
      </c>
      <c r="AL26" s="115">
        <v>2054</v>
      </c>
      <c r="AM26" s="115">
        <v>2055</v>
      </c>
      <c r="AN26" s="115">
        <v>2056</v>
      </c>
      <c r="AO26" s="115">
        <v>2057</v>
      </c>
      <c r="AP26" s="115">
        <v>2058</v>
      </c>
      <c r="AQ26" s="115">
        <v>2059</v>
      </c>
      <c r="AR26" s="115">
        <v>2060</v>
      </c>
      <c r="AS26" s="115">
        <v>2061</v>
      </c>
    </row>
    <row r="27" spans="1:48" x14ac:dyDescent="0.25">
      <c r="A27" s="308">
        <v>1</v>
      </c>
      <c r="B27" s="25" t="s">
        <v>209</v>
      </c>
      <c r="C27" s="25"/>
      <c r="D27" s="315"/>
      <c r="E27" s="61">
        <f>$F22*$F17</f>
        <v>1089826.3013766252</v>
      </c>
      <c r="F27" s="137">
        <f>$F22*$F17</f>
        <v>1089826.3013766252</v>
      </c>
      <c r="G27" s="137">
        <f>$F22*$F17</f>
        <v>1089826.3013766252</v>
      </c>
      <c r="H27" s="137">
        <f t="shared" ref="H27:AQ27" si="0">$F22*$F17</f>
        <v>1089826.3013766252</v>
      </c>
      <c r="I27" s="137">
        <f t="shared" si="0"/>
        <v>1089826.3013766252</v>
      </c>
      <c r="J27" s="137">
        <f t="shared" si="0"/>
        <v>1089826.3013766252</v>
      </c>
      <c r="K27" s="137">
        <f t="shared" si="0"/>
        <v>1089826.3013766252</v>
      </c>
      <c r="L27" s="137">
        <f t="shared" si="0"/>
        <v>1089826.3013766252</v>
      </c>
      <c r="M27" s="137">
        <f t="shared" si="0"/>
        <v>1089826.3013766252</v>
      </c>
      <c r="N27" s="137">
        <f t="shared" si="0"/>
        <v>1089826.3013766252</v>
      </c>
      <c r="O27" s="137">
        <f t="shared" si="0"/>
        <v>1089826.3013766252</v>
      </c>
      <c r="P27" s="137">
        <f t="shared" si="0"/>
        <v>1089826.3013766252</v>
      </c>
      <c r="Q27" s="137">
        <f t="shared" si="0"/>
        <v>1089826.3013766252</v>
      </c>
      <c r="R27" s="137">
        <f t="shared" si="0"/>
        <v>1089826.3013766252</v>
      </c>
      <c r="S27" s="137">
        <f t="shared" si="0"/>
        <v>1089826.3013766252</v>
      </c>
      <c r="T27" s="137">
        <f t="shared" si="0"/>
        <v>1089826.3013766252</v>
      </c>
      <c r="U27" s="137">
        <f t="shared" si="0"/>
        <v>1089826.3013766252</v>
      </c>
      <c r="V27" s="137">
        <f t="shared" si="0"/>
        <v>1089826.3013766252</v>
      </c>
      <c r="W27" s="137">
        <f t="shared" si="0"/>
        <v>1089826.3013766252</v>
      </c>
      <c r="X27" s="137">
        <f t="shared" si="0"/>
        <v>1089826.3013766252</v>
      </c>
      <c r="Y27" s="137">
        <f t="shared" si="0"/>
        <v>1089826.3013766252</v>
      </c>
      <c r="Z27" s="137">
        <f t="shared" si="0"/>
        <v>1089826.3013766252</v>
      </c>
      <c r="AA27" s="137">
        <f t="shared" si="0"/>
        <v>1089826.3013766252</v>
      </c>
      <c r="AB27" s="137">
        <f t="shared" si="0"/>
        <v>1089826.3013766252</v>
      </c>
      <c r="AC27" s="137">
        <f t="shared" si="0"/>
        <v>1089826.3013766252</v>
      </c>
      <c r="AD27" s="137">
        <f t="shared" si="0"/>
        <v>1089826.3013766252</v>
      </c>
      <c r="AE27" s="137">
        <f t="shared" si="0"/>
        <v>1089826.3013766252</v>
      </c>
      <c r="AF27" s="137">
        <f t="shared" si="0"/>
        <v>1089826.3013766252</v>
      </c>
      <c r="AG27" s="137">
        <f t="shared" si="0"/>
        <v>1089826.3013766252</v>
      </c>
      <c r="AH27" s="137">
        <f t="shared" si="0"/>
        <v>1089826.3013766252</v>
      </c>
      <c r="AI27" s="137">
        <f t="shared" si="0"/>
        <v>1089826.3013766252</v>
      </c>
      <c r="AJ27" s="137">
        <f t="shared" si="0"/>
        <v>1089826.3013766252</v>
      </c>
      <c r="AK27" s="137">
        <f t="shared" si="0"/>
        <v>1089826.3013766252</v>
      </c>
      <c r="AL27" s="137">
        <f t="shared" si="0"/>
        <v>1089826.3013766252</v>
      </c>
      <c r="AM27" s="137">
        <f t="shared" si="0"/>
        <v>1089826.3013766252</v>
      </c>
      <c r="AN27" s="137">
        <f t="shared" si="0"/>
        <v>1089826.3013766252</v>
      </c>
      <c r="AO27" s="137">
        <f t="shared" si="0"/>
        <v>1089826.3013766252</v>
      </c>
      <c r="AP27" s="137">
        <f t="shared" si="0"/>
        <v>1089826.3013766252</v>
      </c>
      <c r="AQ27" s="137">
        <f t="shared" si="0"/>
        <v>1089826.3013766252</v>
      </c>
      <c r="AR27" s="137">
        <f>$F22*$F17-65809</f>
        <v>1024017.3013766252</v>
      </c>
      <c r="AS27" s="137"/>
      <c r="AT27" s="140">
        <f>SUM(D27:AS27)</f>
        <v>43527243.055065028</v>
      </c>
      <c r="AU27" s="45">
        <f>F22</f>
        <v>43527242.899999909</v>
      </c>
      <c r="AV27" s="140">
        <f>+AU27-AT27</f>
        <v>-0.15506511926651001</v>
      </c>
    </row>
    <row r="28" spans="1:48" x14ac:dyDescent="0.25">
      <c r="A28" s="25"/>
      <c r="B28" s="25"/>
      <c r="C28" s="25"/>
      <c r="D28" s="315"/>
      <c r="E28" s="61"/>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62"/>
      <c r="AN28" s="137"/>
      <c r="AO28" s="137"/>
      <c r="AP28" s="316"/>
    </row>
    <row r="29" spans="1:48" x14ac:dyDescent="0.25">
      <c r="A29" s="308">
        <f>A27+1</f>
        <v>2</v>
      </c>
      <c r="B29" s="25" t="s">
        <v>54</v>
      </c>
      <c r="C29" s="25"/>
      <c r="D29" s="315"/>
      <c r="E29" s="61">
        <f>E53</f>
        <v>520320.72376170894</v>
      </c>
      <c r="F29" s="137">
        <f t="shared" ref="F29:AS29" si="1">F53</f>
        <v>503807.75273056066</v>
      </c>
      <c r="G29" s="137">
        <f t="shared" si="1"/>
        <v>485673.23213987664</v>
      </c>
      <c r="H29" s="137">
        <f t="shared" si="1"/>
        <v>468115.97654442204</v>
      </c>
      <c r="I29" s="137">
        <f t="shared" si="1"/>
        <v>451092.77416912204</v>
      </c>
      <c r="J29" s="137">
        <f t="shared" si="1"/>
        <v>434563.73722159985</v>
      </c>
      <c r="K29" s="137">
        <f t="shared" si="1"/>
        <v>418491.74789506057</v>
      </c>
      <c r="L29" s="137">
        <f t="shared" si="1"/>
        <v>402842.45836829097</v>
      </c>
      <c r="M29" s="137">
        <f t="shared" si="1"/>
        <v>387429.17161308351</v>
      </c>
      <c r="N29" s="137">
        <f t="shared" si="1"/>
        <v>372049.67868197296</v>
      </c>
      <c r="O29" s="137">
        <f t="shared" si="1"/>
        <v>356670.18575086235</v>
      </c>
      <c r="P29" s="137">
        <f t="shared" si="1"/>
        <v>341290.69281975168</v>
      </c>
      <c r="Q29" s="137">
        <f t="shared" si="1"/>
        <v>325911.19988864125</v>
      </c>
      <c r="R29" s="137">
        <f t="shared" si="1"/>
        <v>310531.70695753058</v>
      </c>
      <c r="S29" s="137">
        <f t="shared" si="1"/>
        <v>295152.21402642003</v>
      </c>
      <c r="T29" s="137">
        <f t="shared" si="1"/>
        <v>279772.72109530942</v>
      </c>
      <c r="U29" s="137">
        <f t="shared" si="1"/>
        <v>264393.22816419881</v>
      </c>
      <c r="V29" s="137">
        <f t="shared" si="1"/>
        <v>249013.73523308829</v>
      </c>
      <c r="W29" s="137">
        <f t="shared" si="1"/>
        <v>233634.24230197768</v>
      </c>
      <c r="X29" s="137">
        <f t="shared" si="1"/>
        <v>218254.74937086712</v>
      </c>
      <c r="Y29" s="137">
        <f t="shared" si="1"/>
        <v>204111.22400631756</v>
      </c>
      <c r="Z29" s="137">
        <f t="shared" si="1"/>
        <v>192439.07977777394</v>
      </c>
      <c r="AA29" s="137">
        <f t="shared" si="1"/>
        <v>182002.90311579139</v>
      </c>
      <c r="AB29" s="137">
        <f t="shared" si="1"/>
        <v>171566.72645380881</v>
      </c>
      <c r="AC29" s="137">
        <f t="shared" si="1"/>
        <v>161130.5497918262</v>
      </c>
      <c r="AD29" s="137">
        <f t="shared" si="1"/>
        <v>150694.37312984365</v>
      </c>
      <c r="AE29" s="137">
        <f t="shared" si="1"/>
        <v>140258.19646786107</v>
      </c>
      <c r="AF29" s="137">
        <f t="shared" si="1"/>
        <v>129822.0198058785</v>
      </c>
      <c r="AG29" s="137">
        <f t="shared" si="1"/>
        <v>119385.84314389594</v>
      </c>
      <c r="AH29" s="137">
        <f t="shared" si="1"/>
        <v>108949.66648191337</v>
      </c>
      <c r="AI29" s="137">
        <f t="shared" si="1"/>
        <v>98513.489819930808</v>
      </c>
      <c r="AJ29" s="137">
        <f t="shared" si="1"/>
        <v>88077.313157948258</v>
      </c>
      <c r="AK29" s="137">
        <f t="shared" si="1"/>
        <v>77641.136495965664</v>
      </c>
      <c r="AL29" s="137">
        <f t="shared" si="1"/>
        <v>67204.959833983085</v>
      </c>
      <c r="AM29" s="137">
        <f t="shared" si="1"/>
        <v>56768.783172000512</v>
      </c>
      <c r="AN29" s="137">
        <f t="shared" si="1"/>
        <v>46332.606510017948</v>
      </c>
      <c r="AO29" s="137">
        <f t="shared" si="1"/>
        <v>35896.429848035368</v>
      </c>
      <c r="AP29" s="137">
        <f t="shared" si="1"/>
        <v>25460.253186052803</v>
      </c>
      <c r="AQ29" s="137">
        <f t="shared" si="1"/>
        <v>15024.076524070235</v>
      </c>
      <c r="AR29" s="137">
        <f t="shared" si="1"/>
        <v>4902.9933540876627</v>
      </c>
      <c r="AS29" s="137">
        <f t="shared" si="1"/>
        <v>-1.4849036229765515E-3</v>
      </c>
      <c r="AT29" s="140">
        <f>SUM(D29:AS29)</f>
        <v>9395194.5513264444</v>
      </c>
    </row>
    <row r="30" spans="1:48" x14ac:dyDescent="0.25">
      <c r="A30" s="25"/>
      <c r="B30" s="25"/>
      <c r="C30" s="25"/>
      <c r="D30" s="315"/>
      <c r="E30" s="61"/>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row>
    <row r="31" spans="1:48" x14ac:dyDescent="0.25">
      <c r="A31" s="25"/>
      <c r="B31" s="25" t="s">
        <v>55</v>
      </c>
      <c r="C31" s="25"/>
      <c r="D31" s="315"/>
      <c r="E31" s="61">
        <f>+E30/0.79</f>
        <v>0</v>
      </c>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row>
    <row r="32" spans="1:48" x14ac:dyDescent="0.25">
      <c r="A32" s="308">
        <f>A29+1</f>
        <v>3</v>
      </c>
      <c r="B32" s="25"/>
      <c r="C32" s="25"/>
      <c r="D32" s="315"/>
      <c r="E32" s="61">
        <f>E49*$F10</f>
        <v>0</v>
      </c>
      <c r="F32" s="137">
        <f t="shared" ref="F32:AS32" si="2">F49*$F10</f>
        <v>0</v>
      </c>
      <c r="G32" s="137">
        <f t="shared" si="2"/>
        <v>0</v>
      </c>
      <c r="H32" s="137">
        <f t="shared" si="2"/>
        <v>0</v>
      </c>
      <c r="I32" s="137">
        <f t="shared" si="2"/>
        <v>0</v>
      </c>
      <c r="J32" s="137">
        <f t="shared" si="2"/>
        <v>0</v>
      </c>
      <c r="K32" s="137">
        <f t="shared" si="2"/>
        <v>0</v>
      </c>
      <c r="L32" s="137">
        <f t="shared" si="2"/>
        <v>0</v>
      </c>
      <c r="M32" s="137">
        <f t="shared" si="2"/>
        <v>0</v>
      </c>
      <c r="N32" s="137">
        <f t="shared" si="2"/>
        <v>0</v>
      </c>
      <c r="O32" s="137">
        <f t="shared" si="2"/>
        <v>0</v>
      </c>
      <c r="P32" s="137">
        <f t="shared" si="2"/>
        <v>0</v>
      </c>
      <c r="Q32" s="137">
        <f t="shared" si="2"/>
        <v>0</v>
      </c>
      <c r="R32" s="137">
        <f t="shared" si="2"/>
        <v>0</v>
      </c>
      <c r="S32" s="137">
        <f t="shared" si="2"/>
        <v>0</v>
      </c>
      <c r="T32" s="137">
        <f t="shared" si="2"/>
        <v>0</v>
      </c>
      <c r="U32" s="137">
        <f t="shared" si="2"/>
        <v>0</v>
      </c>
      <c r="V32" s="137">
        <f t="shared" si="2"/>
        <v>0</v>
      </c>
      <c r="W32" s="137">
        <f t="shared" si="2"/>
        <v>0</v>
      </c>
      <c r="X32" s="137">
        <f t="shared" si="2"/>
        <v>0</v>
      </c>
      <c r="Y32" s="137">
        <f t="shared" si="2"/>
        <v>0</v>
      </c>
      <c r="Z32" s="137">
        <f t="shared" si="2"/>
        <v>0</v>
      </c>
      <c r="AA32" s="137">
        <f t="shared" si="2"/>
        <v>0</v>
      </c>
      <c r="AB32" s="137">
        <f t="shared" si="2"/>
        <v>0</v>
      </c>
      <c r="AC32" s="137">
        <f t="shared" si="2"/>
        <v>0</v>
      </c>
      <c r="AD32" s="137">
        <f t="shared" si="2"/>
        <v>0</v>
      </c>
      <c r="AE32" s="137">
        <f t="shared" si="2"/>
        <v>0</v>
      </c>
      <c r="AF32" s="137">
        <f t="shared" si="2"/>
        <v>0</v>
      </c>
      <c r="AG32" s="137">
        <f t="shared" si="2"/>
        <v>0</v>
      </c>
      <c r="AH32" s="137">
        <f t="shared" si="2"/>
        <v>0</v>
      </c>
      <c r="AI32" s="137">
        <f t="shared" si="2"/>
        <v>0</v>
      </c>
      <c r="AJ32" s="137">
        <f t="shared" si="2"/>
        <v>0</v>
      </c>
      <c r="AK32" s="137">
        <f t="shared" si="2"/>
        <v>0</v>
      </c>
      <c r="AL32" s="137">
        <f t="shared" si="2"/>
        <v>0</v>
      </c>
      <c r="AM32" s="137">
        <f t="shared" si="2"/>
        <v>0</v>
      </c>
      <c r="AN32" s="137">
        <f t="shared" si="2"/>
        <v>0</v>
      </c>
      <c r="AO32" s="137">
        <f t="shared" si="2"/>
        <v>0</v>
      </c>
      <c r="AP32" s="137">
        <f t="shared" si="2"/>
        <v>0</v>
      </c>
      <c r="AQ32" s="137">
        <f t="shared" si="2"/>
        <v>0</v>
      </c>
      <c r="AR32" s="137">
        <f t="shared" si="2"/>
        <v>0</v>
      </c>
      <c r="AS32" s="137">
        <f t="shared" si="2"/>
        <v>0</v>
      </c>
      <c r="AT32" s="140">
        <f t="shared" ref="AT32:AT42" si="3">SUM(D32:AS32)</f>
        <v>0</v>
      </c>
    </row>
    <row r="33" spans="1:46" x14ac:dyDescent="0.25">
      <c r="A33" s="308">
        <f>A32+1</f>
        <v>4</v>
      </c>
      <c r="B33" s="36"/>
      <c r="C33" s="36" t="s">
        <v>174</v>
      </c>
      <c r="D33" s="315"/>
      <c r="E33" s="61">
        <f>E49*$F11</f>
        <v>1214788.0556746582</v>
      </c>
      <c r="F33" s="137">
        <f t="shared" ref="F33:AS33" si="4">F49*$F11</f>
        <v>1176235.3725769783</v>
      </c>
      <c r="G33" s="137">
        <f t="shared" si="4"/>
        <v>1133896.8724886407</v>
      </c>
      <c r="H33" s="137">
        <f t="shared" si="4"/>
        <v>1092906.1077280329</v>
      </c>
      <c r="I33" s="137">
        <f t="shared" si="4"/>
        <v>1053162.1921573789</v>
      </c>
      <c r="J33" s="137">
        <f t="shared" si="4"/>
        <v>1014572.0001110388</v>
      </c>
      <c r="K33" s="137">
        <f t="shared" si="4"/>
        <v>977048.87298348686</v>
      </c>
      <c r="L33" s="137">
        <f t="shared" si="4"/>
        <v>940512.61922931101</v>
      </c>
      <c r="M33" s="137">
        <f t="shared" si="4"/>
        <v>904527.3589968367</v>
      </c>
      <c r="N33" s="137">
        <f t="shared" si="4"/>
        <v>868620.99689775158</v>
      </c>
      <c r="O33" s="137">
        <f t="shared" si="4"/>
        <v>832714.63479866635</v>
      </c>
      <c r="P33" s="137">
        <f t="shared" si="4"/>
        <v>796808.27269958123</v>
      </c>
      <c r="Q33" s="137">
        <f t="shared" si="4"/>
        <v>760901.91060049611</v>
      </c>
      <c r="R33" s="137">
        <f t="shared" si="4"/>
        <v>724995.54850141099</v>
      </c>
      <c r="S33" s="137">
        <f t="shared" si="4"/>
        <v>689089.18640232587</v>
      </c>
      <c r="T33" s="137">
        <f t="shared" si="4"/>
        <v>653182.82430324063</v>
      </c>
      <c r="U33" s="137">
        <f t="shared" si="4"/>
        <v>617276.46220415551</v>
      </c>
      <c r="V33" s="137">
        <f t="shared" si="4"/>
        <v>581370.10010507039</v>
      </c>
      <c r="W33" s="137">
        <f t="shared" si="4"/>
        <v>545463.73800598527</v>
      </c>
      <c r="X33" s="137">
        <f t="shared" si="4"/>
        <v>509557.37590690015</v>
      </c>
      <c r="Y33" s="137">
        <f t="shared" si="4"/>
        <v>476536.61603062256</v>
      </c>
      <c r="Z33" s="137">
        <f t="shared" si="4"/>
        <v>449285.76718793774</v>
      </c>
      <c r="AA33" s="137">
        <f t="shared" si="4"/>
        <v>424920.52056806051</v>
      </c>
      <c r="AB33" s="137">
        <f t="shared" si="4"/>
        <v>400555.27394818328</v>
      </c>
      <c r="AC33" s="137">
        <f t="shared" si="4"/>
        <v>376190.02732830605</v>
      </c>
      <c r="AD33" s="137">
        <f t="shared" si="4"/>
        <v>351824.78070842882</v>
      </c>
      <c r="AE33" s="137">
        <f t="shared" si="4"/>
        <v>327459.53408855159</v>
      </c>
      <c r="AF33" s="137">
        <f t="shared" si="4"/>
        <v>303094.28746867442</v>
      </c>
      <c r="AG33" s="137">
        <f t="shared" si="4"/>
        <v>278729.04084879719</v>
      </c>
      <c r="AH33" s="137">
        <f t="shared" si="4"/>
        <v>254363.79422891993</v>
      </c>
      <c r="AI33" s="137">
        <f t="shared" si="4"/>
        <v>229998.54760904273</v>
      </c>
      <c r="AJ33" s="137">
        <f t="shared" si="4"/>
        <v>205633.30098916549</v>
      </c>
      <c r="AK33" s="137">
        <f t="shared" si="4"/>
        <v>181268.05436928826</v>
      </c>
      <c r="AL33" s="137">
        <f t="shared" si="4"/>
        <v>156902.80774941103</v>
      </c>
      <c r="AM33" s="137">
        <f t="shared" si="4"/>
        <v>132537.56112953377</v>
      </c>
      <c r="AN33" s="137">
        <f t="shared" si="4"/>
        <v>108172.31450965656</v>
      </c>
      <c r="AO33" s="137">
        <f t="shared" si="4"/>
        <v>83807.06788977934</v>
      </c>
      <c r="AP33" s="137">
        <f t="shared" si="4"/>
        <v>59441.821269902102</v>
      </c>
      <c r="AQ33" s="137">
        <f t="shared" si="4"/>
        <v>35076.574650024872</v>
      </c>
      <c r="AR33" s="137">
        <f t="shared" si="4"/>
        <v>11446.973936647648</v>
      </c>
      <c r="AS33" s="137">
        <f t="shared" si="4"/>
        <v>-3.4667909668845824E-3</v>
      </c>
      <c r="AT33" s="140">
        <f t="shared" si="3"/>
        <v>21934875.165414087</v>
      </c>
    </row>
    <row r="34" spans="1:46" x14ac:dyDescent="0.25">
      <c r="A34" s="308">
        <f>A33+1</f>
        <v>5</v>
      </c>
      <c r="B34" s="25"/>
      <c r="C34" s="25" t="s">
        <v>9</v>
      </c>
      <c r="D34" s="315"/>
      <c r="E34" s="63">
        <f>E49*$F12</f>
        <v>1957397.0084369052</v>
      </c>
      <c r="F34" s="135">
        <f t="shared" ref="F34:AS34" si="5">F49*$F12</f>
        <v>1895276.7840816332</v>
      </c>
      <c r="G34" s="135">
        <f t="shared" si="5"/>
        <v>1827056.4447166789</v>
      </c>
      <c r="H34" s="135">
        <f t="shared" si="5"/>
        <v>1761007.721286159</v>
      </c>
      <c r="I34" s="135">
        <f t="shared" si="5"/>
        <v>1696968.0552076495</v>
      </c>
      <c r="J34" s="135">
        <f t="shared" si="5"/>
        <v>1634787.3924050662</v>
      </c>
      <c r="K34" s="135">
        <f t="shared" si="5"/>
        <v>1574326.0992242757</v>
      </c>
      <c r="L34" s="135">
        <f t="shared" si="5"/>
        <v>1515454.9624330949</v>
      </c>
      <c r="M34" s="135">
        <f t="shared" si="5"/>
        <v>1457471.6455920762</v>
      </c>
      <c r="N34" s="135">
        <f t="shared" si="5"/>
        <v>1399615.4578988508</v>
      </c>
      <c r="O34" s="135">
        <f t="shared" si="5"/>
        <v>1341759.2702056251</v>
      </c>
      <c r="P34" s="135">
        <f t="shared" si="5"/>
        <v>1283903.0825123994</v>
      </c>
      <c r="Q34" s="135">
        <f t="shared" si="5"/>
        <v>1226046.8948191742</v>
      </c>
      <c r="R34" s="135">
        <f t="shared" si="5"/>
        <v>1168190.7071259485</v>
      </c>
      <c r="S34" s="135">
        <f t="shared" si="5"/>
        <v>1110334.5194327231</v>
      </c>
      <c r="T34" s="135">
        <f t="shared" si="5"/>
        <v>1052478.3317394974</v>
      </c>
      <c r="U34" s="135">
        <f t="shared" si="5"/>
        <v>994622.1440462718</v>
      </c>
      <c r="V34" s="135">
        <f t="shared" si="5"/>
        <v>936765.95635304647</v>
      </c>
      <c r="W34" s="135">
        <f t="shared" si="5"/>
        <v>878909.76865982078</v>
      </c>
      <c r="X34" s="135">
        <f t="shared" si="5"/>
        <v>821053.58096659544</v>
      </c>
      <c r="Y34" s="135">
        <f t="shared" si="5"/>
        <v>767846.98554757563</v>
      </c>
      <c r="Z34" s="135">
        <f t="shared" si="5"/>
        <v>723937.49059257819</v>
      </c>
      <c r="AA34" s="135">
        <f t="shared" si="5"/>
        <v>684677.58791178663</v>
      </c>
      <c r="AB34" s="135">
        <f t="shared" si="5"/>
        <v>645417.68523099506</v>
      </c>
      <c r="AC34" s="135">
        <f t="shared" si="5"/>
        <v>606157.78255020338</v>
      </c>
      <c r="AD34" s="135">
        <f t="shared" si="5"/>
        <v>566897.87986941182</v>
      </c>
      <c r="AE34" s="135">
        <f t="shared" si="5"/>
        <v>527637.97718862025</v>
      </c>
      <c r="AF34" s="135">
        <f t="shared" si="5"/>
        <v>488378.07450782874</v>
      </c>
      <c r="AG34" s="135">
        <f t="shared" si="5"/>
        <v>449118.17182703718</v>
      </c>
      <c r="AH34" s="135">
        <f t="shared" si="5"/>
        <v>409858.26914624556</v>
      </c>
      <c r="AI34" s="135">
        <f t="shared" si="5"/>
        <v>370598.36646545399</v>
      </c>
      <c r="AJ34" s="135">
        <f t="shared" si="5"/>
        <v>331338.46378466248</v>
      </c>
      <c r="AK34" s="135">
        <f t="shared" si="5"/>
        <v>292078.56110387086</v>
      </c>
      <c r="AL34" s="135">
        <f t="shared" si="5"/>
        <v>252818.65842307927</v>
      </c>
      <c r="AM34" s="135">
        <f t="shared" si="5"/>
        <v>213558.75574228767</v>
      </c>
      <c r="AN34" s="135">
        <f t="shared" si="5"/>
        <v>174298.85306149611</v>
      </c>
      <c r="AO34" s="135">
        <f t="shared" si="5"/>
        <v>135038.95038070451</v>
      </c>
      <c r="AP34" s="135">
        <f t="shared" si="5"/>
        <v>95779.047699912931</v>
      </c>
      <c r="AQ34" s="135">
        <f t="shared" si="5"/>
        <v>56519.145019121359</v>
      </c>
      <c r="AR34" s="135">
        <f t="shared" si="5"/>
        <v>18444.594046329781</v>
      </c>
      <c r="AS34" s="135">
        <f t="shared" si="5"/>
        <v>-5.5860660102451222E-3</v>
      </c>
      <c r="AT34" s="140">
        <f t="shared" si="3"/>
        <v>35343827.121656649</v>
      </c>
    </row>
    <row r="35" spans="1:46" x14ac:dyDescent="0.25">
      <c r="A35" s="308">
        <f>A34+1</f>
        <v>6</v>
      </c>
      <c r="B35" s="25"/>
      <c r="C35" s="25" t="s">
        <v>58</v>
      </c>
      <c r="D35" s="315"/>
      <c r="E35" s="61">
        <f>E32+E33+E34</f>
        <v>3172185.0641115634</v>
      </c>
      <c r="F35" s="137">
        <f>F32+F33+F34</f>
        <v>3071512.1566586113</v>
      </c>
      <c r="G35" s="137">
        <f>G32+G33+G34</f>
        <v>2960953.3172053196</v>
      </c>
      <c r="H35" s="137">
        <f t="shared" ref="H35:AS35" si="6">H32+H33+H34</f>
        <v>2853913.8290141919</v>
      </c>
      <c r="I35" s="137">
        <f t="shared" si="6"/>
        <v>2750130.2473650286</v>
      </c>
      <c r="J35" s="137">
        <f t="shared" si="6"/>
        <v>2649359.392516105</v>
      </c>
      <c r="K35" s="137">
        <f t="shared" si="6"/>
        <v>2551374.9722077623</v>
      </c>
      <c r="L35" s="137">
        <f t="shared" si="6"/>
        <v>2455967.5816624057</v>
      </c>
      <c r="M35" s="137">
        <f t="shared" si="6"/>
        <v>2361999.0045889132</v>
      </c>
      <c r="N35" s="137">
        <f t="shared" si="6"/>
        <v>2268236.4547966025</v>
      </c>
      <c r="O35" s="137">
        <f t="shared" si="6"/>
        <v>2174473.9050042913</v>
      </c>
      <c r="P35" s="137">
        <f t="shared" si="6"/>
        <v>2080711.3552119806</v>
      </c>
      <c r="Q35" s="137">
        <f t="shared" si="6"/>
        <v>1986948.8054196704</v>
      </c>
      <c r="R35" s="137">
        <f t="shared" si="6"/>
        <v>1893186.2556273595</v>
      </c>
      <c r="S35" s="137">
        <f t="shared" si="6"/>
        <v>1799423.705835049</v>
      </c>
      <c r="T35" s="137">
        <f t="shared" si="6"/>
        <v>1705661.1560427379</v>
      </c>
      <c r="U35" s="137">
        <f t="shared" si="6"/>
        <v>1611898.6062504272</v>
      </c>
      <c r="V35" s="137">
        <f t="shared" si="6"/>
        <v>1518136.056458117</v>
      </c>
      <c r="W35" s="137">
        <f t="shared" si="6"/>
        <v>1424373.5066658061</v>
      </c>
      <c r="X35" s="137">
        <f t="shared" si="6"/>
        <v>1330610.9568734956</v>
      </c>
      <c r="Y35" s="137">
        <f t="shared" si="6"/>
        <v>1244383.6015781981</v>
      </c>
      <c r="Z35" s="137">
        <f t="shared" si="6"/>
        <v>1173223.2577805161</v>
      </c>
      <c r="AA35" s="137">
        <f t="shared" si="6"/>
        <v>1109598.1084798472</v>
      </c>
      <c r="AB35" s="137">
        <f t="shared" si="6"/>
        <v>1045972.9591791783</v>
      </c>
      <c r="AC35" s="137">
        <f t="shared" si="6"/>
        <v>982347.80987850949</v>
      </c>
      <c r="AD35" s="137">
        <f t="shared" si="6"/>
        <v>918722.66057784064</v>
      </c>
      <c r="AE35" s="137">
        <f t="shared" si="6"/>
        <v>855097.51127717178</v>
      </c>
      <c r="AF35" s="137">
        <f t="shared" si="6"/>
        <v>791472.36197650316</v>
      </c>
      <c r="AG35" s="137">
        <f t="shared" si="6"/>
        <v>727847.21267583431</v>
      </c>
      <c r="AH35" s="137">
        <f t="shared" si="6"/>
        <v>664222.06337516545</v>
      </c>
      <c r="AI35" s="137">
        <f t="shared" si="6"/>
        <v>600596.91407449672</v>
      </c>
      <c r="AJ35" s="137">
        <f t="shared" si="6"/>
        <v>536971.76477382798</v>
      </c>
      <c r="AK35" s="137">
        <f t="shared" si="6"/>
        <v>473346.61547315912</v>
      </c>
      <c r="AL35" s="137">
        <f t="shared" si="6"/>
        <v>409721.46617249027</v>
      </c>
      <c r="AM35" s="137">
        <f t="shared" si="6"/>
        <v>346096.31687182141</v>
      </c>
      <c r="AN35" s="137">
        <f t="shared" si="6"/>
        <v>282471.16757115268</v>
      </c>
      <c r="AO35" s="137">
        <f t="shared" si="6"/>
        <v>218846.01827048385</v>
      </c>
      <c r="AP35" s="137">
        <f t="shared" si="6"/>
        <v>155220.86896981503</v>
      </c>
      <c r="AQ35" s="137">
        <f t="shared" si="6"/>
        <v>91595.71966914623</v>
      </c>
      <c r="AR35" s="137">
        <f t="shared" si="6"/>
        <v>29891.567982977431</v>
      </c>
      <c r="AS35" s="137">
        <f t="shared" si="6"/>
        <v>-9.052856977129705E-3</v>
      </c>
      <c r="AT35" s="140">
        <f t="shared" si="3"/>
        <v>57278702.287070714</v>
      </c>
    </row>
    <row r="36" spans="1:46" x14ac:dyDescent="0.25">
      <c r="A36" s="25"/>
      <c r="B36" s="25"/>
      <c r="C36" s="25"/>
      <c r="D36" s="315"/>
      <c r="E36" s="61"/>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40">
        <f t="shared" si="3"/>
        <v>0</v>
      </c>
    </row>
    <row r="37" spans="1:46" x14ac:dyDescent="0.25">
      <c r="A37" s="308">
        <f>A35+1</f>
        <v>7</v>
      </c>
      <c r="B37" s="25" t="s">
        <v>59</v>
      </c>
      <c r="C37" s="25"/>
      <c r="D37" s="315"/>
      <c r="E37" s="64">
        <f>E27+E29+E35</f>
        <v>4782332.0892498977</v>
      </c>
      <c r="F37" s="134">
        <f>F27+F29+F35</f>
        <v>4665146.2107657976</v>
      </c>
      <c r="G37" s="134">
        <f t="shared" ref="G37:AS37" si="7">G27+G29+G35</f>
        <v>4536452.8507218212</v>
      </c>
      <c r="H37" s="134">
        <f t="shared" si="7"/>
        <v>4411856.1069352394</v>
      </c>
      <c r="I37" s="134">
        <f t="shared" si="7"/>
        <v>4291049.3229107764</v>
      </c>
      <c r="J37" s="134">
        <f t="shared" si="7"/>
        <v>4173749.43111433</v>
      </c>
      <c r="K37" s="134">
        <f t="shared" si="7"/>
        <v>4059693.0214794483</v>
      </c>
      <c r="L37" s="134">
        <f t="shared" si="7"/>
        <v>3948636.3414073219</v>
      </c>
      <c r="M37" s="134">
        <f t="shared" si="7"/>
        <v>3839254.4775786218</v>
      </c>
      <c r="N37" s="134">
        <f t="shared" si="7"/>
        <v>3730112.4348552004</v>
      </c>
      <c r="O37" s="134">
        <f t="shared" si="7"/>
        <v>3620970.3921317789</v>
      </c>
      <c r="P37" s="134">
        <f t="shared" si="7"/>
        <v>3511828.3494083574</v>
      </c>
      <c r="Q37" s="134">
        <f t="shared" si="7"/>
        <v>3402686.3066849369</v>
      </c>
      <c r="R37" s="134">
        <f t="shared" si="7"/>
        <v>3293544.2639615154</v>
      </c>
      <c r="S37" s="134">
        <f t="shared" si="7"/>
        <v>3184402.2212380944</v>
      </c>
      <c r="T37" s="134">
        <f t="shared" si="7"/>
        <v>3075260.1785146724</v>
      </c>
      <c r="U37" s="134">
        <f t="shared" si="7"/>
        <v>2966118.1357912514</v>
      </c>
      <c r="V37" s="134">
        <f t="shared" si="7"/>
        <v>2856976.0930678304</v>
      </c>
      <c r="W37" s="134">
        <f t="shared" si="7"/>
        <v>2747834.050344409</v>
      </c>
      <c r="X37" s="134">
        <f t="shared" si="7"/>
        <v>2638692.0076209879</v>
      </c>
      <c r="Y37" s="134">
        <f t="shared" si="7"/>
        <v>2538321.1269611409</v>
      </c>
      <c r="Z37" s="134">
        <f t="shared" si="7"/>
        <v>2455488.638934915</v>
      </c>
      <c r="AA37" s="134">
        <f t="shared" si="7"/>
        <v>2381427.3129722639</v>
      </c>
      <c r="AB37" s="134">
        <f t="shared" si="7"/>
        <v>2307365.9870096124</v>
      </c>
      <c r="AC37" s="134">
        <f t="shared" si="7"/>
        <v>2233304.6610469609</v>
      </c>
      <c r="AD37" s="134">
        <f t="shared" si="7"/>
        <v>2159243.3350843098</v>
      </c>
      <c r="AE37" s="134">
        <f t="shared" si="7"/>
        <v>2085182.009121658</v>
      </c>
      <c r="AF37" s="134">
        <f t="shared" si="7"/>
        <v>2011120.6831590068</v>
      </c>
      <c r="AG37" s="134">
        <f t="shared" si="7"/>
        <v>1937059.3571963555</v>
      </c>
      <c r="AH37" s="134">
        <f t="shared" si="7"/>
        <v>1862998.031233704</v>
      </c>
      <c r="AI37" s="134">
        <f t="shared" si="7"/>
        <v>1788936.7052710527</v>
      </c>
      <c r="AJ37" s="134">
        <f t="shared" si="7"/>
        <v>1714875.3793084014</v>
      </c>
      <c r="AK37" s="134">
        <f t="shared" si="7"/>
        <v>1640814.0533457501</v>
      </c>
      <c r="AL37" s="134">
        <f t="shared" si="7"/>
        <v>1566752.7273830986</v>
      </c>
      <c r="AM37" s="134">
        <f t="shared" si="7"/>
        <v>1492691.401420447</v>
      </c>
      <c r="AN37" s="134">
        <f t="shared" si="7"/>
        <v>1418630.075457796</v>
      </c>
      <c r="AO37" s="134">
        <f t="shared" si="7"/>
        <v>1344568.7494951445</v>
      </c>
      <c r="AP37" s="134">
        <f t="shared" si="7"/>
        <v>1270507.4235324932</v>
      </c>
      <c r="AQ37" s="134">
        <f t="shared" si="7"/>
        <v>1196446.0975698417</v>
      </c>
      <c r="AR37" s="134">
        <f t="shared" si="7"/>
        <v>1058811.8627136904</v>
      </c>
      <c r="AS37" s="134">
        <f t="shared" si="7"/>
        <v>-1.0537760600106257E-2</v>
      </c>
      <c r="AT37" s="140">
        <f t="shared" si="3"/>
        <v>110201139.89346217</v>
      </c>
    </row>
    <row r="38" spans="1:46" x14ac:dyDescent="0.25">
      <c r="A38" s="308">
        <f>A37+1</f>
        <v>8</v>
      </c>
      <c r="B38" s="25" t="s">
        <v>60</v>
      </c>
      <c r="C38" s="25"/>
      <c r="D38" s="315"/>
      <c r="E38" s="63">
        <f>E37/(1-$F16)-E37</f>
        <v>227690.49645241257</v>
      </c>
      <c r="F38" s="135">
        <f t="shared" ref="F38:AS38" si="8">F37/(1-$F16)-F37</f>
        <v>222111.18695417978</v>
      </c>
      <c r="G38" s="135">
        <f t="shared" si="8"/>
        <v>215983.99743833486</v>
      </c>
      <c r="H38" s="135">
        <f t="shared" si="8"/>
        <v>210051.85096258204</v>
      </c>
      <c r="I38" s="135">
        <f t="shared" si="8"/>
        <v>204300.1473761294</v>
      </c>
      <c r="J38" s="135">
        <f t="shared" si="8"/>
        <v>198715.40961670317</v>
      </c>
      <c r="K38" s="135">
        <f t="shared" si="8"/>
        <v>193285.09652913641</v>
      </c>
      <c r="L38" s="135">
        <f t="shared" si="8"/>
        <v>187997.60286536068</v>
      </c>
      <c r="M38" s="135">
        <f t="shared" si="8"/>
        <v>182789.84848669032</v>
      </c>
      <c r="N38" s="135">
        <f t="shared" si="8"/>
        <v>177593.51217466639</v>
      </c>
      <c r="O38" s="135">
        <f t="shared" si="8"/>
        <v>172397.17586264247</v>
      </c>
      <c r="P38" s="135">
        <f t="shared" si="8"/>
        <v>167200.83955061855</v>
      </c>
      <c r="Q38" s="135">
        <f t="shared" si="8"/>
        <v>162004.50323859463</v>
      </c>
      <c r="R38" s="135">
        <f t="shared" si="8"/>
        <v>156808.1669265707</v>
      </c>
      <c r="S38" s="135">
        <f t="shared" si="8"/>
        <v>151611.83061454725</v>
      </c>
      <c r="T38" s="135">
        <f t="shared" si="8"/>
        <v>146415.49430252332</v>
      </c>
      <c r="U38" s="135">
        <f t="shared" si="8"/>
        <v>141219.1579904994</v>
      </c>
      <c r="V38" s="135">
        <f t="shared" si="8"/>
        <v>136022.82167847548</v>
      </c>
      <c r="W38" s="135">
        <f t="shared" si="8"/>
        <v>130826.48536645155</v>
      </c>
      <c r="X38" s="135">
        <f t="shared" si="8"/>
        <v>125630.14905442763</v>
      </c>
      <c r="Y38" s="135">
        <f t="shared" si="8"/>
        <v>120851.41449139314</v>
      </c>
      <c r="Z38" s="135">
        <f t="shared" si="8"/>
        <v>116907.69624491781</v>
      </c>
      <c r="AA38" s="135">
        <f t="shared" si="8"/>
        <v>113381.57974743191</v>
      </c>
      <c r="AB38" s="135">
        <f t="shared" si="8"/>
        <v>109855.46324994601</v>
      </c>
      <c r="AC38" s="135">
        <f t="shared" si="8"/>
        <v>106329.34675246011</v>
      </c>
      <c r="AD38" s="135">
        <f t="shared" si="8"/>
        <v>102803.23025497468</v>
      </c>
      <c r="AE38" s="135">
        <f t="shared" si="8"/>
        <v>99277.113757488551</v>
      </c>
      <c r="AF38" s="135">
        <f t="shared" si="8"/>
        <v>95750.997260002885</v>
      </c>
      <c r="AG38" s="135">
        <f t="shared" si="8"/>
        <v>92224.880762516987</v>
      </c>
      <c r="AH38" s="135">
        <f t="shared" si="8"/>
        <v>88698.764265031088</v>
      </c>
      <c r="AI38" s="135">
        <f t="shared" si="8"/>
        <v>85172.64776754519</v>
      </c>
      <c r="AJ38" s="135">
        <f t="shared" si="8"/>
        <v>81646.531270059291</v>
      </c>
      <c r="AK38" s="135">
        <f t="shared" si="8"/>
        <v>78120.414772573393</v>
      </c>
      <c r="AL38" s="135">
        <f t="shared" si="8"/>
        <v>74594.298275087727</v>
      </c>
      <c r="AM38" s="135">
        <f t="shared" si="8"/>
        <v>71068.181777601829</v>
      </c>
      <c r="AN38" s="135">
        <f t="shared" si="8"/>
        <v>67542.06528011593</v>
      </c>
      <c r="AO38" s="135">
        <f t="shared" si="8"/>
        <v>64015.948782630032</v>
      </c>
      <c r="AP38" s="135">
        <f t="shared" si="8"/>
        <v>60489.832285144133</v>
      </c>
      <c r="AQ38" s="135">
        <f t="shared" si="8"/>
        <v>56963.715787658235</v>
      </c>
      <c r="AR38" s="135">
        <f t="shared" si="8"/>
        <v>50410.844368777005</v>
      </c>
      <c r="AS38" s="135">
        <f t="shared" si="8"/>
        <v>-5.0171085942114259E-4</v>
      </c>
      <c r="AT38" s="140">
        <f t="shared" si="3"/>
        <v>5246760.7400931939</v>
      </c>
    </row>
    <row r="39" spans="1:46" x14ac:dyDescent="0.25">
      <c r="A39" s="308">
        <f>A38+1</f>
        <v>9</v>
      </c>
      <c r="B39" s="25"/>
      <c r="C39" s="25" t="s">
        <v>61</v>
      </c>
      <c r="D39" s="315"/>
      <c r="E39" s="64">
        <f>SUM(E37:E38)</f>
        <v>5010022.5857023103</v>
      </c>
      <c r="F39" s="134">
        <f t="shared" ref="F39:AS39" si="9">SUM(F37:F38)</f>
        <v>4887257.3977199774</v>
      </c>
      <c r="G39" s="134">
        <f t="shared" si="9"/>
        <v>4752436.848160156</v>
      </c>
      <c r="H39" s="134">
        <f t="shared" si="9"/>
        <v>4621907.9578978214</v>
      </c>
      <c r="I39" s="134">
        <f t="shared" si="9"/>
        <v>4495349.4702869058</v>
      </c>
      <c r="J39" s="134">
        <f t="shared" si="9"/>
        <v>4372464.8407310331</v>
      </c>
      <c r="K39" s="134">
        <f t="shared" si="9"/>
        <v>4252978.1180085847</v>
      </c>
      <c r="L39" s="134">
        <f t="shared" si="9"/>
        <v>4136633.9442726825</v>
      </c>
      <c r="M39" s="134">
        <f t="shared" si="9"/>
        <v>4022044.3260653121</v>
      </c>
      <c r="N39" s="134">
        <f t="shared" si="9"/>
        <v>3907705.9470298667</v>
      </c>
      <c r="O39" s="134">
        <f t="shared" si="9"/>
        <v>3793367.5679944213</v>
      </c>
      <c r="P39" s="134">
        <f t="shared" si="9"/>
        <v>3679029.188958976</v>
      </c>
      <c r="Q39" s="134">
        <f t="shared" si="9"/>
        <v>3564690.8099235315</v>
      </c>
      <c r="R39" s="134">
        <f t="shared" si="9"/>
        <v>3450352.4308880861</v>
      </c>
      <c r="S39" s="134">
        <f t="shared" si="9"/>
        <v>3336014.0518526416</v>
      </c>
      <c r="T39" s="134">
        <f t="shared" si="9"/>
        <v>3221675.6728171958</v>
      </c>
      <c r="U39" s="134">
        <f t="shared" si="9"/>
        <v>3107337.2937817508</v>
      </c>
      <c r="V39" s="134">
        <f t="shared" si="9"/>
        <v>2992998.9147463059</v>
      </c>
      <c r="W39" s="134">
        <f t="shared" si="9"/>
        <v>2878660.5357108605</v>
      </c>
      <c r="X39" s="134">
        <f t="shared" si="9"/>
        <v>2764322.1566754156</v>
      </c>
      <c r="Y39" s="134">
        <f t="shared" si="9"/>
        <v>2659172.541452534</v>
      </c>
      <c r="Z39" s="134">
        <f t="shared" si="9"/>
        <v>2572396.3351798328</v>
      </c>
      <c r="AA39" s="134">
        <f t="shared" si="9"/>
        <v>2494808.8927196958</v>
      </c>
      <c r="AB39" s="134">
        <f t="shared" si="9"/>
        <v>2417221.4502595584</v>
      </c>
      <c r="AC39" s="134">
        <f t="shared" si="9"/>
        <v>2339634.007799421</v>
      </c>
      <c r="AD39" s="134">
        <f t="shared" si="9"/>
        <v>2262046.5653392845</v>
      </c>
      <c r="AE39" s="134">
        <f t="shared" si="9"/>
        <v>2184459.1228791466</v>
      </c>
      <c r="AF39" s="134">
        <f t="shared" si="9"/>
        <v>2106871.6804190096</v>
      </c>
      <c r="AG39" s="134">
        <f t="shared" si="9"/>
        <v>2029284.2379588725</v>
      </c>
      <c r="AH39" s="134">
        <f t="shared" si="9"/>
        <v>1951696.795498735</v>
      </c>
      <c r="AI39" s="134">
        <f t="shared" si="9"/>
        <v>1874109.3530385979</v>
      </c>
      <c r="AJ39" s="134">
        <f t="shared" si="9"/>
        <v>1796521.9105784607</v>
      </c>
      <c r="AK39" s="134">
        <f t="shared" si="9"/>
        <v>1718934.4681183235</v>
      </c>
      <c r="AL39" s="134">
        <f t="shared" si="9"/>
        <v>1641347.0256581863</v>
      </c>
      <c r="AM39" s="134">
        <f t="shared" si="9"/>
        <v>1563759.5831980489</v>
      </c>
      <c r="AN39" s="134">
        <f t="shared" si="9"/>
        <v>1486172.1407379119</v>
      </c>
      <c r="AO39" s="134">
        <f t="shared" si="9"/>
        <v>1408584.6982777745</v>
      </c>
      <c r="AP39" s="134">
        <f t="shared" si="9"/>
        <v>1330997.2558176373</v>
      </c>
      <c r="AQ39" s="134">
        <f t="shared" si="9"/>
        <v>1253409.8133574999</v>
      </c>
      <c r="AR39" s="134">
        <f t="shared" si="9"/>
        <v>1109222.7070824674</v>
      </c>
      <c r="AS39" s="134">
        <f t="shared" si="9"/>
        <v>-1.1039471459527399E-2</v>
      </c>
      <c r="AT39" s="140">
        <f t="shared" si="3"/>
        <v>115447900.63355534</v>
      </c>
    </row>
    <row r="40" spans="1:46" x14ac:dyDescent="0.25">
      <c r="A40" s="308">
        <f t="shared" ref="A40:A66" si="10">A39+1</f>
        <v>10</v>
      </c>
      <c r="B40" s="25"/>
      <c r="C40" s="25"/>
      <c r="D40" s="315"/>
      <c r="E40" s="6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40">
        <f t="shared" si="3"/>
        <v>0</v>
      </c>
    </row>
    <row r="41" spans="1:46" x14ac:dyDescent="0.25">
      <c r="A41" s="308">
        <f t="shared" si="10"/>
        <v>11</v>
      </c>
      <c r="B41" s="25"/>
      <c r="C41" s="25"/>
      <c r="D41" s="315"/>
      <c r="E41" s="61"/>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40">
        <f t="shared" si="3"/>
        <v>0</v>
      </c>
    </row>
    <row r="42" spans="1:46" x14ac:dyDescent="0.25">
      <c r="A42" s="308">
        <f t="shared" si="10"/>
        <v>12</v>
      </c>
      <c r="B42" s="25" t="s">
        <v>210</v>
      </c>
      <c r="C42" s="25"/>
      <c r="D42" s="315"/>
      <c r="E42" s="63">
        <f>E39</f>
        <v>5010022.5857023103</v>
      </c>
      <c r="F42" s="135">
        <f>F39</f>
        <v>4887257.3977199774</v>
      </c>
      <c r="G42" s="135">
        <f t="shared" ref="G42:AS42" si="11">G39</f>
        <v>4752436.848160156</v>
      </c>
      <c r="H42" s="135">
        <f t="shared" si="11"/>
        <v>4621907.9578978214</v>
      </c>
      <c r="I42" s="135">
        <f t="shared" si="11"/>
        <v>4495349.4702869058</v>
      </c>
      <c r="J42" s="135">
        <f t="shared" si="11"/>
        <v>4372464.8407310331</v>
      </c>
      <c r="K42" s="135">
        <f t="shared" si="11"/>
        <v>4252978.1180085847</v>
      </c>
      <c r="L42" s="135">
        <f t="shared" si="11"/>
        <v>4136633.9442726825</v>
      </c>
      <c r="M42" s="135">
        <f t="shared" si="11"/>
        <v>4022044.3260653121</v>
      </c>
      <c r="N42" s="135">
        <f t="shared" si="11"/>
        <v>3907705.9470298667</v>
      </c>
      <c r="O42" s="135">
        <f t="shared" si="11"/>
        <v>3793367.5679944213</v>
      </c>
      <c r="P42" s="135">
        <f t="shared" si="11"/>
        <v>3679029.188958976</v>
      </c>
      <c r="Q42" s="135">
        <f t="shared" si="11"/>
        <v>3564690.8099235315</v>
      </c>
      <c r="R42" s="135">
        <f t="shared" si="11"/>
        <v>3450352.4308880861</v>
      </c>
      <c r="S42" s="135">
        <f t="shared" si="11"/>
        <v>3336014.0518526416</v>
      </c>
      <c r="T42" s="135">
        <f t="shared" si="11"/>
        <v>3221675.6728171958</v>
      </c>
      <c r="U42" s="135">
        <f t="shared" si="11"/>
        <v>3107337.2937817508</v>
      </c>
      <c r="V42" s="135">
        <f t="shared" si="11"/>
        <v>2992998.9147463059</v>
      </c>
      <c r="W42" s="135">
        <f t="shared" si="11"/>
        <v>2878660.5357108605</v>
      </c>
      <c r="X42" s="135">
        <f t="shared" si="11"/>
        <v>2764322.1566754156</v>
      </c>
      <c r="Y42" s="135">
        <f t="shared" si="11"/>
        <v>2659172.541452534</v>
      </c>
      <c r="Z42" s="135">
        <f t="shared" si="11"/>
        <v>2572396.3351798328</v>
      </c>
      <c r="AA42" s="135">
        <f t="shared" si="11"/>
        <v>2494808.8927196958</v>
      </c>
      <c r="AB42" s="135">
        <f t="shared" si="11"/>
        <v>2417221.4502595584</v>
      </c>
      <c r="AC42" s="135">
        <f t="shared" si="11"/>
        <v>2339634.007799421</v>
      </c>
      <c r="AD42" s="135">
        <f t="shared" si="11"/>
        <v>2262046.5653392845</v>
      </c>
      <c r="AE42" s="135">
        <f t="shared" si="11"/>
        <v>2184459.1228791466</v>
      </c>
      <c r="AF42" s="135">
        <f t="shared" si="11"/>
        <v>2106871.6804190096</v>
      </c>
      <c r="AG42" s="135">
        <f t="shared" si="11"/>
        <v>2029284.2379588725</v>
      </c>
      <c r="AH42" s="135">
        <f t="shared" si="11"/>
        <v>1951696.795498735</v>
      </c>
      <c r="AI42" s="135">
        <f t="shared" si="11"/>
        <v>1874109.3530385979</v>
      </c>
      <c r="AJ42" s="135">
        <f t="shared" si="11"/>
        <v>1796521.9105784607</v>
      </c>
      <c r="AK42" s="135">
        <f t="shared" si="11"/>
        <v>1718934.4681183235</v>
      </c>
      <c r="AL42" s="135">
        <f t="shared" si="11"/>
        <v>1641347.0256581863</v>
      </c>
      <c r="AM42" s="135">
        <f t="shared" si="11"/>
        <v>1563759.5831980489</v>
      </c>
      <c r="AN42" s="135">
        <f t="shared" si="11"/>
        <v>1486172.1407379119</v>
      </c>
      <c r="AO42" s="135">
        <f t="shared" si="11"/>
        <v>1408584.6982777745</v>
      </c>
      <c r="AP42" s="135">
        <f t="shared" si="11"/>
        <v>1330997.2558176373</v>
      </c>
      <c r="AQ42" s="135">
        <f t="shared" si="11"/>
        <v>1253409.8133574999</v>
      </c>
      <c r="AR42" s="135">
        <f t="shared" si="11"/>
        <v>1109222.7070824674</v>
      </c>
      <c r="AS42" s="135">
        <f t="shared" si="11"/>
        <v>-1.1039471459527399E-2</v>
      </c>
      <c r="AT42" s="140">
        <f t="shared" si="3"/>
        <v>115447900.63355534</v>
      </c>
    </row>
    <row r="43" spans="1:46" x14ac:dyDescent="0.25">
      <c r="A43" s="308">
        <f t="shared" si="10"/>
        <v>13</v>
      </c>
      <c r="B43" s="25"/>
      <c r="C43" s="25"/>
      <c r="D43" s="315"/>
      <c r="E43" s="116"/>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row>
    <row r="44" spans="1:46" outlineLevel="1" x14ac:dyDescent="0.25">
      <c r="A44" s="308">
        <f t="shared" si="10"/>
        <v>14</v>
      </c>
      <c r="B44" s="25"/>
      <c r="C44" s="25"/>
      <c r="D44" s="315"/>
      <c r="E44" s="66"/>
      <c r="F44" s="315"/>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row>
    <row r="45" spans="1:46" outlineLevel="1" x14ac:dyDescent="0.25">
      <c r="A45" s="308">
        <f t="shared" si="10"/>
        <v>15</v>
      </c>
      <c r="B45" s="25" t="s">
        <v>63</v>
      </c>
      <c r="C45" s="315"/>
      <c r="D45" s="315"/>
      <c r="E45" s="68">
        <f>+E42/$F$22</f>
        <v>0.11510084838620277</v>
      </c>
      <c r="F45" s="136">
        <f t="shared" ref="F45:AS45" si="12">+F42/$F$22</f>
        <v>0.11228042651238054</v>
      </c>
      <c r="G45" s="136">
        <f t="shared" si="12"/>
        <v>0.10918304334318786</v>
      </c>
      <c r="H45" s="136">
        <f t="shared" si="12"/>
        <v>0.106184257259672</v>
      </c>
      <c r="I45" s="136">
        <f t="shared" si="12"/>
        <v>0.10327668767384564</v>
      </c>
      <c r="J45" s="136">
        <f t="shared" si="12"/>
        <v>0.10045352173525887</v>
      </c>
      <c r="K45" s="136">
        <f t="shared" si="12"/>
        <v>9.7708419708076519E-2</v>
      </c>
      <c r="L45" s="136">
        <f t="shared" si="12"/>
        <v>9.5035514971077831E-2</v>
      </c>
      <c r="M45" s="136">
        <f t="shared" si="12"/>
        <v>9.2402919599240699E-2</v>
      </c>
      <c r="N45" s="136">
        <f t="shared" si="12"/>
        <v>8.9776096225701332E-2</v>
      </c>
      <c r="O45" s="136">
        <f t="shared" si="12"/>
        <v>8.7149272852161952E-2</v>
      </c>
      <c r="P45" s="136">
        <f t="shared" si="12"/>
        <v>8.4522449478622586E-2</v>
      </c>
      <c r="Q45" s="136">
        <f t="shared" si="12"/>
        <v>8.1895626105083233E-2</v>
      </c>
      <c r="R45" s="136">
        <f t="shared" si="12"/>
        <v>7.9268802731543866E-2</v>
      </c>
      <c r="S45" s="136">
        <f t="shared" si="12"/>
        <v>7.6641979358004514E-2</v>
      </c>
      <c r="T45" s="136">
        <f t="shared" si="12"/>
        <v>7.4015155984465134E-2</v>
      </c>
      <c r="U45" s="136">
        <f t="shared" si="12"/>
        <v>7.1388332610925767E-2</v>
      </c>
      <c r="V45" s="136">
        <f t="shared" si="12"/>
        <v>6.8761509237386415E-2</v>
      </c>
      <c r="W45" s="136">
        <f t="shared" si="12"/>
        <v>6.6134685863847048E-2</v>
      </c>
      <c r="X45" s="136">
        <f t="shared" si="12"/>
        <v>6.3507862490307682E-2</v>
      </c>
      <c r="Y45" s="136">
        <f t="shared" si="12"/>
        <v>6.1092142857790327E-2</v>
      </c>
      <c r="Z45" s="136">
        <f t="shared" si="12"/>
        <v>5.9098536084394131E-2</v>
      </c>
      <c r="AA45" s="136">
        <f t="shared" si="12"/>
        <v>5.731603305201996E-2</v>
      </c>
      <c r="AB45" s="136">
        <f t="shared" si="12"/>
        <v>5.5533530019645776E-2</v>
      </c>
      <c r="AC45" s="136">
        <f t="shared" si="12"/>
        <v>5.3751026987271591E-2</v>
      </c>
      <c r="AD45" s="136">
        <f t="shared" si="12"/>
        <v>5.1968523954897435E-2</v>
      </c>
      <c r="AE45" s="136">
        <f t="shared" si="12"/>
        <v>5.0186020922523243E-2</v>
      </c>
      <c r="AF45" s="136">
        <f t="shared" si="12"/>
        <v>4.8403517890149066E-2</v>
      </c>
      <c r="AG45" s="136">
        <f t="shared" si="12"/>
        <v>4.6621014857774895E-2</v>
      </c>
      <c r="AH45" s="136">
        <f t="shared" si="12"/>
        <v>4.4838511825400711E-2</v>
      </c>
      <c r="AI45" s="136">
        <f t="shared" si="12"/>
        <v>4.3056008793026533E-2</v>
      </c>
      <c r="AJ45" s="136">
        <f t="shared" si="12"/>
        <v>4.1273505760652356E-2</v>
      </c>
      <c r="AK45" s="136">
        <f t="shared" si="12"/>
        <v>3.9491002728278178E-2</v>
      </c>
      <c r="AL45" s="136">
        <f t="shared" si="12"/>
        <v>3.7708499695904008E-2</v>
      </c>
      <c r="AM45" s="136">
        <f t="shared" si="12"/>
        <v>3.5925996663529823E-2</v>
      </c>
      <c r="AN45" s="136">
        <f t="shared" si="12"/>
        <v>3.4143493631155653E-2</v>
      </c>
      <c r="AO45" s="136">
        <f t="shared" si="12"/>
        <v>3.2360990598781468E-2</v>
      </c>
      <c r="AP45" s="136">
        <f t="shared" si="12"/>
        <v>3.0578487566407294E-2</v>
      </c>
      <c r="AQ45" s="136">
        <f t="shared" si="12"/>
        <v>2.879598453403311E-2</v>
      </c>
      <c r="AR45" s="136">
        <f t="shared" si="12"/>
        <v>2.5483412988753066E-2</v>
      </c>
      <c r="AS45" s="136">
        <f t="shared" si="12"/>
        <v>-2.5362211626611947E-10</v>
      </c>
    </row>
    <row r="46" spans="1:46" outlineLevel="1" x14ac:dyDescent="0.25">
      <c r="A46" s="308">
        <f t="shared" si="10"/>
        <v>16</v>
      </c>
      <c r="B46" s="25"/>
      <c r="C46" s="25"/>
      <c r="D46" s="315"/>
      <c r="E46" s="66"/>
      <c r="F46" s="315"/>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row>
    <row r="47" spans="1:46" outlineLevel="1" x14ac:dyDescent="0.25">
      <c r="A47" s="308">
        <f t="shared" si="10"/>
        <v>17</v>
      </c>
      <c r="B47" s="25"/>
      <c r="C47" s="25"/>
      <c r="D47" s="315"/>
      <c r="E47" s="66">
        <f>+E27/2</f>
        <v>544913.1506883126</v>
      </c>
      <c r="F47" s="134"/>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row>
    <row r="48" spans="1:46" outlineLevel="1" x14ac:dyDescent="0.25">
      <c r="A48" s="308">
        <f t="shared" si="10"/>
        <v>18</v>
      </c>
      <c r="B48" s="25"/>
      <c r="C48" s="25"/>
      <c r="D48" s="315"/>
      <c r="E48" s="66">
        <f>+E60/2</f>
        <v>56956.757274203999</v>
      </c>
      <c r="F48" s="134"/>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row>
    <row r="49" spans="1:46" x14ac:dyDescent="0.25">
      <c r="A49" s="308">
        <f t="shared" si="10"/>
        <v>19</v>
      </c>
      <c r="B49" s="69" t="s">
        <v>64</v>
      </c>
      <c r="C49" s="25"/>
      <c r="D49" s="315"/>
      <c r="E49" s="64">
        <f>F22-E27/2-E60/2</f>
        <v>42925372.992037393</v>
      </c>
      <c r="F49" s="152">
        <f>$F$22-(SUM($E$27:E27)+F27/2)-(SUM($E$60:E60)+F60/2)</f>
        <v>41563087.370211251</v>
      </c>
      <c r="G49" s="152">
        <f>$F$22-(SUM($E$27:F27)+G27/2)-(SUM($E$60:F60)+G60/2)</f>
        <v>40067027.296418399</v>
      </c>
      <c r="H49" s="152">
        <f>$F$22-(SUM($E$27:G27)+H27/2)-(SUM($E$60:G60)+H60/2)</f>
        <v>38618590.379082434</v>
      </c>
      <c r="I49" s="152">
        <f>$F$22-(SUM($E$27:H27)+I27/2)-(SUM($E$60:H60)+I60/2)</f>
        <v>37214211.737009853</v>
      </c>
      <c r="J49" s="152">
        <f>$F$22-(SUM($E$27:I27)+J27/2)-(SUM($E$60:I60)+J60/2)</f>
        <v>35850600.710637413</v>
      </c>
      <c r="K49" s="152">
        <f>$F$22-(SUM($E$27:J27)+K27/2)-(SUM($E$60:J60)+K60/2)</f>
        <v>34524695.158427097</v>
      </c>
      <c r="L49" s="152">
        <f>$F$22-(SUM($E$27:K27)+L27/2)-(SUM($E$60:K60)+L60/2)</f>
        <v>33233661.456866115</v>
      </c>
      <c r="M49" s="152">
        <f>$F$22-(SUM($E$27:L27)+M27/2)-(SUM($E$60:L60)+M60/2)</f>
        <v>31962097.4910543</v>
      </c>
      <c r="N49" s="152">
        <f>$F$22-(SUM($E$27:M27)+N27/2)-(SUM($E$60:M60)+N60/2)</f>
        <v>30693321.445150234</v>
      </c>
      <c r="O49" s="152">
        <f>$F$22-(SUM($E$27:N27)+O27/2)-(SUM($E$60:N60)+O60/2)</f>
        <v>29424545.399246164</v>
      </c>
      <c r="P49" s="152">
        <f>$F$22-(SUM($E$27:O27)+P27/2)-(SUM($E$60:O60)+P60/2)</f>
        <v>28155769.353342094</v>
      </c>
      <c r="Q49" s="152">
        <f>$F$22-(SUM($E$27:P27)+Q27/2)-(SUM($E$60:P60)+Q60/2)</f>
        <v>26886993.307438027</v>
      </c>
      <c r="R49" s="152">
        <f>$F$22-(SUM($E$27:Q27)+R27/2)-(SUM($E$60:Q60)+R60/2)</f>
        <v>25618217.261533957</v>
      </c>
      <c r="S49" s="152">
        <f>$F$22-(SUM($E$27:R27)+S27/2)-(SUM($E$60:R60)+S60/2)</f>
        <v>24349441.215629891</v>
      </c>
      <c r="T49" s="152">
        <f>$F$22-(SUM($E$27:S27)+T27/2)-(SUM($E$60:S60)+T60/2)</f>
        <v>23080665.16972582</v>
      </c>
      <c r="U49" s="152">
        <f>$F$22-(SUM($E$27:T27)+U27/2)-(SUM($E$60:T60)+U60/2)</f>
        <v>21811889.12382175</v>
      </c>
      <c r="V49" s="152">
        <f>$F$22-(SUM($E$27:U27)+V27/2)-(SUM($E$60:U60)+V60/2)</f>
        <v>20543113.077917684</v>
      </c>
      <c r="W49" s="152">
        <f>$F$22-(SUM($E$27:V27)+W27/2)-(SUM($E$60:V60)+W60/2)</f>
        <v>19274337.032013614</v>
      </c>
      <c r="X49" s="152">
        <f>$F$22-(SUM($E$27:W27)+X27/2)-(SUM($E$60:W60)+X60/2)</f>
        <v>18005560.986109547</v>
      </c>
      <c r="Y49" s="152">
        <f>$F$22-(SUM($E$27:X27)+Y27/2)-(SUM($E$60:X60)+Y60/2)</f>
        <v>16838749.68306087</v>
      </c>
      <c r="Z49" s="152">
        <f>$F$22-(SUM($E$27:Y27)+Z27/2)-(SUM($E$60:Y60)+Z60/2)</f>
        <v>15875822.162117943</v>
      </c>
      <c r="AA49" s="152">
        <f>$F$22-(SUM($E$27:Z27)+AA27/2)-(SUM($E$60:Z60)+AA60/2)</f>
        <v>15014859.384030407</v>
      </c>
      <c r="AB49" s="152">
        <f>$F$22-(SUM($E$27:AA27)+AB27/2)-(SUM($E$60:AA60)+AB60/2)</f>
        <v>14153896.605942873</v>
      </c>
      <c r="AC49" s="152">
        <f>$F$22-(SUM($E$27:AB27)+AC27/2)-(SUM($E$60:AB60)+AC60/2)</f>
        <v>13292933.827855337</v>
      </c>
      <c r="AD49" s="152">
        <f>$F$22-(SUM($E$27:AC27)+AD27/2)-(SUM($E$60:AC60)+AD60/2)</f>
        <v>12431971.049767803</v>
      </c>
      <c r="AE49" s="152">
        <f>$F$22-(SUM($E$27:AD27)+AE27/2)-(SUM($E$60:AD60)+AE60/2)</f>
        <v>11571008.271680269</v>
      </c>
      <c r="AF49" s="152">
        <f>$F$22-(SUM($E$27:AE27)+AF27/2)-(SUM($E$60:AE60)+AF60/2)</f>
        <v>10710045.493592735</v>
      </c>
      <c r="AG49" s="152">
        <f>$F$22-(SUM($E$27:AF27)+AG27/2)-(SUM($E$60:AF60)+AG60/2)</f>
        <v>9849082.7155052014</v>
      </c>
      <c r="AH49" s="152">
        <f>$F$22-(SUM($E$27:AG27)+AH27/2)-(SUM($E$60:AG60)+AH60/2)</f>
        <v>8988119.9374176655</v>
      </c>
      <c r="AI49" s="152">
        <f>$F$22-(SUM($E$27:AH27)+AI27/2)-(SUM($E$60:AH60)+AI60/2)</f>
        <v>8127157.1593301315</v>
      </c>
      <c r="AJ49" s="152">
        <f>$F$22-(SUM($E$27:AI27)+AJ27/2)-(SUM($E$60:AI60)+AJ60/2)</f>
        <v>7266194.3812425975</v>
      </c>
      <c r="AK49" s="152">
        <f>$F$22-(SUM($E$27:AJ27)+AK27/2)-(SUM($E$60:AJ60)+AK60/2)</f>
        <v>6405231.6031550625</v>
      </c>
      <c r="AL49" s="152">
        <f>$F$22-(SUM($E$27:AK27)+AL27/2)-(SUM($E$60:AK60)+AL60/2)</f>
        <v>5544268.8250675276</v>
      </c>
      <c r="AM49" s="152">
        <f>$F$22-(SUM($E$27:AL27)+AM27/2)-(SUM($E$60:AL60)+AM60/2)</f>
        <v>4683306.0469799927</v>
      </c>
      <c r="AN49" s="152">
        <f>$F$22-(SUM($E$27:AM27)+AN27/2)-(SUM($E$60:AM60)+AN60/2)</f>
        <v>3822343.2688924582</v>
      </c>
      <c r="AO49" s="152">
        <f>$F$22-(SUM($E$27:AN27)+AO27/2)-(SUM($E$60:AN60)+AO60/2)</f>
        <v>2961380.4908049237</v>
      </c>
      <c r="AP49" s="152">
        <f>$F$22-(SUM($E$27:AO27)+AP27/2)-(SUM($E$60:AO60)+AP60/2)</f>
        <v>2100417.7127173888</v>
      </c>
      <c r="AQ49" s="152">
        <f>$F$22-(SUM($E$27:AP27)+AQ27/2)-(SUM($E$60:AP60)+AQ60/2)</f>
        <v>1239454.9346298543</v>
      </c>
      <c r="AR49" s="152">
        <f>$F$22-(SUM($E$27:AQ27)+AR27/2)-(SUM($E$60:AQ60)+AR60/2)</f>
        <v>404486.71154231974</v>
      </c>
      <c r="AS49" s="152">
        <f>$F$22-(SUM($E$27:AR27)+AS27/2)-(SUM($E$60:AR60)+AS60/2)</f>
        <v>-0.12250144759309478</v>
      </c>
      <c r="AT49" s="140">
        <f t="shared" ref="AT49:AT60" si="13">SUM(D49:AS49)</f>
        <v>775083928.10650504</v>
      </c>
    </row>
    <row r="50" spans="1:46" x14ac:dyDescent="0.25">
      <c r="A50" s="308">
        <f t="shared" si="10"/>
        <v>20</v>
      </c>
      <c r="B50" s="25"/>
      <c r="C50" s="25"/>
      <c r="D50" s="315"/>
      <c r="E50" s="118"/>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40">
        <f t="shared" si="13"/>
        <v>0</v>
      </c>
    </row>
    <row r="51" spans="1:46" x14ac:dyDescent="0.25">
      <c r="A51" s="308">
        <f t="shared" si="10"/>
        <v>21</v>
      </c>
      <c r="B51" s="25"/>
      <c r="C51" s="25"/>
      <c r="D51" s="315"/>
      <c r="E51" s="61"/>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40">
        <f t="shared" si="13"/>
        <v>0</v>
      </c>
    </row>
    <row r="52" spans="1:46" x14ac:dyDescent="0.25">
      <c r="A52" s="308">
        <f t="shared" si="10"/>
        <v>22</v>
      </c>
      <c r="B52" s="25" t="s">
        <v>65</v>
      </c>
      <c r="C52" s="25"/>
      <c r="D52" s="315"/>
      <c r="E52" s="61">
        <f>(E34)/(1-$F$15)</f>
        <v>2477717.7321986142</v>
      </c>
      <c r="F52" s="137">
        <f t="shared" ref="F52:AS52" si="14">(F34)/(1-$F$15)</f>
        <v>2399084.5368121937</v>
      </c>
      <c r="G52" s="137">
        <f t="shared" si="14"/>
        <v>2312729.6768565555</v>
      </c>
      <c r="H52" s="137">
        <f t="shared" si="14"/>
        <v>2229123.6978305811</v>
      </c>
      <c r="I52" s="137">
        <f t="shared" si="14"/>
        <v>2148060.8293767716</v>
      </c>
      <c r="J52" s="137">
        <f t="shared" si="14"/>
        <v>2069351.129626666</v>
      </c>
      <c r="K52" s="137">
        <f t="shared" si="14"/>
        <v>1992817.8471193362</v>
      </c>
      <c r="L52" s="137">
        <f t="shared" si="14"/>
        <v>1918297.4208013858</v>
      </c>
      <c r="M52" s="137">
        <f t="shared" si="14"/>
        <v>1844900.8172051597</v>
      </c>
      <c r="N52" s="137">
        <f t="shared" si="14"/>
        <v>1771665.1365808237</v>
      </c>
      <c r="O52" s="137">
        <f t="shared" si="14"/>
        <v>1698429.4559564875</v>
      </c>
      <c r="P52" s="137">
        <f t="shared" si="14"/>
        <v>1625193.775332151</v>
      </c>
      <c r="Q52" s="137">
        <f t="shared" si="14"/>
        <v>1551958.0947078154</v>
      </c>
      <c r="R52" s="137">
        <f t="shared" si="14"/>
        <v>1478722.414083479</v>
      </c>
      <c r="S52" s="137">
        <f t="shared" si="14"/>
        <v>1405486.733459143</v>
      </c>
      <c r="T52" s="137">
        <f t="shared" si="14"/>
        <v>1332251.0528348067</v>
      </c>
      <c r="U52" s="137">
        <f t="shared" si="14"/>
        <v>1259015.3722104705</v>
      </c>
      <c r="V52" s="137">
        <f t="shared" si="14"/>
        <v>1185779.6915861347</v>
      </c>
      <c r="W52" s="137">
        <f t="shared" si="14"/>
        <v>1112544.0109617985</v>
      </c>
      <c r="X52" s="137">
        <f t="shared" si="14"/>
        <v>1039308.3303374626</v>
      </c>
      <c r="Y52" s="137">
        <f t="shared" si="14"/>
        <v>971958.20955389319</v>
      </c>
      <c r="Z52" s="137">
        <f t="shared" si="14"/>
        <v>916376.57037035213</v>
      </c>
      <c r="AA52" s="137">
        <f t="shared" si="14"/>
        <v>866680.49102757801</v>
      </c>
      <c r="AB52" s="137">
        <f t="shared" si="14"/>
        <v>816984.4116848039</v>
      </c>
      <c r="AC52" s="137">
        <f t="shared" si="14"/>
        <v>767288.33234202955</v>
      </c>
      <c r="AD52" s="137">
        <f t="shared" si="14"/>
        <v>717592.25299925543</v>
      </c>
      <c r="AE52" s="137">
        <f t="shared" si="14"/>
        <v>667896.17365648132</v>
      </c>
      <c r="AF52" s="137">
        <f t="shared" si="14"/>
        <v>618200.0943137072</v>
      </c>
      <c r="AG52" s="137">
        <f t="shared" si="14"/>
        <v>568504.01497093309</v>
      </c>
      <c r="AH52" s="137">
        <f t="shared" si="14"/>
        <v>518807.93562815891</v>
      </c>
      <c r="AI52" s="137">
        <f t="shared" si="14"/>
        <v>469111.8562853848</v>
      </c>
      <c r="AJ52" s="137">
        <f t="shared" si="14"/>
        <v>419415.77694261074</v>
      </c>
      <c r="AK52" s="137">
        <f t="shared" si="14"/>
        <v>369719.69759983651</v>
      </c>
      <c r="AL52" s="137">
        <f t="shared" si="14"/>
        <v>320023.61825706234</v>
      </c>
      <c r="AM52" s="137">
        <f t="shared" si="14"/>
        <v>270327.53891428816</v>
      </c>
      <c r="AN52" s="137">
        <f t="shared" si="14"/>
        <v>220631.45957151405</v>
      </c>
      <c r="AO52" s="137">
        <f t="shared" si="14"/>
        <v>170935.38022873987</v>
      </c>
      <c r="AP52" s="137">
        <f t="shared" si="14"/>
        <v>121239.30088596573</v>
      </c>
      <c r="AQ52" s="137">
        <f t="shared" si="14"/>
        <v>71543.221543191597</v>
      </c>
      <c r="AR52" s="137">
        <f t="shared" si="14"/>
        <v>23347.587400417444</v>
      </c>
      <c r="AS52" s="137">
        <f t="shared" si="14"/>
        <v>-7.0709696332216737E-3</v>
      </c>
      <c r="AT52" s="140">
        <f t="shared" si="13"/>
        <v>44739021.672983073</v>
      </c>
    </row>
    <row r="53" spans="1:46" x14ac:dyDescent="0.25">
      <c r="A53" s="308">
        <f t="shared" si="10"/>
        <v>23</v>
      </c>
      <c r="B53" s="25" t="s">
        <v>66</v>
      </c>
      <c r="C53" s="25"/>
      <c r="D53" s="315"/>
      <c r="E53" s="63">
        <f t="shared" ref="E53:AS53" si="15">E52*$F15</f>
        <v>520320.72376170894</v>
      </c>
      <c r="F53" s="135">
        <f t="shared" si="15"/>
        <v>503807.75273056066</v>
      </c>
      <c r="G53" s="135">
        <f t="shared" si="15"/>
        <v>485673.23213987664</v>
      </c>
      <c r="H53" s="135">
        <f t="shared" si="15"/>
        <v>468115.97654442204</v>
      </c>
      <c r="I53" s="135">
        <f t="shared" si="15"/>
        <v>451092.77416912204</v>
      </c>
      <c r="J53" s="135">
        <f t="shared" si="15"/>
        <v>434563.73722159985</v>
      </c>
      <c r="K53" s="135">
        <f t="shared" si="15"/>
        <v>418491.74789506057</v>
      </c>
      <c r="L53" s="135">
        <f t="shared" si="15"/>
        <v>402842.45836829097</v>
      </c>
      <c r="M53" s="135">
        <f t="shared" si="15"/>
        <v>387429.17161308351</v>
      </c>
      <c r="N53" s="135">
        <f t="shared" si="15"/>
        <v>372049.67868197296</v>
      </c>
      <c r="O53" s="135">
        <f t="shared" si="15"/>
        <v>356670.18575086235</v>
      </c>
      <c r="P53" s="135">
        <f t="shared" si="15"/>
        <v>341290.69281975168</v>
      </c>
      <c r="Q53" s="135">
        <f t="shared" si="15"/>
        <v>325911.19988864125</v>
      </c>
      <c r="R53" s="135">
        <f t="shared" si="15"/>
        <v>310531.70695753058</v>
      </c>
      <c r="S53" s="135">
        <f t="shared" si="15"/>
        <v>295152.21402642003</v>
      </c>
      <c r="T53" s="135">
        <f t="shared" si="15"/>
        <v>279772.72109530942</v>
      </c>
      <c r="U53" s="135">
        <f t="shared" si="15"/>
        <v>264393.22816419881</v>
      </c>
      <c r="V53" s="135">
        <f t="shared" si="15"/>
        <v>249013.73523308829</v>
      </c>
      <c r="W53" s="135">
        <f t="shared" si="15"/>
        <v>233634.24230197768</v>
      </c>
      <c r="X53" s="135">
        <f t="shared" si="15"/>
        <v>218254.74937086712</v>
      </c>
      <c r="Y53" s="135">
        <f t="shared" si="15"/>
        <v>204111.22400631756</v>
      </c>
      <c r="Z53" s="135">
        <f t="shared" si="15"/>
        <v>192439.07977777394</v>
      </c>
      <c r="AA53" s="135">
        <f t="shared" si="15"/>
        <v>182002.90311579139</v>
      </c>
      <c r="AB53" s="135">
        <f t="shared" si="15"/>
        <v>171566.72645380881</v>
      </c>
      <c r="AC53" s="135">
        <f t="shared" si="15"/>
        <v>161130.5497918262</v>
      </c>
      <c r="AD53" s="135">
        <f t="shared" si="15"/>
        <v>150694.37312984365</v>
      </c>
      <c r="AE53" s="135">
        <f t="shared" si="15"/>
        <v>140258.19646786107</v>
      </c>
      <c r="AF53" s="135">
        <f t="shared" si="15"/>
        <v>129822.0198058785</v>
      </c>
      <c r="AG53" s="135">
        <f t="shared" si="15"/>
        <v>119385.84314389594</v>
      </c>
      <c r="AH53" s="135">
        <f t="shared" si="15"/>
        <v>108949.66648191337</v>
      </c>
      <c r="AI53" s="135">
        <f t="shared" si="15"/>
        <v>98513.489819930808</v>
      </c>
      <c r="AJ53" s="135">
        <f t="shared" si="15"/>
        <v>88077.313157948258</v>
      </c>
      <c r="AK53" s="135">
        <f t="shared" si="15"/>
        <v>77641.136495965664</v>
      </c>
      <c r="AL53" s="135">
        <f t="shared" si="15"/>
        <v>67204.959833983085</v>
      </c>
      <c r="AM53" s="135">
        <f t="shared" si="15"/>
        <v>56768.783172000512</v>
      </c>
      <c r="AN53" s="135">
        <f t="shared" si="15"/>
        <v>46332.606510017948</v>
      </c>
      <c r="AO53" s="135">
        <f t="shared" si="15"/>
        <v>35896.429848035368</v>
      </c>
      <c r="AP53" s="135">
        <f t="shared" si="15"/>
        <v>25460.253186052803</v>
      </c>
      <c r="AQ53" s="135">
        <f t="shared" si="15"/>
        <v>15024.076524070235</v>
      </c>
      <c r="AR53" s="135">
        <f t="shared" si="15"/>
        <v>4902.9933540876627</v>
      </c>
      <c r="AS53" s="135">
        <f t="shared" si="15"/>
        <v>-1.4849036229765515E-3</v>
      </c>
      <c r="AT53" s="140">
        <f t="shared" si="13"/>
        <v>9395194.5513264444</v>
      </c>
    </row>
    <row r="54" spans="1:46" x14ac:dyDescent="0.25">
      <c r="A54" s="308">
        <f t="shared" si="10"/>
        <v>24</v>
      </c>
      <c r="B54" s="25" t="s">
        <v>67</v>
      </c>
      <c r="C54" s="25"/>
      <c r="D54" s="315"/>
      <c r="E54" s="61">
        <f>E52-E53</f>
        <v>1957397.0084369052</v>
      </c>
      <c r="F54" s="137">
        <f t="shared" ref="F54:AS54" si="16">F52-F53</f>
        <v>1895276.784081633</v>
      </c>
      <c r="G54" s="137">
        <f t="shared" si="16"/>
        <v>1827056.4447166789</v>
      </c>
      <c r="H54" s="137">
        <f t="shared" si="16"/>
        <v>1761007.721286159</v>
      </c>
      <c r="I54" s="137">
        <f t="shared" si="16"/>
        <v>1696968.0552076495</v>
      </c>
      <c r="J54" s="137">
        <f t="shared" si="16"/>
        <v>1634787.3924050662</v>
      </c>
      <c r="K54" s="137">
        <f t="shared" si="16"/>
        <v>1574326.0992242757</v>
      </c>
      <c r="L54" s="137">
        <f t="shared" si="16"/>
        <v>1515454.9624330949</v>
      </c>
      <c r="M54" s="137">
        <f t="shared" si="16"/>
        <v>1457471.6455920762</v>
      </c>
      <c r="N54" s="137">
        <f t="shared" si="16"/>
        <v>1399615.4578988508</v>
      </c>
      <c r="O54" s="137">
        <f t="shared" si="16"/>
        <v>1341759.2702056251</v>
      </c>
      <c r="P54" s="137">
        <f t="shared" si="16"/>
        <v>1283903.0825123992</v>
      </c>
      <c r="Q54" s="137">
        <f t="shared" si="16"/>
        <v>1226046.8948191742</v>
      </c>
      <c r="R54" s="137">
        <f t="shared" si="16"/>
        <v>1168190.7071259483</v>
      </c>
      <c r="S54" s="137">
        <f t="shared" si="16"/>
        <v>1110334.5194327231</v>
      </c>
      <c r="T54" s="137">
        <f t="shared" si="16"/>
        <v>1052478.3317394974</v>
      </c>
      <c r="U54" s="137">
        <f t="shared" si="16"/>
        <v>994622.14404627169</v>
      </c>
      <c r="V54" s="137">
        <f t="shared" si="16"/>
        <v>936765.95635304647</v>
      </c>
      <c r="W54" s="137">
        <f t="shared" si="16"/>
        <v>878909.76865982078</v>
      </c>
      <c r="X54" s="137">
        <f t="shared" si="16"/>
        <v>821053.58096659544</v>
      </c>
      <c r="Y54" s="137">
        <f t="shared" si="16"/>
        <v>767846.98554757563</v>
      </c>
      <c r="Z54" s="137">
        <f t="shared" si="16"/>
        <v>723937.49059257819</v>
      </c>
      <c r="AA54" s="137">
        <f t="shared" si="16"/>
        <v>684677.58791178663</v>
      </c>
      <c r="AB54" s="137">
        <f t="shared" si="16"/>
        <v>645417.68523099506</v>
      </c>
      <c r="AC54" s="137">
        <f t="shared" si="16"/>
        <v>606157.78255020338</v>
      </c>
      <c r="AD54" s="137">
        <f t="shared" si="16"/>
        <v>566897.87986941182</v>
      </c>
      <c r="AE54" s="137">
        <f t="shared" si="16"/>
        <v>527637.97718862025</v>
      </c>
      <c r="AF54" s="137">
        <f t="shared" si="16"/>
        <v>488378.07450782869</v>
      </c>
      <c r="AG54" s="137">
        <f t="shared" si="16"/>
        <v>449118.17182703712</v>
      </c>
      <c r="AH54" s="137">
        <f t="shared" si="16"/>
        <v>409858.26914624556</v>
      </c>
      <c r="AI54" s="137">
        <f t="shared" si="16"/>
        <v>370598.36646545399</v>
      </c>
      <c r="AJ54" s="137">
        <f t="shared" si="16"/>
        <v>331338.46378466248</v>
      </c>
      <c r="AK54" s="137">
        <f t="shared" si="16"/>
        <v>292078.56110387086</v>
      </c>
      <c r="AL54" s="137">
        <f t="shared" si="16"/>
        <v>252818.65842307924</v>
      </c>
      <c r="AM54" s="137">
        <f t="shared" si="16"/>
        <v>213558.75574228764</v>
      </c>
      <c r="AN54" s="137">
        <f t="shared" si="16"/>
        <v>174298.85306149611</v>
      </c>
      <c r="AO54" s="137">
        <f t="shared" si="16"/>
        <v>135038.95038070451</v>
      </c>
      <c r="AP54" s="137">
        <f t="shared" si="16"/>
        <v>95779.047699912917</v>
      </c>
      <c r="AQ54" s="137">
        <f t="shared" si="16"/>
        <v>56519.145019121366</v>
      </c>
      <c r="AR54" s="137">
        <f t="shared" si="16"/>
        <v>18444.594046329781</v>
      </c>
      <c r="AS54" s="137">
        <f t="shared" si="16"/>
        <v>-5.5860660102451222E-3</v>
      </c>
      <c r="AT54" s="140">
        <f t="shared" si="13"/>
        <v>35343827.121656641</v>
      </c>
    </row>
    <row r="55" spans="1:46" x14ac:dyDescent="0.25">
      <c r="A55" s="308">
        <f t="shared" si="10"/>
        <v>25</v>
      </c>
      <c r="B55" s="25"/>
      <c r="C55" s="25"/>
      <c r="D55" s="315"/>
      <c r="E55" s="317"/>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140">
        <f t="shared" si="13"/>
        <v>0</v>
      </c>
    </row>
    <row r="56" spans="1:46" x14ac:dyDescent="0.25">
      <c r="A56" s="308">
        <f t="shared" si="10"/>
        <v>26</v>
      </c>
      <c r="B56" s="25"/>
      <c r="C56" s="25"/>
      <c r="D56" s="315"/>
      <c r="E56" s="118"/>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140">
        <f t="shared" si="13"/>
        <v>0</v>
      </c>
    </row>
    <row r="57" spans="1:46" x14ac:dyDescent="0.25">
      <c r="A57" s="308">
        <f t="shared" si="10"/>
        <v>27</v>
      </c>
      <c r="B57" s="25" t="s">
        <v>68</v>
      </c>
      <c r="C57" s="25"/>
      <c r="D57" s="315"/>
      <c r="E57" s="317">
        <f>E27+E28</f>
        <v>1089826.3013766252</v>
      </c>
      <c r="F57" s="137">
        <f>F27</f>
        <v>1089826.3013766252</v>
      </c>
      <c r="G57" s="137">
        <f>G27</f>
        <v>1089826.3013766252</v>
      </c>
      <c r="H57" s="137">
        <f t="shared" ref="H57:AS57" si="17">H27</f>
        <v>1089826.3013766252</v>
      </c>
      <c r="I57" s="137">
        <f t="shared" si="17"/>
        <v>1089826.3013766252</v>
      </c>
      <c r="J57" s="137">
        <f t="shared" si="17"/>
        <v>1089826.3013766252</v>
      </c>
      <c r="K57" s="137">
        <f t="shared" si="17"/>
        <v>1089826.3013766252</v>
      </c>
      <c r="L57" s="137">
        <f t="shared" si="17"/>
        <v>1089826.3013766252</v>
      </c>
      <c r="M57" s="137">
        <f t="shared" si="17"/>
        <v>1089826.3013766252</v>
      </c>
      <c r="N57" s="137">
        <f t="shared" si="17"/>
        <v>1089826.3013766252</v>
      </c>
      <c r="O57" s="137">
        <f t="shared" si="17"/>
        <v>1089826.3013766252</v>
      </c>
      <c r="P57" s="137">
        <f t="shared" si="17"/>
        <v>1089826.3013766252</v>
      </c>
      <c r="Q57" s="137">
        <f t="shared" si="17"/>
        <v>1089826.3013766252</v>
      </c>
      <c r="R57" s="137">
        <f t="shared" si="17"/>
        <v>1089826.3013766252</v>
      </c>
      <c r="S57" s="137">
        <f t="shared" si="17"/>
        <v>1089826.3013766252</v>
      </c>
      <c r="T57" s="137">
        <f t="shared" si="17"/>
        <v>1089826.3013766252</v>
      </c>
      <c r="U57" s="137">
        <f t="shared" si="17"/>
        <v>1089826.3013766252</v>
      </c>
      <c r="V57" s="137">
        <f t="shared" si="17"/>
        <v>1089826.3013766252</v>
      </c>
      <c r="W57" s="137">
        <f t="shared" si="17"/>
        <v>1089826.3013766252</v>
      </c>
      <c r="X57" s="137">
        <f t="shared" si="17"/>
        <v>1089826.3013766252</v>
      </c>
      <c r="Y57" s="137">
        <f t="shared" si="17"/>
        <v>1089826.3013766252</v>
      </c>
      <c r="Z57" s="137">
        <f t="shared" si="17"/>
        <v>1089826.3013766252</v>
      </c>
      <c r="AA57" s="137">
        <f t="shared" si="17"/>
        <v>1089826.3013766252</v>
      </c>
      <c r="AB57" s="137">
        <f t="shared" si="17"/>
        <v>1089826.3013766252</v>
      </c>
      <c r="AC57" s="137">
        <f t="shared" si="17"/>
        <v>1089826.3013766252</v>
      </c>
      <c r="AD57" s="137">
        <f t="shared" si="17"/>
        <v>1089826.3013766252</v>
      </c>
      <c r="AE57" s="137">
        <f t="shared" si="17"/>
        <v>1089826.3013766252</v>
      </c>
      <c r="AF57" s="137">
        <f t="shared" si="17"/>
        <v>1089826.3013766252</v>
      </c>
      <c r="AG57" s="137">
        <f t="shared" si="17"/>
        <v>1089826.3013766252</v>
      </c>
      <c r="AH57" s="137">
        <f t="shared" si="17"/>
        <v>1089826.3013766252</v>
      </c>
      <c r="AI57" s="137">
        <f t="shared" si="17"/>
        <v>1089826.3013766252</v>
      </c>
      <c r="AJ57" s="137">
        <f t="shared" si="17"/>
        <v>1089826.3013766252</v>
      </c>
      <c r="AK57" s="137">
        <f t="shared" si="17"/>
        <v>1089826.3013766252</v>
      </c>
      <c r="AL57" s="137">
        <f t="shared" si="17"/>
        <v>1089826.3013766252</v>
      </c>
      <c r="AM57" s="137">
        <f t="shared" si="17"/>
        <v>1089826.3013766252</v>
      </c>
      <c r="AN57" s="137">
        <f t="shared" si="17"/>
        <v>1089826.3013766252</v>
      </c>
      <c r="AO57" s="137">
        <f t="shared" si="17"/>
        <v>1089826.3013766252</v>
      </c>
      <c r="AP57" s="137">
        <f t="shared" si="17"/>
        <v>1089826.3013766252</v>
      </c>
      <c r="AQ57" s="137">
        <f t="shared" si="17"/>
        <v>1089826.3013766252</v>
      </c>
      <c r="AR57" s="137">
        <f t="shared" si="17"/>
        <v>1024017.3013766252</v>
      </c>
      <c r="AS57" s="137">
        <f t="shared" si="17"/>
        <v>0</v>
      </c>
      <c r="AT57" s="140">
        <f t="shared" si="13"/>
        <v>43527243.055065028</v>
      </c>
    </row>
    <row r="58" spans="1:46" x14ac:dyDescent="0.25">
      <c r="A58" s="308">
        <f t="shared" si="10"/>
        <v>28</v>
      </c>
      <c r="B58" s="25" t="s">
        <v>69</v>
      </c>
      <c r="C58" s="25"/>
      <c r="D58" s="315"/>
      <c r="E58" s="61">
        <f>$F22*E62</f>
        <v>1632271.6087499966</v>
      </c>
      <c r="F58" s="137">
        <f t="shared" ref="F58:AS58" si="18">$F22*F62</f>
        <v>3142231.6649509938</v>
      </c>
      <c r="G58" s="137">
        <f t="shared" si="18"/>
        <v>2906314.0084329937</v>
      </c>
      <c r="H58" s="137">
        <f t="shared" si="18"/>
        <v>2688677.7939329944</v>
      </c>
      <c r="I58" s="137">
        <f t="shared" si="18"/>
        <v>2486711.3868769947</v>
      </c>
      <c r="J58" s="137">
        <f t="shared" si="18"/>
        <v>2300414.7872649953</v>
      </c>
      <c r="K58" s="137">
        <f t="shared" si="18"/>
        <v>2127611.6329519954</v>
      </c>
      <c r="L58" s="137">
        <f t="shared" si="18"/>
        <v>1968301.9239379959</v>
      </c>
      <c r="M58" s="137">
        <f t="shared" si="18"/>
        <v>1942185.5781979959</v>
      </c>
      <c r="N58" s="137">
        <f t="shared" si="18"/>
        <v>1941750.305768996</v>
      </c>
      <c r="O58" s="137">
        <f t="shared" si="18"/>
        <v>1942185.5781979959</v>
      </c>
      <c r="P58" s="137">
        <f t="shared" si="18"/>
        <v>1941750.305768996</v>
      </c>
      <c r="Q58" s="137">
        <f t="shared" si="18"/>
        <v>1942185.5781979959</v>
      </c>
      <c r="R58" s="137">
        <f t="shared" si="18"/>
        <v>1941750.305768996</v>
      </c>
      <c r="S58" s="137">
        <f t="shared" si="18"/>
        <v>1942185.5781979959</v>
      </c>
      <c r="T58" s="137">
        <f t="shared" si="18"/>
        <v>1941750.305768996</v>
      </c>
      <c r="U58" s="137">
        <f t="shared" si="18"/>
        <v>1942185.5781979959</v>
      </c>
      <c r="V58" s="137">
        <f t="shared" si="18"/>
        <v>1941750.305768996</v>
      </c>
      <c r="W58" s="137">
        <f t="shared" si="18"/>
        <v>1942185.5781979959</v>
      </c>
      <c r="X58" s="137">
        <f t="shared" si="18"/>
        <v>1941750.305768996</v>
      </c>
      <c r="Y58" s="137">
        <f t="shared" si="18"/>
        <v>971092.78909899795</v>
      </c>
      <c r="Z58" s="137">
        <f t="shared" si="18"/>
        <v>0</v>
      </c>
      <c r="AA58" s="137">
        <f t="shared" si="18"/>
        <v>0</v>
      </c>
      <c r="AB58" s="137">
        <f t="shared" si="18"/>
        <v>0</v>
      </c>
      <c r="AC58" s="137">
        <f t="shared" si="18"/>
        <v>0</v>
      </c>
      <c r="AD58" s="137">
        <f t="shared" si="18"/>
        <v>0</v>
      </c>
      <c r="AE58" s="137">
        <f t="shared" si="18"/>
        <v>0</v>
      </c>
      <c r="AF58" s="137">
        <f t="shared" si="18"/>
        <v>0</v>
      </c>
      <c r="AG58" s="137">
        <f t="shared" si="18"/>
        <v>0</v>
      </c>
      <c r="AH58" s="137">
        <f t="shared" si="18"/>
        <v>0</v>
      </c>
      <c r="AI58" s="137">
        <f t="shared" si="18"/>
        <v>0</v>
      </c>
      <c r="AJ58" s="137">
        <f t="shared" si="18"/>
        <v>0</v>
      </c>
      <c r="AK58" s="137">
        <f t="shared" si="18"/>
        <v>0</v>
      </c>
      <c r="AL58" s="137">
        <f t="shared" si="18"/>
        <v>0</v>
      </c>
      <c r="AM58" s="137">
        <f t="shared" si="18"/>
        <v>0</v>
      </c>
      <c r="AN58" s="137">
        <f t="shared" si="18"/>
        <v>0</v>
      </c>
      <c r="AO58" s="137">
        <f t="shared" si="18"/>
        <v>0</v>
      </c>
      <c r="AP58" s="137">
        <f t="shared" si="18"/>
        <v>0</v>
      </c>
      <c r="AQ58" s="137">
        <f t="shared" si="18"/>
        <v>0</v>
      </c>
      <c r="AR58" s="137">
        <f t="shared" si="18"/>
        <v>0</v>
      </c>
      <c r="AS58" s="137">
        <f t="shared" si="18"/>
        <v>0</v>
      </c>
      <c r="AT58" s="140">
        <f t="shared" si="13"/>
        <v>43527242.899999909</v>
      </c>
    </row>
    <row r="59" spans="1:46" x14ac:dyDescent="0.25">
      <c r="A59" s="308">
        <f t="shared" si="10"/>
        <v>29</v>
      </c>
      <c r="B59" s="25" t="s">
        <v>70</v>
      </c>
      <c r="C59" s="25"/>
      <c r="D59" s="315"/>
      <c r="E59" s="61">
        <f>E58-E57</f>
        <v>542445.30737337144</v>
      </c>
      <c r="F59" s="137">
        <f>F58-F57</f>
        <v>2052405.3635743686</v>
      </c>
      <c r="G59" s="137">
        <f>G58-G57</f>
        <v>1816487.7070563685</v>
      </c>
      <c r="H59" s="137">
        <f t="shared" ref="H59:AS59" si="19">H58-H57</f>
        <v>1598851.4925563692</v>
      </c>
      <c r="I59" s="137">
        <f t="shared" si="19"/>
        <v>1396885.0855003695</v>
      </c>
      <c r="J59" s="137">
        <f t="shared" si="19"/>
        <v>1210588.4858883701</v>
      </c>
      <c r="K59" s="137">
        <f t="shared" si="19"/>
        <v>1037785.3315753702</v>
      </c>
      <c r="L59" s="137">
        <f t="shared" si="19"/>
        <v>878475.62256137072</v>
      </c>
      <c r="M59" s="137">
        <f t="shared" si="19"/>
        <v>852359.2768213707</v>
      </c>
      <c r="N59" s="137">
        <f t="shared" si="19"/>
        <v>851924.00439237081</v>
      </c>
      <c r="O59" s="137">
        <f t="shared" si="19"/>
        <v>852359.2768213707</v>
      </c>
      <c r="P59" s="137">
        <f t="shared" si="19"/>
        <v>851924.00439237081</v>
      </c>
      <c r="Q59" s="137">
        <f t="shared" si="19"/>
        <v>852359.2768213707</v>
      </c>
      <c r="R59" s="137">
        <f t="shared" si="19"/>
        <v>851924.00439237081</v>
      </c>
      <c r="S59" s="137">
        <f t="shared" si="19"/>
        <v>852359.2768213707</v>
      </c>
      <c r="T59" s="137">
        <f t="shared" si="19"/>
        <v>851924.00439237081</v>
      </c>
      <c r="U59" s="137">
        <f t="shared" si="19"/>
        <v>852359.2768213707</v>
      </c>
      <c r="V59" s="137">
        <f t="shared" si="19"/>
        <v>851924.00439237081</v>
      </c>
      <c r="W59" s="137">
        <f t="shared" si="19"/>
        <v>852359.2768213707</v>
      </c>
      <c r="X59" s="137">
        <f t="shared" si="19"/>
        <v>851924.00439237081</v>
      </c>
      <c r="Y59" s="137">
        <f t="shared" si="19"/>
        <v>-118733.51227762725</v>
      </c>
      <c r="Z59" s="137">
        <f t="shared" si="19"/>
        <v>-1089826.3013766252</v>
      </c>
      <c r="AA59" s="137">
        <f t="shared" si="19"/>
        <v>-1089826.3013766252</v>
      </c>
      <c r="AB59" s="137">
        <f t="shared" si="19"/>
        <v>-1089826.3013766252</v>
      </c>
      <c r="AC59" s="137">
        <f t="shared" si="19"/>
        <v>-1089826.3013766252</v>
      </c>
      <c r="AD59" s="137">
        <f t="shared" si="19"/>
        <v>-1089826.3013766252</v>
      </c>
      <c r="AE59" s="137">
        <f t="shared" si="19"/>
        <v>-1089826.3013766252</v>
      </c>
      <c r="AF59" s="137">
        <f t="shared" si="19"/>
        <v>-1089826.3013766252</v>
      </c>
      <c r="AG59" s="137">
        <f t="shared" si="19"/>
        <v>-1089826.3013766252</v>
      </c>
      <c r="AH59" s="137">
        <f t="shared" si="19"/>
        <v>-1089826.3013766252</v>
      </c>
      <c r="AI59" s="137">
        <f t="shared" si="19"/>
        <v>-1089826.3013766252</v>
      </c>
      <c r="AJ59" s="137">
        <f t="shared" si="19"/>
        <v>-1089826.3013766252</v>
      </c>
      <c r="AK59" s="137">
        <f t="shared" si="19"/>
        <v>-1089826.3013766252</v>
      </c>
      <c r="AL59" s="137">
        <f t="shared" si="19"/>
        <v>-1089826.3013766252</v>
      </c>
      <c r="AM59" s="137">
        <f t="shared" si="19"/>
        <v>-1089826.3013766252</v>
      </c>
      <c r="AN59" s="137">
        <f t="shared" si="19"/>
        <v>-1089826.3013766252</v>
      </c>
      <c r="AO59" s="137">
        <f t="shared" si="19"/>
        <v>-1089826.3013766252</v>
      </c>
      <c r="AP59" s="137">
        <f t="shared" si="19"/>
        <v>-1089826.3013766252</v>
      </c>
      <c r="AQ59" s="137">
        <f t="shared" si="19"/>
        <v>-1089826.3013766252</v>
      </c>
      <c r="AR59" s="137">
        <f t="shared" si="19"/>
        <v>-1024017.3013766252</v>
      </c>
      <c r="AS59" s="137">
        <f t="shared" si="19"/>
        <v>0</v>
      </c>
      <c r="AT59" s="140">
        <f t="shared" si="13"/>
        <v>-0.1550651011057198</v>
      </c>
    </row>
    <row r="60" spans="1:46" x14ac:dyDescent="0.25">
      <c r="A60" s="308">
        <f t="shared" si="10"/>
        <v>30</v>
      </c>
      <c r="B60" s="25" t="s">
        <v>71</v>
      </c>
      <c r="C60" s="25"/>
      <c r="D60" s="315"/>
      <c r="E60" s="61">
        <f>E59*F15</f>
        <v>113913.514548408</v>
      </c>
      <c r="F60" s="137">
        <f t="shared" ref="F60:AS60" si="20">F59*$F$15</f>
        <v>431005.12635061739</v>
      </c>
      <c r="G60" s="137">
        <f t="shared" si="20"/>
        <v>381462.41848183738</v>
      </c>
      <c r="H60" s="137">
        <f t="shared" si="20"/>
        <v>335758.81343683752</v>
      </c>
      <c r="I60" s="137">
        <f t="shared" si="20"/>
        <v>293345.86795507761</v>
      </c>
      <c r="J60" s="137">
        <f t="shared" si="20"/>
        <v>254223.58203655769</v>
      </c>
      <c r="K60" s="137">
        <f t="shared" si="20"/>
        <v>217934.91963082773</v>
      </c>
      <c r="L60" s="137">
        <f t="shared" si="20"/>
        <v>184479.88073788784</v>
      </c>
      <c r="M60" s="137">
        <f t="shared" si="20"/>
        <v>178995.44813248783</v>
      </c>
      <c r="N60" s="137">
        <f t="shared" si="20"/>
        <v>178904.04092239786</v>
      </c>
      <c r="O60" s="137">
        <f t="shared" si="20"/>
        <v>178995.44813248783</v>
      </c>
      <c r="P60" s="137">
        <f t="shared" si="20"/>
        <v>178904.04092239786</v>
      </c>
      <c r="Q60" s="137">
        <f t="shared" si="20"/>
        <v>178995.44813248783</v>
      </c>
      <c r="R60" s="137">
        <f t="shared" si="20"/>
        <v>178904.04092239786</v>
      </c>
      <c r="S60" s="137">
        <f t="shared" si="20"/>
        <v>178995.44813248783</v>
      </c>
      <c r="T60" s="137">
        <f t="shared" si="20"/>
        <v>178904.04092239786</v>
      </c>
      <c r="U60" s="137">
        <f t="shared" si="20"/>
        <v>178995.44813248783</v>
      </c>
      <c r="V60" s="137">
        <f t="shared" si="20"/>
        <v>178904.04092239786</v>
      </c>
      <c r="W60" s="137">
        <f t="shared" si="20"/>
        <v>178995.44813248783</v>
      </c>
      <c r="X60" s="137">
        <f t="shared" si="20"/>
        <v>178904.04092239786</v>
      </c>
      <c r="Y60" s="137">
        <f t="shared" si="20"/>
        <v>-24934.037578301723</v>
      </c>
      <c r="Z60" s="137">
        <f t="shared" si="20"/>
        <v>-228863.52328909127</v>
      </c>
      <c r="AA60" s="137">
        <f t="shared" si="20"/>
        <v>-228863.52328909127</v>
      </c>
      <c r="AB60" s="137">
        <f t="shared" si="20"/>
        <v>-228863.52328909127</v>
      </c>
      <c r="AC60" s="137">
        <f t="shared" si="20"/>
        <v>-228863.52328909127</v>
      </c>
      <c r="AD60" s="137">
        <f t="shared" si="20"/>
        <v>-228863.52328909127</v>
      </c>
      <c r="AE60" s="137">
        <f t="shared" si="20"/>
        <v>-228863.52328909127</v>
      </c>
      <c r="AF60" s="137">
        <f t="shared" si="20"/>
        <v>-228863.52328909127</v>
      </c>
      <c r="AG60" s="137">
        <f t="shared" si="20"/>
        <v>-228863.52328909127</v>
      </c>
      <c r="AH60" s="137">
        <f t="shared" si="20"/>
        <v>-228863.52328909127</v>
      </c>
      <c r="AI60" s="137">
        <f t="shared" si="20"/>
        <v>-228863.52328909127</v>
      </c>
      <c r="AJ60" s="137">
        <f t="shared" si="20"/>
        <v>-228863.52328909127</v>
      </c>
      <c r="AK60" s="137">
        <f t="shared" si="20"/>
        <v>-228863.52328909127</v>
      </c>
      <c r="AL60" s="137">
        <f t="shared" si="20"/>
        <v>-228863.52328909127</v>
      </c>
      <c r="AM60" s="137">
        <f t="shared" si="20"/>
        <v>-228863.52328909127</v>
      </c>
      <c r="AN60" s="137">
        <f t="shared" si="20"/>
        <v>-228863.52328909127</v>
      </c>
      <c r="AO60" s="137">
        <f t="shared" si="20"/>
        <v>-228863.52328909127</v>
      </c>
      <c r="AP60" s="137">
        <f t="shared" si="20"/>
        <v>-228863.52328909127</v>
      </c>
      <c r="AQ60" s="137">
        <f t="shared" si="20"/>
        <v>-228863.52328909127</v>
      </c>
      <c r="AR60" s="137">
        <f t="shared" si="20"/>
        <v>-215043.63328909129</v>
      </c>
      <c r="AS60" s="137">
        <f t="shared" si="20"/>
        <v>0</v>
      </c>
      <c r="AT60" s="140">
        <f t="shared" si="13"/>
        <v>-3.2563671673415229E-2</v>
      </c>
    </row>
    <row r="61" spans="1:46" x14ac:dyDescent="0.25">
      <c r="A61" s="308">
        <f t="shared" si="10"/>
        <v>31</v>
      </c>
      <c r="B61" s="25"/>
      <c r="C61" s="25"/>
      <c r="D61" s="315"/>
      <c r="E61" s="11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315"/>
    </row>
    <row r="62" spans="1:46" s="73" customFormat="1" x14ac:dyDescent="0.25">
      <c r="A62" s="308">
        <f t="shared" si="10"/>
        <v>32</v>
      </c>
      <c r="B62" s="25" t="str">
        <f t="shared" ref="B62" si="21">IF($F$18=1,B66,B65)</f>
        <v>MACRS Depreciation - 20</v>
      </c>
      <c r="C62" s="25"/>
      <c r="D62" s="70"/>
      <c r="E62" s="85">
        <f t="shared" ref="E62:Y62" si="22">IF($F$18=1,E66,E65)</f>
        <v>3.7499999999999999E-2</v>
      </c>
      <c r="F62" s="81">
        <f t="shared" si="22"/>
        <v>7.2190000000000004E-2</v>
      </c>
      <c r="G62" s="81">
        <f t="shared" si="22"/>
        <v>6.6769999999999996E-2</v>
      </c>
      <c r="H62" s="84">
        <f t="shared" si="22"/>
        <v>6.1769999999999999E-2</v>
      </c>
      <c r="I62" s="84">
        <f t="shared" si="22"/>
        <v>5.713E-2</v>
      </c>
      <c r="J62" s="84">
        <f t="shared" si="22"/>
        <v>5.2850000000000001E-2</v>
      </c>
      <c r="K62" s="84">
        <f t="shared" si="22"/>
        <v>4.888E-2</v>
      </c>
      <c r="L62" s="84">
        <f t="shared" si="22"/>
        <v>4.5220000000000003E-2</v>
      </c>
      <c r="M62" s="84">
        <f t="shared" si="22"/>
        <v>4.462E-2</v>
      </c>
      <c r="N62" s="84">
        <f t="shared" si="22"/>
        <v>4.4610000000000004E-2</v>
      </c>
      <c r="O62" s="84">
        <f t="shared" si="22"/>
        <v>4.462E-2</v>
      </c>
      <c r="P62" s="84">
        <f t="shared" si="22"/>
        <v>4.4610000000000004E-2</v>
      </c>
      <c r="Q62" s="84">
        <f t="shared" si="22"/>
        <v>4.462E-2</v>
      </c>
      <c r="R62" s="84">
        <f t="shared" si="22"/>
        <v>4.4610000000000004E-2</v>
      </c>
      <c r="S62" s="84">
        <f t="shared" si="22"/>
        <v>4.462E-2</v>
      </c>
      <c r="T62" s="84">
        <f t="shared" si="22"/>
        <v>4.4610000000000004E-2</v>
      </c>
      <c r="U62" s="84">
        <f t="shared" si="22"/>
        <v>4.462E-2</v>
      </c>
      <c r="V62" s="84">
        <f t="shared" si="22"/>
        <v>4.4610000000000004E-2</v>
      </c>
      <c r="W62" s="84">
        <f t="shared" si="22"/>
        <v>4.462E-2</v>
      </c>
      <c r="X62" s="84">
        <f t="shared" si="22"/>
        <v>4.4610000000000004E-2</v>
      </c>
      <c r="Y62" s="84">
        <f t="shared" si="22"/>
        <v>2.231E-2</v>
      </c>
      <c r="Z62" s="71"/>
      <c r="AA62" s="71"/>
      <c r="AB62" s="71"/>
      <c r="AC62" s="71"/>
      <c r="AD62" s="71"/>
      <c r="AE62" s="71"/>
      <c r="AF62" s="71"/>
      <c r="AG62" s="71"/>
      <c r="AH62" s="71"/>
      <c r="AI62" s="71"/>
      <c r="AJ62" s="71"/>
      <c r="AK62" s="71"/>
      <c r="AL62" s="71"/>
      <c r="AM62" s="71"/>
      <c r="AN62" s="71"/>
      <c r="AO62" s="71"/>
      <c r="AP62" s="70"/>
    </row>
    <row r="63" spans="1:46" outlineLevel="1" x14ac:dyDescent="0.35">
      <c r="A63" s="308">
        <f t="shared" si="10"/>
        <v>33</v>
      </c>
      <c r="B63" s="25"/>
      <c r="C63" s="318"/>
      <c r="E63" s="319"/>
      <c r="F63" s="320"/>
      <c r="G63" s="320"/>
      <c r="H63" s="320"/>
      <c r="I63" s="320"/>
      <c r="J63" s="320"/>
      <c r="K63" s="320"/>
      <c r="L63" s="320"/>
      <c r="M63" s="321"/>
      <c r="N63" s="321"/>
      <c r="O63" s="321"/>
      <c r="P63" s="321"/>
      <c r="Q63" s="321"/>
      <c r="R63" s="321"/>
      <c r="S63" s="321"/>
      <c r="T63" s="321"/>
      <c r="U63" s="321"/>
      <c r="V63" s="321"/>
      <c r="W63" s="321"/>
      <c r="X63" s="321"/>
      <c r="Y63" s="321"/>
      <c r="Z63" s="315"/>
      <c r="AA63" s="315"/>
      <c r="AB63" s="315"/>
      <c r="AC63" s="315"/>
      <c r="AD63" s="315"/>
      <c r="AE63" s="315"/>
      <c r="AF63" s="315"/>
      <c r="AG63" s="315"/>
      <c r="AH63" s="315"/>
      <c r="AI63" s="315"/>
      <c r="AJ63" s="315"/>
      <c r="AK63" s="315"/>
      <c r="AL63" s="315"/>
      <c r="AM63" s="315"/>
      <c r="AN63" s="315"/>
      <c r="AO63" s="26"/>
    </row>
    <row r="64" spans="1:46" outlineLevel="1" x14ac:dyDescent="0.35">
      <c r="A64" s="308">
        <f t="shared" si="10"/>
        <v>34</v>
      </c>
      <c r="B64" s="25"/>
      <c r="C64" s="318"/>
      <c r="E64" s="319"/>
      <c r="F64" s="320"/>
      <c r="G64" s="320"/>
      <c r="H64" s="320"/>
      <c r="I64" s="320"/>
      <c r="J64" s="320"/>
      <c r="K64" s="320"/>
      <c r="L64" s="320"/>
      <c r="M64" s="321"/>
      <c r="N64" s="321"/>
      <c r="O64" s="321"/>
      <c r="P64" s="321"/>
      <c r="Q64" s="321"/>
      <c r="R64" s="321"/>
      <c r="S64" s="321"/>
      <c r="T64" s="321"/>
      <c r="U64" s="321"/>
      <c r="V64" s="321"/>
      <c r="W64" s="321"/>
      <c r="X64" s="321"/>
      <c r="Y64" s="321"/>
      <c r="Z64" s="315"/>
      <c r="AA64" s="315"/>
      <c r="AB64" s="315"/>
      <c r="AC64" s="315"/>
      <c r="AD64" s="315"/>
      <c r="AE64" s="315"/>
      <c r="AF64" s="315"/>
      <c r="AG64" s="315"/>
      <c r="AH64" s="315"/>
      <c r="AI64" s="315"/>
      <c r="AJ64" s="315"/>
      <c r="AK64" s="315"/>
      <c r="AL64" s="315"/>
      <c r="AM64" s="315"/>
      <c r="AN64" s="315"/>
      <c r="AO64" s="26"/>
    </row>
    <row r="65" spans="1:42" s="73" customFormat="1" x14ac:dyDescent="0.35">
      <c r="A65" s="308">
        <f t="shared" si="10"/>
        <v>35</v>
      </c>
      <c r="B65" s="25" t="s">
        <v>72</v>
      </c>
      <c r="C65" s="25"/>
      <c r="D65" s="74">
        <v>0</v>
      </c>
      <c r="E65" s="82">
        <f>'MACRS 20'!B5</f>
        <v>3.7499999999999999E-2</v>
      </c>
      <c r="F65" s="81">
        <f>'MACRS 20'!C5</f>
        <v>7.2190000000000004E-2</v>
      </c>
      <c r="G65" s="81">
        <f>'MACRS 20'!D5</f>
        <v>6.6769999999999996E-2</v>
      </c>
      <c r="H65" s="83">
        <f>'MACRS 20'!E5</f>
        <v>6.1769999999999999E-2</v>
      </c>
      <c r="I65" s="83">
        <f>'MACRS 20'!F5</f>
        <v>5.713E-2</v>
      </c>
      <c r="J65" s="83">
        <f>'MACRS 20'!G5</f>
        <v>5.2850000000000001E-2</v>
      </c>
      <c r="K65" s="83">
        <f>'MACRS 20'!H5</f>
        <v>4.888E-2</v>
      </c>
      <c r="L65" s="83">
        <f>'MACRS 20'!I5</f>
        <v>4.5220000000000003E-2</v>
      </c>
      <c r="M65" s="83">
        <f>'MACRS 20'!J5</f>
        <v>4.462E-2</v>
      </c>
      <c r="N65" s="83">
        <f>'MACRS 20'!K5</f>
        <v>4.4610000000000004E-2</v>
      </c>
      <c r="O65" s="83">
        <f>'MACRS 20'!L5</f>
        <v>4.462E-2</v>
      </c>
      <c r="P65" s="83">
        <f>'MACRS 20'!M5</f>
        <v>4.4610000000000004E-2</v>
      </c>
      <c r="Q65" s="83">
        <f>'MACRS 20'!N5</f>
        <v>4.462E-2</v>
      </c>
      <c r="R65" s="83">
        <f>'MACRS 20'!O5</f>
        <v>4.4610000000000004E-2</v>
      </c>
      <c r="S65" s="83">
        <f>'MACRS 20'!P5</f>
        <v>4.462E-2</v>
      </c>
      <c r="T65" s="83">
        <f>'MACRS 20'!Q5</f>
        <v>4.4610000000000004E-2</v>
      </c>
      <c r="U65" s="83">
        <f>'MACRS 20'!R5</f>
        <v>4.462E-2</v>
      </c>
      <c r="V65" s="83">
        <f>'MACRS 20'!S5</f>
        <v>4.4610000000000004E-2</v>
      </c>
      <c r="W65" s="83">
        <f>'MACRS 20'!T5</f>
        <v>4.462E-2</v>
      </c>
      <c r="X65" s="83">
        <f>'MACRS 20'!U5</f>
        <v>4.4610000000000004E-2</v>
      </c>
      <c r="Y65" s="83">
        <f>'MACRS 20'!V5</f>
        <v>2.231E-2</v>
      </c>
      <c r="Z65" s="75"/>
      <c r="AA65" s="71"/>
      <c r="AB65" s="71"/>
      <c r="AC65" s="71"/>
      <c r="AD65" s="71"/>
      <c r="AE65" s="71"/>
      <c r="AF65" s="71"/>
      <c r="AG65" s="71"/>
      <c r="AH65" s="71"/>
      <c r="AI65" s="71"/>
      <c r="AJ65" s="71"/>
      <c r="AK65" s="71"/>
      <c r="AL65" s="71"/>
      <c r="AM65" s="71"/>
      <c r="AN65" s="70"/>
      <c r="AP65" s="76"/>
    </row>
    <row r="66" spans="1:42" x14ac:dyDescent="0.25">
      <c r="A66" s="308">
        <f t="shared" si="10"/>
        <v>36</v>
      </c>
      <c r="B66" s="25" t="s">
        <v>73</v>
      </c>
      <c r="C66" s="25"/>
      <c r="D66" s="74">
        <v>0</v>
      </c>
      <c r="E66" s="82">
        <f>'MACRS 20'!B6</f>
        <v>0.51875000000000004</v>
      </c>
      <c r="F66" s="81">
        <f>'MACRS 20'!C6</f>
        <v>3.6095000000000002E-2</v>
      </c>
      <c r="G66" s="81">
        <f>'MACRS 20'!D6</f>
        <v>3.3384999999999998E-2</v>
      </c>
      <c r="H66" s="84">
        <f>'MACRS 20'!E6</f>
        <v>3.0884999999999999E-2</v>
      </c>
      <c r="I66" s="84">
        <f>'MACRS 20'!F6</f>
        <v>2.8565E-2</v>
      </c>
      <c r="J66" s="84">
        <f>'MACRS 20'!G6</f>
        <v>2.6425000000000001E-2</v>
      </c>
      <c r="K66" s="84">
        <f>'MACRS 20'!H6</f>
        <v>2.444E-2</v>
      </c>
      <c r="L66" s="84">
        <f>'MACRS 20'!I6</f>
        <v>2.2610000000000002E-2</v>
      </c>
      <c r="M66" s="84">
        <f>'MACRS 20'!J6</f>
        <v>2.231E-2</v>
      </c>
      <c r="N66" s="84">
        <f>'MACRS 20'!K6</f>
        <v>2.2305000000000002E-2</v>
      </c>
      <c r="O66" s="84">
        <f>'MACRS 20'!L6</f>
        <v>2.231E-2</v>
      </c>
      <c r="P66" s="84">
        <f>'MACRS 20'!M6</f>
        <v>2.2305000000000002E-2</v>
      </c>
      <c r="Q66" s="84">
        <f>'MACRS 20'!N6</f>
        <v>2.231E-2</v>
      </c>
      <c r="R66" s="84">
        <f>'MACRS 20'!O6</f>
        <v>2.2305000000000002E-2</v>
      </c>
      <c r="S66" s="84">
        <f>'MACRS 20'!P6</f>
        <v>2.231E-2</v>
      </c>
      <c r="T66" s="84">
        <f>'MACRS 20'!Q6</f>
        <v>2.2305000000000002E-2</v>
      </c>
      <c r="U66" s="84">
        <f>'MACRS 20'!R6</f>
        <v>2.231E-2</v>
      </c>
      <c r="V66" s="84">
        <f>'MACRS 20'!S6</f>
        <v>2.2305000000000002E-2</v>
      </c>
      <c r="W66" s="84">
        <f>'MACRS 20'!T6</f>
        <v>2.231E-2</v>
      </c>
      <c r="X66" s="84">
        <f>'MACRS 20'!U6</f>
        <v>2.2305000000000002E-2</v>
      </c>
      <c r="Y66" s="84">
        <f>'MACRS 20'!V6</f>
        <v>1.1155E-2</v>
      </c>
      <c r="Z66" s="72"/>
      <c r="AA66" s="72"/>
      <c r="AB66" s="77"/>
      <c r="AC66" s="77"/>
      <c r="AD66" s="77"/>
      <c r="AE66" s="77"/>
      <c r="AF66" s="77"/>
      <c r="AG66" s="77"/>
      <c r="AH66" s="77"/>
      <c r="AI66" s="77"/>
      <c r="AJ66" s="77"/>
      <c r="AK66" s="77"/>
      <c r="AL66" s="77"/>
      <c r="AM66" s="77"/>
      <c r="AN66" s="315"/>
      <c r="AO66" s="26"/>
      <c r="AP66" s="76">
        <f>SUM(D66:AO66)</f>
        <v>1.0000000000000004</v>
      </c>
    </row>
    <row r="69" spans="1:42" x14ac:dyDescent="0.35">
      <c r="B69" s="78"/>
    </row>
  </sheetData>
  <mergeCells count="1">
    <mergeCell ref="E1:F1"/>
  </mergeCells>
  <printOptions horizontalCentered="1"/>
  <pageMargins left="0.75" right="0.5" top="0.5" bottom="0.5" header="0.5" footer="0.25"/>
  <pageSetup scale="1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4"/>
  <sheetViews>
    <sheetView zoomScale="90" zoomScaleNormal="90" workbookViewId="0">
      <selection activeCell="E12" sqref="E12"/>
    </sheetView>
  </sheetViews>
  <sheetFormatPr defaultColWidth="8.81640625" defaultRowHeight="14.5" x14ac:dyDescent="0.35"/>
  <cols>
    <col min="1" max="1" width="8.81640625" style="323"/>
    <col min="2" max="2" width="38.08984375" style="323" bestFit="1" customWidth="1"/>
    <col min="3" max="3" width="15.7265625" style="323" customWidth="1"/>
    <col min="4" max="4" width="15.453125" style="324" customWidth="1"/>
    <col min="5" max="5" width="14.54296875" style="324" customWidth="1"/>
    <col min="6" max="6" width="15.453125" style="324" customWidth="1"/>
    <col min="7" max="7" width="18.1796875" style="324" customWidth="1"/>
    <col min="8" max="8" width="11.453125" style="324" bestFit="1" customWidth="1"/>
    <col min="9" max="9" width="11.453125" style="324" customWidth="1"/>
    <col min="10" max="10" width="7.453125" style="323" customWidth="1"/>
    <col min="11" max="11" width="8.81640625" style="323"/>
    <col min="12" max="12" width="8.36328125" style="323" bestFit="1" customWidth="1"/>
    <col min="13" max="16384" width="8.81640625" style="323"/>
  </cols>
  <sheetData>
    <row r="2" spans="2:13" x14ac:dyDescent="0.35">
      <c r="B2" s="322" t="s">
        <v>211</v>
      </c>
    </row>
    <row r="3" spans="2:13" ht="43.5" x14ac:dyDescent="0.35">
      <c r="B3" s="325" t="s">
        <v>212</v>
      </c>
      <c r="C3" s="326" t="s">
        <v>203</v>
      </c>
      <c r="D3" s="327" t="s">
        <v>289</v>
      </c>
      <c r="E3" s="327" t="s">
        <v>290</v>
      </c>
      <c r="F3" s="328" t="s">
        <v>90</v>
      </c>
      <c r="G3" s="327" t="s">
        <v>13</v>
      </c>
      <c r="H3" s="328" t="s">
        <v>213</v>
      </c>
      <c r="I3" s="485"/>
    </row>
    <row r="4" spans="2:13" x14ac:dyDescent="0.35">
      <c r="B4" s="329" t="s">
        <v>214</v>
      </c>
      <c r="C4" s="330" t="s">
        <v>215</v>
      </c>
      <c r="D4" s="331">
        <v>2655197.3500000015</v>
      </c>
      <c r="E4" s="331">
        <v>859800</v>
      </c>
      <c r="F4" s="331">
        <f>+D4+E4</f>
        <v>3514997.3500000015</v>
      </c>
      <c r="G4" s="332">
        <f>E36</f>
        <v>3.1950138602539598E-2</v>
      </c>
      <c r="H4" s="331">
        <f>+G4*F4</f>
        <v>112304.65252005943</v>
      </c>
      <c r="I4" s="486"/>
    </row>
    <row r="5" spans="2:13" x14ac:dyDescent="0.35">
      <c r="B5" s="329" t="s">
        <v>216</v>
      </c>
      <c r="C5" s="330" t="s">
        <v>95</v>
      </c>
      <c r="D5" s="331">
        <v>29085048.549999904</v>
      </c>
      <c r="E5" s="331">
        <v>10927197</v>
      </c>
      <c r="F5" s="331">
        <f>+D5+E5</f>
        <v>40012245.549999908</v>
      </c>
      <c r="G5" s="332">
        <f>E35</f>
        <v>2.443056207967733E-2</v>
      </c>
      <c r="H5" s="331">
        <f>+G5*F5</f>
        <v>977521.64885656571</v>
      </c>
      <c r="I5" s="486"/>
    </row>
    <row r="6" spans="2:13" ht="15" thickBot="1" x14ac:dyDescent="0.4">
      <c r="B6" s="333" t="s">
        <v>90</v>
      </c>
      <c r="C6" s="334"/>
      <c r="D6" s="335">
        <f>SUM(D4:D5)</f>
        <v>31740245.899999905</v>
      </c>
      <c r="E6" s="335">
        <f t="shared" ref="E6:F6" si="0">SUM(E4:E5)</f>
        <v>11786997</v>
      </c>
      <c r="F6" s="335">
        <f t="shared" si="0"/>
        <v>43527242.899999909</v>
      </c>
      <c r="G6" s="336"/>
      <c r="H6" s="335">
        <f>SUM(H4:H5)</f>
        <v>1089826.3013766252</v>
      </c>
      <c r="I6" s="487"/>
    </row>
    <row r="7" spans="2:13" ht="15" thickTop="1" x14ac:dyDescent="0.35">
      <c r="B7" s="173" t="s">
        <v>93</v>
      </c>
      <c r="D7" s="337"/>
      <c r="E7" s="337"/>
      <c r="F7" s="337"/>
      <c r="G7" s="332">
        <f>+H6/F6</f>
        <v>2.5037797681796828E-2</v>
      </c>
      <c r="H7" s="337"/>
      <c r="I7" s="337"/>
      <c r="J7" s="324"/>
    </row>
    <row r="8" spans="2:13" x14ac:dyDescent="0.35">
      <c r="B8" s="173" t="s">
        <v>217</v>
      </c>
      <c r="C8" s="324"/>
      <c r="D8" s="338"/>
      <c r="E8" s="338"/>
      <c r="F8" s="338"/>
      <c r="G8" s="339"/>
      <c r="H8" s="338"/>
      <c r="I8" s="338"/>
      <c r="J8" s="324"/>
    </row>
    <row r="9" spans="2:13" x14ac:dyDescent="0.35">
      <c r="B9" s="500" t="s">
        <v>84</v>
      </c>
      <c r="C9" s="340"/>
      <c r="D9" s="341"/>
      <c r="E9" s="501">
        <v>380</v>
      </c>
      <c r="F9" s="332">
        <f>+F4/F6</f>
        <v>8.0753962709639221E-2</v>
      </c>
      <c r="G9" s="332"/>
      <c r="H9" s="332">
        <f>+H4/H6</f>
        <v>0.10304821270894331</v>
      </c>
      <c r="I9" s="488"/>
      <c r="J9" s="342"/>
    </row>
    <row r="10" spans="2:13" x14ac:dyDescent="0.35">
      <c r="B10" s="500" t="s">
        <v>83</v>
      </c>
      <c r="C10" s="340"/>
      <c r="D10" s="341"/>
      <c r="E10" s="501">
        <v>376</v>
      </c>
      <c r="F10" s="332">
        <f>+F5/F6</f>
        <v>0.91924603729036081</v>
      </c>
      <c r="G10" s="332"/>
      <c r="H10" s="332">
        <f>+H5/H6</f>
        <v>0.89695178729105662</v>
      </c>
      <c r="I10" s="488"/>
      <c r="J10" s="342"/>
    </row>
    <row r="11" spans="2:13" x14ac:dyDescent="0.35">
      <c r="B11" s="191"/>
      <c r="D11" s="338"/>
      <c r="E11" s="338"/>
      <c r="F11" s="338"/>
      <c r="G11" s="339"/>
      <c r="H11" s="338"/>
      <c r="I11" s="338"/>
      <c r="J11" s="324"/>
    </row>
    <row r="12" spans="2:13" x14ac:dyDescent="0.35">
      <c r="D12" s="338"/>
      <c r="E12" s="338"/>
      <c r="F12" s="338"/>
      <c r="G12" s="338"/>
      <c r="H12" s="343" t="s">
        <v>219</v>
      </c>
      <c r="I12" s="343"/>
      <c r="J12" s="344"/>
      <c r="K12" s="344"/>
      <c r="L12" s="344"/>
    </row>
    <row r="13" spans="2:13" ht="43.5" x14ac:dyDescent="0.35">
      <c r="B13" s="345" t="s">
        <v>218</v>
      </c>
      <c r="C13" s="326" t="s">
        <v>203</v>
      </c>
      <c r="D13" s="327" t="s">
        <v>289</v>
      </c>
      <c r="E13" s="327" t="s">
        <v>290</v>
      </c>
      <c r="F13" s="346" t="s">
        <v>90</v>
      </c>
      <c r="G13" s="346" t="s">
        <v>220</v>
      </c>
      <c r="H13" s="489">
        <v>892</v>
      </c>
      <c r="I13" s="489">
        <v>893</v>
      </c>
      <c r="J13" s="490">
        <v>878</v>
      </c>
      <c r="K13" s="490">
        <v>887</v>
      </c>
      <c r="L13" s="490">
        <v>874</v>
      </c>
    </row>
    <row r="14" spans="2:13" x14ac:dyDescent="0.35">
      <c r="B14" s="329" t="s">
        <v>221</v>
      </c>
      <c r="C14" s="329" t="s">
        <v>222</v>
      </c>
      <c r="D14" s="331">
        <v>1321531.67</v>
      </c>
      <c r="E14" s="331">
        <v>150768</v>
      </c>
      <c r="F14" s="348">
        <f>+D14+E14</f>
        <v>1472299.67</v>
      </c>
      <c r="G14" s="349" t="s">
        <v>291</v>
      </c>
      <c r="H14" s="491">
        <v>0.98591943695151862</v>
      </c>
      <c r="I14" s="491">
        <v>8.4955209586464343E-4</v>
      </c>
      <c r="J14" s="491">
        <v>1.3231010952616851E-2</v>
      </c>
      <c r="K14" s="493"/>
      <c r="L14" s="493"/>
    </row>
    <row r="15" spans="2:13" x14ac:dyDescent="0.35">
      <c r="B15" s="329" t="s">
        <v>292</v>
      </c>
      <c r="C15" s="329"/>
      <c r="D15" s="331">
        <v>-437688.5</v>
      </c>
      <c r="E15" s="331">
        <v>0</v>
      </c>
      <c r="F15" s="331">
        <f>+D15+E15</f>
        <v>-437688.5</v>
      </c>
      <c r="G15" s="349"/>
      <c r="H15" s="491">
        <v>1</v>
      </c>
      <c r="I15" s="491"/>
      <c r="J15" s="491"/>
      <c r="K15" s="492"/>
      <c r="L15" s="492"/>
      <c r="M15" s="352" t="s">
        <v>153</v>
      </c>
    </row>
    <row r="16" spans="2:13" x14ac:dyDescent="0.35">
      <c r="B16" s="329" t="s">
        <v>224</v>
      </c>
      <c r="C16" s="329" t="s">
        <v>225</v>
      </c>
      <c r="D16" s="353">
        <v>2622022.87</v>
      </c>
      <c r="E16" s="353">
        <v>362050</v>
      </c>
      <c r="F16" s="353">
        <f>+D16+E16</f>
        <v>2984072.87</v>
      </c>
      <c r="G16" s="349" t="s">
        <v>226</v>
      </c>
      <c r="H16" s="351"/>
      <c r="I16" s="351"/>
      <c r="J16" s="351"/>
      <c r="K16" s="351"/>
      <c r="L16" s="350">
        <v>1</v>
      </c>
    </row>
    <row r="17" spans="1:13" x14ac:dyDescent="0.35">
      <c r="B17" s="329" t="s">
        <v>227</v>
      </c>
      <c r="C17" s="329" t="s">
        <v>228</v>
      </c>
      <c r="D17" s="354">
        <v>44277.37</v>
      </c>
      <c r="E17" s="353">
        <v>72000</v>
      </c>
      <c r="F17" s="354">
        <f>+D17+E17</f>
        <v>116277.37</v>
      </c>
      <c r="G17" s="349" t="s">
        <v>223</v>
      </c>
      <c r="H17" s="494">
        <v>0.64599184639918761</v>
      </c>
      <c r="I17" s="350"/>
      <c r="J17" s="350"/>
      <c r="K17" s="494">
        <v>0.35400815360081234</v>
      </c>
      <c r="L17" s="350"/>
      <c r="M17" s="355"/>
    </row>
    <row r="18" spans="1:13" x14ac:dyDescent="0.35">
      <c r="B18" s="356" t="s">
        <v>293</v>
      </c>
      <c r="C18" s="330"/>
      <c r="D18" s="357">
        <f>'Summary 2020'!E8</f>
        <v>-82000</v>
      </c>
      <c r="E18" s="358">
        <v>0</v>
      </c>
      <c r="F18" s="354">
        <f>+D18+E18</f>
        <v>-82000</v>
      </c>
      <c r="G18" s="352" t="s">
        <v>154</v>
      </c>
      <c r="H18" s="491"/>
      <c r="I18" s="491"/>
      <c r="J18" s="491"/>
      <c r="K18" s="492"/>
      <c r="L18" s="491">
        <v>1</v>
      </c>
    </row>
    <row r="19" spans="1:13" ht="15" thickBot="1" x14ac:dyDescent="0.4">
      <c r="B19" s="333" t="s">
        <v>90</v>
      </c>
      <c r="C19" s="334"/>
      <c r="D19" s="335">
        <f>SUM(D14:D18)</f>
        <v>3468143.41</v>
      </c>
      <c r="E19" s="335">
        <f t="shared" ref="E19:F19" si="1">SUM(E14:E18)</f>
        <v>584818</v>
      </c>
      <c r="F19" s="335">
        <f t="shared" si="1"/>
        <v>4052961.41</v>
      </c>
      <c r="G19" s="359"/>
      <c r="H19" s="338"/>
      <c r="I19" s="338"/>
      <c r="J19" s="324"/>
      <c r="K19" s="324"/>
      <c r="L19" s="324"/>
    </row>
    <row r="20" spans="1:13" ht="15" thickTop="1" x14ac:dyDescent="0.35">
      <c r="B20" s="324"/>
      <c r="C20" s="324"/>
      <c r="D20" s="338"/>
      <c r="E20" s="338"/>
      <c r="F20" s="338"/>
      <c r="G20" s="338"/>
      <c r="H20" s="338"/>
      <c r="I20" s="338"/>
      <c r="J20" s="324"/>
      <c r="K20" s="324"/>
      <c r="L20" s="324"/>
    </row>
    <row r="21" spans="1:13" x14ac:dyDescent="0.35">
      <c r="B21" s="360" t="s">
        <v>229</v>
      </c>
      <c r="C21" s="361"/>
      <c r="D21" s="362">
        <f>+D6+D19</f>
        <v>35208389.309999906</v>
      </c>
      <c r="E21" s="362">
        <f>+E6+E19</f>
        <v>12371815</v>
      </c>
      <c r="F21" s="362">
        <f>SUM(D21:E21)</f>
        <v>47580204.309999906</v>
      </c>
      <c r="G21" s="337"/>
      <c r="H21" s="338"/>
      <c r="I21" s="338"/>
      <c r="J21" s="324"/>
      <c r="K21" s="324"/>
      <c r="L21" s="324"/>
    </row>
    <row r="22" spans="1:13" x14ac:dyDescent="0.35">
      <c r="D22" s="323"/>
      <c r="E22" s="323"/>
      <c r="F22" s="323"/>
      <c r="G22" s="323"/>
      <c r="H22" s="323"/>
      <c r="I22" s="323"/>
      <c r="J22" s="324"/>
      <c r="K22" s="324"/>
      <c r="L22" s="324"/>
    </row>
    <row r="23" spans="1:13" x14ac:dyDescent="0.35">
      <c r="D23" s="323"/>
      <c r="E23" s="323"/>
      <c r="F23" s="323"/>
      <c r="G23" s="323"/>
      <c r="H23" s="323"/>
      <c r="I23" s="323"/>
      <c r="J23" s="324"/>
      <c r="K23" s="324"/>
      <c r="L23" s="324"/>
    </row>
    <row r="24" spans="1:13" x14ac:dyDescent="0.35">
      <c r="B24" s="324"/>
      <c r="C24" s="324"/>
      <c r="D24" s="338"/>
      <c r="E24" s="338"/>
      <c r="F24" s="338"/>
      <c r="G24" s="338"/>
      <c r="H24" s="338"/>
      <c r="I24" s="338"/>
      <c r="J24" s="324"/>
      <c r="K24" s="324"/>
      <c r="L24" s="324"/>
    </row>
    <row r="25" spans="1:13" x14ac:dyDescent="0.35">
      <c r="B25" s="347" t="s">
        <v>60</v>
      </c>
      <c r="C25" s="347"/>
      <c r="D25" s="341"/>
      <c r="E25" s="341"/>
      <c r="F25" s="363">
        <f>'2019 GRC'!J16</f>
        <v>4.5447000000000001E-2</v>
      </c>
      <c r="G25" s="338"/>
      <c r="H25" s="338"/>
      <c r="I25" s="338"/>
    </row>
    <row r="26" spans="1:13" x14ac:dyDescent="0.35">
      <c r="B26" s="347" t="s">
        <v>230</v>
      </c>
      <c r="C26" s="347"/>
      <c r="D26" s="341"/>
      <c r="E26" s="341"/>
      <c r="F26" s="353">
        <f>+(F19)/(1-$F$25)</f>
        <v>4245926.0093467832</v>
      </c>
      <c r="G26" s="364"/>
      <c r="H26" s="338"/>
      <c r="I26" s="338"/>
    </row>
    <row r="27" spans="1:13" x14ac:dyDescent="0.35">
      <c r="B27" s="347" t="s">
        <v>294</v>
      </c>
      <c r="C27" s="347"/>
      <c r="D27" s="341"/>
      <c r="E27" s="341"/>
      <c r="F27" s="365">
        <f>'2021 CAP CRM'!E39</f>
        <v>5010022.5857023103</v>
      </c>
      <c r="G27" s="338"/>
      <c r="H27" s="338"/>
      <c r="I27" s="338"/>
    </row>
    <row r="28" spans="1:13" ht="15" thickBot="1" x14ac:dyDescent="0.4">
      <c r="B28" s="366" t="s">
        <v>295</v>
      </c>
      <c r="C28" s="367"/>
      <c r="D28" s="368"/>
      <c r="E28" s="368"/>
      <c r="F28" s="369">
        <f>SUM(F26:F27)</f>
        <v>9255948.5950490944</v>
      </c>
      <c r="G28" s="338"/>
      <c r="H28" s="338"/>
      <c r="I28" s="338"/>
    </row>
    <row r="30" spans="1:13" ht="15" thickBot="1" x14ac:dyDescent="0.4">
      <c r="A30"/>
      <c r="B30" s="370" t="s">
        <v>296</v>
      </c>
      <c r="C30" s="370"/>
      <c r="D30" s="370"/>
      <c r="E30" s="370"/>
      <c r="F30" s="370"/>
      <c r="G30" s="370"/>
      <c r="H30"/>
      <c r="I30"/>
      <c r="J30"/>
    </row>
    <row r="31" spans="1:13" x14ac:dyDescent="0.35">
      <c r="A31"/>
      <c r="B31" s="371" t="s">
        <v>180</v>
      </c>
      <c r="C31" s="243"/>
      <c r="D31" s="243"/>
      <c r="E31" s="244"/>
      <c r="F31"/>
      <c r="G31"/>
      <c r="H31"/>
      <c r="I31"/>
      <c r="J31"/>
    </row>
    <row r="32" spans="1:13" ht="24" x14ac:dyDescent="0.35">
      <c r="A32"/>
      <c r="B32" s="372" t="s">
        <v>181</v>
      </c>
      <c r="C32" s="373" t="s">
        <v>110</v>
      </c>
      <c r="D32" s="374" t="s">
        <v>182</v>
      </c>
      <c r="E32" s="375" t="s">
        <v>183</v>
      </c>
      <c r="F32"/>
      <c r="G32"/>
      <c r="H32"/>
      <c r="I32"/>
      <c r="J32"/>
    </row>
    <row r="33" spans="1:10" x14ac:dyDescent="0.35">
      <c r="A33"/>
      <c r="B33" s="376" t="s">
        <v>184</v>
      </c>
      <c r="C33" s="377"/>
      <c r="D33" s="378" t="s">
        <v>111</v>
      </c>
      <c r="E33" s="379" t="s">
        <v>111</v>
      </c>
      <c r="F33"/>
      <c r="G33"/>
      <c r="H33"/>
      <c r="I33"/>
      <c r="J33"/>
    </row>
    <row r="34" spans="1:10" x14ac:dyDescent="0.35">
      <c r="A34"/>
      <c r="B34" s="251"/>
      <c r="C34" s="252"/>
      <c r="D34" s="249" t="s">
        <v>185</v>
      </c>
      <c r="E34" s="253"/>
      <c r="F34"/>
      <c r="G34"/>
      <c r="H34"/>
      <c r="I34"/>
      <c r="J34"/>
    </row>
    <row r="35" spans="1:10" x14ac:dyDescent="0.35">
      <c r="B35" s="254">
        <v>376.2</v>
      </c>
      <c r="C35" s="252" t="s">
        <v>186</v>
      </c>
      <c r="D35" s="255">
        <v>2.7700000000000002E-2</v>
      </c>
      <c r="E35" s="256">
        <v>2.443056207967733E-2</v>
      </c>
      <c r="F35"/>
      <c r="G35"/>
      <c r="H35"/>
      <c r="I35"/>
      <c r="J35"/>
    </row>
    <row r="36" spans="1:10" ht="15" thickBot="1" x14ac:dyDescent="0.4">
      <c r="B36" s="257">
        <v>380.2</v>
      </c>
      <c r="C36" s="258" t="s">
        <v>187</v>
      </c>
      <c r="D36" s="259">
        <v>4.58E-2</v>
      </c>
      <c r="E36" s="260">
        <v>3.1950138602539598E-2</v>
      </c>
      <c r="F36"/>
      <c r="G36"/>
      <c r="H36"/>
      <c r="I36"/>
      <c r="J36"/>
    </row>
    <row r="37" spans="1:10" x14ac:dyDescent="0.35">
      <c r="B37"/>
      <c r="C37"/>
      <c r="D37"/>
      <c r="E37"/>
      <c r="F37"/>
      <c r="G37"/>
      <c r="H37"/>
      <c r="I37"/>
      <c r="J37"/>
    </row>
    <row r="38" spans="1:10" x14ac:dyDescent="0.35">
      <c r="A38" s="380" t="s">
        <v>297</v>
      </c>
    </row>
    <row r="39" spans="1:10" x14ac:dyDescent="0.35">
      <c r="A39" s="381" t="s">
        <v>153</v>
      </c>
      <c r="B39" s="646" t="s">
        <v>298</v>
      </c>
      <c r="C39" s="646"/>
      <c r="D39" s="646"/>
      <c r="E39" s="646"/>
      <c r="F39" s="646"/>
      <c r="G39" s="646"/>
      <c r="H39" s="646"/>
      <c r="I39" s="646"/>
      <c r="J39" s="646"/>
    </row>
    <row r="40" spans="1:10" x14ac:dyDescent="0.35">
      <c r="A40" s="382"/>
      <c r="B40" s="646"/>
      <c r="C40" s="646"/>
      <c r="D40" s="646"/>
      <c r="E40" s="646"/>
      <c r="F40" s="646"/>
      <c r="G40" s="646"/>
      <c r="H40" s="646"/>
      <c r="I40" s="646"/>
      <c r="J40" s="646"/>
    </row>
    <row r="41" spans="1:10" x14ac:dyDescent="0.35">
      <c r="A41" s="381" t="s">
        <v>154</v>
      </c>
      <c r="B41" s="646" t="s">
        <v>299</v>
      </c>
      <c r="C41" s="646"/>
      <c r="D41" s="646"/>
      <c r="E41" s="646"/>
      <c r="F41" s="646"/>
      <c r="G41" s="646"/>
      <c r="H41" s="646"/>
      <c r="I41" s="646"/>
      <c r="J41" s="646"/>
    </row>
    <row r="42" spans="1:10" x14ac:dyDescent="0.35">
      <c r="A42" s="382"/>
      <c r="B42" s="646"/>
      <c r="C42" s="646"/>
      <c r="D42" s="646"/>
      <c r="E42" s="646"/>
      <c r="F42" s="646"/>
      <c r="G42" s="646"/>
      <c r="H42" s="646"/>
      <c r="I42" s="646"/>
      <c r="J42" s="646"/>
    </row>
    <row r="43" spans="1:10" x14ac:dyDescent="0.35">
      <c r="A43" s="383"/>
      <c r="B43" s="383"/>
      <c r="C43" s="383"/>
      <c r="D43" s="359"/>
      <c r="E43" s="359"/>
      <c r="F43" s="359"/>
      <c r="G43" s="359"/>
      <c r="H43" s="359"/>
      <c r="I43" s="359"/>
      <c r="J43" s="383"/>
    </row>
    <row r="44" spans="1:10" x14ac:dyDescent="0.35">
      <c r="A44" s="383"/>
      <c r="B44" s="383"/>
      <c r="C44" s="383"/>
      <c r="D44" s="359"/>
      <c r="E44" s="359"/>
      <c r="F44" s="359"/>
      <c r="G44" s="359"/>
      <c r="H44" s="359"/>
      <c r="I44" s="359"/>
      <c r="J44" s="383"/>
    </row>
  </sheetData>
  <mergeCells count="2">
    <mergeCell ref="B39:J40"/>
    <mergeCell ref="B41:J4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8"/>
  <sheetViews>
    <sheetView zoomScale="90" zoomScaleNormal="90" workbookViewId="0">
      <selection activeCell="B1" sqref="B1"/>
    </sheetView>
  </sheetViews>
  <sheetFormatPr defaultColWidth="9.1796875" defaultRowHeight="14.5" x14ac:dyDescent="0.35"/>
  <cols>
    <col min="1" max="1" width="3" style="460" bestFit="1" customWidth="1"/>
    <col min="2" max="2" width="24.26953125" style="318" customWidth="1"/>
    <col min="3" max="3" width="19.54296875" style="318" bestFit="1" customWidth="1"/>
    <col min="4" max="5" width="19.7265625" style="318" bestFit="1" customWidth="1"/>
    <col min="6" max="6" width="14.1796875" style="318" bestFit="1" customWidth="1"/>
    <col min="7" max="8" width="9.1796875" style="460"/>
    <col min="9" max="10" width="12.54296875" style="460" bestFit="1" customWidth="1"/>
    <col min="11" max="11" width="12.453125" style="460" bestFit="1" customWidth="1"/>
    <col min="12" max="16384" width="9.1796875" style="460"/>
  </cols>
  <sheetData>
    <row r="2" spans="1:12" ht="15.5" x14ac:dyDescent="0.35">
      <c r="B2" s="127" t="s">
        <v>304</v>
      </c>
      <c r="C2" s="127"/>
      <c r="D2" s="127"/>
      <c r="E2" s="127"/>
      <c r="F2" s="127"/>
    </row>
    <row r="3" spans="1:12" s="318" customFormat="1" ht="15.5" x14ac:dyDescent="0.35">
      <c r="B3" s="127"/>
      <c r="C3" s="127"/>
      <c r="D3" s="127"/>
      <c r="E3" s="127"/>
      <c r="F3" s="127"/>
    </row>
    <row r="4" spans="1:12" s="318" customFormat="1" ht="16" thickBot="1" x14ac:dyDescent="0.4">
      <c r="B4" s="519" t="s">
        <v>218</v>
      </c>
      <c r="C4" s="520"/>
      <c r="D4" s="521">
        <f>'Summary 2020'!F9</f>
        <v>3282588.2999998275</v>
      </c>
      <c r="E4" s="521">
        <f>'Summary 2020'!I9</f>
        <v>3204650.6999998274</v>
      </c>
      <c r="F4" s="521">
        <f>'Summary 2020'!J11</f>
        <v>-81648.268875588983</v>
      </c>
      <c r="G4" s="306"/>
    </row>
    <row r="5" spans="1:12" s="318" customFormat="1" ht="16" thickBot="1" x14ac:dyDescent="0.4">
      <c r="B5" s="25" t="s">
        <v>305</v>
      </c>
      <c r="C5" s="127"/>
      <c r="D5" s="193">
        <f>D27</f>
        <v>6178244.3297547093</v>
      </c>
      <c r="E5" s="193">
        <f>E27</f>
        <v>6150047.6407163478</v>
      </c>
      <c r="F5" s="193">
        <f>E5-D5</f>
        <v>-28196.689038361423</v>
      </c>
      <c r="G5" s="78"/>
      <c r="J5" s="78"/>
    </row>
    <row r="6" spans="1:12" ht="16" thickBot="1" x14ac:dyDescent="0.4">
      <c r="B6" s="461" t="s">
        <v>238</v>
      </c>
      <c r="C6" s="462"/>
      <c r="D6" s="463"/>
      <c r="E6" s="463"/>
      <c r="F6" s="463">
        <f>SUM(F4:F5)</f>
        <v>-109844.95791395041</v>
      </c>
      <c r="J6" s="186"/>
    </row>
    <row r="7" spans="1:12" ht="15.5" x14ac:dyDescent="0.35">
      <c r="B7" s="127"/>
      <c r="C7" s="127"/>
      <c r="D7" s="128" t="s">
        <v>306</v>
      </c>
      <c r="E7" s="128" t="s">
        <v>306</v>
      </c>
      <c r="F7" s="127"/>
    </row>
    <row r="8" spans="1:12" x14ac:dyDescent="0.35">
      <c r="A8" s="129"/>
      <c r="B8" s="464"/>
      <c r="C8" s="464"/>
      <c r="D8" s="465" t="s">
        <v>307</v>
      </c>
      <c r="E8" s="130" t="s">
        <v>115</v>
      </c>
      <c r="F8" s="130"/>
      <c r="I8"/>
      <c r="J8"/>
      <c r="K8"/>
      <c r="L8"/>
    </row>
    <row r="9" spans="1:12" ht="15" thickBot="1" x14ac:dyDescent="0.4">
      <c r="A9" s="466"/>
      <c r="B9" s="36"/>
      <c r="C9" s="36"/>
      <c r="D9" s="467"/>
      <c r="E9" s="467"/>
      <c r="F9" s="467"/>
      <c r="I9"/>
      <c r="J9"/>
      <c r="K9"/>
      <c r="L9"/>
    </row>
    <row r="10" spans="1:12" ht="15" thickBot="1" x14ac:dyDescent="0.4">
      <c r="A10" s="466"/>
      <c r="B10" s="468" t="s">
        <v>17</v>
      </c>
      <c r="C10" s="469"/>
      <c r="D10" s="470">
        <f>'2020 Filed Oct 16,20'!F22</f>
        <v>53737474.610000029</v>
      </c>
      <c r="E10" s="470">
        <f>'2020 + true up CAP'!F22</f>
        <v>53473094.060000032</v>
      </c>
      <c r="F10" s="470">
        <f>E10-D10</f>
        <v>-264380.54999999702</v>
      </c>
      <c r="I10"/>
      <c r="J10"/>
      <c r="K10"/>
      <c r="L10"/>
    </row>
    <row r="11" spans="1:12" x14ac:dyDescent="0.35">
      <c r="A11" s="131"/>
      <c r="B11" s="25"/>
      <c r="C11" s="25"/>
      <c r="D11" s="132"/>
      <c r="I11"/>
      <c r="J11"/>
      <c r="K11"/>
      <c r="L11"/>
    </row>
    <row r="12" spans="1:12" x14ac:dyDescent="0.35">
      <c r="A12" s="133">
        <v>1</v>
      </c>
      <c r="B12" s="25" t="s">
        <v>53</v>
      </c>
      <c r="C12" s="25"/>
      <c r="D12" s="137">
        <f>'2020 Filed Oct 16,20'!E27</f>
        <v>1338566.3494807165</v>
      </c>
      <c r="E12" s="471">
        <f>'2020 + true up CAP'!E27</f>
        <v>1334154.0606497722</v>
      </c>
      <c r="F12" s="471">
        <f>E12-D12</f>
        <v>-4412.288830944337</v>
      </c>
      <c r="G12" s="472">
        <f>D12/D34</f>
        <v>2.5257327227837776E-2</v>
      </c>
      <c r="H12" s="472">
        <f>E12/E34</f>
        <v>2.5298948950543052E-2</v>
      </c>
      <c r="I12"/>
      <c r="J12"/>
      <c r="K12"/>
      <c r="L12"/>
    </row>
    <row r="13" spans="1:12" x14ac:dyDescent="0.35">
      <c r="A13" s="131"/>
      <c r="B13" s="25"/>
      <c r="C13" s="25"/>
      <c r="D13" s="156"/>
      <c r="I13"/>
      <c r="J13"/>
      <c r="K13"/>
      <c r="L13"/>
    </row>
    <row r="14" spans="1:12" x14ac:dyDescent="0.35">
      <c r="A14" s="133">
        <f>A12+1</f>
        <v>2</v>
      </c>
      <c r="B14" s="25" t="s">
        <v>54</v>
      </c>
      <c r="C14" s="25"/>
      <c r="D14" s="137">
        <f>'2020 Filed Oct 16,20'!E29</f>
        <v>642405.95509900642</v>
      </c>
      <c r="E14" s="471">
        <f>'2020 + true up CAP'!E29</f>
        <v>639235.00576328114</v>
      </c>
      <c r="F14" s="471">
        <f>E14-D14</f>
        <v>-3170.9493357252795</v>
      </c>
      <c r="I14"/>
      <c r="J14"/>
      <c r="K14"/>
      <c r="L14"/>
    </row>
    <row r="15" spans="1:12" x14ac:dyDescent="0.35">
      <c r="A15" s="131"/>
      <c r="B15" s="25"/>
      <c r="C15" s="25"/>
      <c r="D15" s="156"/>
      <c r="I15"/>
      <c r="J15"/>
      <c r="K15"/>
      <c r="L15"/>
    </row>
    <row r="16" spans="1:12" x14ac:dyDescent="0.35">
      <c r="A16" s="131"/>
      <c r="B16" s="25" t="s">
        <v>55</v>
      </c>
      <c r="C16" s="25"/>
      <c r="D16" s="156"/>
      <c r="I16"/>
      <c r="J16"/>
      <c r="K16"/>
      <c r="L16"/>
    </row>
    <row r="17" spans="1:12" x14ac:dyDescent="0.35">
      <c r="A17" s="133">
        <f>A14+1</f>
        <v>3</v>
      </c>
      <c r="B17" s="25"/>
      <c r="C17" s="25" t="s">
        <v>56</v>
      </c>
      <c r="D17" s="134">
        <v>0</v>
      </c>
      <c r="E17" s="471">
        <v>0</v>
      </c>
      <c r="F17" s="473">
        <f t="shared" ref="F17:F20" si="0">E17-D17</f>
        <v>0</v>
      </c>
      <c r="I17"/>
      <c r="J17"/>
      <c r="K17"/>
      <c r="L17"/>
    </row>
    <row r="18" spans="1:12" x14ac:dyDescent="0.35">
      <c r="A18" s="133">
        <f>A17+1</f>
        <v>4</v>
      </c>
      <c r="B18" s="25"/>
      <c r="C18" s="25" t="s">
        <v>57</v>
      </c>
      <c r="D18" s="134">
        <f>'2020 Filed Oct 16,20'!E33</f>
        <v>1499819.3335576949</v>
      </c>
      <c r="E18" s="471">
        <f>'2020 + true up CAP'!E33</f>
        <v>1492416.1470185542</v>
      </c>
      <c r="F18" s="473">
        <f t="shared" si="0"/>
        <v>-7403.1865391407628</v>
      </c>
      <c r="I18"/>
      <c r="J18"/>
      <c r="K18"/>
      <c r="L18"/>
    </row>
    <row r="19" spans="1:12" x14ac:dyDescent="0.35">
      <c r="A19" s="133">
        <f>A18+1</f>
        <v>5</v>
      </c>
      <c r="B19" s="25"/>
      <c r="C19" s="25" t="s">
        <v>9</v>
      </c>
      <c r="D19" s="135">
        <f>'2020 Filed Oct 16,20'!E34</f>
        <v>2416670.0215629293</v>
      </c>
      <c r="E19" s="474">
        <f>'2020 + true up CAP'!E34</f>
        <v>2404741.2121571051</v>
      </c>
      <c r="F19" s="474">
        <f t="shared" si="0"/>
        <v>-11928.80940582417</v>
      </c>
      <c r="I19"/>
      <c r="J19"/>
      <c r="K19"/>
      <c r="L19"/>
    </row>
    <row r="20" spans="1:12" x14ac:dyDescent="0.35">
      <c r="A20" s="133">
        <f>A19+1</f>
        <v>6</v>
      </c>
      <c r="B20" s="25"/>
      <c r="C20" s="25" t="s">
        <v>58</v>
      </c>
      <c r="D20" s="137">
        <f>SUM(D17:D19)</f>
        <v>3916489.3551206244</v>
      </c>
      <c r="E20" s="471">
        <f>SUM(E17:E19)</f>
        <v>3897157.3591756593</v>
      </c>
      <c r="F20" s="471">
        <f t="shared" si="0"/>
        <v>-19331.995944965165</v>
      </c>
      <c r="I20"/>
      <c r="J20"/>
      <c r="K20"/>
      <c r="L20"/>
    </row>
    <row r="21" spans="1:12" x14ac:dyDescent="0.35">
      <c r="A21" s="131"/>
      <c r="B21" s="25"/>
      <c r="C21" s="25"/>
      <c r="D21" s="156"/>
      <c r="I21"/>
      <c r="J21"/>
      <c r="K21"/>
      <c r="L21"/>
    </row>
    <row r="22" spans="1:12" x14ac:dyDescent="0.35">
      <c r="A22" s="133">
        <f>A20+1</f>
        <v>7</v>
      </c>
      <c r="B22" s="25" t="s">
        <v>59</v>
      </c>
      <c r="C22" s="25"/>
      <c r="D22" s="134">
        <f>'2020 Filed Oct 16,20'!E37</f>
        <v>5897461.6597003471</v>
      </c>
      <c r="E22" s="471">
        <f>'2020 + true up CAP'!E37</f>
        <v>5870546.4255887121</v>
      </c>
      <c r="F22" s="471">
        <f t="shared" ref="F22:F24" si="1">E22-D22</f>
        <v>-26915.234111635014</v>
      </c>
      <c r="I22"/>
      <c r="J22"/>
      <c r="K22"/>
      <c r="L22"/>
    </row>
    <row r="23" spans="1:12" x14ac:dyDescent="0.35">
      <c r="A23" s="133">
        <f>A22+1</f>
        <v>8</v>
      </c>
      <c r="B23" s="25" t="s">
        <v>60</v>
      </c>
      <c r="C23" s="25"/>
      <c r="D23" s="135">
        <f>'2020 Filed Oct 16,20'!E38</f>
        <v>280782.67005436216</v>
      </c>
      <c r="E23" s="474">
        <f>'2020 + true up CAP'!E38</f>
        <v>279501.21512763575</v>
      </c>
      <c r="F23" s="474">
        <f>E23-D23</f>
        <v>-1281.4549267264083</v>
      </c>
      <c r="I23"/>
      <c r="J23"/>
      <c r="K23"/>
      <c r="L23"/>
    </row>
    <row r="24" spans="1:12" x14ac:dyDescent="0.35">
      <c r="A24" s="133">
        <f>A23+1</f>
        <v>9</v>
      </c>
      <c r="B24" s="25"/>
      <c r="C24" s="25" t="s">
        <v>61</v>
      </c>
      <c r="D24" s="134">
        <f>SUM(D22:D23)</f>
        <v>6178244.3297547093</v>
      </c>
      <c r="E24" s="471">
        <f>SUM(E22:E23)</f>
        <v>6150047.6407163478</v>
      </c>
      <c r="F24" s="471">
        <f t="shared" si="1"/>
        <v>-28196.689038361423</v>
      </c>
      <c r="I24"/>
      <c r="J24"/>
      <c r="K24"/>
      <c r="L24"/>
    </row>
    <row r="25" spans="1:12" x14ac:dyDescent="0.35">
      <c r="A25" s="133">
        <f t="shared" ref="A25:A47" si="2">A24+1</f>
        <v>10</v>
      </c>
      <c r="B25" s="25"/>
      <c r="C25" s="25"/>
      <c r="D25" s="180"/>
      <c r="I25"/>
      <c r="J25"/>
      <c r="K25"/>
      <c r="L25"/>
    </row>
    <row r="26" spans="1:12" x14ac:dyDescent="0.35">
      <c r="A26" s="133">
        <f t="shared" si="2"/>
        <v>11</v>
      </c>
      <c r="B26" s="25"/>
      <c r="C26" s="25"/>
      <c r="D26" s="156"/>
      <c r="I26"/>
      <c r="J26"/>
      <c r="K26"/>
      <c r="L26"/>
    </row>
    <row r="27" spans="1:12" s="318" customFormat="1" ht="14" customHeight="1" x14ac:dyDescent="0.35">
      <c r="A27" s="484">
        <f t="shared" si="2"/>
        <v>12</v>
      </c>
      <c r="B27" s="25" t="s">
        <v>210</v>
      </c>
      <c r="C27" s="25"/>
      <c r="D27" s="135">
        <f>D24</f>
        <v>6178244.3297547093</v>
      </c>
      <c r="E27" s="474">
        <f>+E24</f>
        <v>6150047.6407163478</v>
      </c>
      <c r="F27" s="474">
        <f>E27-D27</f>
        <v>-28196.689038361423</v>
      </c>
      <c r="I27" s="241"/>
      <c r="J27" s="241"/>
      <c r="K27" s="241"/>
      <c r="L27" s="241"/>
    </row>
    <row r="28" spans="1:12" ht="15" thickBot="1" x14ac:dyDescent="0.4">
      <c r="A28" s="133">
        <f t="shared" si="2"/>
        <v>13</v>
      </c>
      <c r="B28" s="194" t="s">
        <v>102</v>
      </c>
      <c r="C28" s="194"/>
      <c r="D28" s="195"/>
      <c r="E28" s="475">
        <f>+E27-D27</f>
        <v>-28196.689038361423</v>
      </c>
      <c r="F28" s="475"/>
      <c r="I28"/>
      <c r="J28"/>
      <c r="K28"/>
      <c r="L28"/>
    </row>
    <row r="29" spans="1:12" ht="15" thickTop="1" x14ac:dyDescent="0.35">
      <c r="A29" s="133">
        <f t="shared" si="2"/>
        <v>14</v>
      </c>
      <c r="B29" s="25"/>
      <c r="C29" s="25"/>
      <c r="D29" s="315"/>
      <c r="I29"/>
      <c r="J29"/>
      <c r="K29"/>
      <c r="L29"/>
    </row>
    <row r="30" spans="1:12" x14ac:dyDescent="0.35">
      <c r="A30" s="133">
        <f t="shared" si="2"/>
        <v>15</v>
      </c>
      <c r="B30" s="25" t="s">
        <v>63</v>
      </c>
      <c r="C30" s="315"/>
      <c r="D30" s="136">
        <f>'2020 Filed Oct 16,20'!E45</f>
        <v>0.11497087227476442</v>
      </c>
      <c r="E30" s="476">
        <f>'2020 + true up CAP'!E45</f>
        <v>0.11501200274320435</v>
      </c>
      <c r="F30" s="476">
        <f>E30-D30</f>
        <v>4.1130468439926071E-5</v>
      </c>
      <c r="I30"/>
      <c r="J30"/>
      <c r="K30"/>
      <c r="L30"/>
    </row>
    <row r="31" spans="1:12" x14ac:dyDescent="0.35">
      <c r="A31" s="133">
        <f t="shared" si="2"/>
        <v>16</v>
      </c>
      <c r="B31" s="25"/>
      <c r="C31" s="25"/>
      <c r="D31" s="315"/>
      <c r="I31"/>
      <c r="J31"/>
      <c r="K31"/>
      <c r="L31"/>
    </row>
    <row r="32" spans="1:12" x14ac:dyDescent="0.35">
      <c r="A32" s="133">
        <f t="shared" si="2"/>
        <v>17</v>
      </c>
      <c r="B32" s="25" t="s">
        <v>194</v>
      </c>
      <c r="C32" s="25"/>
      <c r="D32" s="136">
        <f>'2020 Filed Oct 16,20'!F16</f>
        <v>4.5447000000000001E-2</v>
      </c>
      <c r="E32" s="136">
        <f>D32</f>
        <v>4.5447000000000001E-2</v>
      </c>
      <c r="F32" s="471"/>
      <c r="I32"/>
      <c r="J32"/>
      <c r="K32"/>
      <c r="L32"/>
    </row>
    <row r="33" spans="1:12" x14ac:dyDescent="0.35">
      <c r="A33" s="133">
        <f t="shared" si="2"/>
        <v>18</v>
      </c>
      <c r="B33" s="25"/>
      <c r="C33" s="25"/>
      <c r="D33" s="181"/>
      <c r="E33" s="474"/>
      <c r="F33" s="474"/>
      <c r="I33"/>
      <c r="J33"/>
      <c r="K33"/>
      <c r="L33"/>
    </row>
    <row r="34" spans="1:12" x14ac:dyDescent="0.35">
      <c r="A34" s="133">
        <f t="shared" si="2"/>
        <v>19</v>
      </c>
      <c r="B34" s="69" t="s">
        <v>64</v>
      </c>
      <c r="C34" s="25"/>
      <c r="D34" s="134">
        <f>'2020 Filed Oct 16,20'!E49</f>
        <v>52997149.59567827</v>
      </c>
      <c r="E34" s="471">
        <f>'2020 + true up CAP'!E49</f>
        <v>52735552.898182124</v>
      </c>
      <c r="F34" s="471">
        <f t="shared" ref="F34" si="3">E34-D34</f>
        <v>-261596.69749614596</v>
      </c>
      <c r="I34"/>
      <c r="J34"/>
      <c r="K34"/>
      <c r="L34"/>
    </row>
    <row r="35" spans="1:12" x14ac:dyDescent="0.35">
      <c r="A35" s="133">
        <f t="shared" si="2"/>
        <v>20</v>
      </c>
      <c r="B35" s="25"/>
      <c r="C35" s="25"/>
      <c r="D35" s="137"/>
      <c r="I35"/>
      <c r="J35"/>
      <c r="K35"/>
      <c r="L35"/>
    </row>
    <row r="36" spans="1:12" x14ac:dyDescent="0.35">
      <c r="A36" s="133">
        <f t="shared" si="2"/>
        <v>21</v>
      </c>
      <c r="B36" s="25"/>
      <c r="C36" s="25"/>
      <c r="D36" s="137"/>
      <c r="I36"/>
      <c r="J36"/>
      <c r="K36"/>
      <c r="L36"/>
    </row>
    <row r="37" spans="1:12" x14ac:dyDescent="0.35">
      <c r="A37" s="133">
        <f t="shared" si="2"/>
        <v>22</v>
      </c>
      <c r="B37" s="25" t="s">
        <v>65</v>
      </c>
      <c r="C37" s="25"/>
      <c r="D37" s="137">
        <f>'2020 Filed Oct 16,20'!E52</f>
        <v>3059075.9766619354</v>
      </c>
      <c r="E37" s="471">
        <f>'2020 + true up CAP'!E52</f>
        <v>3043976.2179203862</v>
      </c>
      <c r="F37" s="471">
        <f>E37-D37</f>
        <v>-15099.758741549216</v>
      </c>
      <c r="I37"/>
      <c r="J37"/>
      <c r="K37"/>
      <c r="L37"/>
    </row>
    <row r="38" spans="1:12" x14ac:dyDescent="0.35">
      <c r="A38" s="133">
        <f t="shared" si="2"/>
        <v>23</v>
      </c>
      <c r="B38" s="25" t="s">
        <v>66</v>
      </c>
      <c r="C38" s="25"/>
      <c r="D38" s="135">
        <f>'2020 Filed Oct 16,20'!E53</f>
        <v>642405.95509900642</v>
      </c>
      <c r="E38" s="474">
        <f>'2020 + true up CAP'!E53</f>
        <v>639235.00576328114</v>
      </c>
      <c r="F38" s="474">
        <f>E38-D38</f>
        <v>-3170.9493357252795</v>
      </c>
      <c r="I38"/>
      <c r="J38"/>
      <c r="K38"/>
      <c r="L38"/>
    </row>
    <row r="39" spans="1:12" x14ac:dyDescent="0.35">
      <c r="A39" s="133">
        <f t="shared" si="2"/>
        <v>24</v>
      </c>
      <c r="B39" s="25" t="s">
        <v>67</v>
      </c>
      <c r="C39" s="25"/>
      <c r="D39" s="471">
        <f>D37-D38</f>
        <v>2416670.0215629293</v>
      </c>
      <c r="E39" s="471">
        <f>E37-E38</f>
        <v>2404741.2121571051</v>
      </c>
      <c r="F39" s="471">
        <f>E39-D39</f>
        <v>-11928.80940582417</v>
      </c>
      <c r="I39"/>
      <c r="J39"/>
      <c r="K39"/>
      <c r="L39"/>
    </row>
    <row r="40" spans="1:12" x14ac:dyDescent="0.35">
      <c r="A40" s="133">
        <f t="shared" si="2"/>
        <v>25</v>
      </c>
      <c r="B40" s="25"/>
      <c r="C40" s="25"/>
      <c r="D40" s="316"/>
      <c r="I40"/>
      <c r="J40"/>
      <c r="K40"/>
      <c r="L40"/>
    </row>
    <row r="41" spans="1:12" x14ac:dyDescent="0.35">
      <c r="A41" s="133">
        <f t="shared" si="2"/>
        <v>26</v>
      </c>
      <c r="B41" s="25"/>
      <c r="C41" s="25"/>
      <c r="D41" s="316"/>
      <c r="I41"/>
      <c r="J41"/>
      <c r="K41"/>
      <c r="L41"/>
    </row>
    <row r="42" spans="1:12" x14ac:dyDescent="0.35">
      <c r="A42" s="133">
        <f t="shared" si="2"/>
        <v>27</v>
      </c>
      <c r="B42" s="25" t="s">
        <v>68</v>
      </c>
      <c r="C42" s="25"/>
      <c r="D42" s="137">
        <f>'2020 Filed Oct 16,20'!E57</f>
        <v>1338566.3494807165</v>
      </c>
      <c r="E42" s="471">
        <f>'2020 + true up CAP'!E57</f>
        <v>1334154.0606497722</v>
      </c>
      <c r="F42" s="471">
        <f t="shared" ref="F42:F45" si="4">E42-D42</f>
        <v>-4412.288830944337</v>
      </c>
      <c r="I42"/>
      <c r="J42"/>
      <c r="K42"/>
      <c r="L42"/>
    </row>
    <row r="43" spans="1:12" x14ac:dyDescent="0.35">
      <c r="A43" s="133">
        <f t="shared" si="2"/>
        <v>28</v>
      </c>
      <c r="B43" s="25" t="s">
        <v>69</v>
      </c>
      <c r="C43" s="25"/>
      <c r="D43" s="137">
        <f>'2020 Filed Oct 16,20'!E58</f>
        <v>2015155.2978750011</v>
      </c>
      <c r="E43" s="471">
        <f>'2020 + true up CAP'!E58</f>
        <v>2005241.0272500012</v>
      </c>
      <c r="F43" s="471">
        <f t="shared" si="4"/>
        <v>-9914.2706249998882</v>
      </c>
      <c r="I43"/>
      <c r="J43"/>
      <c r="K43"/>
      <c r="L43"/>
    </row>
    <row r="44" spans="1:12" x14ac:dyDescent="0.35">
      <c r="A44" s="133">
        <f t="shared" si="2"/>
        <v>29</v>
      </c>
      <c r="B44" s="25" t="s">
        <v>70</v>
      </c>
      <c r="C44" s="25"/>
      <c r="D44" s="137">
        <f>'2020 Filed Oct 16,20'!E59</f>
        <v>676588.94839428458</v>
      </c>
      <c r="E44" s="471">
        <f>'2020 + true up CAP'!E59</f>
        <v>671086.96660022903</v>
      </c>
      <c r="F44" s="471">
        <f t="shared" si="4"/>
        <v>-5501.9817940555513</v>
      </c>
      <c r="I44"/>
      <c r="J44"/>
      <c r="K44"/>
      <c r="L44"/>
    </row>
    <row r="45" spans="1:12" x14ac:dyDescent="0.35">
      <c r="A45" s="133">
        <f t="shared" si="2"/>
        <v>30</v>
      </c>
      <c r="B45" s="25" t="s">
        <v>71</v>
      </c>
      <c r="C45" s="25"/>
      <c r="D45" s="137">
        <f>'2020 Filed Oct 16,20'!E60</f>
        <v>142083.67916279976</v>
      </c>
      <c r="E45" s="471">
        <f>'2020 + true up CAP'!E60</f>
        <v>140928.2629860481</v>
      </c>
      <c r="F45" s="471">
        <f t="shared" si="4"/>
        <v>-1155.4161767516634</v>
      </c>
      <c r="I45"/>
      <c r="J45"/>
      <c r="K45"/>
      <c r="L45"/>
    </row>
    <row r="46" spans="1:12" x14ac:dyDescent="0.35">
      <c r="A46" s="133">
        <f t="shared" si="2"/>
        <v>31</v>
      </c>
      <c r="B46" s="25"/>
      <c r="C46" s="25"/>
      <c r="D46" s="138"/>
      <c r="I46"/>
      <c r="J46"/>
      <c r="K46"/>
      <c r="L46"/>
    </row>
    <row r="47" spans="1:12" x14ac:dyDescent="0.35">
      <c r="A47" s="133">
        <f t="shared" si="2"/>
        <v>32</v>
      </c>
      <c r="B47" s="25" t="s">
        <v>72</v>
      </c>
      <c r="C47" s="25"/>
      <c r="D47" s="139">
        <f>'2020 Filed Oct 16,20'!E66</f>
        <v>0.51875000000000004</v>
      </c>
      <c r="E47" s="477">
        <f>'2020 + true up CAP'!E66</f>
        <v>0.51875000000000004</v>
      </c>
      <c r="F47" s="477">
        <f>E47-D47</f>
        <v>0</v>
      </c>
      <c r="I47"/>
      <c r="J47"/>
      <c r="K47"/>
      <c r="L47"/>
    </row>
    <row r="48" spans="1:12" x14ac:dyDescent="0.35">
      <c r="I48"/>
      <c r="J48"/>
      <c r="K48"/>
      <c r="L48"/>
    </row>
  </sheetData>
  <pageMargins left="0.45" right="0.45"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7"/>
  <sheetViews>
    <sheetView topLeftCell="E2" zoomScale="90" zoomScaleNormal="90" workbookViewId="0">
      <selection activeCell="B2" sqref="B2"/>
    </sheetView>
  </sheetViews>
  <sheetFormatPr defaultColWidth="9.1796875" defaultRowHeight="14.5" x14ac:dyDescent="0.35"/>
  <cols>
    <col min="1" max="1" width="9.1796875" style="385"/>
    <col min="2" max="2" width="27.7265625" style="385" bestFit="1" customWidth="1"/>
    <col min="3" max="3" width="15.54296875" style="385" bestFit="1" customWidth="1"/>
    <col min="4" max="4" width="26.1796875" style="385" customWidth="1"/>
    <col min="5" max="5" width="16.7265625" style="385" customWidth="1"/>
    <col min="6" max="6" width="25.54296875" style="385" customWidth="1"/>
    <col min="7" max="7" width="1" style="386" customWidth="1"/>
    <col min="8" max="8" width="17.81640625" style="385" customWidth="1"/>
    <col min="9" max="9" width="19.54296875" style="385" customWidth="1"/>
    <col min="10" max="10" width="14.26953125" style="385" bestFit="1" customWidth="1"/>
    <col min="11" max="12" width="9.1796875" style="385"/>
    <col min="13" max="13" width="13.81640625" style="385" customWidth="1"/>
    <col min="14" max="14" width="21.08984375" style="385" customWidth="1"/>
    <col min="15" max="15" width="22" style="385" customWidth="1"/>
    <col min="16" max="16384" width="9.1796875" style="385"/>
  </cols>
  <sheetData>
    <row r="2" spans="2:16" ht="16" thickBot="1" x14ac:dyDescent="0.4">
      <c r="B2" s="384" t="s">
        <v>265</v>
      </c>
    </row>
    <row r="3" spans="2:16" ht="15" thickBot="1" x14ac:dyDescent="0.4">
      <c r="B3" s="387" t="s">
        <v>266</v>
      </c>
      <c r="C3" s="388"/>
      <c r="D3" s="388"/>
      <c r="E3" s="389" t="s">
        <v>300</v>
      </c>
      <c r="F3" s="390"/>
      <c r="G3" s="391"/>
      <c r="H3" s="647" t="s">
        <v>301</v>
      </c>
      <c r="I3" s="648"/>
      <c r="J3" s="649"/>
    </row>
    <row r="4" spans="2:16" ht="11.25" customHeight="1" thickBot="1" x14ac:dyDescent="0.4">
      <c r="B4" s="392" t="s">
        <v>267</v>
      </c>
      <c r="C4" s="393"/>
      <c r="D4" s="393"/>
      <c r="E4" s="393"/>
      <c r="F4" s="394"/>
      <c r="G4" s="395"/>
      <c r="H4" s="396"/>
      <c r="I4" s="397"/>
      <c r="J4" s="398"/>
    </row>
    <row r="5" spans="2:16" ht="43.5" x14ac:dyDescent="0.35">
      <c r="B5" s="399" t="s">
        <v>212</v>
      </c>
      <c r="C5" s="400" t="s">
        <v>203</v>
      </c>
      <c r="D5" s="401" t="s">
        <v>268</v>
      </c>
      <c r="E5" s="401" t="s">
        <v>269</v>
      </c>
      <c r="F5" s="402" t="s">
        <v>270</v>
      </c>
      <c r="G5" s="403"/>
      <c r="H5" s="404" t="s">
        <v>302</v>
      </c>
      <c r="I5" s="405" t="s">
        <v>303</v>
      </c>
      <c r="J5" s="402" t="s">
        <v>238</v>
      </c>
      <c r="N5" s="525" t="s">
        <v>313</v>
      </c>
      <c r="O5" s="525" t="str">
        <f>I5</f>
        <v>Total Actual CRM Program Year 2019-2020</v>
      </c>
    </row>
    <row r="6" spans="2:16" x14ac:dyDescent="0.35">
      <c r="B6" s="406" t="s">
        <v>224</v>
      </c>
      <c r="C6" s="407" t="s">
        <v>225</v>
      </c>
      <c r="D6" s="408">
        <v>3207980.4099998274</v>
      </c>
      <c r="E6" s="409">
        <v>79500</v>
      </c>
      <c r="F6" s="410">
        <f>+E6+D6</f>
        <v>3287480.4099998274</v>
      </c>
      <c r="G6" s="411"/>
      <c r="H6" s="412">
        <v>51406.62</v>
      </c>
      <c r="I6" s="413">
        <f>+H6+D6</f>
        <v>3259387.0299998275</v>
      </c>
      <c r="J6" s="410">
        <f>+I6-F6</f>
        <v>-28093.379999999888</v>
      </c>
      <c r="K6" s="529" t="s">
        <v>319</v>
      </c>
      <c r="L6" s="529" t="s">
        <v>320</v>
      </c>
      <c r="N6" s="526" t="s">
        <v>83</v>
      </c>
      <c r="O6" s="527">
        <f>(I6+I8)/$I$9</f>
        <v>0.99149246749419484</v>
      </c>
    </row>
    <row r="7" spans="2:16" x14ac:dyDescent="0.35">
      <c r="B7" s="406" t="s">
        <v>227</v>
      </c>
      <c r="C7" s="407" t="s">
        <v>228</v>
      </c>
      <c r="D7" s="408">
        <v>27107.89</v>
      </c>
      <c r="E7" s="409">
        <v>50000</v>
      </c>
      <c r="F7" s="410">
        <f>+E7+D7</f>
        <v>77107.89</v>
      </c>
      <c r="G7" s="411"/>
      <c r="H7" s="412">
        <v>155.78</v>
      </c>
      <c r="I7" s="413">
        <f t="shared" ref="I7:I8" si="0">+H7+D7</f>
        <v>27263.67</v>
      </c>
      <c r="J7" s="410">
        <f t="shared" ref="J7:J8" si="1">+I7-F7</f>
        <v>-49844.22</v>
      </c>
      <c r="K7" s="529" t="s">
        <v>321</v>
      </c>
      <c r="L7" s="529" t="s">
        <v>277</v>
      </c>
      <c r="N7" s="526" t="s">
        <v>84</v>
      </c>
      <c r="O7" s="527">
        <f>I7/$I$9</f>
        <v>8.507532505805224E-3</v>
      </c>
    </row>
    <row r="8" spans="2:16" ht="15" thickBot="1" x14ac:dyDescent="0.4">
      <c r="B8" s="356" t="s">
        <v>293</v>
      </c>
      <c r="C8" s="330"/>
      <c r="D8" s="414">
        <v>0</v>
      </c>
      <c r="E8" s="414">
        <v>-82000</v>
      </c>
      <c r="F8" s="415">
        <f>D8+E8</f>
        <v>-82000</v>
      </c>
      <c r="G8" s="416"/>
      <c r="H8" s="417">
        <v>-82000</v>
      </c>
      <c r="I8" s="418">
        <f t="shared" si="0"/>
        <v>-82000</v>
      </c>
      <c r="J8" s="415">
        <f t="shared" si="1"/>
        <v>0</v>
      </c>
      <c r="K8" s="529" t="s">
        <v>319</v>
      </c>
      <c r="L8" s="529" t="s">
        <v>320</v>
      </c>
      <c r="N8" s="524"/>
      <c r="O8" s="528">
        <f>SUM(O6:O7)</f>
        <v>1</v>
      </c>
    </row>
    <row r="9" spans="2:16" x14ac:dyDescent="0.35">
      <c r="B9" s="419" t="s">
        <v>271</v>
      </c>
      <c r="C9" s="420"/>
      <c r="D9" s="421">
        <f>SUM(D6:D8)</f>
        <v>3235088.2999998275</v>
      </c>
      <c r="E9" s="422">
        <f>SUM(E6:E8)</f>
        <v>47500</v>
      </c>
      <c r="F9" s="423">
        <f>SUM(F6:F8)</f>
        <v>3282588.2999998275</v>
      </c>
      <c r="G9" s="424"/>
      <c r="H9" s="425">
        <f>SUM(H6:H8)</f>
        <v>-30437.599999999999</v>
      </c>
      <c r="I9" s="426">
        <f>SUM(I6:I8)</f>
        <v>3204650.6999998274</v>
      </c>
      <c r="J9" s="423">
        <f>+I9-F9</f>
        <v>-77937.600000000093</v>
      </c>
      <c r="N9" s="482"/>
      <c r="O9" s="482"/>
    </row>
    <row r="10" spans="2:16" x14ac:dyDescent="0.35">
      <c r="B10" s="504" t="s">
        <v>315</v>
      </c>
      <c r="C10" s="505">
        <v>4.5447000000000001E-2</v>
      </c>
      <c r="D10" s="506"/>
      <c r="E10" s="507"/>
      <c r="F10" s="508"/>
      <c r="G10" s="509"/>
      <c r="H10" s="510"/>
      <c r="I10" s="511"/>
      <c r="J10" s="508"/>
      <c r="N10" s="482"/>
      <c r="O10" s="482"/>
    </row>
    <row r="11" spans="2:16" x14ac:dyDescent="0.35">
      <c r="B11" s="512" t="s">
        <v>316</v>
      </c>
      <c r="C11" s="513"/>
      <c r="D11" s="514"/>
      <c r="E11" s="515"/>
      <c r="F11" s="516"/>
      <c r="G11" s="514"/>
      <c r="H11" s="517"/>
      <c r="I11" s="514"/>
      <c r="J11" s="518">
        <f>+J9/(1-C10)</f>
        <v>-81648.268875588983</v>
      </c>
      <c r="N11" s="482"/>
      <c r="O11" s="482"/>
    </row>
    <row r="12" spans="2:16" ht="15" thickBot="1" x14ac:dyDescent="0.4">
      <c r="B12" s="427"/>
      <c r="C12" s="428"/>
      <c r="D12" s="428"/>
      <c r="E12" s="428"/>
      <c r="F12" s="429"/>
      <c r="G12" s="428"/>
      <c r="H12" s="427"/>
      <c r="I12" s="428"/>
      <c r="J12" s="429"/>
    </row>
    <row r="13" spans="2:16" ht="11.25" customHeight="1" thickBot="1" x14ac:dyDescent="0.4">
      <c r="B13" s="392" t="s">
        <v>211</v>
      </c>
      <c r="C13" s="393"/>
      <c r="D13" s="393"/>
      <c r="E13" s="393"/>
      <c r="F13" s="394"/>
      <c r="G13" s="395"/>
      <c r="H13" s="396"/>
      <c r="I13" s="397"/>
      <c r="J13" s="430"/>
    </row>
    <row r="14" spans="2:16" ht="43.5" x14ac:dyDescent="0.35">
      <c r="B14" s="431" t="s">
        <v>212</v>
      </c>
      <c r="C14" s="432" t="s">
        <v>203</v>
      </c>
      <c r="D14" s="401" t="s">
        <v>268</v>
      </c>
      <c r="E14" s="433" t="s">
        <v>269</v>
      </c>
      <c r="F14" s="402" t="s">
        <v>270</v>
      </c>
      <c r="G14" s="403"/>
      <c r="H14" s="404" t="s">
        <v>302</v>
      </c>
      <c r="I14" s="405" t="s">
        <v>303</v>
      </c>
      <c r="J14" s="402"/>
      <c r="N14" s="525" t="s">
        <v>313</v>
      </c>
      <c r="O14" s="525" t="str">
        <f>I14</f>
        <v>Total Actual CRM Program Year 2019-2020</v>
      </c>
    </row>
    <row r="15" spans="2:16" x14ac:dyDescent="0.35">
      <c r="B15" s="434" t="s">
        <v>272</v>
      </c>
      <c r="C15" s="435" t="s">
        <v>95</v>
      </c>
      <c r="D15" s="408">
        <v>46594045.240000039</v>
      </c>
      <c r="E15" s="436">
        <v>3721742</v>
      </c>
      <c r="F15" s="410">
        <f>SUM(D15:E15)</f>
        <v>50315787.240000039</v>
      </c>
      <c r="G15" s="411"/>
      <c r="H15" s="437">
        <v>3185181.6800000011</v>
      </c>
      <c r="I15" s="413">
        <f>+H15+D15</f>
        <v>49779226.920000039</v>
      </c>
      <c r="J15" s="410">
        <f t="shared" ref="J15:J19" si="2">+I15-F15</f>
        <v>-536560.3200000003</v>
      </c>
      <c r="K15" s="524" t="str">
        <f>H26</f>
        <v>Mains, FERC 376</v>
      </c>
      <c r="N15" s="526" t="str">
        <f>K15</f>
        <v>Mains, FERC 376</v>
      </c>
      <c r="O15" s="527">
        <f>(I15)/$I$17</f>
        <v>0.93092101355019308</v>
      </c>
      <c r="P15" s="480"/>
    </row>
    <row r="16" spans="2:16" ht="15" thickBot="1" x14ac:dyDescent="0.4">
      <c r="B16" s="438" t="s">
        <v>273</v>
      </c>
      <c r="C16" s="439" t="s">
        <v>274</v>
      </c>
      <c r="D16" s="414">
        <v>3145687.3699999936</v>
      </c>
      <c r="E16" s="440">
        <v>276000</v>
      </c>
      <c r="F16" s="441">
        <f>SUM(D16:E16)</f>
        <v>3421687.3699999936</v>
      </c>
      <c r="G16" s="442"/>
      <c r="H16" s="417">
        <v>548179.7699999999</v>
      </c>
      <c r="I16" s="414">
        <f t="shared" ref="I16" si="3">+H16+D16</f>
        <v>3693867.1399999936</v>
      </c>
      <c r="J16" s="441">
        <f t="shared" si="2"/>
        <v>272179.77</v>
      </c>
      <c r="K16" s="524" t="str">
        <f>H27</f>
        <v>Services, FERC 380</v>
      </c>
      <c r="N16" s="526" t="str">
        <f>K16</f>
        <v>Services, FERC 380</v>
      </c>
      <c r="O16" s="527">
        <f>I16/$I$17</f>
        <v>6.9078986449806923E-2</v>
      </c>
      <c r="P16" s="480"/>
    </row>
    <row r="17" spans="2:16" x14ac:dyDescent="0.35">
      <c r="B17" s="419" t="s">
        <v>275</v>
      </c>
      <c r="C17" s="443"/>
      <c r="D17" s="421">
        <f>SUM(D15:D16)</f>
        <v>49739732.610000029</v>
      </c>
      <c r="E17" s="426">
        <f>SUM(E15:E16)</f>
        <v>3997742</v>
      </c>
      <c r="F17" s="444">
        <f>SUM(F15:F16)</f>
        <v>53737474.610000029</v>
      </c>
      <c r="G17" s="424"/>
      <c r="H17" s="445">
        <f>SUM(H15:H16)</f>
        <v>3733361.4500000011</v>
      </c>
      <c r="I17" s="426">
        <f>SUM(I15:I16)</f>
        <v>53473094.060000032</v>
      </c>
      <c r="J17" s="423">
        <f t="shared" si="2"/>
        <v>-264380.54999999702</v>
      </c>
      <c r="K17" s="524"/>
      <c r="N17" s="524"/>
      <c r="O17" s="528">
        <f>SUM(O15:O16)</f>
        <v>1</v>
      </c>
      <c r="P17" s="482"/>
    </row>
    <row r="18" spans="2:16" x14ac:dyDescent="0.35">
      <c r="B18" s="427"/>
      <c r="C18" s="446"/>
      <c r="D18" s="428"/>
      <c r="E18" s="428"/>
      <c r="F18" s="423"/>
      <c r="G18" s="428"/>
      <c r="H18" s="427"/>
      <c r="I18" s="428"/>
      <c r="J18" s="429"/>
    </row>
    <row r="19" spans="2:16" ht="15" thickBot="1" x14ac:dyDescent="0.4">
      <c r="B19" s="447" t="s">
        <v>276</v>
      </c>
      <c r="C19" s="448"/>
      <c r="D19" s="449">
        <f>D9+D17</f>
        <v>52974820.909999855</v>
      </c>
      <c r="E19" s="449">
        <f>E9+E17</f>
        <v>4045242</v>
      </c>
      <c r="F19" s="450">
        <f>F9+F17</f>
        <v>57020062.909999855</v>
      </c>
      <c r="G19" s="451"/>
      <c r="H19" s="452">
        <f>H9+H17</f>
        <v>3702923.850000001</v>
      </c>
      <c r="I19" s="453">
        <f>I9+I17</f>
        <v>56677744.759999856</v>
      </c>
      <c r="J19" s="450">
        <f t="shared" si="2"/>
        <v>-342318.14999999851</v>
      </c>
    </row>
    <row r="21" spans="2:16" x14ac:dyDescent="0.35">
      <c r="E21" s="327" t="s">
        <v>13</v>
      </c>
      <c r="F21" s="328" t="s">
        <v>213</v>
      </c>
      <c r="H21" s="327" t="s">
        <v>13</v>
      </c>
      <c r="I21" s="328" t="s">
        <v>213</v>
      </c>
      <c r="P21" s="481"/>
    </row>
    <row r="22" spans="2:16" x14ac:dyDescent="0.35">
      <c r="D22" s="166" t="s">
        <v>91</v>
      </c>
      <c r="E22" s="454">
        <f>'2021 C&amp;OM'!E35</f>
        <v>2.443056207967733E-2</v>
      </c>
      <c r="F22" s="455">
        <f>+F15*E22</f>
        <v>1229242.9637546574</v>
      </c>
      <c r="H22" s="454">
        <f>+E22</f>
        <v>2.443056207967733E-2</v>
      </c>
      <c r="I22" s="455">
        <f>+I15*H22</f>
        <v>1216134.4935474058</v>
      </c>
      <c r="P22" s="480"/>
    </row>
    <row r="23" spans="2:16" x14ac:dyDescent="0.35">
      <c r="D23" s="456" t="s">
        <v>84</v>
      </c>
      <c r="E23" s="454">
        <f>'2021 C&amp;OM'!E36</f>
        <v>3.1950138602539598E-2</v>
      </c>
      <c r="F23" s="457">
        <f>+F16*E23</f>
        <v>109323.38572605899</v>
      </c>
      <c r="H23" s="454">
        <f>+E23</f>
        <v>3.1950138602539598E-2</v>
      </c>
      <c r="I23" s="457">
        <f>+I16*H23</f>
        <v>118019.56710236633</v>
      </c>
      <c r="P23" s="480"/>
    </row>
    <row r="24" spans="2:16" ht="15" thickBot="1" x14ac:dyDescent="0.4">
      <c r="E24" s="341"/>
      <c r="F24" s="458">
        <f>SUM(F22:F23)</f>
        <v>1338566.3494807165</v>
      </c>
      <c r="H24" s="341"/>
      <c r="I24" s="458">
        <f>SUM(I22:I23)</f>
        <v>1334154.0606497722</v>
      </c>
      <c r="P24" s="482"/>
    </row>
    <row r="25" spans="2:16" ht="15" thickTop="1" x14ac:dyDescent="0.35">
      <c r="E25" s="454"/>
      <c r="F25" s="459">
        <f>+F24/F17</f>
        <v>2.4909364632323495E-2</v>
      </c>
      <c r="H25" s="454"/>
      <c r="I25" s="459">
        <f>+I24/I17</f>
        <v>2.4950006804408419E-2</v>
      </c>
    </row>
    <row r="26" spans="2:16" x14ac:dyDescent="0.35">
      <c r="E26" s="386"/>
      <c r="F26" s="269"/>
      <c r="G26" s="522"/>
      <c r="H26" s="522" t="s">
        <v>317</v>
      </c>
      <c r="I26" s="523">
        <f>+I22/I24</f>
        <v>0.91153977596493818</v>
      </c>
    </row>
    <row r="27" spans="2:16" x14ac:dyDescent="0.35">
      <c r="E27" s="386"/>
      <c r="F27" s="269"/>
      <c r="G27" s="522"/>
      <c r="H27" s="522" t="s">
        <v>318</v>
      </c>
      <c r="I27" s="523">
        <f>+I23/I24</f>
        <v>8.8460224035061846E-2</v>
      </c>
    </row>
  </sheetData>
  <mergeCells count="1">
    <mergeCell ref="H3:J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9"/>
  <sheetViews>
    <sheetView zoomScale="90" zoomScaleNormal="90" workbookViewId="0">
      <selection activeCell="C2" sqref="C2"/>
    </sheetView>
  </sheetViews>
  <sheetFormatPr defaultColWidth="10.26953125" defaultRowHeight="14.5" outlineLevelRow="1" outlineLevelCol="1" x14ac:dyDescent="0.25"/>
  <cols>
    <col min="1" max="1" width="5.7265625" style="57" customWidth="1"/>
    <col min="2" max="2" width="7.453125" style="57" customWidth="1"/>
    <col min="3" max="3" width="26.453125" style="57" customWidth="1"/>
    <col min="4" max="4" width="15.54296875" style="26" customWidth="1"/>
    <col min="5" max="5" width="13.54296875" style="79" customWidth="1"/>
    <col min="6" max="6" width="13.453125" style="79" customWidth="1"/>
    <col min="7" max="7" width="14.54296875" style="79" bestFit="1" customWidth="1"/>
    <col min="8" max="8" width="12.54296875" style="79" customWidth="1"/>
    <col min="9" max="25" width="12.81640625" style="79" bestFit="1" customWidth="1"/>
    <col min="26" max="34" width="12.7265625" style="79" bestFit="1" customWidth="1"/>
    <col min="35" max="38" width="12.26953125" style="79" bestFit="1" customWidth="1"/>
    <col min="39" max="39" width="17" style="79" customWidth="1" outlineLevel="1"/>
    <col min="40" max="40" width="13" style="79" customWidth="1" outlineLevel="1"/>
    <col min="41" max="41" width="14.26953125" style="79" customWidth="1" outlineLevel="1"/>
    <col min="42" max="42" width="12.7265625" style="26" bestFit="1" customWidth="1"/>
    <col min="43" max="43" width="12.26953125" style="26" customWidth="1"/>
    <col min="44" max="45" width="14" style="26" customWidth="1"/>
    <col min="46" max="46" width="14.26953125" style="26" bestFit="1" customWidth="1"/>
    <col min="47" max="47" width="16.54296875" style="26" customWidth="1"/>
    <col min="48" max="48" width="15" style="26" bestFit="1" customWidth="1"/>
    <col min="49" max="49" width="14.81640625" style="26" customWidth="1"/>
    <col min="50" max="16384" width="10.26953125" style="26"/>
  </cols>
  <sheetData>
    <row r="1" spans="1:41" ht="17.25" customHeight="1" x14ac:dyDescent="0.35">
      <c r="A1" s="24" t="s">
        <v>0</v>
      </c>
      <c r="B1" s="25"/>
      <c r="C1" s="25"/>
      <c r="E1" s="645"/>
      <c r="F1" s="645"/>
      <c r="G1" s="26"/>
      <c r="H1" s="27"/>
      <c r="I1" s="28"/>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row>
    <row r="2" spans="1:41" ht="12.75" customHeight="1" x14ac:dyDescent="0.35">
      <c r="A2" s="29" t="s">
        <v>1</v>
      </c>
      <c r="B2" s="25"/>
      <c r="C2" s="25"/>
      <c r="E2" s="26"/>
      <c r="F2" s="28"/>
      <c r="G2" s="28"/>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41" x14ac:dyDescent="0.35">
      <c r="A3" s="29" t="s">
        <v>2</v>
      </c>
      <c r="B3" s="25"/>
      <c r="C3" s="308" t="s">
        <v>208</v>
      </c>
      <c r="D3" s="315" t="s">
        <v>3</v>
      </c>
      <c r="E3" s="26"/>
      <c r="F3" s="28"/>
      <c r="G3" s="28"/>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row>
    <row r="4" spans="1:41" ht="7.5" customHeight="1" thickBot="1" x14ac:dyDescent="0.3">
      <c r="A4" s="25"/>
      <c r="B4" s="25"/>
      <c r="C4" s="25"/>
      <c r="E4" s="26"/>
      <c r="F4" s="28"/>
      <c r="G4" s="28"/>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row>
    <row r="5" spans="1:41" x14ac:dyDescent="0.25">
      <c r="A5" s="30" t="s">
        <v>4</v>
      </c>
      <c r="B5" s="31"/>
      <c r="C5" s="31"/>
      <c r="D5" s="189" t="s">
        <v>237</v>
      </c>
      <c r="E5" s="32"/>
      <c r="F5" s="33"/>
      <c r="G5" s="34"/>
      <c r="H5" s="26"/>
      <c r="I5" s="26"/>
      <c r="J5" s="26"/>
      <c r="K5" s="26"/>
      <c r="L5" s="26"/>
      <c r="M5" s="26"/>
      <c r="N5" s="45"/>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row>
    <row r="6" spans="1:41" x14ac:dyDescent="0.25">
      <c r="A6" s="35"/>
      <c r="B6" s="36"/>
      <c r="C6" s="36"/>
      <c r="D6" s="148" t="s">
        <v>197</v>
      </c>
      <c r="E6" s="148"/>
      <c r="F6" s="149"/>
      <c r="G6" s="34"/>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row>
    <row r="7" spans="1:41" x14ac:dyDescent="0.25">
      <c r="A7" s="35"/>
      <c r="B7" s="36"/>
      <c r="C7" s="36"/>
      <c r="D7" s="39"/>
      <c r="E7" s="39"/>
      <c r="F7" s="40" t="s">
        <v>5</v>
      </c>
      <c r="G7" s="41"/>
      <c r="H7" s="26"/>
      <c r="I7" s="26"/>
      <c r="J7" s="26"/>
      <c r="K7" s="26"/>
      <c r="L7" s="26"/>
      <c r="M7" s="150"/>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row>
    <row r="8" spans="1:41" x14ac:dyDescent="0.25">
      <c r="A8" s="35" t="s">
        <v>6</v>
      </c>
      <c r="B8" s="36"/>
      <c r="C8" s="36"/>
      <c r="D8" s="42" t="s">
        <v>7</v>
      </c>
      <c r="E8" s="42" t="s">
        <v>8</v>
      </c>
      <c r="F8" s="43" t="s">
        <v>8</v>
      </c>
      <c r="G8" s="41"/>
      <c r="H8" s="26"/>
      <c r="I8" s="26"/>
      <c r="J8" s="26"/>
      <c r="K8" s="26"/>
      <c r="L8" s="26"/>
      <c r="M8" s="141"/>
      <c r="N8" s="45"/>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41" x14ac:dyDescent="0.25">
      <c r="A9" s="35"/>
      <c r="B9" s="36"/>
      <c r="C9" s="36"/>
      <c r="D9" s="37"/>
      <c r="E9" s="37"/>
      <c r="F9" s="44"/>
      <c r="G9" s="37"/>
      <c r="H9" s="26"/>
      <c r="I9" s="26"/>
      <c r="J9" s="26"/>
      <c r="K9" s="26"/>
      <c r="L9" s="26"/>
      <c r="M9" s="141"/>
      <c r="N9" s="45"/>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row>
    <row r="10" spans="1:41" x14ac:dyDescent="0.25">
      <c r="A10" s="35"/>
      <c r="B10" s="36"/>
      <c r="C10" s="36"/>
      <c r="D10" s="46"/>
      <c r="E10" s="46"/>
      <c r="F10" s="47"/>
      <c r="G10" s="45"/>
      <c r="H10" s="26"/>
      <c r="I10" s="26"/>
      <c r="J10" s="26"/>
      <c r="K10" s="26"/>
      <c r="L10" s="26"/>
      <c r="M10" s="141"/>
      <c r="N10" s="45"/>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row>
    <row r="11" spans="1:41" x14ac:dyDescent="0.25">
      <c r="A11" s="35" t="s">
        <v>174</v>
      </c>
      <c r="B11" s="36"/>
      <c r="C11" s="36"/>
      <c r="D11" s="46">
        <f>'2019 GRC'!C12</f>
        <v>0.51500000000000001</v>
      </c>
      <c r="E11" s="46">
        <f>'2019 GRC'!D12</f>
        <v>5.4951456310679617E-2</v>
      </c>
      <c r="F11" s="47">
        <f>'2019 GRC'!E12</f>
        <v>2.8299999999999999E-2</v>
      </c>
      <c r="G11" s="45"/>
      <c r="H11" s="26"/>
      <c r="I11" s="26"/>
      <c r="J11" s="26"/>
      <c r="K11" s="26"/>
      <c r="L11" s="26"/>
      <c r="M11" s="141"/>
      <c r="N11" s="45"/>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row>
    <row r="12" spans="1:41" x14ac:dyDescent="0.25">
      <c r="A12" s="35" t="s">
        <v>9</v>
      </c>
      <c r="B12" s="36"/>
      <c r="C12" s="36"/>
      <c r="D12" s="48">
        <f>'2019 GRC'!C13</f>
        <v>0.48499999999999999</v>
      </c>
      <c r="E12" s="48">
        <f>'2019 GRC'!D13</f>
        <v>9.4E-2</v>
      </c>
      <c r="F12" s="49">
        <f>'2019 GRC'!E13</f>
        <v>4.5600000000000002E-2</v>
      </c>
      <c r="G12" s="45"/>
      <c r="H12" s="26"/>
      <c r="I12" s="26"/>
      <c r="J12" s="26"/>
      <c r="K12" s="26"/>
      <c r="L12" s="26"/>
      <c r="M12" s="141"/>
      <c r="N12" s="45"/>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row>
    <row r="13" spans="1:41" ht="15" thickBot="1" x14ac:dyDescent="0.3">
      <c r="A13" s="35" t="s">
        <v>10</v>
      </c>
      <c r="B13" s="36"/>
      <c r="C13" s="36"/>
      <c r="D13" s="50">
        <f>D10+D11+D12</f>
        <v>1</v>
      </c>
      <c r="E13" s="51"/>
      <c r="F13" s="190">
        <f>F10+F11+F12</f>
        <v>7.3899999999999993E-2</v>
      </c>
      <c r="G13" s="51"/>
      <c r="H13" s="26"/>
      <c r="I13" s="26"/>
      <c r="J13" s="26"/>
      <c r="K13" s="26"/>
      <c r="L13" s="26"/>
      <c r="M13" s="141"/>
      <c r="N13" s="45"/>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row>
    <row r="14" spans="1:41" ht="15" thickTop="1" x14ac:dyDescent="0.25">
      <c r="A14" s="35"/>
      <c r="B14" s="36"/>
      <c r="C14" s="36"/>
      <c r="D14" s="37"/>
      <c r="E14" s="37"/>
      <c r="F14" s="44"/>
      <c r="G14" s="37"/>
      <c r="H14" s="26"/>
      <c r="I14" s="26"/>
      <c r="J14" s="26"/>
      <c r="K14" s="26"/>
      <c r="L14" s="26"/>
      <c r="M14" s="141"/>
      <c r="N14" s="45"/>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row>
    <row r="15" spans="1:41" x14ac:dyDescent="0.25">
      <c r="A15" s="35" t="s">
        <v>11</v>
      </c>
      <c r="B15" s="36"/>
      <c r="C15" s="36"/>
      <c r="D15" s="37"/>
      <c r="E15" s="37"/>
      <c r="F15" s="47">
        <f>'2019 GRC'!I19</f>
        <v>0.21</v>
      </c>
      <c r="G15" s="51"/>
      <c r="H15" s="26"/>
      <c r="I15" s="26"/>
      <c r="J15" s="26"/>
      <c r="K15" s="26"/>
      <c r="L15" s="26"/>
      <c r="M15" s="141"/>
      <c r="N15" s="45"/>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1" x14ac:dyDescent="0.25">
      <c r="A16" s="35" t="s">
        <v>12</v>
      </c>
      <c r="B16" s="36"/>
      <c r="C16" s="36"/>
      <c r="D16" s="37"/>
      <c r="E16" s="37"/>
      <c r="F16" s="47">
        <f>'2019 GRC'!J16</f>
        <v>4.5447000000000001E-2</v>
      </c>
      <c r="G16" s="51"/>
      <c r="H16" s="26"/>
      <c r="I16" s="26"/>
      <c r="J16" s="26"/>
      <c r="K16" s="26"/>
      <c r="L16" s="26"/>
      <c r="M16" s="141"/>
      <c r="N16" s="45"/>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row>
    <row r="17" spans="1:49" x14ac:dyDescent="0.25">
      <c r="A17" s="35" t="s">
        <v>13</v>
      </c>
      <c r="B17" s="36"/>
      <c r="C17" s="36"/>
      <c r="D17" s="37"/>
      <c r="E17" s="37"/>
      <c r="F17" s="47">
        <f>'Summary 2020'!I25</f>
        <v>2.4950006804408419E-2</v>
      </c>
      <c r="H17" s="26"/>
      <c r="I17" s="26"/>
      <c r="J17" s="26"/>
      <c r="K17" s="26"/>
      <c r="L17" s="26"/>
      <c r="M17" s="141"/>
      <c r="N17" s="4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row>
    <row r="18" spans="1:49" x14ac:dyDescent="0.25">
      <c r="A18" s="35" t="s">
        <v>14</v>
      </c>
      <c r="B18" s="36"/>
      <c r="C18" s="36"/>
      <c r="D18" s="37"/>
      <c r="E18" s="37"/>
      <c r="F18" s="53">
        <v>2</v>
      </c>
      <c r="G18" s="28"/>
      <c r="H18" s="26"/>
      <c r="I18" s="26"/>
      <c r="J18" s="26"/>
      <c r="K18" s="26"/>
      <c r="L18" s="26"/>
      <c r="M18" s="141"/>
      <c r="N18" s="45"/>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row>
    <row r="19" spans="1:49" x14ac:dyDescent="0.25">
      <c r="A19" s="35"/>
      <c r="B19" s="36"/>
      <c r="C19" s="36"/>
      <c r="D19" s="37"/>
      <c r="E19" s="37"/>
      <c r="F19" s="38"/>
      <c r="G19" s="28"/>
      <c r="H19" s="26"/>
      <c r="I19" s="26"/>
      <c r="J19" s="26"/>
      <c r="K19" s="26"/>
      <c r="L19" s="26"/>
      <c r="M19" s="141"/>
      <c r="N19" s="45"/>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row>
    <row r="20" spans="1:49" x14ac:dyDescent="0.25">
      <c r="A20" s="35" t="s">
        <v>15</v>
      </c>
      <c r="B20" s="36"/>
      <c r="C20" s="36"/>
      <c r="D20" s="37"/>
      <c r="E20" s="37"/>
      <c r="F20" s="38"/>
      <c r="G20" s="28"/>
      <c r="H20" s="26"/>
      <c r="I20" s="26"/>
      <c r="J20" s="26"/>
      <c r="K20" s="26"/>
      <c r="L20" s="26"/>
      <c r="N20" s="151"/>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row>
    <row r="21" spans="1:49" x14ac:dyDescent="0.25">
      <c r="A21" s="35" t="s">
        <v>16</v>
      </c>
      <c r="B21" s="36"/>
      <c r="C21" s="36"/>
      <c r="D21" s="37"/>
      <c r="E21" s="37"/>
      <c r="F21" s="38"/>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row>
    <row r="22" spans="1:49" ht="15" thickBot="1" x14ac:dyDescent="0.3">
      <c r="A22" s="54" t="s">
        <v>17</v>
      </c>
      <c r="B22" s="55"/>
      <c r="C22" s="55"/>
      <c r="D22" s="55"/>
      <c r="E22" s="56"/>
      <c r="F22" s="80">
        <f>'Summary 2020'!I17</f>
        <v>53473094.060000032</v>
      </c>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row>
    <row r="23" spans="1:49" ht="6" customHeight="1" x14ac:dyDescent="0.25">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row>
    <row r="24" spans="1:49" ht="6" customHeight="1" x14ac:dyDescent="0.25">
      <c r="B24" s="26"/>
      <c r="C24" s="26"/>
      <c r="D24" s="141"/>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row>
    <row r="25" spans="1:49" x14ac:dyDescent="0.25">
      <c r="A25" s="25"/>
      <c r="B25" s="25"/>
      <c r="C25" s="25"/>
      <c r="D25" s="315"/>
      <c r="E25" s="59" t="s">
        <v>18</v>
      </c>
      <c r="F25" s="130" t="s">
        <v>19</v>
      </c>
      <c r="G25" s="60" t="s">
        <v>20</v>
      </c>
      <c r="H25" s="60" t="s">
        <v>21</v>
      </c>
      <c r="I25" s="60" t="s">
        <v>22</v>
      </c>
      <c r="J25" s="60" t="s">
        <v>23</v>
      </c>
      <c r="K25" s="60" t="s">
        <v>24</v>
      </c>
      <c r="L25" s="60" t="s">
        <v>25</v>
      </c>
      <c r="M25" s="60" t="s">
        <v>26</v>
      </c>
      <c r="N25" s="60" t="s">
        <v>27</v>
      </c>
      <c r="O25" s="60" t="s">
        <v>28</v>
      </c>
      <c r="P25" s="60" t="s">
        <v>29</v>
      </c>
      <c r="Q25" s="60" t="s">
        <v>30</v>
      </c>
      <c r="R25" s="60" t="s">
        <v>31</v>
      </c>
      <c r="S25" s="60" t="s">
        <v>32</v>
      </c>
      <c r="T25" s="60" t="s">
        <v>33</v>
      </c>
      <c r="U25" s="60" t="s">
        <v>34</v>
      </c>
      <c r="V25" s="60" t="s">
        <v>35</v>
      </c>
      <c r="W25" s="60" t="s">
        <v>36</v>
      </c>
      <c r="X25" s="60" t="s">
        <v>37</v>
      </c>
      <c r="Y25" s="60" t="s">
        <v>38</v>
      </c>
      <c r="Z25" s="60" t="s">
        <v>39</v>
      </c>
      <c r="AA25" s="60" t="s">
        <v>40</v>
      </c>
      <c r="AB25" s="60" t="s">
        <v>41</v>
      </c>
      <c r="AC25" s="60" t="s">
        <v>42</v>
      </c>
      <c r="AD25" s="60" t="s">
        <v>43</v>
      </c>
      <c r="AE25" s="60" t="s">
        <v>44</v>
      </c>
      <c r="AF25" s="60" t="s">
        <v>45</v>
      </c>
      <c r="AG25" s="60" t="s">
        <v>46</v>
      </c>
      <c r="AH25" s="60" t="s">
        <v>47</v>
      </c>
      <c r="AI25" s="60" t="s">
        <v>48</v>
      </c>
      <c r="AJ25" s="60" t="s">
        <v>49</v>
      </c>
      <c r="AK25" s="60" t="s">
        <v>50</v>
      </c>
      <c r="AL25" s="60" t="s">
        <v>51</v>
      </c>
      <c r="AM25" s="60" t="s">
        <v>52</v>
      </c>
      <c r="AN25" s="60" t="s">
        <v>74</v>
      </c>
      <c r="AO25" s="60" t="s">
        <v>75</v>
      </c>
      <c r="AP25" s="60" t="s">
        <v>175</v>
      </c>
      <c r="AQ25" s="60" t="s">
        <v>176</v>
      </c>
      <c r="AR25" s="60" t="s">
        <v>177</v>
      </c>
      <c r="AS25" s="26" t="s">
        <v>178</v>
      </c>
    </row>
    <row r="26" spans="1:49" x14ac:dyDescent="0.25">
      <c r="A26" s="25"/>
      <c r="B26" s="25"/>
      <c r="C26" s="25"/>
      <c r="D26" s="315"/>
      <c r="E26" s="115">
        <v>2020</v>
      </c>
      <c r="F26" s="115">
        <v>2021</v>
      </c>
      <c r="G26" s="115">
        <v>2022</v>
      </c>
      <c r="H26" s="115">
        <v>2023</v>
      </c>
      <c r="I26" s="115">
        <v>2024</v>
      </c>
      <c r="J26" s="115">
        <v>2025</v>
      </c>
      <c r="K26" s="115">
        <v>2026</v>
      </c>
      <c r="L26" s="115">
        <v>2027</v>
      </c>
      <c r="M26" s="115">
        <v>2028</v>
      </c>
      <c r="N26" s="115">
        <v>2029</v>
      </c>
      <c r="O26" s="115">
        <v>2030</v>
      </c>
      <c r="P26" s="115">
        <v>2031</v>
      </c>
      <c r="Q26" s="115">
        <v>2032</v>
      </c>
      <c r="R26" s="115">
        <v>2033</v>
      </c>
      <c r="S26" s="115">
        <v>2034</v>
      </c>
      <c r="T26" s="115">
        <v>2035</v>
      </c>
      <c r="U26" s="115">
        <v>2036</v>
      </c>
      <c r="V26" s="115">
        <v>2037</v>
      </c>
      <c r="W26" s="115">
        <v>2038</v>
      </c>
      <c r="X26" s="115">
        <v>2039</v>
      </c>
      <c r="Y26" s="115">
        <v>2040</v>
      </c>
      <c r="Z26" s="115">
        <v>2041</v>
      </c>
      <c r="AA26" s="115">
        <v>2042</v>
      </c>
      <c r="AB26" s="115">
        <v>2043</v>
      </c>
      <c r="AC26" s="115">
        <v>2044</v>
      </c>
      <c r="AD26" s="115">
        <v>2045</v>
      </c>
      <c r="AE26" s="115">
        <v>2046</v>
      </c>
      <c r="AF26" s="115">
        <v>2047</v>
      </c>
      <c r="AG26" s="115">
        <v>2048</v>
      </c>
      <c r="AH26" s="115">
        <v>2049</v>
      </c>
      <c r="AI26" s="115">
        <v>2050</v>
      </c>
      <c r="AJ26" s="115">
        <v>2051</v>
      </c>
      <c r="AK26" s="115">
        <v>2052</v>
      </c>
      <c r="AL26" s="115">
        <v>2053</v>
      </c>
      <c r="AM26" s="115">
        <v>2054</v>
      </c>
      <c r="AN26" s="115">
        <v>2055</v>
      </c>
      <c r="AO26" s="115">
        <v>2056</v>
      </c>
      <c r="AP26" s="115">
        <v>2057</v>
      </c>
      <c r="AQ26" s="115">
        <v>2058</v>
      </c>
      <c r="AR26" s="115">
        <v>2059</v>
      </c>
      <c r="AS26" s="115">
        <v>2060</v>
      </c>
    </row>
    <row r="27" spans="1:49" x14ac:dyDescent="0.25">
      <c r="A27" s="308">
        <v>1</v>
      </c>
      <c r="B27" s="25" t="s">
        <v>209</v>
      </c>
      <c r="C27" s="25"/>
      <c r="D27" s="315"/>
      <c r="E27" s="61">
        <f>$F22*$F17</f>
        <v>1334154.0606497722</v>
      </c>
      <c r="F27" s="137">
        <f>$F22*$F17</f>
        <v>1334154.0606497722</v>
      </c>
      <c r="G27" s="137">
        <f>$F22*$F17</f>
        <v>1334154.0606497722</v>
      </c>
      <c r="H27" s="137">
        <f t="shared" ref="H27:AQ27" si="0">$F22*$F17</f>
        <v>1334154.0606497722</v>
      </c>
      <c r="I27" s="137">
        <f t="shared" si="0"/>
        <v>1334154.0606497722</v>
      </c>
      <c r="J27" s="137">
        <f t="shared" si="0"/>
        <v>1334154.0606497722</v>
      </c>
      <c r="K27" s="137">
        <f t="shared" si="0"/>
        <v>1334154.0606497722</v>
      </c>
      <c r="L27" s="137">
        <f t="shared" si="0"/>
        <v>1334154.0606497722</v>
      </c>
      <c r="M27" s="137">
        <f t="shared" si="0"/>
        <v>1334154.0606497722</v>
      </c>
      <c r="N27" s="137">
        <f t="shared" si="0"/>
        <v>1334154.0606497722</v>
      </c>
      <c r="O27" s="137">
        <f t="shared" si="0"/>
        <v>1334154.0606497722</v>
      </c>
      <c r="P27" s="137">
        <f t="shared" si="0"/>
        <v>1334154.0606497722</v>
      </c>
      <c r="Q27" s="137">
        <f t="shared" si="0"/>
        <v>1334154.0606497722</v>
      </c>
      <c r="R27" s="137">
        <f t="shared" si="0"/>
        <v>1334154.0606497722</v>
      </c>
      <c r="S27" s="137">
        <f t="shared" si="0"/>
        <v>1334154.0606497722</v>
      </c>
      <c r="T27" s="137">
        <f t="shared" si="0"/>
        <v>1334154.0606497722</v>
      </c>
      <c r="U27" s="137">
        <f t="shared" si="0"/>
        <v>1334154.0606497722</v>
      </c>
      <c r="V27" s="137">
        <f t="shared" si="0"/>
        <v>1334154.0606497722</v>
      </c>
      <c r="W27" s="137">
        <f t="shared" si="0"/>
        <v>1334154.0606497722</v>
      </c>
      <c r="X27" s="137">
        <f t="shared" si="0"/>
        <v>1334154.0606497722</v>
      </c>
      <c r="Y27" s="137">
        <f t="shared" si="0"/>
        <v>1334154.0606497722</v>
      </c>
      <c r="Z27" s="137">
        <f t="shared" si="0"/>
        <v>1334154.0606497722</v>
      </c>
      <c r="AA27" s="137">
        <f t="shared" si="0"/>
        <v>1334154.0606497722</v>
      </c>
      <c r="AB27" s="137">
        <f t="shared" si="0"/>
        <v>1334154.0606497722</v>
      </c>
      <c r="AC27" s="137">
        <f t="shared" si="0"/>
        <v>1334154.0606497722</v>
      </c>
      <c r="AD27" s="137">
        <f t="shared" si="0"/>
        <v>1334154.0606497722</v>
      </c>
      <c r="AE27" s="137">
        <f t="shared" si="0"/>
        <v>1334154.0606497722</v>
      </c>
      <c r="AF27" s="137">
        <f t="shared" si="0"/>
        <v>1334154.0606497722</v>
      </c>
      <c r="AG27" s="137">
        <f t="shared" si="0"/>
        <v>1334154.0606497722</v>
      </c>
      <c r="AH27" s="137">
        <f t="shared" si="0"/>
        <v>1334154.0606497722</v>
      </c>
      <c r="AI27" s="137">
        <f t="shared" si="0"/>
        <v>1334154.0606497722</v>
      </c>
      <c r="AJ27" s="137">
        <f t="shared" si="0"/>
        <v>1334154.0606497722</v>
      </c>
      <c r="AK27" s="137">
        <f t="shared" si="0"/>
        <v>1334154.0606497722</v>
      </c>
      <c r="AL27" s="137">
        <f t="shared" si="0"/>
        <v>1334154.0606497722</v>
      </c>
      <c r="AM27" s="137">
        <f t="shared" si="0"/>
        <v>1334154.0606497722</v>
      </c>
      <c r="AN27" s="137">
        <f t="shared" si="0"/>
        <v>1334154.0606497722</v>
      </c>
      <c r="AO27" s="137">
        <f t="shared" si="0"/>
        <v>1334154.0606497722</v>
      </c>
      <c r="AP27" s="137">
        <f t="shared" si="0"/>
        <v>1334154.0606497722</v>
      </c>
      <c r="AQ27" s="137">
        <f t="shared" si="0"/>
        <v>1334154.0606497722</v>
      </c>
      <c r="AR27" s="137">
        <f>$F22*$F17-86890</f>
        <v>1247264.0606497722</v>
      </c>
      <c r="AS27" s="137"/>
      <c r="AT27" s="137"/>
      <c r="AU27" s="140">
        <f>SUM(D27:AT27)</f>
        <v>53279272.425990909</v>
      </c>
      <c r="AV27" s="45">
        <f>F22</f>
        <v>53473094.060000032</v>
      </c>
      <c r="AW27" s="236">
        <f>+AU27-AV27</f>
        <v>-193821.63400912285</v>
      </c>
    </row>
    <row r="28" spans="1:49" x14ac:dyDescent="0.25">
      <c r="A28" s="25"/>
      <c r="B28" s="25"/>
      <c r="C28" s="25"/>
      <c r="D28" s="315"/>
      <c r="E28" s="61"/>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62"/>
      <c r="AN28" s="137"/>
      <c r="AO28" s="137"/>
      <c r="AP28" s="316"/>
    </row>
    <row r="29" spans="1:49" x14ac:dyDescent="0.25">
      <c r="A29" s="308">
        <f>A27+1</f>
        <v>2</v>
      </c>
      <c r="B29" s="25" t="s">
        <v>54</v>
      </c>
      <c r="C29" s="25"/>
      <c r="D29" s="315"/>
      <c r="E29" s="61">
        <f>E53</f>
        <v>639235.00576328114</v>
      </c>
      <c r="F29" s="137">
        <f t="shared" ref="F29:AT29" si="1">F53</f>
        <v>618993.82188552583</v>
      </c>
      <c r="G29" s="137">
        <f t="shared" si="1"/>
        <v>596760.56898747431</v>
      </c>
      <c r="H29" s="137">
        <f t="shared" si="1"/>
        <v>575236.48449364165</v>
      </c>
      <c r="I29" s="137">
        <f t="shared" si="1"/>
        <v>554368.48286129383</v>
      </c>
      <c r="J29" s="137">
        <f t="shared" si="1"/>
        <v>534107.56205098378</v>
      </c>
      <c r="K29" s="137">
        <f t="shared" si="1"/>
        <v>514408.12294267042</v>
      </c>
      <c r="L29" s="137">
        <f t="shared" si="1"/>
        <v>495227.96933571895</v>
      </c>
      <c r="M29" s="137">
        <f t="shared" si="1"/>
        <v>476337.7444621622</v>
      </c>
      <c r="N29" s="137">
        <f t="shared" si="1"/>
        <v>457489.03520535899</v>
      </c>
      <c r="O29" s="137">
        <f t="shared" si="1"/>
        <v>438640.32594855595</v>
      </c>
      <c r="P29" s="137">
        <f t="shared" si="1"/>
        <v>419791.6166917528</v>
      </c>
      <c r="Q29" s="137">
        <f t="shared" si="1"/>
        <v>400942.90743494971</v>
      </c>
      <c r="R29" s="137">
        <f t="shared" si="1"/>
        <v>382094.19817814656</v>
      </c>
      <c r="S29" s="137">
        <f t="shared" si="1"/>
        <v>363245.48892134341</v>
      </c>
      <c r="T29" s="137">
        <f t="shared" si="1"/>
        <v>344396.77966454043</v>
      </c>
      <c r="U29" s="137">
        <f t="shared" si="1"/>
        <v>325548.07040773728</v>
      </c>
      <c r="V29" s="137">
        <f t="shared" si="1"/>
        <v>306699.36115093419</v>
      </c>
      <c r="W29" s="137">
        <f t="shared" si="1"/>
        <v>287850.65189413115</v>
      </c>
      <c r="X29" s="137">
        <f t="shared" si="1"/>
        <v>269001.94263732806</v>
      </c>
      <c r="Y29" s="137">
        <f t="shared" si="1"/>
        <v>251671.61601950051</v>
      </c>
      <c r="Z29" s="137">
        <f t="shared" si="1"/>
        <v>237377.37409574271</v>
      </c>
      <c r="AA29" s="137">
        <f t="shared" si="1"/>
        <v>224601.51481096051</v>
      </c>
      <c r="AB29" s="137">
        <f t="shared" si="1"/>
        <v>211825.65552617831</v>
      </c>
      <c r="AC29" s="137">
        <f t="shared" si="1"/>
        <v>199049.79624139611</v>
      </c>
      <c r="AD29" s="137">
        <f t="shared" si="1"/>
        <v>186273.93695661391</v>
      </c>
      <c r="AE29" s="137">
        <f t="shared" si="1"/>
        <v>173498.07767183174</v>
      </c>
      <c r="AF29" s="137">
        <f t="shared" si="1"/>
        <v>160722.21838704951</v>
      </c>
      <c r="AG29" s="137">
        <f t="shared" si="1"/>
        <v>147946.35910226725</v>
      </c>
      <c r="AH29" s="137">
        <f t="shared" si="1"/>
        <v>135170.49981748499</v>
      </c>
      <c r="AI29" s="137">
        <f t="shared" si="1"/>
        <v>122394.64053270275</v>
      </c>
      <c r="AJ29" s="137">
        <f t="shared" si="1"/>
        <v>109618.78124792049</v>
      </c>
      <c r="AK29" s="137">
        <f t="shared" si="1"/>
        <v>96842.921963138229</v>
      </c>
      <c r="AL29" s="137">
        <f t="shared" si="1"/>
        <v>84067.062678355971</v>
      </c>
      <c r="AM29" s="137">
        <f t="shared" si="1"/>
        <v>71291.203393573727</v>
      </c>
      <c r="AN29" s="137">
        <f t="shared" si="1"/>
        <v>58515.344108791483</v>
      </c>
      <c r="AO29" s="137">
        <f t="shared" si="1"/>
        <v>45739.484824009218</v>
      </c>
      <c r="AP29" s="137">
        <f t="shared" si="1"/>
        <v>32963.625539226974</v>
      </c>
      <c r="AQ29" s="137">
        <f t="shared" si="1"/>
        <v>20187.766254444719</v>
      </c>
      <c r="AR29" s="137">
        <f t="shared" si="1"/>
        <v>7827.936289662468</v>
      </c>
      <c r="AS29" s="137">
        <f t="shared" si="1"/>
        <v>1856.0359672712957</v>
      </c>
      <c r="AT29" s="137">
        <f t="shared" si="1"/>
        <v>1856.0359672712957</v>
      </c>
      <c r="AU29" s="140">
        <f>SUM(D29:AT29)</f>
        <v>11581674.028312925</v>
      </c>
    </row>
    <row r="30" spans="1:49" x14ac:dyDescent="0.25">
      <c r="A30" s="25"/>
      <c r="B30" s="25"/>
      <c r="C30" s="25"/>
      <c r="D30" s="315"/>
      <c r="E30" s="61"/>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row>
    <row r="31" spans="1:49" x14ac:dyDescent="0.25">
      <c r="A31" s="25"/>
      <c r="B31" s="25" t="s">
        <v>55</v>
      </c>
      <c r="C31" s="25"/>
      <c r="D31" s="315"/>
      <c r="E31" s="61">
        <f>+E30/0.79</f>
        <v>0</v>
      </c>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row>
    <row r="32" spans="1:49" x14ac:dyDescent="0.25">
      <c r="A32" s="308">
        <f>A29+1</f>
        <v>3</v>
      </c>
      <c r="B32" s="25"/>
      <c r="C32" s="25"/>
      <c r="D32" s="315"/>
      <c r="E32" s="61">
        <f>E49*$F10</f>
        <v>0</v>
      </c>
      <c r="F32" s="137">
        <f t="shared" ref="F32:AT32" si="2">F49*$F10</f>
        <v>0</v>
      </c>
      <c r="G32" s="137">
        <f t="shared" si="2"/>
        <v>0</v>
      </c>
      <c r="H32" s="137">
        <f t="shared" si="2"/>
        <v>0</v>
      </c>
      <c r="I32" s="137">
        <f t="shared" si="2"/>
        <v>0</v>
      </c>
      <c r="J32" s="137">
        <f t="shared" si="2"/>
        <v>0</v>
      </c>
      <c r="K32" s="137">
        <f t="shared" si="2"/>
        <v>0</v>
      </c>
      <c r="L32" s="137">
        <f t="shared" si="2"/>
        <v>0</v>
      </c>
      <c r="M32" s="137">
        <f t="shared" si="2"/>
        <v>0</v>
      </c>
      <c r="N32" s="137">
        <f t="shared" si="2"/>
        <v>0</v>
      </c>
      <c r="O32" s="137">
        <f t="shared" si="2"/>
        <v>0</v>
      </c>
      <c r="P32" s="137">
        <f t="shared" si="2"/>
        <v>0</v>
      </c>
      <c r="Q32" s="137">
        <f t="shared" si="2"/>
        <v>0</v>
      </c>
      <c r="R32" s="137">
        <f t="shared" si="2"/>
        <v>0</v>
      </c>
      <c r="S32" s="137">
        <f t="shared" si="2"/>
        <v>0</v>
      </c>
      <c r="T32" s="137">
        <f t="shared" si="2"/>
        <v>0</v>
      </c>
      <c r="U32" s="137">
        <f t="shared" si="2"/>
        <v>0</v>
      </c>
      <c r="V32" s="137">
        <f t="shared" si="2"/>
        <v>0</v>
      </c>
      <c r="W32" s="137">
        <f t="shared" si="2"/>
        <v>0</v>
      </c>
      <c r="X32" s="137">
        <f t="shared" si="2"/>
        <v>0</v>
      </c>
      <c r="Y32" s="137">
        <f t="shared" si="2"/>
        <v>0</v>
      </c>
      <c r="Z32" s="137">
        <f t="shared" si="2"/>
        <v>0</v>
      </c>
      <c r="AA32" s="137">
        <f t="shared" si="2"/>
        <v>0</v>
      </c>
      <c r="AB32" s="137">
        <f t="shared" si="2"/>
        <v>0</v>
      </c>
      <c r="AC32" s="137">
        <f t="shared" si="2"/>
        <v>0</v>
      </c>
      <c r="AD32" s="137">
        <f t="shared" si="2"/>
        <v>0</v>
      </c>
      <c r="AE32" s="137">
        <f t="shared" si="2"/>
        <v>0</v>
      </c>
      <c r="AF32" s="137">
        <f t="shared" si="2"/>
        <v>0</v>
      </c>
      <c r="AG32" s="137">
        <f t="shared" si="2"/>
        <v>0</v>
      </c>
      <c r="AH32" s="137">
        <f t="shared" si="2"/>
        <v>0</v>
      </c>
      <c r="AI32" s="137">
        <f t="shared" si="2"/>
        <v>0</v>
      </c>
      <c r="AJ32" s="137">
        <f t="shared" si="2"/>
        <v>0</v>
      </c>
      <c r="AK32" s="137">
        <f t="shared" si="2"/>
        <v>0</v>
      </c>
      <c r="AL32" s="137">
        <f t="shared" si="2"/>
        <v>0</v>
      </c>
      <c r="AM32" s="137">
        <f t="shared" si="2"/>
        <v>0</v>
      </c>
      <c r="AN32" s="137">
        <f t="shared" si="2"/>
        <v>0</v>
      </c>
      <c r="AO32" s="137">
        <f t="shared" si="2"/>
        <v>0</v>
      </c>
      <c r="AP32" s="137">
        <f t="shared" si="2"/>
        <v>0</v>
      </c>
      <c r="AQ32" s="137">
        <f t="shared" si="2"/>
        <v>0</v>
      </c>
      <c r="AR32" s="137">
        <f t="shared" si="2"/>
        <v>0</v>
      </c>
      <c r="AS32" s="137">
        <f t="shared" si="2"/>
        <v>0</v>
      </c>
      <c r="AT32" s="137">
        <f t="shared" si="2"/>
        <v>0</v>
      </c>
      <c r="AU32" s="140">
        <f t="shared" ref="AU32:AU42" si="3">SUM(D32:AT32)</f>
        <v>0</v>
      </c>
    </row>
    <row r="33" spans="1:47" x14ac:dyDescent="0.25">
      <c r="A33" s="308">
        <f>A32+1</f>
        <v>4</v>
      </c>
      <c r="B33" s="36"/>
      <c r="C33" s="36" t="s">
        <v>174</v>
      </c>
      <c r="D33" s="315"/>
      <c r="E33" s="61">
        <f>E49*$F11</f>
        <v>1492416.1470185542</v>
      </c>
      <c r="F33" s="137">
        <f t="shared" ref="F33:AT33" si="4">F49*$F11</f>
        <v>1445159.2393373749</v>
      </c>
      <c r="G33" s="137">
        <f t="shared" si="4"/>
        <v>1393251.4662544865</v>
      </c>
      <c r="H33" s="137">
        <f t="shared" si="4"/>
        <v>1342999.3821871709</v>
      </c>
      <c r="I33" s="137">
        <f t="shared" si="4"/>
        <v>1294279.0488022084</v>
      </c>
      <c r="J33" s="137">
        <f t="shared" si="4"/>
        <v>1246976.0614843196</v>
      </c>
      <c r="K33" s="137">
        <f t="shared" si="4"/>
        <v>1200983.9603831747</v>
      </c>
      <c r="L33" s="137">
        <f t="shared" si="4"/>
        <v>1156204.2304133945</v>
      </c>
      <c r="M33" s="137">
        <f t="shared" si="4"/>
        <v>1112101.3944173516</v>
      </c>
      <c r="N33" s="137">
        <f t="shared" si="4"/>
        <v>1068095.4845536978</v>
      </c>
      <c r="O33" s="137">
        <f t="shared" si="4"/>
        <v>1024089.5746900444</v>
      </c>
      <c r="P33" s="137">
        <f t="shared" si="4"/>
        <v>980083.66482639068</v>
      </c>
      <c r="Q33" s="137">
        <f t="shared" si="4"/>
        <v>936077.75496273709</v>
      </c>
      <c r="R33" s="137">
        <f t="shared" si="4"/>
        <v>892071.84509908338</v>
      </c>
      <c r="S33" s="137">
        <f t="shared" si="4"/>
        <v>848065.93523542979</v>
      </c>
      <c r="T33" s="137">
        <f t="shared" si="4"/>
        <v>804060.02537177631</v>
      </c>
      <c r="U33" s="137">
        <f t="shared" si="4"/>
        <v>760054.11550812272</v>
      </c>
      <c r="V33" s="137">
        <f t="shared" si="4"/>
        <v>716048.20564446913</v>
      </c>
      <c r="W33" s="137">
        <f t="shared" si="4"/>
        <v>672042.29578081553</v>
      </c>
      <c r="X33" s="137">
        <f t="shared" si="4"/>
        <v>628036.38591716194</v>
      </c>
      <c r="Y33" s="137">
        <f t="shared" si="4"/>
        <v>587575.43017418252</v>
      </c>
      <c r="Z33" s="137">
        <f t="shared" si="4"/>
        <v>554202.79371956142</v>
      </c>
      <c r="AA33" s="137">
        <f t="shared" si="4"/>
        <v>524375.11138561449</v>
      </c>
      <c r="AB33" s="137">
        <f t="shared" si="4"/>
        <v>494547.42905166757</v>
      </c>
      <c r="AC33" s="137">
        <f t="shared" si="4"/>
        <v>464719.74671772058</v>
      </c>
      <c r="AD33" s="137">
        <f t="shared" si="4"/>
        <v>434892.06438377372</v>
      </c>
      <c r="AE33" s="137">
        <f t="shared" si="4"/>
        <v>405064.38204982691</v>
      </c>
      <c r="AF33" s="137">
        <f t="shared" si="4"/>
        <v>375236.69971587986</v>
      </c>
      <c r="AG33" s="137">
        <f t="shared" si="4"/>
        <v>345409.01738193282</v>
      </c>
      <c r="AH33" s="137">
        <f t="shared" si="4"/>
        <v>315581.33504798578</v>
      </c>
      <c r="AI33" s="137">
        <f t="shared" si="4"/>
        <v>285753.65271403873</v>
      </c>
      <c r="AJ33" s="137">
        <f t="shared" si="4"/>
        <v>255925.97038009172</v>
      </c>
      <c r="AK33" s="137">
        <f t="shared" si="4"/>
        <v>226098.28804614468</v>
      </c>
      <c r="AL33" s="137">
        <f t="shared" si="4"/>
        <v>196270.60571219763</v>
      </c>
      <c r="AM33" s="137">
        <f t="shared" si="4"/>
        <v>166442.92337825059</v>
      </c>
      <c r="AN33" s="137">
        <f t="shared" si="4"/>
        <v>136615.24104430358</v>
      </c>
      <c r="AO33" s="137">
        <f t="shared" si="4"/>
        <v>106787.55871035653</v>
      </c>
      <c r="AP33" s="137">
        <f t="shared" si="4"/>
        <v>76959.876376409506</v>
      </c>
      <c r="AQ33" s="137">
        <f t="shared" si="4"/>
        <v>47132.194042462463</v>
      </c>
      <c r="AR33" s="137">
        <f t="shared" si="4"/>
        <v>18275.811573515432</v>
      </c>
      <c r="AS33" s="137">
        <f t="shared" si="4"/>
        <v>4333.2702715418081</v>
      </c>
      <c r="AT33" s="137">
        <f t="shared" si="4"/>
        <v>4333.2702715418081</v>
      </c>
      <c r="AU33" s="140">
        <f t="shared" si="3"/>
        <v>27039628.890036769</v>
      </c>
    </row>
    <row r="34" spans="1:47" x14ac:dyDescent="0.25">
      <c r="A34" s="308">
        <f>A33+1</f>
        <v>5</v>
      </c>
      <c r="B34" s="25"/>
      <c r="C34" s="25" t="s">
        <v>9</v>
      </c>
      <c r="D34" s="315"/>
      <c r="E34" s="63">
        <f>E49*$F12</f>
        <v>2404741.2121571051</v>
      </c>
      <c r="F34" s="135">
        <f t="shared" ref="F34:AT34" si="5">F49*$F12</f>
        <v>2328595.8061407879</v>
      </c>
      <c r="G34" s="135">
        <f t="shared" si="5"/>
        <v>2244956.4261909751</v>
      </c>
      <c r="H34" s="135">
        <f t="shared" si="5"/>
        <v>2163984.8702379856</v>
      </c>
      <c r="I34" s="135">
        <f t="shared" si="5"/>
        <v>2085481.4355258199</v>
      </c>
      <c r="J34" s="135">
        <f t="shared" si="5"/>
        <v>2009261.7810489393</v>
      </c>
      <c r="K34" s="135">
        <f t="shared" si="5"/>
        <v>1935154.367260522</v>
      </c>
      <c r="L34" s="135">
        <f t="shared" si="5"/>
        <v>1863000.4560724664</v>
      </c>
      <c r="M34" s="135">
        <f t="shared" si="5"/>
        <v>1791937.2291671815</v>
      </c>
      <c r="N34" s="135">
        <f t="shared" si="5"/>
        <v>1721030.1800582553</v>
      </c>
      <c r="O34" s="135">
        <f t="shared" si="5"/>
        <v>1650123.1309493296</v>
      </c>
      <c r="P34" s="135">
        <f t="shared" si="5"/>
        <v>1579216.0818404036</v>
      </c>
      <c r="Q34" s="135">
        <f t="shared" si="5"/>
        <v>1508309.0327314776</v>
      </c>
      <c r="R34" s="135">
        <f t="shared" si="5"/>
        <v>1437401.9836225514</v>
      </c>
      <c r="S34" s="135">
        <f t="shared" si="5"/>
        <v>1366494.9345136255</v>
      </c>
      <c r="T34" s="135">
        <f t="shared" si="5"/>
        <v>1295587.8854046997</v>
      </c>
      <c r="U34" s="135">
        <f t="shared" si="5"/>
        <v>1224680.8362957737</v>
      </c>
      <c r="V34" s="135">
        <f t="shared" si="5"/>
        <v>1153773.7871868478</v>
      </c>
      <c r="W34" s="135">
        <f t="shared" si="5"/>
        <v>1082866.738077922</v>
      </c>
      <c r="X34" s="135">
        <f t="shared" si="5"/>
        <v>1011959.6889689961</v>
      </c>
      <c r="Y34" s="135">
        <f t="shared" si="5"/>
        <v>946764.65074002568</v>
      </c>
      <c r="Z34" s="135">
        <f t="shared" si="5"/>
        <v>892991.07397922268</v>
      </c>
      <c r="AA34" s="135">
        <f t="shared" si="5"/>
        <v>844929.50809837529</v>
      </c>
      <c r="AB34" s="135">
        <f t="shared" si="5"/>
        <v>796867.94221752801</v>
      </c>
      <c r="AC34" s="135">
        <f t="shared" si="5"/>
        <v>748806.37633668061</v>
      </c>
      <c r="AD34" s="135">
        <f t="shared" si="5"/>
        <v>700744.81045583333</v>
      </c>
      <c r="AE34" s="135">
        <f t="shared" si="5"/>
        <v>652683.24457498617</v>
      </c>
      <c r="AF34" s="135">
        <f t="shared" si="5"/>
        <v>604621.67869413865</v>
      </c>
      <c r="AG34" s="135">
        <f t="shared" si="5"/>
        <v>556560.11281329114</v>
      </c>
      <c r="AH34" s="135">
        <f t="shared" si="5"/>
        <v>508498.54693244351</v>
      </c>
      <c r="AI34" s="135">
        <f t="shared" si="5"/>
        <v>460436.98105159606</v>
      </c>
      <c r="AJ34" s="135">
        <f t="shared" si="5"/>
        <v>412375.41517074854</v>
      </c>
      <c r="AK34" s="135">
        <f t="shared" si="5"/>
        <v>364313.84928990097</v>
      </c>
      <c r="AL34" s="135">
        <f t="shared" si="5"/>
        <v>316252.28340905346</v>
      </c>
      <c r="AM34" s="135">
        <f t="shared" si="5"/>
        <v>268190.71752820595</v>
      </c>
      <c r="AN34" s="135">
        <f t="shared" si="5"/>
        <v>220129.15164735843</v>
      </c>
      <c r="AO34" s="135">
        <f t="shared" si="5"/>
        <v>172067.58576651089</v>
      </c>
      <c r="AP34" s="135">
        <f t="shared" si="5"/>
        <v>124006.01988566338</v>
      </c>
      <c r="AQ34" s="135">
        <f t="shared" si="5"/>
        <v>75944.454004815852</v>
      </c>
      <c r="AR34" s="135">
        <f t="shared" si="5"/>
        <v>29447.950803968331</v>
      </c>
      <c r="AS34" s="135">
        <f t="shared" si="5"/>
        <v>6982.2305435443986</v>
      </c>
      <c r="AT34" s="135">
        <f t="shared" si="5"/>
        <v>6982.2305435443986</v>
      </c>
      <c r="AU34" s="140">
        <f t="shared" si="3"/>
        <v>43569154.67793911</v>
      </c>
    </row>
    <row r="35" spans="1:47" x14ac:dyDescent="0.25">
      <c r="A35" s="308">
        <f>A34+1</f>
        <v>6</v>
      </c>
      <c r="B35" s="25"/>
      <c r="C35" s="25" t="s">
        <v>58</v>
      </c>
      <c r="D35" s="315"/>
      <c r="E35" s="61">
        <f>E32+E33+E34</f>
        <v>3897157.3591756593</v>
      </c>
      <c r="F35" s="137">
        <f>F32+F33+F34</f>
        <v>3773755.0454781628</v>
      </c>
      <c r="G35" s="137">
        <f>G32+G33+G34</f>
        <v>3638207.8924454618</v>
      </c>
      <c r="H35" s="137">
        <f t="shared" ref="H35:AT35" si="6">H32+H33+H34</f>
        <v>3506984.2524251565</v>
      </c>
      <c r="I35" s="137">
        <f t="shared" si="6"/>
        <v>3379760.4843280283</v>
      </c>
      <c r="J35" s="137">
        <f t="shared" si="6"/>
        <v>3256237.8425332587</v>
      </c>
      <c r="K35" s="137">
        <f t="shared" si="6"/>
        <v>3136138.3276436967</v>
      </c>
      <c r="L35" s="137">
        <f t="shared" si="6"/>
        <v>3019204.686485861</v>
      </c>
      <c r="M35" s="137">
        <f t="shared" si="6"/>
        <v>2904038.6235845331</v>
      </c>
      <c r="N35" s="137">
        <f t="shared" si="6"/>
        <v>2789125.6646119533</v>
      </c>
      <c r="O35" s="137">
        <f t="shared" si="6"/>
        <v>2674212.705639374</v>
      </c>
      <c r="P35" s="137">
        <f t="shared" si="6"/>
        <v>2559299.7466667942</v>
      </c>
      <c r="Q35" s="137">
        <f t="shared" si="6"/>
        <v>2444386.7876942148</v>
      </c>
      <c r="R35" s="137">
        <f t="shared" si="6"/>
        <v>2329473.828721635</v>
      </c>
      <c r="S35" s="137">
        <f t="shared" si="6"/>
        <v>2214560.8697490552</v>
      </c>
      <c r="T35" s="137">
        <f t="shared" si="6"/>
        <v>2099647.9107764759</v>
      </c>
      <c r="U35" s="137">
        <f t="shared" si="6"/>
        <v>1984734.9518038966</v>
      </c>
      <c r="V35" s="137">
        <f t="shared" si="6"/>
        <v>1869821.9928313168</v>
      </c>
      <c r="W35" s="137">
        <f t="shared" si="6"/>
        <v>1754909.0338587374</v>
      </c>
      <c r="X35" s="137">
        <f t="shared" si="6"/>
        <v>1639996.0748861581</v>
      </c>
      <c r="Y35" s="137">
        <f t="shared" si="6"/>
        <v>1534340.0809142082</v>
      </c>
      <c r="Z35" s="137">
        <f t="shared" si="6"/>
        <v>1447193.867698784</v>
      </c>
      <c r="AA35" s="137">
        <f t="shared" si="6"/>
        <v>1369304.6194839897</v>
      </c>
      <c r="AB35" s="137">
        <f t="shared" si="6"/>
        <v>1291415.3712691956</v>
      </c>
      <c r="AC35" s="137">
        <f t="shared" si="6"/>
        <v>1213526.1230544013</v>
      </c>
      <c r="AD35" s="137">
        <f t="shared" si="6"/>
        <v>1135636.8748396072</v>
      </c>
      <c r="AE35" s="137">
        <f t="shared" si="6"/>
        <v>1057747.6266248131</v>
      </c>
      <c r="AF35" s="137">
        <f t="shared" si="6"/>
        <v>979858.37841001851</v>
      </c>
      <c r="AG35" s="137">
        <f t="shared" si="6"/>
        <v>901969.13019522396</v>
      </c>
      <c r="AH35" s="137">
        <f t="shared" si="6"/>
        <v>824079.88198042929</v>
      </c>
      <c r="AI35" s="137">
        <f t="shared" si="6"/>
        <v>746190.63376563485</v>
      </c>
      <c r="AJ35" s="137">
        <f t="shared" si="6"/>
        <v>668301.38555084029</v>
      </c>
      <c r="AK35" s="137">
        <f t="shared" si="6"/>
        <v>590412.13733604562</v>
      </c>
      <c r="AL35" s="137">
        <f t="shared" si="6"/>
        <v>512522.88912125106</v>
      </c>
      <c r="AM35" s="137">
        <f t="shared" si="6"/>
        <v>434633.64090645651</v>
      </c>
      <c r="AN35" s="137">
        <f t="shared" si="6"/>
        <v>356744.39269166201</v>
      </c>
      <c r="AO35" s="137">
        <f t="shared" si="6"/>
        <v>278855.1444768674</v>
      </c>
      <c r="AP35" s="137">
        <f t="shared" si="6"/>
        <v>200965.8962620729</v>
      </c>
      <c r="AQ35" s="137">
        <f t="shared" si="6"/>
        <v>123076.64804727832</v>
      </c>
      <c r="AR35" s="137">
        <f t="shared" si="6"/>
        <v>47723.762377483763</v>
      </c>
      <c r="AS35" s="137">
        <f t="shared" si="6"/>
        <v>11315.500815086207</v>
      </c>
      <c r="AT35" s="137">
        <f t="shared" si="6"/>
        <v>11315.500815086207</v>
      </c>
      <c r="AU35" s="140">
        <f t="shared" si="3"/>
        <v>70608783.567975864</v>
      </c>
    </row>
    <row r="36" spans="1:47" x14ac:dyDescent="0.25">
      <c r="A36" s="25"/>
      <c r="B36" s="25"/>
      <c r="C36" s="25"/>
      <c r="D36" s="315"/>
      <c r="E36" s="61"/>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40">
        <f t="shared" si="3"/>
        <v>0</v>
      </c>
    </row>
    <row r="37" spans="1:47" x14ac:dyDescent="0.25">
      <c r="A37" s="308">
        <f>A35+1</f>
        <v>7</v>
      </c>
      <c r="B37" s="25" t="s">
        <v>59</v>
      </c>
      <c r="C37" s="25"/>
      <c r="D37" s="315"/>
      <c r="E37" s="64">
        <f>E27+E29+E35</f>
        <v>5870546.4255887121</v>
      </c>
      <c r="F37" s="134">
        <f>F27+F29+F35</f>
        <v>5726902.9280134607</v>
      </c>
      <c r="G37" s="134">
        <f t="shared" ref="G37:AT37" si="7">G27+G29+G35</f>
        <v>5569122.5220827088</v>
      </c>
      <c r="H37" s="134">
        <f t="shared" si="7"/>
        <v>5416374.7975685708</v>
      </c>
      <c r="I37" s="134">
        <f t="shared" si="7"/>
        <v>5268283.0278390944</v>
      </c>
      <c r="J37" s="134">
        <f t="shared" si="7"/>
        <v>5124499.4652340151</v>
      </c>
      <c r="K37" s="134">
        <f t="shared" si="7"/>
        <v>4984700.5112361396</v>
      </c>
      <c r="L37" s="134">
        <f t="shared" si="7"/>
        <v>4848586.7164713517</v>
      </c>
      <c r="M37" s="134">
        <f t="shared" si="7"/>
        <v>4714530.4286964675</v>
      </c>
      <c r="N37" s="134">
        <f t="shared" si="7"/>
        <v>4580768.7604670841</v>
      </c>
      <c r="O37" s="134">
        <f t="shared" si="7"/>
        <v>4447007.0922377016</v>
      </c>
      <c r="P37" s="134">
        <f t="shared" si="7"/>
        <v>4313245.4240083192</v>
      </c>
      <c r="Q37" s="134">
        <f t="shared" si="7"/>
        <v>4179483.7557789367</v>
      </c>
      <c r="R37" s="134">
        <f t="shared" si="7"/>
        <v>4045722.0875495537</v>
      </c>
      <c r="S37" s="134">
        <f t="shared" si="7"/>
        <v>3911960.4193201708</v>
      </c>
      <c r="T37" s="134">
        <f t="shared" si="7"/>
        <v>3778198.7510907883</v>
      </c>
      <c r="U37" s="134">
        <f t="shared" si="7"/>
        <v>3644437.0828614058</v>
      </c>
      <c r="V37" s="134">
        <f t="shared" si="7"/>
        <v>3510675.4146320233</v>
      </c>
      <c r="W37" s="134">
        <f t="shared" si="7"/>
        <v>3376913.7464026408</v>
      </c>
      <c r="X37" s="134">
        <f t="shared" si="7"/>
        <v>3243152.0781732583</v>
      </c>
      <c r="Y37" s="134">
        <f t="shared" si="7"/>
        <v>3120165.7575834808</v>
      </c>
      <c r="Z37" s="134">
        <f t="shared" si="7"/>
        <v>3018725.3024442988</v>
      </c>
      <c r="AA37" s="134">
        <f t="shared" si="7"/>
        <v>2928060.1949447226</v>
      </c>
      <c r="AB37" s="134">
        <f t="shared" si="7"/>
        <v>2837395.0874451464</v>
      </c>
      <c r="AC37" s="134">
        <f t="shared" si="7"/>
        <v>2746729.9799455693</v>
      </c>
      <c r="AD37" s="134">
        <f t="shared" si="7"/>
        <v>2656064.8724459931</v>
      </c>
      <c r="AE37" s="134">
        <f t="shared" si="7"/>
        <v>2565399.764946417</v>
      </c>
      <c r="AF37" s="134">
        <f t="shared" si="7"/>
        <v>2474734.6574468403</v>
      </c>
      <c r="AG37" s="134">
        <f t="shared" si="7"/>
        <v>2384069.5499472637</v>
      </c>
      <c r="AH37" s="134">
        <f t="shared" si="7"/>
        <v>2293404.4424476866</v>
      </c>
      <c r="AI37" s="134">
        <f t="shared" si="7"/>
        <v>2202739.3349481095</v>
      </c>
      <c r="AJ37" s="134">
        <f t="shared" si="7"/>
        <v>2112074.2274485333</v>
      </c>
      <c r="AK37" s="134">
        <f t="shared" si="7"/>
        <v>2021409.1199489562</v>
      </c>
      <c r="AL37" s="134">
        <f t="shared" si="7"/>
        <v>1930744.0124493791</v>
      </c>
      <c r="AM37" s="134">
        <f t="shared" si="7"/>
        <v>1840078.9049498024</v>
      </c>
      <c r="AN37" s="134">
        <f t="shared" si="7"/>
        <v>1749413.7974502258</v>
      </c>
      <c r="AO37" s="134">
        <f t="shared" si="7"/>
        <v>1658748.6899506487</v>
      </c>
      <c r="AP37" s="134">
        <f t="shared" si="7"/>
        <v>1568083.5824510721</v>
      </c>
      <c r="AQ37" s="134">
        <f t="shared" si="7"/>
        <v>1477418.4749514952</v>
      </c>
      <c r="AR37" s="134">
        <f t="shared" si="7"/>
        <v>1302815.7593169184</v>
      </c>
      <c r="AS37" s="134">
        <f t="shared" si="7"/>
        <v>13171.536782357503</v>
      </c>
      <c r="AT37" s="134">
        <f t="shared" si="7"/>
        <v>13171.536782357503</v>
      </c>
      <c r="AU37" s="140">
        <f t="shared" si="3"/>
        <v>135469730.02227968</v>
      </c>
    </row>
    <row r="38" spans="1:47" x14ac:dyDescent="0.25">
      <c r="A38" s="308">
        <f>A37+1</f>
        <v>8</v>
      </c>
      <c r="B38" s="25" t="s">
        <v>60</v>
      </c>
      <c r="C38" s="25"/>
      <c r="D38" s="315"/>
      <c r="E38" s="63">
        <f>E37/(1-$F16)-E37</f>
        <v>279501.21512763575</v>
      </c>
      <c r="F38" s="135">
        <f t="shared" ref="F38:AT38" si="8">F37/(1-$F16)-F37</f>
        <v>272662.238104566</v>
      </c>
      <c r="G38" s="135">
        <f t="shared" si="8"/>
        <v>265150.19203867484</v>
      </c>
      <c r="H38" s="135">
        <f t="shared" si="8"/>
        <v>257877.75579260569</v>
      </c>
      <c r="I38" s="135">
        <f t="shared" si="8"/>
        <v>250826.99312264845</v>
      </c>
      <c r="J38" s="135">
        <f t="shared" si="8"/>
        <v>243981.3474961482</v>
      </c>
      <c r="K38" s="135">
        <f t="shared" si="8"/>
        <v>237325.41213965975</v>
      </c>
      <c r="L38" s="135">
        <f t="shared" si="8"/>
        <v>230844.93003895413</v>
      </c>
      <c r="M38" s="135">
        <f t="shared" si="8"/>
        <v>224462.40742312744</v>
      </c>
      <c r="N38" s="135">
        <f t="shared" si="8"/>
        <v>218093.91186968982</v>
      </c>
      <c r="O38" s="135">
        <f t="shared" si="8"/>
        <v>211725.41631625127</v>
      </c>
      <c r="P38" s="135">
        <f t="shared" si="8"/>
        <v>205356.92076281365</v>
      </c>
      <c r="Q38" s="135">
        <f t="shared" si="8"/>
        <v>198988.42520937603</v>
      </c>
      <c r="R38" s="135">
        <f t="shared" si="8"/>
        <v>192619.92965593794</v>
      </c>
      <c r="S38" s="135">
        <f t="shared" si="8"/>
        <v>186251.43410250032</v>
      </c>
      <c r="T38" s="135">
        <f t="shared" si="8"/>
        <v>179882.93854906224</v>
      </c>
      <c r="U38" s="135">
        <f t="shared" si="8"/>
        <v>173514.44299562462</v>
      </c>
      <c r="V38" s="135">
        <f t="shared" si="8"/>
        <v>167145.94744218653</v>
      </c>
      <c r="W38" s="135">
        <f t="shared" si="8"/>
        <v>160777.45188874891</v>
      </c>
      <c r="X38" s="135">
        <f t="shared" si="8"/>
        <v>154408.95633531082</v>
      </c>
      <c r="Y38" s="135">
        <f t="shared" si="8"/>
        <v>148553.48334235651</v>
      </c>
      <c r="Z38" s="135">
        <f t="shared" si="8"/>
        <v>143723.8255185266</v>
      </c>
      <c r="AA38" s="135">
        <f t="shared" si="8"/>
        <v>139407.19025518</v>
      </c>
      <c r="AB38" s="135">
        <f t="shared" si="8"/>
        <v>135090.5549918334</v>
      </c>
      <c r="AC38" s="135">
        <f t="shared" si="8"/>
        <v>130773.9197284868</v>
      </c>
      <c r="AD38" s="135">
        <f t="shared" si="8"/>
        <v>126457.2844651402</v>
      </c>
      <c r="AE38" s="135">
        <f t="shared" si="8"/>
        <v>122140.6492017936</v>
      </c>
      <c r="AF38" s="135">
        <f t="shared" si="8"/>
        <v>117824.01393844699</v>
      </c>
      <c r="AG38" s="135">
        <f t="shared" si="8"/>
        <v>113507.37867510086</v>
      </c>
      <c r="AH38" s="135">
        <f t="shared" si="8"/>
        <v>109190.74341175426</v>
      </c>
      <c r="AI38" s="135">
        <f t="shared" si="8"/>
        <v>104874.10814840766</v>
      </c>
      <c r="AJ38" s="135">
        <f t="shared" si="8"/>
        <v>100557.47288506106</v>
      </c>
      <c r="AK38" s="135">
        <f t="shared" si="8"/>
        <v>96240.837621714454</v>
      </c>
      <c r="AL38" s="135">
        <f t="shared" si="8"/>
        <v>91924.20235836762</v>
      </c>
      <c r="AM38" s="135">
        <f t="shared" si="8"/>
        <v>87607.567095021019</v>
      </c>
      <c r="AN38" s="135">
        <f t="shared" si="8"/>
        <v>83290.93183167465</v>
      </c>
      <c r="AO38" s="135">
        <f t="shared" si="8"/>
        <v>78974.296568328049</v>
      </c>
      <c r="AP38" s="135">
        <f t="shared" si="8"/>
        <v>74657.661304981448</v>
      </c>
      <c r="AQ38" s="135">
        <f t="shared" si="8"/>
        <v>70341.026041634846</v>
      </c>
      <c r="AR38" s="135">
        <f t="shared" si="8"/>
        <v>62028.056916353526</v>
      </c>
      <c r="AS38" s="135">
        <f t="shared" si="8"/>
        <v>627.10696226170876</v>
      </c>
      <c r="AT38" s="135">
        <f t="shared" si="8"/>
        <v>627.10696226170876</v>
      </c>
      <c r="AU38" s="140">
        <f t="shared" si="3"/>
        <v>6449817.684636212</v>
      </c>
    </row>
    <row r="39" spans="1:47" x14ac:dyDescent="0.25">
      <c r="A39" s="308">
        <f>A38+1</f>
        <v>9</v>
      </c>
      <c r="B39" s="25"/>
      <c r="C39" s="25" t="s">
        <v>61</v>
      </c>
      <c r="D39" s="315"/>
      <c r="E39" s="64">
        <f>SUM(E37:E38)</f>
        <v>6150047.6407163478</v>
      </c>
      <c r="F39" s="134">
        <f t="shared" ref="F39:AT39" si="9">SUM(F37:F38)</f>
        <v>5999565.1661180267</v>
      </c>
      <c r="G39" s="134">
        <f t="shared" si="9"/>
        <v>5834272.7141213836</v>
      </c>
      <c r="H39" s="134">
        <f t="shared" si="9"/>
        <v>5674252.5533611765</v>
      </c>
      <c r="I39" s="134">
        <f t="shared" si="9"/>
        <v>5519110.0209617428</v>
      </c>
      <c r="J39" s="134">
        <f t="shared" si="9"/>
        <v>5368480.8127301633</v>
      </c>
      <c r="K39" s="134">
        <f t="shared" si="9"/>
        <v>5222025.9233757993</v>
      </c>
      <c r="L39" s="134">
        <f t="shared" si="9"/>
        <v>5079431.6465103058</v>
      </c>
      <c r="M39" s="134">
        <f t="shared" si="9"/>
        <v>4938992.836119595</v>
      </c>
      <c r="N39" s="134">
        <f t="shared" si="9"/>
        <v>4798862.6723367739</v>
      </c>
      <c r="O39" s="134">
        <f t="shared" si="9"/>
        <v>4658732.5085539529</v>
      </c>
      <c r="P39" s="134">
        <f t="shared" si="9"/>
        <v>4518602.3447711328</v>
      </c>
      <c r="Q39" s="134">
        <f t="shared" si="9"/>
        <v>4378472.1809883127</v>
      </c>
      <c r="R39" s="134">
        <f t="shared" si="9"/>
        <v>4238342.0172054917</v>
      </c>
      <c r="S39" s="134">
        <f t="shared" si="9"/>
        <v>4098211.8534226711</v>
      </c>
      <c r="T39" s="134">
        <f t="shared" si="9"/>
        <v>3958081.6896398505</v>
      </c>
      <c r="U39" s="134">
        <f t="shared" si="9"/>
        <v>3817951.5258570304</v>
      </c>
      <c r="V39" s="134">
        <f t="shared" si="9"/>
        <v>3677821.3620742098</v>
      </c>
      <c r="W39" s="134">
        <f t="shared" si="9"/>
        <v>3537691.1982913897</v>
      </c>
      <c r="X39" s="134">
        <f t="shared" si="9"/>
        <v>3397561.0345085692</v>
      </c>
      <c r="Y39" s="134">
        <f t="shared" si="9"/>
        <v>3268719.2409258373</v>
      </c>
      <c r="Z39" s="134">
        <f t="shared" si="9"/>
        <v>3162449.1279628254</v>
      </c>
      <c r="AA39" s="134">
        <f t="shared" si="9"/>
        <v>3067467.3851999026</v>
      </c>
      <c r="AB39" s="134">
        <f t="shared" si="9"/>
        <v>2972485.6424369798</v>
      </c>
      <c r="AC39" s="134">
        <f t="shared" si="9"/>
        <v>2877503.8996740561</v>
      </c>
      <c r="AD39" s="134">
        <f t="shared" si="9"/>
        <v>2782522.1569111333</v>
      </c>
      <c r="AE39" s="134">
        <f t="shared" si="9"/>
        <v>2687540.4141482105</v>
      </c>
      <c r="AF39" s="134">
        <f t="shared" si="9"/>
        <v>2592558.6713852873</v>
      </c>
      <c r="AG39" s="134">
        <f t="shared" si="9"/>
        <v>2497576.9286223645</v>
      </c>
      <c r="AH39" s="134">
        <f t="shared" si="9"/>
        <v>2402595.1858594408</v>
      </c>
      <c r="AI39" s="134">
        <f t="shared" si="9"/>
        <v>2307613.4430965171</v>
      </c>
      <c r="AJ39" s="134">
        <f t="shared" si="9"/>
        <v>2212631.7003335943</v>
      </c>
      <c r="AK39" s="134">
        <f t="shared" si="9"/>
        <v>2117649.9575706706</v>
      </c>
      <c r="AL39" s="134">
        <f t="shared" si="9"/>
        <v>2022668.2148077467</v>
      </c>
      <c r="AM39" s="134">
        <f t="shared" si="9"/>
        <v>1927686.4720448235</v>
      </c>
      <c r="AN39" s="134">
        <f t="shared" si="9"/>
        <v>1832704.7292819005</v>
      </c>
      <c r="AO39" s="134">
        <f t="shared" si="9"/>
        <v>1737722.9865189767</v>
      </c>
      <c r="AP39" s="134">
        <f t="shared" si="9"/>
        <v>1642741.2437560535</v>
      </c>
      <c r="AQ39" s="134">
        <f t="shared" si="9"/>
        <v>1547759.50099313</v>
      </c>
      <c r="AR39" s="134">
        <f t="shared" si="9"/>
        <v>1364843.816233272</v>
      </c>
      <c r="AS39" s="134">
        <f t="shared" si="9"/>
        <v>13798.643744619212</v>
      </c>
      <c r="AT39" s="134">
        <f t="shared" si="9"/>
        <v>13798.643744619212</v>
      </c>
      <c r="AU39" s="140">
        <f t="shared" si="3"/>
        <v>141919547.70691592</v>
      </c>
    </row>
    <row r="40" spans="1:47" x14ac:dyDescent="0.25">
      <c r="A40" s="308">
        <f t="shared" ref="A40:A66" si="10">A39+1</f>
        <v>10</v>
      </c>
      <c r="B40" s="25"/>
      <c r="C40" s="25"/>
      <c r="D40" s="315"/>
      <c r="E40" s="6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40">
        <f t="shared" si="3"/>
        <v>0</v>
      </c>
    </row>
    <row r="41" spans="1:47" x14ac:dyDescent="0.25">
      <c r="A41" s="308">
        <f t="shared" si="10"/>
        <v>11</v>
      </c>
      <c r="B41" s="25"/>
      <c r="C41" s="25"/>
      <c r="D41" s="315"/>
      <c r="E41" s="61"/>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40">
        <f t="shared" si="3"/>
        <v>0</v>
      </c>
    </row>
    <row r="42" spans="1:47" x14ac:dyDescent="0.25">
      <c r="A42" s="308">
        <f t="shared" si="10"/>
        <v>12</v>
      </c>
      <c r="B42" s="25" t="s">
        <v>210</v>
      </c>
      <c r="C42" s="25"/>
      <c r="D42" s="315"/>
      <c r="E42" s="63">
        <f>E39</f>
        <v>6150047.6407163478</v>
      </c>
      <c r="F42" s="135">
        <f>F39</f>
        <v>5999565.1661180267</v>
      </c>
      <c r="G42" s="135">
        <f t="shared" ref="G42:AT42" si="11">G39</f>
        <v>5834272.7141213836</v>
      </c>
      <c r="H42" s="135">
        <f t="shared" si="11"/>
        <v>5674252.5533611765</v>
      </c>
      <c r="I42" s="135">
        <f t="shared" si="11"/>
        <v>5519110.0209617428</v>
      </c>
      <c r="J42" s="135">
        <f t="shared" si="11"/>
        <v>5368480.8127301633</v>
      </c>
      <c r="K42" s="135">
        <f t="shared" si="11"/>
        <v>5222025.9233757993</v>
      </c>
      <c r="L42" s="135">
        <f t="shared" si="11"/>
        <v>5079431.6465103058</v>
      </c>
      <c r="M42" s="135">
        <f t="shared" si="11"/>
        <v>4938992.836119595</v>
      </c>
      <c r="N42" s="135">
        <f t="shared" si="11"/>
        <v>4798862.6723367739</v>
      </c>
      <c r="O42" s="135">
        <f t="shared" si="11"/>
        <v>4658732.5085539529</v>
      </c>
      <c r="P42" s="135">
        <f t="shared" si="11"/>
        <v>4518602.3447711328</v>
      </c>
      <c r="Q42" s="135">
        <f t="shared" si="11"/>
        <v>4378472.1809883127</v>
      </c>
      <c r="R42" s="135">
        <f t="shared" si="11"/>
        <v>4238342.0172054917</v>
      </c>
      <c r="S42" s="135">
        <f t="shared" si="11"/>
        <v>4098211.8534226711</v>
      </c>
      <c r="T42" s="135">
        <f t="shared" si="11"/>
        <v>3958081.6896398505</v>
      </c>
      <c r="U42" s="135">
        <f t="shared" si="11"/>
        <v>3817951.5258570304</v>
      </c>
      <c r="V42" s="135">
        <f t="shared" si="11"/>
        <v>3677821.3620742098</v>
      </c>
      <c r="W42" s="135">
        <f t="shared" si="11"/>
        <v>3537691.1982913897</v>
      </c>
      <c r="X42" s="135">
        <f t="shared" si="11"/>
        <v>3397561.0345085692</v>
      </c>
      <c r="Y42" s="135">
        <f t="shared" si="11"/>
        <v>3268719.2409258373</v>
      </c>
      <c r="Z42" s="135">
        <f t="shared" si="11"/>
        <v>3162449.1279628254</v>
      </c>
      <c r="AA42" s="135">
        <f t="shared" si="11"/>
        <v>3067467.3851999026</v>
      </c>
      <c r="AB42" s="135">
        <f t="shared" si="11"/>
        <v>2972485.6424369798</v>
      </c>
      <c r="AC42" s="135">
        <f t="shared" si="11"/>
        <v>2877503.8996740561</v>
      </c>
      <c r="AD42" s="135">
        <f t="shared" si="11"/>
        <v>2782522.1569111333</v>
      </c>
      <c r="AE42" s="135">
        <f t="shared" si="11"/>
        <v>2687540.4141482105</v>
      </c>
      <c r="AF42" s="135">
        <f t="shared" si="11"/>
        <v>2592558.6713852873</v>
      </c>
      <c r="AG42" s="135">
        <f t="shared" si="11"/>
        <v>2497576.9286223645</v>
      </c>
      <c r="AH42" s="135">
        <f t="shared" si="11"/>
        <v>2402595.1858594408</v>
      </c>
      <c r="AI42" s="135">
        <f t="shared" si="11"/>
        <v>2307613.4430965171</v>
      </c>
      <c r="AJ42" s="135">
        <f t="shared" si="11"/>
        <v>2212631.7003335943</v>
      </c>
      <c r="AK42" s="135">
        <f t="shared" si="11"/>
        <v>2117649.9575706706</v>
      </c>
      <c r="AL42" s="135">
        <f t="shared" si="11"/>
        <v>2022668.2148077467</v>
      </c>
      <c r="AM42" s="135">
        <f t="shared" si="11"/>
        <v>1927686.4720448235</v>
      </c>
      <c r="AN42" s="135">
        <f t="shared" si="11"/>
        <v>1832704.7292819005</v>
      </c>
      <c r="AO42" s="135">
        <f t="shared" si="11"/>
        <v>1737722.9865189767</v>
      </c>
      <c r="AP42" s="135">
        <f t="shared" si="11"/>
        <v>1642741.2437560535</v>
      </c>
      <c r="AQ42" s="135">
        <f t="shared" si="11"/>
        <v>1547759.50099313</v>
      </c>
      <c r="AR42" s="135">
        <f t="shared" si="11"/>
        <v>1364843.816233272</v>
      </c>
      <c r="AS42" s="135">
        <f t="shared" si="11"/>
        <v>13798.643744619212</v>
      </c>
      <c r="AT42" s="135">
        <f t="shared" si="11"/>
        <v>13798.643744619212</v>
      </c>
      <c r="AU42" s="140">
        <f t="shared" si="3"/>
        <v>141919547.70691592</v>
      </c>
    </row>
    <row r="43" spans="1:47" x14ac:dyDescent="0.25">
      <c r="A43" s="308">
        <f t="shared" si="10"/>
        <v>13</v>
      </c>
      <c r="B43" s="25"/>
      <c r="C43" s="25"/>
      <c r="D43" s="315"/>
      <c r="E43" s="116"/>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row>
    <row r="44" spans="1:47" outlineLevel="1" x14ac:dyDescent="0.25">
      <c r="A44" s="308">
        <f t="shared" si="10"/>
        <v>14</v>
      </c>
      <c r="B44" s="25"/>
      <c r="C44" s="25"/>
      <c r="D44" s="315"/>
      <c r="E44" s="66"/>
      <c r="F44" s="315"/>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row>
    <row r="45" spans="1:47" outlineLevel="1" x14ac:dyDescent="0.25">
      <c r="A45" s="308">
        <f t="shared" si="10"/>
        <v>15</v>
      </c>
      <c r="B45" s="25" t="s">
        <v>63</v>
      </c>
      <c r="C45" s="315"/>
      <c r="D45" s="315"/>
      <c r="E45" s="68">
        <f>+E42/$F$22</f>
        <v>0.11501200274320435</v>
      </c>
      <c r="F45" s="136">
        <f t="shared" ref="F45:AT45" si="12">+F42/$F$22</f>
        <v>0.11219783092009139</v>
      </c>
      <c r="G45" s="136">
        <f t="shared" si="12"/>
        <v>0.109106697801608</v>
      </c>
      <c r="H45" s="136">
        <f t="shared" si="12"/>
        <v>0.1061141617688014</v>
      </c>
      <c r="I45" s="136">
        <f t="shared" si="12"/>
        <v>0.10321284223368427</v>
      </c>
      <c r="J45" s="136">
        <f t="shared" si="12"/>
        <v>0.10039592634580682</v>
      </c>
      <c r="K45" s="136">
        <f t="shared" si="12"/>
        <v>9.7657074369333699E-2</v>
      </c>
      <c r="L45" s="136">
        <f t="shared" si="12"/>
        <v>9.4990419683044294E-2</v>
      </c>
      <c r="M45" s="136">
        <f t="shared" si="12"/>
        <v>9.2364074361916432E-2</v>
      </c>
      <c r="N45" s="136">
        <f t="shared" si="12"/>
        <v>8.9743501039086335E-2</v>
      </c>
      <c r="O45" s="136">
        <f t="shared" si="12"/>
        <v>8.7122927716256224E-2</v>
      </c>
      <c r="P45" s="136">
        <f t="shared" si="12"/>
        <v>8.4502354393426141E-2</v>
      </c>
      <c r="Q45" s="136">
        <f t="shared" si="12"/>
        <v>8.1881781070596044E-2</v>
      </c>
      <c r="R45" s="136">
        <f t="shared" si="12"/>
        <v>7.9261207747765947E-2</v>
      </c>
      <c r="S45" s="136">
        <f t="shared" si="12"/>
        <v>7.664063442493585E-2</v>
      </c>
      <c r="T45" s="136">
        <f t="shared" si="12"/>
        <v>7.4020061102105753E-2</v>
      </c>
      <c r="U45" s="136">
        <f t="shared" si="12"/>
        <v>7.1399487779275669E-2</v>
      </c>
      <c r="V45" s="136">
        <f t="shared" si="12"/>
        <v>6.8778914456445572E-2</v>
      </c>
      <c r="W45" s="136">
        <f t="shared" si="12"/>
        <v>6.6158341133615475E-2</v>
      </c>
      <c r="X45" s="136">
        <f t="shared" si="12"/>
        <v>6.3537767810785378E-2</v>
      </c>
      <c r="Y45" s="136">
        <f t="shared" si="12"/>
        <v>6.1128298228977314E-2</v>
      </c>
      <c r="Z45" s="136">
        <f t="shared" si="12"/>
        <v>5.914094150629038E-2</v>
      </c>
      <c r="AA45" s="136">
        <f t="shared" si="12"/>
        <v>5.7364688524625479E-2</v>
      </c>
      <c r="AB45" s="136">
        <f t="shared" si="12"/>
        <v>5.5588435542960578E-2</v>
      </c>
      <c r="AC45" s="136">
        <f t="shared" si="12"/>
        <v>5.3812182561295656E-2</v>
      </c>
      <c r="AD45" s="136">
        <f t="shared" si="12"/>
        <v>5.2035929579630755E-2</v>
      </c>
      <c r="AE45" s="136">
        <f t="shared" si="12"/>
        <v>5.0259676597965854E-2</v>
      </c>
      <c r="AF45" s="136">
        <f t="shared" si="12"/>
        <v>4.8483423616300945E-2</v>
      </c>
      <c r="AG45" s="136">
        <f t="shared" si="12"/>
        <v>4.6707170634636044E-2</v>
      </c>
      <c r="AH45" s="136">
        <f t="shared" si="12"/>
        <v>4.4930917652971122E-2</v>
      </c>
      <c r="AI45" s="136">
        <f t="shared" si="12"/>
        <v>4.3154664671306207E-2</v>
      </c>
      <c r="AJ45" s="136">
        <f t="shared" si="12"/>
        <v>4.1378411689641306E-2</v>
      </c>
      <c r="AK45" s="136">
        <f t="shared" si="12"/>
        <v>3.9602158707976384E-2</v>
      </c>
      <c r="AL45" s="136">
        <f t="shared" si="12"/>
        <v>3.7825905726311462E-2</v>
      </c>
      <c r="AM45" s="136">
        <f t="shared" si="12"/>
        <v>3.6049652744646554E-2</v>
      </c>
      <c r="AN45" s="136">
        <f t="shared" si="12"/>
        <v>3.4273399762981646E-2</v>
      </c>
      <c r="AO45" s="136">
        <f t="shared" si="12"/>
        <v>3.2497146781316731E-2</v>
      </c>
      <c r="AP45" s="136">
        <f t="shared" si="12"/>
        <v>3.072089379965182E-2</v>
      </c>
      <c r="AQ45" s="136">
        <f t="shared" si="12"/>
        <v>2.8944640817986905E-2</v>
      </c>
      <c r="AR45" s="136">
        <f t="shared" si="12"/>
        <v>2.5523935733021825E-2</v>
      </c>
      <c r="AS45" s="136">
        <f t="shared" si="12"/>
        <v>2.5804835099192696E-4</v>
      </c>
      <c r="AT45" s="136">
        <f t="shared" si="12"/>
        <v>2.5804835099192696E-4</v>
      </c>
    </row>
    <row r="46" spans="1:47" outlineLevel="1" x14ac:dyDescent="0.25">
      <c r="A46" s="308">
        <f t="shared" si="10"/>
        <v>16</v>
      </c>
      <c r="B46" s="25"/>
      <c r="C46" s="25"/>
      <c r="D46" s="315"/>
      <c r="E46" s="66"/>
      <c r="F46" s="315"/>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row>
    <row r="47" spans="1:47" outlineLevel="1" x14ac:dyDescent="0.25">
      <c r="A47" s="308">
        <f t="shared" si="10"/>
        <v>17</v>
      </c>
      <c r="B47" s="25"/>
      <c r="C47" s="25"/>
      <c r="D47" s="315"/>
      <c r="E47" s="66">
        <f>+E27/2</f>
        <v>667077.03032488609</v>
      </c>
      <c r="F47" s="134"/>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row>
    <row r="48" spans="1:47" outlineLevel="1" x14ac:dyDescent="0.25">
      <c r="A48" s="308">
        <f t="shared" si="10"/>
        <v>18</v>
      </c>
      <c r="B48" s="25"/>
      <c r="C48" s="25"/>
      <c r="D48" s="315"/>
      <c r="E48" s="66">
        <f>+E60/2</f>
        <v>70464.131493024048</v>
      </c>
      <c r="F48" s="134"/>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row>
    <row r="49" spans="1:47" x14ac:dyDescent="0.25">
      <c r="A49" s="308">
        <f t="shared" si="10"/>
        <v>19</v>
      </c>
      <c r="B49" s="69" t="s">
        <v>64</v>
      </c>
      <c r="C49" s="25"/>
      <c r="D49" s="315"/>
      <c r="E49" s="64">
        <f>F22-E27/2-E60/2</f>
        <v>52735552.898182124</v>
      </c>
      <c r="F49" s="152">
        <f>$F$22-(SUM($E$27:E27)+F27/2)-(SUM($E$60:E60)+F60/2)</f>
        <v>51065697.503087454</v>
      </c>
      <c r="G49" s="152">
        <f>$F$22-(SUM($E$27:F27)+G27/2)-(SUM($E$60:F60)+G60/2)</f>
        <v>49231500.574363485</v>
      </c>
      <c r="H49" s="152">
        <f>$F$22-(SUM($E$27:G27)+H27/2)-(SUM($E$60:G60)+H60/2)</f>
        <v>47455808.557850562</v>
      </c>
      <c r="I49" s="152">
        <f>$F$22-(SUM($E$27:H27)+I27/2)-(SUM($E$60:H60)+I60/2)</f>
        <v>45734242.007145174</v>
      </c>
      <c r="J49" s="152">
        <f>$F$22-(SUM($E$27:I27)+J27/2)-(SUM($E$60:I60)+J60/2)</f>
        <v>44062758.356336385</v>
      </c>
      <c r="K49" s="152">
        <f>$F$22-(SUM($E$27:J27)+K27/2)-(SUM($E$60:J60)+K60/2)</f>
        <v>42437595.773257062</v>
      </c>
      <c r="L49" s="152">
        <f>$F$22-(SUM($E$27:K27)+L27/2)-(SUM($E$60:K60)+L60/2)</f>
        <v>40855273.15948391</v>
      </c>
      <c r="M49" s="152">
        <f>$F$22-(SUM($E$27:L27)+M27/2)-(SUM($E$60:L60)+M60/2)</f>
        <v>39296869.060683802</v>
      </c>
      <c r="N49" s="152">
        <f>$F$22-(SUM($E$27:M27)+N27/2)-(SUM($E$60:M60)+N60/2)</f>
        <v>37741889.91355823</v>
      </c>
      <c r="O49" s="152">
        <f>$F$22-(SUM($E$27:N27)+O27/2)-(SUM($E$60:N60)+O60/2)</f>
        <v>36186910.766432665</v>
      </c>
      <c r="P49" s="152">
        <f>$F$22-(SUM($E$27:O27)+P27/2)-(SUM($E$60:O60)+P60/2)</f>
        <v>34631931.619307093</v>
      </c>
      <c r="Q49" s="152">
        <f>$F$22-(SUM($E$27:P27)+Q27/2)-(SUM($E$60:P60)+Q60/2)</f>
        <v>33076952.472181525</v>
      </c>
      <c r="R49" s="152">
        <f>$F$22-(SUM($E$27:Q27)+R27/2)-(SUM($E$60:Q60)+R60/2)</f>
        <v>31521973.325055953</v>
      </c>
      <c r="S49" s="152">
        <f>$F$22-(SUM($E$27:R27)+S27/2)-(SUM($E$60:R60)+S60/2)</f>
        <v>29966994.177930381</v>
      </c>
      <c r="T49" s="152">
        <f>$F$22-(SUM($E$27:S27)+T27/2)-(SUM($E$60:S60)+T60/2)</f>
        <v>28412015.030804817</v>
      </c>
      <c r="U49" s="152">
        <f>$F$22-(SUM($E$27:T27)+U27/2)-(SUM($E$60:T60)+U60/2)</f>
        <v>26857035.883679248</v>
      </c>
      <c r="V49" s="152">
        <f>$F$22-(SUM($E$27:U27)+V27/2)-(SUM($E$60:U60)+V60/2)</f>
        <v>25302056.73655368</v>
      </c>
      <c r="W49" s="152">
        <f>$F$22-(SUM($E$27:V27)+W27/2)-(SUM($E$60:V60)+W60/2)</f>
        <v>23747077.589428112</v>
      </c>
      <c r="X49" s="152">
        <f>$F$22-(SUM($E$27:W27)+X27/2)-(SUM($E$60:W60)+X60/2)</f>
        <v>22192098.442302544</v>
      </c>
      <c r="Y49" s="152">
        <f>$F$22-(SUM($E$27:X27)+Y27/2)-(SUM($E$60:X60)+Y60/2)</f>
        <v>20762382.691667229</v>
      </c>
      <c r="Z49" s="152">
        <f>$F$22-(SUM($E$27:Y27)+Z27/2)-(SUM($E$60:Y60)+Z60/2)</f>
        <v>19583137.587263655</v>
      </c>
      <c r="AA49" s="152">
        <f>$F$22-(SUM($E$27:Z27)+AA27/2)-(SUM($E$60:Z60)+AA60/2)</f>
        <v>18529155.879350334</v>
      </c>
      <c r="AB49" s="152">
        <f>$F$22-(SUM($E$27:AA27)+AB27/2)-(SUM($E$60:AA60)+AB60/2)</f>
        <v>17475174.171437018</v>
      </c>
      <c r="AC49" s="152">
        <f>$F$22-(SUM($E$27:AB27)+AC27/2)-(SUM($E$60:AB60)+AC60/2)</f>
        <v>16421192.463523697</v>
      </c>
      <c r="AD49" s="152">
        <f>$F$22-(SUM($E$27:AC27)+AD27/2)-(SUM($E$60:AC60)+AD60/2)</f>
        <v>15367210.75561038</v>
      </c>
      <c r="AE49" s="152">
        <f>$F$22-(SUM($E$27:AD27)+AE27/2)-(SUM($E$60:AD60)+AE60/2)</f>
        <v>14313229.047697064</v>
      </c>
      <c r="AF49" s="152">
        <f>$F$22-(SUM($E$27:AE27)+AF27/2)-(SUM($E$60:AE60)+AF60/2)</f>
        <v>13259247.339783741</v>
      </c>
      <c r="AG49" s="152">
        <f>$F$22-(SUM($E$27:AF27)+AG27/2)-(SUM($E$60:AF60)+AG60/2)</f>
        <v>12205265.631870419</v>
      </c>
      <c r="AH49" s="152">
        <f>$F$22-(SUM($E$27:AG27)+AH27/2)-(SUM($E$60:AG60)+AH60/2)</f>
        <v>11151283.923957095</v>
      </c>
      <c r="AI49" s="152">
        <f>$F$22-(SUM($E$27:AH27)+AI27/2)-(SUM($E$60:AH60)+AI60/2)</f>
        <v>10097302.216043772</v>
      </c>
      <c r="AJ49" s="152">
        <f>$F$22-(SUM($E$27:AI27)+AJ27/2)-(SUM($E$60:AI60)+AJ60/2)</f>
        <v>9043320.5081304498</v>
      </c>
      <c r="AK49" s="152">
        <f>$F$22-(SUM($E$27:AJ27)+AK27/2)-(SUM($E$60:AJ60)+AK60/2)</f>
        <v>7989338.8002171265</v>
      </c>
      <c r="AL49" s="152">
        <f>$F$22-(SUM($E$27:AK27)+AL27/2)-(SUM($E$60:AK60)+AL60/2)</f>
        <v>6935357.0923038041</v>
      </c>
      <c r="AM49" s="152">
        <f>$F$22-(SUM($E$27:AL27)+AM27/2)-(SUM($E$60:AL60)+AM60/2)</f>
        <v>5881375.3843904808</v>
      </c>
      <c r="AN49" s="152">
        <f>$F$22-(SUM($E$27:AM27)+AN27/2)-(SUM($E$60:AM60)+AN60/2)</f>
        <v>4827393.6764771584</v>
      </c>
      <c r="AO49" s="152">
        <f>$F$22-(SUM($E$27:AN27)+AO27/2)-(SUM($E$60:AN60)+AO60/2)</f>
        <v>3773411.9685638351</v>
      </c>
      <c r="AP49" s="152">
        <f>$F$22-(SUM($E$27:AO27)+AP27/2)-(SUM($E$60:AO60)+AP60/2)</f>
        <v>2719430.2606505128</v>
      </c>
      <c r="AQ49" s="152">
        <f>$F$22-(SUM($E$27:AP27)+AQ27/2)-(SUM($E$60:AP60)+AQ60/2)</f>
        <v>1665448.5527371897</v>
      </c>
      <c r="AR49" s="152">
        <f>$F$22-(SUM($E$27:AQ27)+AR27/2)-(SUM($E$60:AQ60)+AR60/2)</f>
        <v>645788.3948238669</v>
      </c>
      <c r="AS49" s="152">
        <f>$F$22-(SUM($E$27:AR27)+AS27/2)-(SUM($E$60:AR60)+AS60/2)</f>
        <v>153119.09086720171</v>
      </c>
      <c r="AT49" s="152">
        <f>$F$22-(SUM($E$27:AR27)+AT27/2)-(SUM($E$60:AR60)+AT60/2)</f>
        <v>153119.09086720171</v>
      </c>
      <c r="AU49" s="140"/>
    </row>
    <row r="50" spans="1:47" x14ac:dyDescent="0.25">
      <c r="A50" s="308">
        <f t="shared" si="10"/>
        <v>20</v>
      </c>
      <c r="B50" s="25"/>
      <c r="C50" s="25"/>
      <c r="D50" s="315"/>
      <c r="E50" s="118"/>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40">
        <f t="shared" ref="AU50:AU60" si="13">SUM(D50:AT50)</f>
        <v>0</v>
      </c>
    </row>
    <row r="51" spans="1:47" x14ac:dyDescent="0.25">
      <c r="A51" s="308">
        <f t="shared" si="10"/>
        <v>21</v>
      </c>
      <c r="B51" s="25"/>
      <c r="C51" s="25"/>
      <c r="D51" s="315"/>
      <c r="E51" s="61"/>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40">
        <f t="shared" si="13"/>
        <v>0</v>
      </c>
    </row>
    <row r="52" spans="1:47" x14ac:dyDescent="0.25">
      <c r="A52" s="308">
        <f t="shared" si="10"/>
        <v>22</v>
      </c>
      <c r="B52" s="25" t="s">
        <v>65</v>
      </c>
      <c r="C52" s="25"/>
      <c r="D52" s="315"/>
      <c r="E52" s="61">
        <f>(E34)/(1-$F$15)</f>
        <v>3043976.2179203862</v>
      </c>
      <c r="F52" s="137">
        <f t="shared" ref="F52:AT52" si="14">(F34)/(1-$F$15)</f>
        <v>2947589.6280263136</v>
      </c>
      <c r="G52" s="137">
        <f t="shared" si="14"/>
        <v>2841716.9951784494</v>
      </c>
      <c r="H52" s="137">
        <f t="shared" si="14"/>
        <v>2739221.3547316273</v>
      </c>
      <c r="I52" s="137">
        <f t="shared" si="14"/>
        <v>2639849.9183871136</v>
      </c>
      <c r="J52" s="137">
        <f t="shared" si="14"/>
        <v>2543369.3430999229</v>
      </c>
      <c r="K52" s="137">
        <f t="shared" si="14"/>
        <v>2449562.4902031925</v>
      </c>
      <c r="L52" s="137">
        <f t="shared" si="14"/>
        <v>2358228.4254081855</v>
      </c>
      <c r="M52" s="137">
        <f t="shared" si="14"/>
        <v>2268274.9736293438</v>
      </c>
      <c r="N52" s="137">
        <f t="shared" si="14"/>
        <v>2178519.2152636144</v>
      </c>
      <c r="O52" s="137">
        <f t="shared" si="14"/>
        <v>2088763.4568978855</v>
      </c>
      <c r="P52" s="137">
        <f t="shared" si="14"/>
        <v>1999007.6985321564</v>
      </c>
      <c r="Q52" s="137">
        <f t="shared" si="14"/>
        <v>1909251.9401664273</v>
      </c>
      <c r="R52" s="137">
        <f t="shared" si="14"/>
        <v>1819496.1818006979</v>
      </c>
      <c r="S52" s="137">
        <f t="shared" si="14"/>
        <v>1729740.4234349688</v>
      </c>
      <c r="T52" s="137">
        <f t="shared" si="14"/>
        <v>1639984.6650692401</v>
      </c>
      <c r="U52" s="137">
        <f t="shared" si="14"/>
        <v>1550228.906703511</v>
      </c>
      <c r="V52" s="137">
        <f t="shared" si="14"/>
        <v>1460473.1483377819</v>
      </c>
      <c r="W52" s="137">
        <f t="shared" si="14"/>
        <v>1370717.3899720532</v>
      </c>
      <c r="X52" s="137">
        <f t="shared" si="14"/>
        <v>1280961.6316063241</v>
      </c>
      <c r="Y52" s="137">
        <f t="shared" si="14"/>
        <v>1198436.2667595262</v>
      </c>
      <c r="Z52" s="137">
        <f t="shared" si="14"/>
        <v>1130368.4480749653</v>
      </c>
      <c r="AA52" s="137">
        <f t="shared" si="14"/>
        <v>1069531.0229093358</v>
      </c>
      <c r="AB52" s="137">
        <f t="shared" si="14"/>
        <v>1008693.5977437063</v>
      </c>
      <c r="AC52" s="137">
        <f t="shared" si="14"/>
        <v>947856.17257807672</v>
      </c>
      <c r="AD52" s="137">
        <f t="shared" si="14"/>
        <v>887018.74741244724</v>
      </c>
      <c r="AE52" s="137">
        <f t="shared" si="14"/>
        <v>826181.32224681787</v>
      </c>
      <c r="AF52" s="137">
        <f t="shared" si="14"/>
        <v>765343.89708118816</v>
      </c>
      <c r="AG52" s="137">
        <f t="shared" si="14"/>
        <v>704506.47191555833</v>
      </c>
      <c r="AH52" s="137">
        <f t="shared" si="14"/>
        <v>643669.0467499285</v>
      </c>
      <c r="AI52" s="137">
        <f t="shared" si="14"/>
        <v>582831.62158429879</v>
      </c>
      <c r="AJ52" s="137">
        <f t="shared" si="14"/>
        <v>521994.19641866902</v>
      </c>
      <c r="AK52" s="137">
        <f t="shared" si="14"/>
        <v>461156.77125303919</v>
      </c>
      <c r="AL52" s="137">
        <f t="shared" si="14"/>
        <v>400319.34608740942</v>
      </c>
      <c r="AM52" s="137">
        <f t="shared" si="14"/>
        <v>339481.92092177965</v>
      </c>
      <c r="AN52" s="137">
        <f t="shared" si="14"/>
        <v>278644.49575614993</v>
      </c>
      <c r="AO52" s="137">
        <f t="shared" si="14"/>
        <v>217807.0705905201</v>
      </c>
      <c r="AP52" s="137">
        <f t="shared" si="14"/>
        <v>156969.64542489036</v>
      </c>
      <c r="AQ52" s="137">
        <f t="shared" si="14"/>
        <v>96132.220259260575</v>
      </c>
      <c r="AR52" s="137">
        <f t="shared" si="14"/>
        <v>37275.887093630801</v>
      </c>
      <c r="AS52" s="137">
        <f t="shared" si="14"/>
        <v>8838.2665108156943</v>
      </c>
      <c r="AT52" s="137">
        <f t="shared" si="14"/>
        <v>8838.2665108156943</v>
      </c>
      <c r="AU52" s="140"/>
    </row>
    <row r="53" spans="1:47" x14ac:dyDescent="0.25">
      <c r="A53" s="308">
        <f t="shared" si="10"/>
        <v>23</v>
      </c>
      <c r="B53" s="25" t="s">
        <v>66</v>
      </c>
      <c r="C53" s="25"/>
      <c r="D53" s="315"/>
      <c r="E53" s="63">
        <f t="shared" ref="E53:AT53" si="15">E52*$F15</f>
        <v>639235.00576328114</v>
      </c>
      <c r="F53" s="135">
        <f t="shared" si="15"/>
        <v>618993.82188552583</v>
      </c>
      <c r="G53" s="135">
        <f t="shared" si="15"/>
        <v>596760.56898747431</v>
      </c>
      <c r="H53" s="135">
        <f t="shared" si="15"/>
        <v>575236.48449364165</v>
      </c>
      <c r="I53" s="135">
        <f t="shared" si="15"/>
        <v>554368.48286129383</v>
      </c>
      <c r="J53" s="135">
        <f t="shared" si="15"/>
        <v>534107.56205098378</v>
      </c>
      <c r="K53" s="135">
        <f t="shared" si="15"/>
        <v>514408.12294267042</v>
      </c>
      <c r="L53" s="135">
        <f t="shared" si="15"/>
        <v>495227.96933571895</v>
      </c>
      <c r="M53" s="135">
        <f t="shared" si="15"/>
        <v>476337.7444621622</v>
      </c>
      <c r="N53" s="135">
        <f t="shared" si="15"/>
        <v>457489.03520535899</v>
      </c>
      <c r="O53" s="135">
        <f t="shared" si="15"/>
        <v>438640.32594855595</v>
      </c>
      <c r="P53" s="135">
        <f t="shared" si="15"/>
        <v>419791.6166917528</v>
      </c>
      <c r="Q53" s="135">
        <f t="shared" si="15"/>
        <v>400942.90743494971</v>
      </c>
      <c r="R53" s="135">
        <f t="shared" si="15"/>
        <v>382094.19817814656</v>
      </c>
      <c r="S53" s="135">
        <f t="shared" si="15"/>
        <v>363245.48892134341</v>
      </c>
      <c r="T53" s="135">
        <f t="shared" si="15"/>
        <v>344396.77966454043</v>
      </c>
      <c r="U53" s="135">
        <f t="shared" si="15"/>
        <v>325548.07040773728</v>
      </c>
      <c r="V53" s="135">
        <f t="shared" si="15"/>
        <v>306699.36115093419</v>
      </c>
      <c r="W53" s="135">
        <f t="shared" si="15"/>
        <v>287850.65189413115</v>
      </c>
      <c r="X53" s="135">
        <f t="shared" si="15"/>
        <v>269001.94263732806</v>
      </c>
      <c r="Y53" s="135">
        <f t="shared" si="15"/>
        <v>251671.61601950051</v>
      </c>
      <c r="Z53" s="135">
        <f t="shared" si="15"/>
        <v>237377.37409574271</v>
      </c>
      <c r="AA53" s="135">
        <f t="shared" si="15"/>
        <v>224601.51481096051</v>
      </c>
      <c r="AB53" s="135">
        <f t="shared" si="15"/>
        <v>211825.65552617831</v>
      </c>
      <c r="AC53" s="135">
        <f t="shared" si="15"/>
        <v>199049.79624139611</v>
      </c>
      <c r="AD53" s="135">
        <f t="shared" si="15"/>
        <v>186273.93695661391</v>
      </c>
      <c r="AE53" s="135">
        <f t="shared" si="15"/>
        <v>173498.07767183174</v>
      </c>
      <c r="AF53" s="135">
        <f t="shared" si="15"/>
        <v>160722.21838704951</v>
      </c>
      <c r="AG53" s="135">
        <f t="shared" si="15"/>
        <v>147946.35910226725</v>
      </c>
      <c r="AH53" s="135">
        <f t="shared" si="15"/>
        <v>135170.49981748499</v>
      </c>
      <c r="AI53" s="135">
        <f t="shared" si="15"/>
        <v>122394.64053270275</v>
      </c>
      <c r="AJ53" s="135">
        <f t="shared" si="15"/>
        <v>109618.78124792049</v>
      </c>
      <c r="AK53" s="135">
        <f t="shared" si="15"/>
        <v>96842.921963138229</v>
      </c>
      <c r="AL53" s="135">
        <f t="shared" si="15"/>
        <v>84067.062678355971</v>
      </c>
      <c r="AM53" s="135">
        <f t="shared" si="15"/>
        <v>71291.203393573727</v>
      </c>
      <c r="AN53" s="135">
        <f t="shared" si="15"/>
        <v>58515.344108791483</v>
      </c>
      <c r="AO53" s="135">
        <f t="shared" si="15"/>
        <v>45739.484824009218</v>
      </c>
      <c r="AP53" s="135">
        <f t="shared" si="15"/>
        <v>32963.625539226974</v>
      </c>
      <c r="AQ53" s="135">
        <f t="shared" si="15"/>
        <v>20187.766254444719</v>
      </c>
      <c r="AR53" s="135">
        <f t="shared" si="15"/>
        <v>7827.936289662468</v>
      </c>
      <c r="AS53" s="135">
        <f t="shared" si="15"/>
        <v>1856.0359672712957</v>
      </c>
      <c r="AT53" s="135">
        <f t="shared" si="15"/>
        <v>1856.0359672712957</v>
      </c>
      <c r="AU53" s="140"/>
    </row>
    <row r="54" spans="1:47" x14ac:dyDescent="0.25">
      <c r="A54" s="308">
        <f t="shared" si="10"/>
        <v>24</v>
      </c>
      <c r="B54" s="25" t="s">
        <v>67</v>
      </c>
      <c r="C54" s="25"/>
      <c r="D54" s="315"/>
      <c r="E54" s="61">
        <f>E52-E53</f>
        <v>2404741.2121571051</v>
      </c>
      <c r="F54" s="137">
        <f t="shared" ref="F54:AT54" si="16">F52-F53</f>
        <v>2328595.8061407879</v>
      </c>
      <c r="G54" s="137">
        <f t="shared" si="16"/>
        <v>2244956.4261909751</v>
      </c>
      <c r="H54" s="137">
        <f t="shared" si="16"/>
        <v>2163984.8702379856</v>
      </c>
      <c r="I54" s="137">
        <f t="shared" si="16"/>
        <v>2085481.4355258197</v>
      </c>
      <c r="J54" s="137">
        <f t="shared" si="16"/>
        <v>2009261.7810489391</v>
      </c>
      <c r="K54" s="137">
        <f t="shared" si="16"/>
        <v>1935154.367260522</v>
      </c>
      <c r="L54" s="137">
        <f t="shared" si="16"/>
        <v>1863000.4560724664</v>
      </c>
      <c r="M54" s="137">
        <f t="shared" si="16"/>
        <v>1791937.2291671815</v>
      </c>
      <c r="N54" s="137">
        <f t="shared" si="16"/>
        <v>1721030.1800582553</v>
      </c>
      <c r="O54" s="137">
        <f t="shared" si="16"/>
        <v>1650123.1309493296</v>
      </c>
      <c r="P54" s="137">
        <f t="shared" si="16"/>
        <v>1579216.0818404036</v>
      </c>
      <c r="Q54" s="137">
        <f t="shared" si="16"/>
        <v>1508309.0327314776</v>
      </c>
      <c r="R54" s="137">
        <f t="shared" si="16"/>
        <v>1437401.9836225514</v>
      </c>
      <c r="S54" s="137">
        <f t="shared" si="16"/>
        <v>1366494.9345136255</v>
      </c>
      <c r="T54" s="137">
        <f t="shared" si="16"/>
        <v>1295587.8854046997</v>
      </c>
      <c r="U54" s="137">
        <f t="shared" si="16"/>
        <v>1224680.8362957737</v>
      </c>
      <c r="V54" s="137">
        <f t="shared" si="16"/>
        <v>1153773.7871868478</v>
      </c>
      <c r="W54" s="137">
        <f t="shared" si="16"/>
        <v>1082866.738077922</v>
      </c>
      <c r="X54" s="137">
        <f t="shared" si="16"/>
        <v>1011959.6889689961</v>
      </c>
      <c r="Y54" s="137">
        <f t="shared" si="16"/>
        <v>946764.65074002568</v>
      </c>
      <c r="Z54" s="137">
        <f t="shared" si="16"/>
        <v>892991.07397922256</v>
      </c>
      <c r="AA54" s="137">
        <f t="shared" si="16"/>
        <v>844929.50809837529</v>
      </c>
      <c r="AB54" s="137">
        <f t="shared" si="16"/>
        <v>796867.94221752801</v>
      </c>
      <c r="AC54" s="137">
        <f t="shared" si="16"/>
        <v>748806.37633668061</v>
      </c>
      <c r="AD54" s="137">
        <f t="shared" si="16"/>
        <v>700744.81045583333</v>
      </c>
      <c r="AE54" s="137">
        <f t="shared" si="16"/>
        <v>652683.24457498617</v>
      </c>
      <c r="AF54" s="137">
        <f t="shared" si="16"/>
        <v>604621.67869413865</v>
      </c>
      <c r="AG54" s="137">
        <f t="shared" si="16"/>
        <v>556560.11281329114</v>
      </c>
      <c r="AH54" s="137">
        <f t="shared" si="16"/>
        <v>508498.54693244351</v>
      </c>
      <c r="AI54" s="137">
        <f t="shared" si="16"/>
        <v>460436.98105159606</v>
      </c>
      <c r="AJ54" s="137">
        <f t="shared" si="16"/>
        <v>412375.41517074854</v>
      </c>
      <c r="AK54" s="137">
        <f t="shared" si="16"/>
        <v>364313.84928990097</v>
      </c>
      <c r="AL54" s="137">
        <f t="shared" si="16"/>
        <v>316252.28340905346</v>
      </c>
      <c r="AM54" s="137">
        <f t="shared" si="16"/>
        <v>268190.71752820595</v>
      </c>
      <c r="AN54" s="137">
        <f t="shared" si="16"/>
        <v>220129.15164735843</v>
      </c>
      <c r="AO54" s="137">
        <f t="shared" si="16"/>
        <v>172067.58576651089</v>
      </c>
      <c r="AP54" s="137">
        <f t="shared" si="16"/>
        <v>124006.01988566338</v>
      </c>
      <c r="AQ54" s="137">
        <f t="shared" si="16"/>
        <v>75944.454004815852</v>
      </c>
      <c r="AR54" s="137">
        <f t="shared" si="16"/>
        <v>29447.950803968335</v>
      </c>
      <c r="AS54" s="137">
        <f t="shared" si="16"/>
        <v>6982.2305435443986</v>
      </c>
      <c r="AT54" s="137">
        <f t="shared" si="16"/>
        <v>6982.2305435443986</v>
      </c>
      <c r="AU54" s="140"/>
    </row>
    <row r="55" spans="1:47" x14ac:dyDescent="0.25">
      <c r="A55" s="308">
        <f t="shared" si="10"/>
        <v>25</v>
      </c>
      <c r="B55" s="25"/>
      <c r="C55" s="25"/>
      <c r="D55" s="315"/>
      <c r="E55" s="317"/>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140">
        <f t="shared" si="13"/>
        <v>0</v>
      </c>
    </row>
    <row r="56" spans="1:47" x14ac:dyDescent="0.25">
      <c r="A56" s="308">
        <f t="shared" si="10"/>
        <v>26</v>
      </c>
      <c r="B56" s="25"/>
      <c r="C56" s="25"/>
      <c r="D56" s="315"/>
      <c r="E56" s="118"/>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140">
        <f t="shared" si="13"/>
        <v>0</v>
      </c>
    </row>
    <row r="57" spans="1:47" x14ac:dyDescent="0.25">
      <c r="A57" s="308">
        <f t="shared" si="10"/>
        <v>27</v>
      </c>
      <c r="B57" s="25" t="s">
        <v>68</v>
      </c>
      <c r="C57" s="25"/>
      <c r="D57" s="315"/>
      <c r="E57" s="61">
        <f>E27+E28</f>
        <v>1334154.0606497722</v>
      </c>
      <c r="F57" s="137">
        <f>F27</f>
        <v>1334154.0606497722</v>
      </c>
      <c r="G57" s="137">
        <f>G27</f>
        <v>1334154.0606497722</v>
      </c>
      <c r="H57" s="137">
        <f t="shared" ref="H57:AT57" si="17">H27</f>
        <v>1334154.0606497722</v>
      </c>
      <c r="I57" s="137">
        <f t="shared" si="17"/>
        <v>1334154.0606497722</v>
      </c>
      <c r="J57" s="137">
        <f t="shared" si="17"/>
        <v>1334154.0606497722</v>
      </c>
      <c r="K57" s="137">
        <f t="shared" si="17"/>
        <v>1334154.0606497722</v>
      </c>
      <c r="L57" s="137">
        <f t="shared" si="17"/>
        <v>1334154.0606497722</v>
      </c>
      <c r="M57" s="137">
        <f t="shared" si="17"/>
        <v>1334154.0606497722</v>
      </c>
      <c r="N57" s="137">
        <f t="shared" si="17"/>
        <v>1334154.0606497722</v>
      </c>
      <c r="O57" s="137">
        <f t="shared" si="17"/>
        <v>1334154.0606497722</v>
      </c>
      <c r="P57" s="137">
        <f t="shared" si="17"/>
        <v>1334154.0606497722</v>
      </c>
      <c r="Q57" s="137">
        <f t="shared" si="17"/>
        <v>1334154.0606497722</v>
      </c>
      <c r="R57" s="137">
        <f t="shared" si="17"/>
        <v>1334154.0606497722</v>
      </c>
      <c r="S57" s="137">
        <f t="shared" si="17"/>
        <v>1334154.0606497722</v>
      </c>
      <c r="T57" s="137">
        <f t="shared" si="17"/>
        <v>1334154.0606497722</v>
      </c>
      <c r="U57" s="137">
        <f t="shared" si="17"/>
        <v>1334154.0606497722</v>
      </c>
      <c r="V57" s="137">
        <f t="shared" si="17"/>
        <v>1334154.0606497722</v>
      </c>
      <c r="W57" s="137">
        <f t="shared" si="17"/>
        <v>1334154.0606497722</v>
      </c>
      <c r="X57" s="137">
        <f t="shared" si="17"/>
        <v>1334154.0606497722</v>
      </c>
      <c r="Y57" s="137">
        <f t="shared" si="17"/>
        <v>1334154.0606497722</v>
      </c>
      <c r="Z57" s="137">
        <f t="shared" si="17"/>
        <v>1334154.0606497722</v>
      </c>
      <c r="AA57" s="137">
        <f t="shared" si="17"/>
        <v>1334154.0606497722</v>
      </c>
      <c r="AB57" s="137">
        <f t="shared" si="17"/>
        <v>1334154.0606497722</v>
      </c>
      <c r="AC57" s="137">
        <f t="shared" si="17"/>
        <v>1334154.0606497722</v>
      </c>
      <c r="AD57" s="137">
        <f t="shared" si="17"/>
        <v>1334154.0606497722</v>
      </c>
      <c r="AE57" s="137">
        <f t="shared" si="17"/>
        <v>1334154.0606497722</v>
      </c>
      <c r="AF57" s="137">
        <f t="shared" si="17"/>
        <v>1334154.0606497722</v>
      </c>
      <c r="AG57" s="137">
        <f t="shared" si="17"/>
        <v>1334154.0606497722</v>
      </c>
      <c r="AH57" s="137">
        <f t="shared" si="17"/>
        <v>1334154.0606497722</v>
      </c>
      <c r="AI57" s="137">
        <f t="shared" si="17"/>
        <v>1334154.0606497722</v>
      </c>
      <c r="AJ57" s="137">
        <f t="shared" si="17"/>
        <v>1334154.0606497722</v>
      </c>
      <c r="AK57" s="137">
        <f t="shared" si="17"/>
        <v>1334154.0606497722</v>
      </c>
      <c r="AL57" s="137">
        <f t="shared" si="17"/>
        <v>1334154.0606497722</v>
      </c>
      <c r="AM57" s="137">
        <f t="shared" si="17"/>
        <v>1334154.0606497722</v>
      </c>
      <c r="AN57" s="137">
        <f t="shared" si="17"/>
        <v>1334154.0606497722</v>
      </c>
      <c r="AO57" s="137">
        <f t="shared" si="17"/>
        <v>1334154.0606497722</v>
      </c>
      <c r="AP57" s="137">
        <f t="shared" si="17"/>
        <v>1334154.0606497722</v>
      </c>
      <c r="AQ57" s="137">
        <f t="shared" si="17"/>
        <v>1334154.0606497722</v>
      </c>
      <c r="AR57" s="137">
        <f t="shared" si="17"/>
        <v>1247264.0606497722</v>
      </c>
      <c r="AS57" s="137">
        <f t="shared" si="17"/>
        <v>0</v>
      </c>
      <c r="AT57" s="137">
        <f t="shared" si="17"/>
        <v>0</v>
      </c>
      <c r="AU57" s="140">
        <f t="shared" si="13"/>
        <v>53279272.425990909</v>
      </c>
    </row>
    <row r="58" spans="1:47" x14ac:dyDescent="0.25">
      <c r="A58" s="308">
        <f t="shared" si="10"/>
        <v>28</v>
      </c>
      <c r="B58" s="25" t="s">
        <v>69</v>
      </c>
      <c r="C58" s="25"/>
      <c r="D58" s="315"/>
      <c r="E58" s="61">
        <f>$F22*E62</f>
        <v>2005241.0272500012</v>
      </c>
      <c r="F58" s="137">
        <f t="shared" ref="F58:AT58" si="18">$F22*F62</f>
        <v>3860222.6601914028</v>
      </c>
      <c r="G58" s="137">
        <f t="shared" si="18"/>
        <v>3570398.490386202</v>
      </c>
      <c r="H58" s="137">
        <f t="shared" si="18"/>
        <v>3303033.0200862018</v>
      </c>
      <c r="I58" s="137">
        <f t="shared" si="18"/>
        <v>3054917.8636478018</v>
      </c>
      <c r="J58" s="137">
        <f t="shared" si="18"/>
        <v>2826053.0210710019</v>
      </c>
      <c r="K58" s="137">
        <f t="shared" si="18"/>
        <v>2613764.8376528015</v>
      </c>
      <c r="L58" s="137">
        <f t="shared" si="18"/>
        <v>2418053.3133932017</v>
      </c>
      <c r="M58" s="137">
        <f t="shared" si="18"/>
        <v>2385969.4569572015</v>
      </c>
      <c r="N58" s="137">
        <f t="shared" si="18"/>
        <v>2385434.7260166015</v>
      </c>
      <c r="O58" s="137">
        <f t="shared" si="18"/>
        <v>2385969.4569572015</v>
      </c>
      <c r="P58" s="137">
        <f t="shared" si="18"/>
        <v>2385434.7260166015</v>
      </c>
      <c r="Q58" s="137">
        <f t="shared" si="18"/>
        <v>2385969.4569572015</v>
      </c>
      <c r="R58" s="137">
        <f t="shared" si="18"/>
        <v>2385434.7260166015</v>
      </c>
      <c r="S58" s="137">
        <f t="shared" si="18"/>
        <v>2385969.4569572015</v>
      </c>
      <c r="T58" s="137">
        <f t="shared" si="18"/>
        <v>2385434.7260166015</v>
      </c>
      <c r="U58" s="137">
        <f t="shared" si="18"/>
        <v>2385969.4569572015</v>
      </c>
      <c r="V58" s="137">
        <f t="shared" si="18"/>
        <v>2385434.7260166015</v>
      </c>
      <c r="W58" s="137">
        <f t="shared" si="18"/>
        <v>2385969.4569572015</v>
      </c>
      <c r="X58" s="137">
        <f t="shared" si="18"/>
        <v>2385434.7260166015</v>
      </c>
      <c r="Y58" s="137">
        <f t="shared" si="18"/>
        <v>1192984.7284786007</v>
      </c>
      <c r="Z58" s="137">
        <f t="shared" si="18"/>
        <v>0</v>
      </c>
      <c r="AA58" s="137">
        <f t="shared" si="18"/>
        <v>0</v>
      </c>
      <c r="AB58" s="137">
        <f t="shared" si="18"/>
        <v>0</v>
      </c>
      <c r="AC58" s="137">
        <f t="shared" si="18"/>
        <v>0</v>
      </c>
      <c r="AD58" s="137">
        <f t="shared" si="18"/>
        <v>0</v>
      </c>
      <c r="AE58" s="137">
        <f t="shared" si="18"/>
        <v>0</v>
      </c>
      <c r="AF58" s="137">
        <f t="shared" si="18"/>
        <v>0</v>
      </c>
      <c r="AG58" s="137">
        <f t="shared" si="18"/>
        <v>0</v>
      </c>
      <c r="AH58" s="137">
        <f t="shared" si="18"/>
        <v>0</v>
      </c>
      <c r="AI58" s="137">
        <f t="shared" si="18"/>
        <v>0</v>
      </c>
      <c r="AJ58" s="137">
        <f t="shared" si="18"/>
        <v>0</v>
      </c>
      <c r="AK58" s="137">
        <f t="shared" si="18"/>
        <v>0</v>
      </c>
      <c r="AL58" s="137">
        <f t="shared" si="18"/>
        <v>0</v>
      </c>
      <c r="AM58" s="137">
        <f t="shared" si="18"/>
        <v>0</v>
      </c>
      <c r="AN58" s="137">
        <f t="shared" si="18"/>
        <v>0</v>
      </c>
      <c r="AO58" s="137">
        <f t="shared" si="18"/>
        <v>0</v>
      </c>
      <c r="AP58" s="137">
        <f t="shared" si="18"/>
        <v>0</v>
      </c>
      <c r="AQ58" s="137">
        <f t="shared" si="18"/>
        <v>0</v>
      </c>
      <c r="AR58" s="137">
        <f t="shared" si="18"/>
        <v>0</v>
      </c>
      <c r="AS58" s="137">
        <f t="shared" si="18"/>
        <v>0</v>
      </c>
      <c r="AT58" s="137">
        <f t="shared" si="18"/>
        <v>0</v>
      </c>
      <c r="AU58" s="140">
        <f t="shared" si="13"/>
        <v>53473094.060000032</v>
      </c>
    </row>
    <row r="59" spans="1:47" x14ac:dyDescent="0.25">
      <c r="A59" s="308">
        <f t="shared" si="10"/>
        <v>29</v>
      </c>
      <c r="B59" s="25" t="s">
        <v>70</v>
      </c>
      <c r="C59" s="25"/>
      <c r="D59" s="315"/>
      <c r="E59" s="61">
        <f>E58-E57</f>
        <v>671086.96660022903</v>
      </c>
      <c r="F59" s="137">
        <f>F58-F57</f>
        <v>2526068.5995416306</v>
      </c>
      <c r="G59" s="137">
        <f>G58-G57</f>
        <v>2236244.4297364298</v>
      </c>
      <c r="H59" s="137">
        <f t="shared" ref="H59:AT59" si="19">H58-H57</f>
        <v>1968878.9594364297</v>
      </c>
      <c r="I59" s="137">
        <f t="shared" si="19"/>
        <v>1720763.8029980296</v>
      </c>
      <c r="J59" s="137">
        <f t="shared" si="19"/>
        <v>1491898.9604212297</v>
      </c>
      <c r="K59" s="137">
        <f t="shared" si="19"/>
        <v>1279610.7770030294</v>
      </c>
      <c r="L59" s="137">
        <f t="shared" si="19"/>
        <v>1083899.2527434295</v>
      </c>
      <c r="M59" s="137">
        <f t="shared" si="19"/>
        <v>1051815.3963074293</v>
      </c>
      <c r="N59" s="137">
        <f t="shared" si="19"/>
        <v>1051280.6653668294</v>
      </c>
      <c r="O59" s="137">
        <f t="shared" si="19"/>
        <v>1051815.3963074293</v>
      </c>
      <c r="P59" s="137">
        <f t="shared" si="19"/>
        <v>1051280.6653668294</v>
      </c>
      <c r="Q59" s="137">
        <f t="shared" si="19"/>
        <v>1051815.3963074293</v>
      </c>
      <c r="R59" s="137">
        <f t="shared" si="19"/>
        <v>1051280.6653668294</v>
      </c>
      <c r="S59" s="137">
        <f t="shared" si="19"/>
        <v>1051815.3963074293</v>
      </c>
      <c r="T59" s="137">
        <f t="shared" si="19"/>
        <v>1051280.6653668294</v>
      </c>
      <c r="U59" s="137">
        <f t="shared" si="19"/>
        <v>1051815.3963074293</v>
      </c>
      <c r="V59" s="137">
        <f t="shared" si="19"/>
        <v>1051280.6653668294</v>
      </c>
      <c r="W59" s="137">
        <f t="shared" si="19"/>
        <v>1051815.3963074293</v>
      </c>
      <c r="X59" s="137">
        <f t="shared" si="19"/>
        <v>1051280.6653668294</v>
      </c>
      <c r="Y59" s="137">
        <f t="shared" si="19"/>
        <v>-141169.33217117144</v>
      </c>
      <c r="Z59" s="137">
        <f t="shared" si="19"/>
        <v>-1334154.0606497722</v>
      </c>
      <c r="AA59" s="137">
        <f t="shared" si="19"/>
        <v>-1334154.0606497722</v>
      </c>
      <c r="AB59" s="137">
        <f t="shared" si="19"/>
        <v>-1334154.0606497722</v>
      </c>
      <c r="AC59" s="137">
        <f t="shared" si="19"/>
        <v>-1334154.0606497722</v>
      </c>
      <c r="AD59" s="137">
        <f t="shared" si="19"/>
        <v>-1334154.0606497722</v>
      </c>
      <c r="AE59" s="137">
        <f t="shared" si="19"/>
        <v>-1334154.0606497722</v>
      </c>
      <c r="AF59" s="137">
        <f t="shared" si="19"/>
        <v>-1334154.0606497722</v>
      </c>
      <c r="AG59" s="137">
        <f t="shared" si="19"/>
        <v>-1334154.0606497722</v>
      </c>
      <c r="AH59" s="137">
        <f t="shared" si="19"/>
        <v>-1334154.0606497722</v>
      </c>
      <c r="AI59" s="137">
        <f t="shared" si="19"/>
        <v>-1334154.0606497722</v>
      </c>
      <c r="AJ59" s="137">
        <f t="shared" si="19"/>
        <v>-1334154.0606497722</v>
      </c>
      <c r="AK59" s="137">
        <f t="shared" si="19"/>
        <v>-1334154.0606497722</v>
      </c>
      <c r="AL59" s="137">
        <f t="shared" si="19"/>
        <v>-1334154.0606497722</v>
      </c>
      <c r="AM59" s="137">
        <f t="shared" si="19"/>
        <v>-1334154.0606497722</v>
      </c>
      <c r="AN59" s="137">
        <f t="shared" si="19"/>
        <v>-1334154.0606497722</v>
      </c>
      <c r="AO59" s="137">
        <f t="shared" si="19"/>
        <v>-1334154.0606497722</v>
      </c>
      <c r="AP59" s="137">
        <f t="shared" si="19"/>
        <v>-1334154.0606497722</v>
      </c>
      <c r="AQ59" s="137">
        <f t="shared" si="19"/>
        <v>-1334154.0606497722</v>
      </c>
      <c r="AR59" s="137">
        <f t="shared" si="19"/>
        <v>-1247264.0606497722</v>
      </c>
      <c r="AS59" s="137">
        <f t="shared" si="19"/>
        <v>0</v>
      </c>
      <c r="AT59" s="137">
        <f t="shared" si="19"/>
        <v>0</v>
      </c>
      <c r="AU59" s="140">
        <f t="shared" si="13"/>
        <v>193821.63400915731</v>
      </c>
    </row>
    <row r="60" spans="1:47" x14ac:dyDescent="0.25">
      <c r="A60" s="308">
        <f t="shared" si="10"/>
        <v>30</v>
      </c>
      <c r="B60" s="25" t="s">
        <v>71</v>
      </c>
      <c r="C60" s="25"/>
      <c r="D60" s="315"/>
      <c r="E60" s="61">
        <f>E59*F15</f>
        <v>140928.2629860481</v>
      </c>
      <c r="F60" s="137">
        <f t="shared" ref="F60:AT60" si="20">F59*$F$15</f>
        <v>530474.40590374242</v>
      </c>
      <c r="G60" s="137">
        <f t="shared" si="20"/>
        <v>469611.33024465025</v>
      </c>
      <c r="H60" s="137">
        <f t="shared" si="20"/>
        <v>413464.58148165024</v>
      </c>
      <c r="I60" s="137">
        <f t="shared" si="20"/>
        <v>361360.39862958621</v>
      </c>
      <c r="J60" s="137">
        <f t="shared" si="20"/>
        <v>313298.78168845823</v>
      </c>
      <c r="K60" s="137">
        <f t="shared" si="20"/>
        <v>268718.26317063614</v>
      </c>
      <c r="L60" s="137">
        <f t="shared" si="20"/>
        <v>227618.84307612019</v>
      </c>
      <c r="M60" s="137">
        <f t="shared" si="20"/>
        <v>220881.23322456016</v>
      </c>
      <c r="N60" s="137">
        <f t="shared" si="20"/>
        <v>220768.93972703416</v>
      </c>
      <c r="O60" s="137">
        <f t="shared" si="20"/>
        <v>220881.23322456016</v>
      </c>
      <c r="P60" s="137">
        <f t="shared" si="20"/>
        <v>220768.93972703416</v>
      </c>
      <c r="Q60" s="137">
        <f t="shared" si="20"/>
        <v>220881.23322456016</v>
      </c>
      <c r="R60" s="137">
        <f t="shared" si="20"/>
        <v>220768.93972703416</v>
      </c>
      <c r="S60" s="137">
        <f t="shared" si="20"/>
        <v>220881.23322456016</v>
      </c>
      <c r="T60" s="137">
        <f t="shared" si="20"/>
        <v>220768.93972703416</v>
      </c>
      <c r="U60" s="137">
        <f t="shared" si="20"/>
        <v>220881.23322456016</v>
      </c>
      <c r="V60" s="137">
        <f t="shared" si="20"/>
        <v>220768.93972703416</v>
      </c>
      <c r="W60" s="137">
        <f t="shared" si="20"/>
        <v>220881.23322456016</v>
      </c>
      <c r="X60" s="137">
        <f t="shared" si="20"/>
        <v>220768.93972703416</v>
      </c>
      <c r="Y60" s="137">
        <f t="shared" si="20"/>
        <v>-29645.559755946</v>
      </c>
      <c r="Z60" s="137">
        <f t="shared" si="20"/>
        <v>-280172.35273645213</v>
      </c>
      <c r="AA60" s="137">
        <f t="shared" si="20"/>
        <v>-280172.35273645213</v>
      </c>
      <c r="AB60" s="137">
        <f t="shared" si="20"/>
        <v>-280172.35273645213</v>
      </c>
      <c r="AC60" s="137">
        <f t="shared" si="20"/>
        <v>-280172.35273645213</v>
      </c>
      <c r="AD60" s="137">
        <f t="shared" si="20"/>
        <v>-280172.35273645213</v>
      </c>
      <c r="AE60" s="137">
        <f t="shared" si="20"/>
        <v>-280172.35273645213</v>
      </c>
      <c r="AF60" s="137">
        <f t="shared" si="20"/>
        <v>-280172.35273645213</v>
      </c>
      <c r="AG60" s="137">
        <f t="shared" si="20"/>
        <v>-280172.35273645213</v>
      </c>
      <c r="AH60" s="137">
        <f t="shared" si="20"/>
        <v>-280172.35273645213</v>
      </c>
      <c r="AI60" s="137">
        <f t="shared" si="20"/>
        <v>-280172.35273645213</v>
      </c>
      <c r="AJ60" s="137">
        <f t="shared" si="20"/>
        <v>-280172.35273645213</v>
      </c>
      <c r="AK60" s="137">
        <f t="shared" si="20"/>
        <v>-280172.35273645213</v>
      </c>
      <c r="AL60" s="137">
        <f t="shared" si="20"/>
        <v>-280172.35273645213</v>
      </c>
      <c r="AM60" s="137">
        <f t="shared" si="20"/>
        <v>-280172.35273645213</v>
      </c>
      <c r="AN60" s="137">
        <f t="shared" si="20"/>
        <v>-280172.35273645213</v>
      </c>
      <c r="AO60" s="137">
        <f t="shared" si="20"/>
        <v>-280172.35273645213</v>
      </c>
      <c r="AP60" s="137">
        <f t="shared" si="20"/>
        <v>-280172.35273645213</v>
      </c>
      <c r="AQ60" s="137">
        <f t="shared" si="20"/>
        <v>-280172.35273645213</v>
      </c>
      <c r="AR60" s="137">
        <f t="shared" si="20"/>
        <v>-261925.45273645213</v>
      </c>
      <c r="AS60" s="137">
        <f t="shared" si="20"/>
        <v>0</v>
      </c>
      <c r="AT60" s="137">
        <f t="shared" si="20"/>
        <v>0</v>
      </c>
      <c r="AU60" s="140">
        <f t="shared" si="13"/>
        <v>40702.543141921138</v>
      </c>
    </row>
    <row r="61" spans="1:47" x14ac:dyDescent="0.25">
      <c r="A61" s="308">
        <f t="shared" si="10"/>
        <v>31</v>
      </c>
      <c r="B61" s="25"/>
      <c r="C61" s="25"/>
      <c r="D61" s="315"/>
      <c r="E61" s="11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315"/>
    </row>
    <row r="62" spans="1:47" s="73" customFormat="1" x14ac:dyDescent="0.25">
      <c r="A62" s="308">
        <f t="shared" si="10"/>
        <v>32</v>
      </c>
      <c r="B62" s="25" t="str">
        <f t="shared" ref="B62" si="21">IF($F$18=1,B66,B65)</f>
        <v>MACRS Depreciation - 20</v>
      </c>
      <c r="C62" s="25"/>
      <c r="D62" s="70"/>
      <c r="E62" s="85">
        <f t="shared" ref="E62:Y62" si="22">IF($F$18=1,E66,E65)</f>
        <v>3.7499999999999999E-2</v>
      </c>
      <c r="F62" s="81">
        <f t="shared" si="22"/>
        <v>7.2190000000000004E-2</v>
      </c>
      <c r="G62" s="81">
        <f t="shared" si="22"/>
        <v>6.6769999999999996E-2</v>
      </c>
      <c r="H62" s="84">
        <f t="shared" si="22"/>
        <v>6.1769999999999999E-2</v>
      </c>
      <c r="I62" s="84">
        <f t="shared" si="22"/>
        <v>5.713E-2</v>
      </c>
      <c r="J62" s="84">
        <f t="shared" si="22"/>
        <v>5.2850000000000001E-2</v>
      </c>
      <c r="K62" s="84">
        <f t="shared" si="22"/>
        <v>4.888E-2</v>
      </c>
      <c r="L62" s="84">
        <f t="shared" si="22"/>
        <v>4.5220000000000003E-2</v>
      </c>
      <c r="M62" s="84">
        <f t="shared" si="22"/>
        <v>4.462E-2</v>
      </c>
      <c r="N62" s="84">
        <f t="shared" si="22"/>
        <v>4.4610000000000004E-2</v>
      </c>
      <c r="O62" s="84">
        <f t="shared" si="22"/>
        <v>4.462E-2</v>
      </c>
      <c r="P62" s="84">
        <f t="shared" si="22"/>
        <v>4.4610000000000004E-2</v>
      </c>
      <c r="Q62" s="84">
        <f t="shared" si="22"/>
        <v>4.462E-2</v>
      </c>
      <c r="R62" s="84">
        <f t="shared" si="22"/>
        <v>4.4610000000000004E-2</v>
      </c>
      <c r="S62" s="84">
        <f t="shared" si="22"/>
        <v>4.462E-2</v>
      </c>
      <c r="T62" s="84">
        <f t="shared" si="22"/>
        <v>4.4610000000000004E-2</v>
      </c>
      <c r="U62" s="84">
        <f t="shared" si="22"/>
        <v>4.462E-2</v>
      </c>
      <c r="V62" s="84">
        <f t="shared" si="22"/>
        <v>4.4610000000000004E-2</v>
      </c>
      <c r="W62" s="84">
        <f t="shared" si="22"/>
        <v>4.462E-2</v>
      </c>
      <c r="X62" s="84">
        <f t="shared" si="22"/>
        <v>4.4610000000000004E-2</v>
      </c>
      <c r="Y62" s="84">
        <f t="shared" si="22"/>
        <v>2.231E-2</v>
      </c>
      <c r="Z62" s="71"/>
      <c r="AA62" s="71"/>
      <c r="AB62" s="71"/>
      <c r="AC62" s="71"/>
      <c r="AD62" s="71"/>
      <c r="AE62" s="71"/>
      <c r="AF62" s="71"/>
      <c r="AG62" s="71"/>
      <c r="AH62" s="71"/>
      <c r="AI62" s="71"/>
      <c r="AJ62" s="71"/>
      <c r="AK62" s="71"/>
      <c r="AL62" s="71"/>
      <c r="AM62" s="71"/>
      <c r="AN62" s="71"/>
      <c r="AO62" s="71"/>
      <c r="AP62" s="70"/>
    </row>
    <row r="63" spans="1:47" outlineLevel="1" x14ac:dyDescent="0.35">
      <c r="A63" s="308">
        <f t="shared" si="10"/>
        <v>33</v>
      </c>
      <c r="B63" s="25"/>
      <c r="C63" s="318"/>
      <c r="E63" s="319"/>
      <c r="F63" s="320"/>
      <c r="G63" s="320"/>
      <c r="H63" s="320"/>
      <c r="I63" s="320"/>
      <c r="J63" s="320"/>
      <c r="K63" s="320"/>
      <c r="L63" s="320"/>
      <c r="M63" s="321"/>
      <c r="N63" s="321"/>
      <c r="O63" s="321"/>
      <c r="P63" s="321"/>
      <c r="Q63" s="321"/>
      <c r="R63" s="321"/>
      <c r="S63" s="321"/>
      <c r="T63" s="321"/>
      <c r="U63" s="321"/>
      <c r="V63" s="321"/>
      <c r="W63" s="321"/>
      <c r="X63" s="321"/>
      <c r="Y63" s="321"/>
      <c r="Z63" s="315"/>
      <c r="AA63" s="315"/>
      <c r="AB63" s="315"/>
      <c r="AC63" s="315"/>
      <c r="AD63" s="315"/>
      <c r="AE63" s="315"/>
      <c r="AF63" s="315"/>
      <c r="AG63" s="315"/>
      <c r="AH63" s="315"/>
      <c r="AI63" s="315"/>
      <c r="AJ63" s="315"/>
      <c r="AK63" s="315"/>
      <c r="AL63" s="315"/>
      <c r="AM63" s="315"/>
      <c r="AN63" s="315"/>
      <c r="AO63" s="26"/>
    </row>
    <row r="64" spans="1:47" outlineLevel="1" x14ac:dyDescent="0.35">
      <c r="A64" s="308">
        <f t="shared" si="10"/>
        <v>34</v>
      </c>
      <c r="B64" s="25"/>
      <c r="C64" s="318"/>
      <c r="E64" s="319"/>
      <c r="F64" s="320"/>
      <c r="G64" s="320"/>
      <c r="H64" s="320"/>
      <c r="I64" s="320"/>
      <c r="J64" s="320"/>
      <c r="K64" s="320"/>
      <c r="L64" s="320"/>
      <c r="M64" s="321"/>
      <c r="N64" s="321"/>
      <c r="O64" s="321"/>
      <c r="P64" s="321"/>
      <c r="Q64" s="321"/>
      <c r="R64" s="321"/>
      <c r="S64" s="321"/>
      <c r="T64" s="321"/>
      <c r="U64" s="321"/>
      <c r="V64" s="321"/>
      <c r="W64" s="321"/>
      <c r="X64" s="321"/>
      <c r="Y64" s="321"/>
      <c r="Z64" s="315"/>
      <c r="AA64" s="315"/>
      <c r="AB64" s="315"/>
      <c r="AC64" s="315"/>
      <c r="AD64" s="315"/>
      <c r="AE64" s="315"/>
      <c r="AF64" s="315"/>
      <c r="AG64" s="315"/>
      <c r="AH64" s="315"/>
      <c r="AI64" s="315"/>
      <c r="AJ64" s="315"/>
      <c r="AK64" s="315"/>
      <c r="AL64" s="315"/>
      <c r="AM64" s="315"/>
      <c r="AN64" s="315"/>
      <c r="AO64" s="26"/>
    </row>
    <row r="65" spans="1:42" s="73" customFormat="1" x14ac:dyDescent="0.35">
      <c r="A65" s="308">
        <f t="shared" si="10"/>
        <v>35</v>
      </c>
      <c r="B65" s="25" t="s">
        <v>72</v>
      </c>
      <c r="C65" s="25"/>
      <c r="D65" s="74">
        <v>0</v>
      </c>
      <c r="E65" s="82">
        <f>'MACRS 20'!B5</f>
        <v>3.7499999999999999E-2</v>
      </c>
      <c r="F65" s="81">
        <f>'MACRS 20'!C5</f>
        <v>7.2190000000000004E-2</v>
      </c>
      <c r="G65" s="81">
        <f>'MACRS 20'!D5</f>
        <v>6.6769999999999996E-2</v>
      </c>
      <c r="H65" s="83">
        <f>'MACRS 20'!E5</f>
        <v>6.1769999999999999E-2</v>
      </c>
      <c r="I65" s="83">
        <f>'MACRS 20'!F5</f>
        <v>5.713E-2</v>
      </c>
      <c r="J65" s="83">
        <f>'MACRS 20'!G5</f>
        <v>5.2850000000000001E-2</v>
      </c>
      <c r="K65" s="83">
        <f>'MACRS 20'!H5</f>
        <v>4.888E-2</v>
      </c>
      <c r="L65" s="83">
        <f>'MACRS 20'!I5</f>
        <v>4.5220000000000003E-2</v>
      </c>
      <c r="M65" s="83">
        <f>'MACRS 20'!J5</f>
        <v>4.462E-2</v>
      </c>
      <c r="N65" s="83">
        <f>'MACRS 20'!K5</f>
        <v>4.4610000000000004E-2</v>
      </c>
      <c r="O65" s="83">
        <f>'MACRS 20'!L5</f>
        <v>4.462E-2</v>
      </c>
      <c r="P65" s="83">
        <f>'MACRS 20'!M5</f>
        <v>4.4610000000000004E-2</v>
      </c>
      <c r="Q65" s="83">
        <f>'MACRS 20'!N5</f>
        <v>4.462E-2</v>
      </c>
      <c r="R65" s="83">
        <f>'MACRS 20'!O5</f>
        <v>4.4610000000000004E-2</v>
      </c>
      <c r="S65" s="83">
        <f>'MACRS 20'!P5</f>
        <v>4.462E-2</v>
      </c>
      <c r="T65" s="83">
        <f>'MACRS 20'!Q5</f>
        <v>4.4610000000000004E-2</v>
      </c>
      <c r="U65" s="83">
        <f>'MACRS 20'!R5</f>
        <v>4.462E-2</v>
      </c>
      <c r="V65" s="83">
        <f>'MACRS 20'!S5</f>
        <v>4.4610000000000004E-2</v>
      </c>
      <c r="W65" s="83">
        <f>'MACRS 20'!T5</f>
        <v>4.462E-2</v>
      </c>
      <c r="X65" s="83">
        <f>'MACRS 20'!U5</f>
        <v>4.4610000000000004E-2</v>
      </c>
      <c r="Y65" s="83">
        <f>'MACRS 20'!V5</f>
        <v>2.231E-2</v>
      </c>
      <c r="Z65" s="75"/>
      <c r="AA65" s="71"/>
      <c r="AB65" s="71"/>
      <c r="AC65" s="71"/>
      <c r="AD65" s="71"/>
      <c r="AE65" s="71"/>
      <c r="AF65" s="71"/>
      <c r="AG65" s="71"/>
      <c r="AH65" s="71"/>
      <c r="AI65" s="71"/>
      <c r="AJ65" s="71"/>
      <c r="AK65" s="71"/>
      <c r="AL65" s="71"/>
      <c r="AM65" s="71"/>
      <c r="AN65" s="70"/>
      <c r="AP65" s="76"/>
    </row>
    <row r="66" spans="1:42" x14ac:dyDescent="0.25">
      <c r="A66" s="308">
        <f t="shared" si="10"/>
        <v>36</v>
      </c>
      <c r="B66" s="25" t="s">
        <v>73</v>
      </c>
      <c r="C66" s="25"/>
      <c r="D66" s="74">
        <v>0</v>
      </c>
      <c r="E66" s="82">
        <f>'MACRS 20'!B6</f>
        <v>0.51875000000000004</v>
      </c>
      <c r="F66" s="81">
        <f>'MACRS 20'!C6</f>
        <v>3.6095000000000002E-2</v>
      </c>
      <c r="G66" s="81">
        <f>'MACRS 20'!D6</f>
        <v>3.3384999999999998E-2</v>
      </c>
      <c r="H66" s="84">
        <f>'MACRS 20'!E6</f>
        <v>3.0884999999999999E-2</v>
      </c>
      <c r="I66" s="84">
        <f>'MACRS 20'!F6</f>
        <v>2.8565E-2</v>
      </c>
      <c r="J66" s="84">
        <f>'MACRS 20'!G6</f>
        <v>2.6425000000000001E-2</v>
      </c>
      <c r="K66" s="84">
        <f>'MACRS 20'!H6</f>
        <v>2.444E-2</v>
      </c>
      <c r="L66" s="84">
        <f>'MACRS 20'!I6</f>
        <v>2.2610000000000002E-2</v>
      </c>
      <c r="M66" s="84">
        <f>'MACRS 20'!J6</f>
        <v>2.231E-2</v>
      </c>
      <c r="N66" s="84">
        <f>'MACRS 20'!K6</f>
        <v>2.2305000000000002E-2</v>
      </c>
      <c r="O66" s="84">
        <f>'MACRS 20'!L6</f>
        <v>2.231E-2</v>
      </c>
      <c r="P66" s="84">
        <f>'MACRS 20'!M6</f>
        <v>2.2305000000000002E-2</v>
      </c>
      <c r="Q66" s="84">
        <f>'MACRS 20'!N6</f>
        <v>2.231E-2</v>
      </c>
      <c r="R66" s="84">
        <f>'MACRS 20'!O6</f>
        <v>2.2305000000000002E-2</v>
      </c>
      <c r="S66" s="84">
        <f>'MACRS 20'!P6</f>
        <v>2.231E-2</v>
      </c>
      <c r="T66" s="84">
        <f>'MACRS 20'!Q6</f>
        <v>2.2305000000000002E-2</v>
      </c>
      <c r="U66" s="84">
        <f>'MACRS 20'!R6</f>
        <v>2.231E-2</v>
      </c>
      <c r="V66" s="84">
        <f>'MACRS 20'!S6</f>
        <v>2.2305000000000002E-2</v>
      </c>
      <c r="W66" s="84">
        <f>'MACRS 20'!T6</f>
        <v>2.231E-2</v>
      </c>
      <c r="X66" s="84">
        <f>'MACRS 20'!U6</f>
        <v>2.2305000000000002E-2</v>
      </c>
      <c r="Y66" s="84">
        <f>'MACRS 20'!V6</f>
        <v>1.1155E-2</v>
      </c>
      <c r="Z66" s="72"/>
      <c r="AA66" s="72"/>
      <c r="AB66" s="77"/>
      <c r="AC66" s="77"/>
      <c r="AD66" s="77"/>
      <c r="AE66" s="77"/>
      <c r="AF66" s="77"/>
      <c r="AG66" s="77"/>
      <c r="AH66" s="77"/>
      <c r="AI66" s="77"/>
      <c r="AJ66" s="77"/>
      <c r="AK66" s="77"/>
      <c r="AL66" s="77"/>
      <c r="AM66" s="77"/>
      <c r="AN66" s="315"/>
      <c r="AO66" s="26"/>
      <c r="AP66" s="76">
        <f>SUM(D66:AO66)</f>
        <v>1.0000000000000004</v>
      </c>
    </row>
    <row r="69" spans="1:42" x14ac:dyDescent="0.35">
      <c r="B69" s="78"/>
    </row>
  </sheetData>
  <mergeCells count="1">
    <mergeCell ref="E1:F1"/>
  </mergeCells>
  <printOptions horizontalCentered="1"/>
  <pageMargins left="0.75" right="0.5" top="0.5" bottom="0.5" header="0.5" footer="0.25"/>
  <pageSetup scale="1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26"/>
  <sheetViews>
    <sheetView zoomScaleNormal="100" workbookViewId="0">
      <selection activeCell="A6" sqref="A6"/>
    </sheetView>
  </sheetViews>
  <sheetFormatPr defaultColWidth="9.1796875" defaultRowHeight="12.5" x14ac:dyDescent="0.25"/>
  <cols>
    <col min="1" max="1" width="55.26953125" style="159" customWidth="1"/>
    <col min="2" max="2" width="19.453125" style="159" bestFit="1" customWidth="1"/>
    <col min="3" max="4" width="9.1796875" style="159"/>
    <col min="5" max="5" width="48.26953125" style="159" bestFit="1" customWidth="1"/>
    <col min="6" max="6" width="12.81640625" style="159" bestFit="1" customWidth="1"/>
    <col min="7" max="8" width="9.1796875" style="159"/>
    <col min="9" max="9" width="48.26953125" style="159" bestFit="1" customWidth="1"/>
    <col min="10" max="10" width="12.453125" style="159" bestFit="1" customWidth="1"/>
    <col min="11" max="16384" width="9.1796875" style="159"/>
  </cols>
  <sheetData>
    <row r="3" spans="1:10" ht="13" x14ac:dyDescent="0.3">
      <c r="A3" s="119" t="s">
        <v>76</v>
      </c>
      <c r="B3" s="119"/>
    </row>
    <row r="4" spans="1:10" ht="13" x14ac:dyDescent="0.3">
      <c r="A4" s="119" t="s">
        <v>77</v>
      </c>
      <c r="B4" s="119"/>
    </row>
    <row r="5" spans="1:10" ht="13" x14ac:dyDescent="0.3">
      <c r="A5" s="309" t="s">
        <v>281</v>
      </c>
      <c r="B5" s="309"/>
      <c r="E5"/>
      <c r="F5"/>
      <c r="G5"/>
      <c r="I5"/>
      <c r="J5"/>
    </row>
    <row r="6" spans="1:10" ht="13" x14ac:dyDescent="0.3">
      <c r="A6" s="309" t="s">
        <v>282</v>
      </c>
      <c r="B6" s="309"/>
      <c r="E6"/>
      <c r="F6"/>
      <c r="G6"/>
      <c r="I6"/>
      <c r="J6"/>
    </row>
    <row r="7" spans="1:10" ht="13" x14ac:dyDescent="0.3">
      <c r="A7" s="119"/>
      <c r="B7" s="119"/>
      <c r="E7"/>
      <c r="F7"/>
      <c r="G7"/>
      <c r="I7"/>
      <c r="J7"/>
    </row>
    <row r="8" spans="1:10" x14ac:dyDescent="0.25">
      <c r="E8"/>
      <c r="F8"/>
      <c r="G8"/>
      <c r="I8"/>
      <c r="J8"/>
    </row>
    <row r="9" spans="1:10" ht="65.25" customHeight="1" x14ac:dyDescent="0.25">
      <c r="A9" s="120" t="s">
        <v>101</v>
      </c>
      <c r="B9" s="121" t="s">
        <v>173</v>
      </c>
      <c r="E9"/>
      <c r="F9"/>
      <c r="G9"/>
      <c r="I9"/>
      <c r="J9"/>
    </row>
    <row r="10" spans="1:10" ht="27.75" customHeight="1" x14ac:dyDescent="0.25">
      <c r="A10" s="122"/>
      <c r="B10" s="123"/>
      <c r="F10"/>
      <c r="G10"/>
      <c r="I10"/>
      <c r="J10"/>
    </row>
    <row r="11" spans="1:10" ht="27.75" customHeight="1" x14ac:dyDescent="0.25">
      <c r="A11" s="122" t="s">
        <v>283</v>
      </c>
      <c r="B11" s="313">
        <f>'2019 CRM'!G42</f>
        <v>6589498.4750629179</v>
      </c>
      <c r="E11"/>
      <c r="F11" s="539"/>
      <c r="G11"/>
      <c r="I11"/>
      <c r="J11"/>
    </row>
    <row r="12" spans="1:10" x14ac:dyDescent="0.25">
      <c r="A12" s="122" t="s">
        <v>284</v>
      </c>
      <c r="B12" s="155">
        <f>'2020 + true up CAP'!F39</f>
        <v>5999565.1661180267</v>
      </c>
      <c r="E12"/>
      <c r="F12" s="539"/>
      <c r="G12"/>
      <c r="I12"/>
      <c r="J12"/>
    </row>
    <row r="13" spans="1:10" x14ac:dyDescent="0.25">
      <c r="A13" s="122" t="s">
        <v>285</v>
      </c>
      <c r="B13" s="155">
        <f>'2020TrueUp'!F6</f>
        <v>-109844.95791395041</v>
      </c>
      <c r="E13"/>
      <c r="F13" s="539"/>
      <c r="G13"/>
      <c r="I13"/>
      <c r="J13"/>
    </row>
    <row r="14" spans="1:10" x14ac:dyDescent="0.25">
      <c r="A14" s="122" t="s">
        <v>286</v>
      </c>
      <c r="B14" s="155">
        <f>'2021 C&amp;OM'!F28</f>
        <v>9255948.5950490944</v>
      </c>
      <c r="E14"/>
      <c r="F14" s="539"/>
      <c r="G14"/>
      <c r="I14"/>
      <c r="J14"/>
    </row>
    <row r="15" spans="1:10" ht="13.5" thickBot="1" x14ac:dyDescent="0.35">
      <c r="A15" s="314" t="s">
        <v>287</v>
      </c>
      <c r="B15" s="124">
        <f>SUM(B11:B14)</f>
        <v>21735167.278316088</v>
      </c>
      <c r="E15"/>
      <c r="F15" s="539"/>
      <c r="G15"/>
      <c r="I15"/>
      <c r="J15"/>
    </row>
    <row r="16" spans="1:10" ht="13" thickTop="1" x14ac:dyDescent="0.25">
      <c r="A16" s="125"/>
      <c r="B16" s="126"/>
      <c r="E16"/>
      <c r="F16"/>
      <c r="G16"/>
      <c r="I16"/>
      <c r="J16"/>
    </row>
    <row r="17" spans="1:10" x14ac:dyDescent="0.25">
      <c r="A17" s="241"/>
      <c r="B17" s="241"/>
      <c r="E17"/>
      <c r="F17"/>
      <c r="G17"/>
      <c r="I17"/>
      <c r="J17"/>
    </row>
    <row r="18" spans="1:10" x14ac:dyDescent="0.25">
      <c r="A18" s="241"/>
      <c r="B18" s="241"/>
      <c r="I18"/>
      <c r="J18"/>
    </row>
    <row r="19" spans="1:10" x14ac:dyDescent="0.25">
      <c r="A19" s="241"/>
      <c r="B19" s="241"/>
    </row>
    <row r="20" spans="1:10" x14ac:dyDescent="0.25">
      <c r="A20" s="241"/>
      <c r="B20" s="241"/>
    </row>
    <row r="21" spans="1:10" x14ac:dyDescent="0.25">
      <c r="A21" s="241"/>
      <c r="B21" s="241"/>
    </row>
    <row r="22" spans="1:10" x14ac:dyDescent="0.25">
      <c r="A22" s="241"/>
      <c r="B22" s="241"/>
    </row>
    <row r="23" spans="1:10" x14ac:dyDescent="0.25">
      <c r="A23" s="241"/>
      <c r="B23" s="241"/>
    </row>
    <row r="24" spans="1:10" x14ac:dyDescent="0.25">
      <c r="A24"/>
      <c r="B24"/>
    </row>
    <row r="25" spans="1:10" x14ac:dyDescent="0.25">
      <c r="A25"/>
      <c r="B25"/>
    </row>
    <row r="26" spans="1:10" x14ac:dyDescent="0.25">
      <c r="A26"/>
    </row>
  </sheetData>
  <printOptions horizontalCentered="1"/>
  <pageMargins left="0.7" right="0.7" top="0.75" bottom="0.75" header="0.3" footer="0.3"/>
  <pageSetup orientation="portrait" r:id="rId1"/>
  <headerFooter>
    <oddFooter>&amp;L&amp;F
&amp;A&amp;C&amp;P&amp;R&amp;D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90" zoomScaleNormal="90" workbookViewId="0"/>
  </sheetViews>
  <sheetFormatPr defaultColWidth="10.26953125" defaultRowHeight="14.5" outlineLevelRow="1" outlineLevelCol="1" x14ac:dyDescent="0.25"/>
  <cols>
    <col min="1" max="1" width="5.7265625" style="57" customWidth="1"/>
    <col min="2" max="2" width="7.453125" style="57" customWidth="1"/>
    <col min="3" max="3" width="26.453125" style="57" customWidth="1"/>
    <col min="4" max="4" width="15.54296875" style="26" customWidth="1"/>
    <col min="5" max="5" width="13.54296875" style="79" customWidth="1"/>
    <col min="6" max="6" width="13.453125" style="79" customWidth="1"/>
    <col min="7" max="7" width="14.54296875" style="79" bestFit="1" customWidth="1"/>
    <col min="8" max="8" width="12.54296875" style="79" customWidth="1"/>
    <col min="9" max="25" width="12.81640625" style="79" bestFit="1" customWidth="1"/>
    <col min="26" max="38" width="12.26953125" style="79" bestFit="1" customWidth="1"/>
    <col min="39" max="39" width="17" style="79" customWidth="1" outlineLevel="1"/>
    <col min="40" max="40" width="13" style="79" customWidth="1" outlineLevel="1"/>
    <col min="41" max="41" width="14.26953125" style="79" customWidth="1" outlineLevel="1"/>
    <col min="42" max="42" width="12.7265625" style="26" bestFit="1" customWidth="1"/>
    <col min="43" max="43" width="12.26953125" style="26" customWidth="1"/>
    <col min="44" max="45" width="14" style="26" customWidth="1"/>
    <col min="46" max="46" width="14.26953125" style="26" bestFit="1" customWidth="1"/>
    <col min="47" max="47" width="16.54296875" style="26" customWidth="1"/>
    <col min="48" max="48" width="15" style="26" bestFit="1" customWidth="1"/>
    <col min="49" max="16384" width="10.26953125" style="26"/>
  </cols>
  <sheetData>
    <row r="1" spans="1:41" ht="17.25" customHeight="1" x14ac:dyDescent="0.35">
      <c r="A1" s="24" t="s">
        <v>0</v>
      </c>
      <c r="B1" s="25"/>
      <c r="C1" s="25"/>
      <c r="E1" s="645"/>
      <c r="F1" s="645"/>
      <c r="G1" s="26"/>
      <c r="H1" s="27"/>
      <c r="I1" s="28"/>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row>
    <row r="2" spans="1:41" ht="12.75" customHeight="1" x14ac:dyDescent="0.35">
      <c r="A2" s="29" t="s">
        <v>1</v>
      </c>
      <c r="B2" s="25"/>
      <c r="C2" s="25"/>
      <c r="E2" s="26"/>
      <c r="F2" s="28"/>
      <c r="G2" s="28"/>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41" x14ac:dyDescent="0.35">
      <c r="A3" s="29" t="s">
        <v>2</v>
      </c>
      <c r="B3" s="25"/>
      <c r="C3" s="308" t="s">
        <v>208</v>
      </c>
      <c r="D3" s="315" t="s">
        <v>3</v>
      </c>
      <c r="E3" s="26"/>
      <c r="F3" s="28"/>
      <c r="G3" s="28"/>
      <c r="H3" s="192" t="s">
        <v>308</v>
      </c>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row>
    <row r="4" spans="1:41" ht="7.5" customHeight="1" thickBot="1" x14ac:dyDescent="0.3">
      <c r="A4" s="25"/>
      <c r="B4" s="25"/>
      <c r="C4" s="25"/>
      <c r="E4" s="26"/>
      <c r="F4" s="28"/>
      <c r="G4" s="28"/>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row>
    <row r="5" spans="1:41" x14ac:dyDescent="0.25">
      <c r="A5" s="30" t="s">
        <v>4</v>
      </c>
      <c r="B5" s="31"/>
      <c r="C5" s="31"/>
      <c r="D5" s="189" t="s">
        <v>237</v>
      </c>
      <c r="E5" s="32"/>
      <c r="F5" s="33"/>
      <c r="G5" s="34"/>
      <c r="H5" s="26"/>
      <c r="I5" s="26"/>
      <c r="J5" s="26"/>
      <c r="K5" s="26"/>
      <c r="L5" s="26"/>
      <c r="M5" s="26"/>
      <c r="N5" s="45"/>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row>
    <row r="6" spans="1:41" x14ac:dyDescent="0.25">
      <c r="A6" s="35"/>
      <c r="B6" s="36"/>
      <c r="C6" s="36"/>
      <c r="D6" s="148" t="s">
        <v>197</v>
      </c>
      <c r="E6" s="148"/>
      <c r="F6" s="149"/>
      <c r="G6" s="34"/>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row>
    <row r="7" spans="1:41" x14ac:dyDescent="0.25">
      <c r="A7" s="35"/>
      <c r="B7" s="36"/>
      <c r="C7" s="36"/>
      <c r="D7" s="39"/>
      <c r="E7" s="39"/>
      <c r="F7" s="40" t="s">
        <v>5</v>
      </c>
      <c r="G7" s="41"/>
      <c r="H7" s="26"/>
      <c r="I7" s="26"/>
      <c r="J7" s="26"/>
      <c r="K7" s="26"/>
      <c r="L7" s="26"/>
      <c r="M7" s="150"/>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row>
    <row r="8" spans="1:41" x14ac:dyDescent="0.25">
      <c r="A8" s="35" t="s">
        <v>6</v>
      </c>
      <c r="B8" s="36"/>
      <c r="C8" s="36"/>
      <c r="D8" s="42" t="s">
        <v>7</v>
      </c>
      <c r="E8" s="42" t="s">
        <v>8</v>
      </c>
      <c r="F8" s="43" t="s">
        <v>8</v>
      </c>
      <c r="G8" s="41"/>
      <c r="H8" s="26"/>
      <c r="I8" s="26"/>
      <c r="J8" s="26"/>
      <c r="K8" s="26"/>
      <c r="L8" s="26"/>
      <c r="M8" s="141"/>
      <c r="N8" s="45"/>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41" x14ac:dyDescent="0.25">
      <c r="A9" s="35"/>
      <c r="B9" s="36"/>
      <c r="C9" s="36"/>
      <c r="D9" s="37"/>
      <c r="E9" s="37"/>
      <c r="F9" s="44"/>
      <c r="G9" s="37"/>
      <c r="H9" s="26"/>
      <c r="I9" s="26"/>
      <c r="J9" s="26"/>
      <c r="K9" s="26"/>
      <c r="L9" s="26"/>
      <c r="M9" s="141"/>
      <c r="N9" s="45"/>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row>
    <row r="10" spans="1:41" x14ac:dyDescent="0.25">
      <c r="A10" s="35"/>
      <c r="B10" s="36"/>
      <c r="C10" s="36"/>
      <c r="D10" s="46"/>
      <c r="E10" s="46"/>
      <c r="F10" s="47"/>
      <c r="G10" s="45"/>
      <c r="H10" s="26"/>
      <c r="I10" s="26"/>
      <c r="J10" s="26"/>
      <c r="K10" s="26"/>
      <c r="L10" s="26"/>
      <c r="M10" s="141"/>
      <c r="N10" s="45"/>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row>
    <row r="11" spans="1:41" x14ac:dyDescent="0.25">
      <c r="A11" s="35" t="s">
        <v>174</v>
      </c>
      <c r="B11" s="36"/>
      <c r="C11" s="36"/>
      <c r="D11" s="46">
        <f>'2019 GRC'!C12</f>
        <v>0.51500000000000001</v>
      </c>
      <c r="E11" s="46">
        <f>'2019 GRC'!D12</f>
        <v>5.4951456310679617E-2</v>
      </c>
      <c r="F11" s="47">
        <f>'2019 GRC'!E12</f>
        <v>2.8299999999999999E-2</v>
      </c>
      <c r="G11" s="45"/>
      <c r="H11" s="26"/>
      <c r="I11" s="26"/>
      <c r="J11" s="26"/>
      <c r="K11" s="26"/>
      <c r="L11" s="26"/>
      <c r="M11" s="141"/>
      <c r="N11" s="45"/>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row>
    <row r="12" spans="1:41" x14ac:dyDescent="0.25">
      <c r="A12" s="35" t="s">
        <v>9</v>
      </c>
      <c r="B12" s="36"/>
      <c r="C12" s="36"/>
      <c r="D12" s="48">
        <f>'2019 GRC'!C13</f>
        <v>0.48499999999999999</v>
      </c>
      <c r="E12" s="48">
        <f>'2019 GRC'!D13</f>
        <v>9.4E-2</v>
      </c>
      <c r="F12" s="49">
        <f>'2019 GRC'!E13</f>
        <v>4.5600000000000002E-2</v>
      </c>
      <c r="G12" s="45"/>
      <c r="H12" s="26"/>
      <c r="I12" s="26"/>
      <c r="J12" s="26"/>
      <c r="K12" s="26"/>
      <c r="L12" s="26"/>
      <c r="M12" s="141"/>
      <c r="N12" s="45"/>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row>
    <row r="13" spans="1:41" ht="15" thickBot="1" x14ac:dyDescent="0.3">
      <c r="A13" s="35" t="s">
        <v>10</v>
      </c>
      <c r="B13" s="36"/>
      <c r="C13" s="36"/>
      <c r="D13" s="50">
        <f>D10+D11+D12</f>
        <v>1</v>
      </c>
      <c r="E13" s="51"/>
      <c r="F13" s="190">
        <f>F10+F11+F12</f>
        <v>7.3899999999999993E-2</v>
      </c>
      <c r="G13" s="51"/>
      <c r="H13" s="26"/>
      <c r="I13" s="26"/>
      <c r="J13" s="26"/>
      <c r="K13" s="26"/>
      <c r="L13" s="26"/>
      <c r="M13" s="141"/>
      <c r="N13" s="45"/>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row>
    <row r="14" spans="1:41" ht="15" thickTop="1" x14ac:dyDescent="0.25">
      <c r="A14" s="35"/>
      <c r="B14" s="36"/>
      <c r="C14" s="36"/>
      <c r="D14" s="37"/>
      <c r="E14" s="37"/>
      <c r="F14" s="44"/>
      <c r="G14" s="37"/>
      <c r="H14" s="26"/>
      <c r="I14" s="26"/>
      <c r="J14" s="26"/>
      <c r="K14" s="26"/>
      <c r="L14" s="26"/>
      <c r="M14" s="141"/>
      <c r="N14" s="45"/>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row>
    <row r="15" spans="1:41" x14ac:dyDescent="0.25">
      <c r="A15" s="35" t="s">
        <v>11</v>
      </c>
      <c r="B15" s="36"/>
      <c r="C15" s="36"/>
      <c r="D15" s="37"/>
      <c r="E15" s="37"/>
      <c r="F15" s="47">
        <f>'2019 GRC'!I19</f>
        <v>0.21</v>
      </c>
      <c r="G15" s="51"/>
      <c r="H15" s="26"/>
      <c r="I15" s="26"/>
      <c r="J15" s="26"/>
      <c r="K15" s="26"/>
      <c r="L15" s="26"/>
      <c r="M15" s="141"/>
      <c r="N15" s="45"/>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1" x14ac:dyDescent="0.25">
      <c r="A16" s="35" t="s">
        <v>12</v>
      </c>
      <c r="B16" s="36"/>
      <c r="C16" s="36"/>
      <c r="D16" s="37"/>
      <c r="E16" s="37"/>
      <c r="F16" s="47">
        <f>'2019 GRC'!J16</f>
        <v>4.5447000000000001E-2</v>
      </c>
      <c r="G16" s="51"/>
      <c r="H16" s="26"/>
      <c r="I16" s="26"/>
      <c r="J16" s="26"/>
      <c r="K16" s="26"/>
      <c r="L16" s="26"/>
      <c r="M16" s="141"/>
      <c r="N16" s="45"/>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row>
    <row r="17" spans="1:48" x14ac:dyDescent="0.25">
      <c r="A17" s="35" t="s">
        <v>13</v>
      </c>
      <c r="B17" s="36"/>
      <c r="C17" s="36"/>
      <c r="D17" s="37"/>
      <c r="E17" s="37"/>
      <c r="F17" s="47">
        <f>'Summary 2020'!F25</f>
        <v>2.4909364632323495E-2</v>
      </c>
      <c r="H17" s="26"/>
      <c r="I17" s="26"/>
      <c r="J17" s="26"/>
      <c r="K17" s="26"/>
      <c r="L17" s="26"/>
      <c r="M17" s="141"/>
      <c r="N17" s="4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row>
    <row r="18" spans="1:48" x14ac:dyDescent="0.25">
      <c r="A18" s="35" t="s">
        <v>14</v>
      </c>
      <c r="B18" s="36"/>
      <c r="C18" s="36"/>
      <c r="D18" s="37"/>
      <c r="E18" s="37"/>
      <c r="F18" s="53">
        <v>2</v>
      </c>
      <c r="G18" s="28"/>
      <c r="H18" s="26"/>
      <c r="I18" s="26"/>
      <c r="J18" s="26"/>
      <c r="K18" s="26"/>
      <c r="L18" s="26"/>
      <c r="M18" s="141"/>
      <c r="N18" s="45"/>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row>
    <row r="19" spans="1:48" x14ac:dyDescent="0.25">
      <c r="A19" s="35"/>
      <c r="B19" s="36"/>
      <c r="C19" s="36"/>
      <c r="D19" s="37"/>
      <c r="E19" s="37"/>
      <c r="F19" s="38"/>
      <c r="G19" s="28"/>
      <c r="H19" s="26"/>
      <c r="I19" s="26"/>
      <c r="J19" s="26"/>
      <c r="K19" s="26"/>
      <c r="L19" s="26"/>
      <c r="M19" s="141"/>
      <c r="N19" s="45"/>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row>
    <row r="20" spans="1:48" x14ac:dyDescent="0.25">
      <c r="A20" s="35" t="s">
        <v>15</v>
      </c>
      <c r="B20" s="36"/>
      <c r="C20" s="36"/>
      <c r="D20" s="37"/>
      <c r="E20" s="37"/>
      <c r="F20" s="38"/>
      <c r="G20" s="28"/>
      <c r="H20" s="26"/>
      <c r="I20" s="26"/>
      <c r="J20" s="26"/>
      <c r="K20" s="26"/>
      <c r="L20" s="26"/>
      <c r="N20" s="151"/>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row>
    <row r="21" spans="1:48" x14ac:dyDescent="0.25">
      <c r="A21" s="35" t="s">
        <v>16</v>
      </c>
      <c r="B21" s="36"/>
      <c r="C21" s="36"/>
      <c r="D21" s="37"/>
      <c r="E21" s="37"/>
      <c r="F21" s="38"/>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row>
    <row r="22" spans="1:48" ht="15" thickBot="1" x14ac:dyDescent="0.3">
      <c r="A22" s="54" t="s">
        <v>17</v>
      </c>
      <c r="B22" s="55"/>
      <c r="C22" s="55"/>
      <c r="D22" s="55"/>
      <c r="E22" s="56"/>
      <c r="F22" s="80">
        <f>'Summary 2020'!F17</f>
        <v>53737474.610000029</v>
      </c>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row>
    <row r="23" spans="1:48" ht="6" customHeight="1" x14ac:dyDescent="0.25">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row>
    <row r="24" spans="1:48" ht="6" customHeight="1" x14ac:dyDescent="0.25">
      <c r="B24" s="26"/>
      <c r="C24" s="26"/>
      <c r="D24" s="141"/>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row>
    <row r="25" spans="1:48" x14ac:dyDescent="0.25">
      <c r="A25" s="25"/>
      <c r="B25" s="25"/>
      <c r="C25" s="25"/>
      <c r="D25" s="315"/>
      <c r="E25" s="59" t="s">
        <v>18</v>
      </c>
      <c r="F25" s="130" t="s">
        <v>19</v>
      </c>
      <c r="G25" s="60" t="s">
        <v>20</v>
      </c>
      <c r="H25" s="60" t="s">
        <v>21</v>
      </c>
      <c r="I25" s="60" t="s">
        <v>22</v>
      </c>
      <c r="J25" s="60" t="s">
        <v>23</v>
      </c>
      <c r="K25" s="60" t="s">
        <v>24</v>
      </c>
      <c r="L25" s="60" t="s">
        <v>25</v>
      </c>
      <c r="M25" s="60" t="s">
        <v>26</v>
      </c>
      <c r="N25" s="60" t="s">
        <v>27</v>
      </c>
      <c r="O25" s="60" t="s">
        <v>28</v>
      </c>
      <c r="P25" s="60" t="s">
        <v>29</v>
      </c>
      <c r="Q25" s="60" t="s">
        <v>30</v>
      </c>
      <c r="R25" s="60" t="s">
        <v>31</v>
      </c>
      <c r="S25" s="60" t="s">
        <v>32</v>
      </c>
      <c r="T25" s="60" t="s">
        <v>33</v>
      </c>
      <c r="U25" s="60" t="s">
        <v>34</v>
      </c>
      <c r="V25" s="60" t="s">
        <v>35</v>
      </c>
      <c r="W25" s="60" t="s">
        <v>36</v>
      </c>
      <c r="X25" s="60" t="s">
        <v>37</v>
      </c>
      <c r="Y25" s="60" t="s">
        <v>38</v>
      </c>
      <c r="Z25" s="60" t="s">
        <v>39</v>
      </c>
      <c r="AA25" s="60" t="s">
        <v>40</v>
      </c>
      <c r="AB25" s="60" t="s">
        <v>41</v>
      </c>
      <c r="AC25" s="60" t="s">
        <v>42</v>
      </c>
      <c r="AD25" s="60" t="s">
        <v>43</v>
      </c>
      <c r="AE25" s="60" t="s">
        <v>44</v>
      </c>
      <c r="AF25" s="60" t="s">
        <v>45</v>
      </c>
      <c r="AG25" s="60" t="s">
        <v>46</v>
      </c>
      <c r="AH25" s="60" t="s">
        <v>47</v>
      </c>
      <c r="AI25" s="60" t="s">
        <v>48</v>
      </c>
      <c r="AJ25" s="60" t="s">
        <v>49</v>
      </c>
      <c r="AK25" s="60" t="s">
        <v>50</v>
      </c>
      <c r="AL25" s="60" t="s">
        <v>51</v>
      </c>
      <c r="AM25" s="60" t="s">
        <v>52</v>
      </c>
      <c r="AN25" s="60" t="s">
        <v>74</v>
      </c>
      <c r="AO25" s="60" t="s">
        <v>75</v>
      </c>
      <c r="AP25" s="60" t="s">
        <v>175</v>
      </c>
      <c r="AQ25" s="60" t="s">
        <v>176</v>
      </c>
      <c r="AR25" s="60" t="s">
        <v>177</v>
      </c>
      <c r="AS25" s="26" t="s">
        <v>178</v>
      </c>
    </row>
    <row r="26" spans="1:48" x14ac:dyDescent="0.25">
      <c r="A26" s="25"/>
      <c r="B26" s="25"/>
      <c r="C26" s="25"/>
      <c r="D26" s="315"/>
      <c r="E26" s="115">
        <v>2020</v>
      </c>
      <c r="F26" s="115">
        <v>2021</v>
      </c>
      <c r="G26" s="115">
        <v>2022</v>
      </c>
      <c r="H26" s="115">
        <v>2023</v>
      </c>
      <c r="I26" s="115">
        <v>2024</v>
      </c>
      <c r="J26" s="115">
        <v>2025</v>
      </c>
      <c r="K26" s="115">
        <v>2026</v>
      </c>
      <c r="L26" s="115">
        <v>2027</v>
      </c>
      <c r="M26" s="115">
        <v>2028</v>
      </c>
      <c r="N26" s="115">
        <v>2029</v>
      </c>
      <c r="O26" s="115">
        <v>2030</v>
      </c>
      <c r="P26" s="115">
        <v>2031</v>
      </c>
      <c r="Q26" s="115">
        <v>2032</v>
      </c>
      <c r="R26" s="115">
        <v>2033</v>
      </c>
      <c r="S26" s="115">
        <v>2034</v>
      </c>
      <c r="T26" s="115">
        <v>2035</v>
      </c>
      <c r="U26" s="115">
        <v>2036</v>
      </c>
      <c r="V26" s="115">
        <v>2037</v>
      </c>
      <c r="W26" s="115">
        <v>2038</v>
      </c>
      <c r="X26" s="115">
        <v>2039</v>
      </c>
      <c r="Y26" s="115">
        <v>2040</v>
      </c>
      <c r="Z26" s="115">
        <v>2041</v>
      </c>
      <c r="AA26" s="115">
        <v>2042</v>
      </c>
      <c r="AB26" s="115">
        <v>2043</v>
      </c>
      <c r="AC26" s="115">
        <v>2044</v>
      </c>
      <c r="AD26" s="115">
        <v>2045</v>
      </c>
      <c r="AE26" s="115">
        <v>2046</v>
      </c>
      <c r="AF26" s="115">
        <v>2047</v>
      </c>
      <c r="AG26" s="115">
        <v>2048</v>
      </c>
      <c r="AH26" s="115">
        <v>2049</v>
      </c>
      <c r="AI26" s="115">
        <v>2050</v>
      </c>
      <c r="AJ26" s="115">
        <v>2051</v>
      </c>
      <c r="AK26" s="115">
        <v>2052</v>
      </c>
      <c r="AL26" s="115">
        <v>2053</v>
      </c>
      <c r="AM26" s="115">
        <v>2054</v>
      </c>
      <c r="AN26" s="115">
        <v>2055</v>
      </c>
      <c r="AO26" s="115">
        <v>2056</v>
      </c>
      <c r="AP26" s="115">
        <v>2057</v>
      </c>
      <c r="AQ26" s="115">
        <v>2058</v>
      </c>
      <c r="AR26" s="115">
        <v>2059</v>
      </c>
      <c r="AS26" s="115">
        <v>2060</v>
      </c>
    </row>
    <row r="27" spans="1:48" x14ac:dyDescent="0.25">
      <c r="A27" s="308">
        <v>1</v>
      </c>
      <c r="B27" s="25" t="s">
        <v>209</v>
      </c>
      <c r="C27" s="25"/>
      <c r="D27" s="315"/>
      <c r="E27" s="61">
        <f>$F22*$F17</f>
        <v>1338566.3494807165</v>
      </c>
      <c r="F27" s="137">
        <f>$F22*$F17</f>
        <v>1338566.3494807165</v>
      </c>
      <c r="G27" s="137">
        <f t="shared" ref="G27:AR27" si="0">$F22*$F17</f>
        <v>1338566.3494807165</v>
      </c>
      <c r="H27" s="137">
        <f t="shared" si="0"/>
        <v>1338566.3494807165</v>
      </c>
      <c r="I27" s="137">
        <f t="shared" si="0"/>
        <v>1338566.3494807165</v>
      </c>
      <c r="J27" s="137">
        <f t="shared" si="0"/>
        <v>1338566.3494807165</v>
      </c>
      <c r="K27" s="137">
        <f t="shared" si="0"/>
        <v>1338566.3494807165</v>
      </c>
      <c r="L27" s="137">
        <f t="shared" si="0"/>
        <v>1338566.3494807165</v>
      </c>
      <c r="M27" s="137">
        <f t="shared" si="0"/>
        <v>1338566.3494807165</v>
      </c>
      <c r="N27" s="137">
        <f t="shared" si="0"/>
        <v>1338566.3494807165</v>
      </c>
      <c r="O27" s="137">
        <f t="shared" si="0"/>
        <v>1338566.3494807165</v>
      </c>
      <c r="P27" s="137">
        <f t="shared" si="0"/>
        <v>1338566.3494807165</v>
      </c>
      <c r="Q27" s="137">
        <f t="shared" si="0"/>
        <v>1338566.3494807165</v>
      </c>
      <c r="R27" s="137">
        <f t="shared" si="0"/>
        <v>1338566.3494807165</v>
      </c>
      <c r="S27" s="137">
        <f t="shared" si="0"/>
        <v>1338566.3494807165</v>
      </c>
      <c r="T27" s="137">
        <f t="shared" si="0"/>
        <v>1338566.3494807165</v>
      </c>
      <c r="U27" s="137">
        <f t="shared" si="0"/>
        <v>1338566.3494807165</v>
      </c>
      <c r="V27" s="137">
        <f t="shared" si="0"/>
        <v>1338566.3494807165</v>
      </c>
      <c r="W27" s="137">
        <f t="shared" si="0"/>
        <v>1338566.3494807165</v>
      </c>
      <c r="X27" s="137">
        <f t="shared" si="0"/>
        <v>1338566.3494807165</v>
      </c>
      <c r="Y27" s="137">
        <f t="shared" si="0"/>
        <v>1338566.3494807165</v>
      </c>
      <c r="Z27" s="137">
        <f t="shared" si="0"/>
        <v>1338566.3494807165</v>
      </c>
      <c r="AA27" s="137">
        <f t="shared" si="0"/>
        <v>1338566.3494807165</v>
      </c>
      <c r="AB27" s="137">
        <f t="shared" si="0"/>
        <v>1338566.3494807165</v>
      </c>
      <c r="AC27" s="137">
        <f t="shared" si="0"/>
        <v>1338566.3494807165</v>
      </c>
      <c r="AD27" s="137">
        <f t="shared" si="0"/>
        <v>1338566.3494807165</v>
      </c>
      <c r="AE27" s="137">
        <f t="shared" si="0"/>
        <v>1338566.3494807165</v>
      </c>
      <c r="AF27" s="137">
        <f t="shared" si="0"/>
        <v>1338566.3494807165</v>
      </c>
      <c r="AG27" s="137">
        <f t="shared" si="0"/>
        <v>1338566.3494807165</v>
      </c>
      <c r="AH27" s="137">
        <f t="shared" si="0"/>
        <v>1338566.3494807165</v>
      </c>
      <c r="AI27" s="137">
        <f t="shared" si="0"/>
        <v>1338566.3494807165</v>
      </c>
      <c r="AJ27" s="137">
        <f t="shared" si="0"/>
        <v>1338566.3494807165</v>
      </c>
      <c r="AK27" s="137">
        <f t="shared" si="0"/>
        <v>1338566.3494807165</v>
      </c>
      <c r="AL27" s="137">
        <f t="shared" si="0"/>
        <v>1338566.3494807165</v>
      </c>
      <c r="AM27" s="137">
        <f t="shared" si="0"/>
        <v>1338566.3494807165</v>
      </c>
      <c r="AN27" s="137">
        <f t="shared" si="0"/>
        <v>1338566.3494807165</v>
      </c>
      <c r="AO27" s="137">
        <f t="shared" si="0"/>
        <v>1338566.3494807165</v>
      </c>
      <c r="AP27" s="137">
        <f t="shared" si="0"/>
        <v>1338566.3494807165</v>
      </c>
      <c r="AQ27" s="137">
        <f t="shared" si="0"/>
        <v>1338566.3494807165</v>
      </c>
      <c r="AR27" s="137">
        <f t="shared" si="0"/>
        <v>1338566.3494807165</v>
      </c>
      <c r="AS27" s="137">
        <v>0</v>
      </c>
      <c r="AT27" s="137"/>
      <c r="AU27" s="140">
        <f>SUM(D27:AT27)</f>
        <v>53542653.979228713</v>
      </c>
      <c r="AV27" s="45">
        <f>F22</f>
        <v>53737474.610000029</v>
      </c>
    </row>
    <row r="28" spans="1:48" x14ac:dyDescent="0.25">
      <c r="A28" s="25"/>
      <c r="B28" s="25"/>
      <c r="C28" s="25"/>
      <c r="D28" s="315"/>
      <c r="E28" s="61"/>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62"/>
      <c r="AN28" s="137"/>
      <c r="AO28" s="137"/>
      <c r="AP28" s="316"/>
    </row>
    <row r="29" spans="1:48" x14ac:dyDescent="0.25">
      <c r="A29" s="308">
        <f>A27+1</f>
        <v>2</v>
      </c>
      <c r="B29" s="25" t="s">
        <v>54</v>
      </c>
      <c r="C29" s="25"/>
      <c r="D29" s="315"/>
      <c r="E29" s="61">
        <f>E53</f>
        <v>642405.95509900642</v>
      </c>
      <c r="F29" s="137">
        <f t="shared" ref="F29:AT29" si="1">F53</f>
        <v>622085.60924214637</v>
      </c>
      <c r="G29" s="137">
        <f t="shared" si="1"/>
        <v>599763.34521912516</v>
      </c>
      <c r="H29" s="137">
        <f t="shared" si="1"/>
        <v>578153.7558558716</v>
      </c>
      <c r="I29" s="137">
        <f t="shared" si="1"/>
        <v>557203.49314522441</v>
      </c>
      <c r="J29" s="137">
        <f t="shared" si="1"/>
        <v>536863.31277288124</v>
      </c>
      <c r="K29" s="137">
        <f t="shared" si="1"/>
        <v>517087.39016858838</v>
      </c>
      <c r="L29" s="137">
        <f t="shared" si="1"/>
        <v>497833.32050614053</v>
      </c>
      <c r="M29" s="137">
        <f t="shared" si="1"/>
        <v>478870.61303664948</v>
      </c>
      <c r="N29" s="137">
        <f t="shared" si="1"/>
        <v>459949.62644455367</v>
      </c>
      <c r="O29" s="137">
        <f t="shared" si="1"/>
        <v>441028.6398524578</v>
      </c>
      <c r="P29" s="137">
        <f t="shared" si="1"/>
        <v>422107.6532603621</v>
      </c>
      <c r="Q29" s="137">
        <f t="shared" si="1"/>
        <v>403186.66666826617</v>
      </c>
      <c r="R29" s="137">
        <f t="shared" si="1"/>
        <v>384265.68007617048</v>
      </c>
      <c r="S29" s="137">
        <f t="shared" si="1"/>
        <v>365344.69348407455</v>
      </c>
      <c r="T29" s="137">
        <f t="shared" si="1"/>
        <v>346423.70689197874</v>
      </c>
      <c r="U29" s="137">
        <f t="shared" si="1"/>
        <v>327502.72029988293</v>
      </c>
      <c r="V29" s="137">
        <f t="shared" si="1"/>
        <v>308581.73370778706</v>
      </c>
      <c r="W29" s="137">
        <f t="shared" si="1"/>
        <v>289660.74711569125</v>
      </c>
      <c r="X29" s="137">
        <f t="shared" si="1"/>
        <v>270739.76052359538</v>
      </c>
      <c r="Y29" s="137">
        <f t="shared" si="1"/>
        <v>253344.66372606915</v>
      </c>
      <c r="Z29" s="137">
        <f t="shared" si="1"/>
        <v>239000.66256887221</v>
      </c>
      <c r="AA29" s="137">
        <f t="shared" si="1"/>
        <v>226182.55120624483</v>
      </c>
      <c r="AB29" s="137">
        <f t="shared" si="1"/>
        <v>213364.43984361753</v>
      </c>
      <c r="AC29" s="137">
        <f t="shared" si="1"/>
        <v>200546.32848099014</v>
      </c>
      <c r="AD29" s="137">
        <f t="shared" si="1"/>
        <v>187728.21711836278</v>
      </c>
      <c r="AE29" s="137">
        <f t="shared" si="1"/>
        <v>174910.10575573542</v>
      </c>
      <c r="AF29" s="137">
        <f t="shared" si="1"/>
        <v>162091.99439310806</v>
      </c>
      <c r="AG29" s="137">
        <f t="shared" si="1"/>
        <v>149273.88303048071</v>
      </c>
      <c r="AH29" s="137">
        <f t="shared" si="1"/>
        <v>136455.77166785332</v>
      </c>
      <c r="AI29" s="137">
        <f t="shared" si="1"/>
        <v>123637.66030522595</v>
      </c>
      <c r="AJ29" s="137">
        <f t="shared" si="1"/>
        <v>110819.5489425986</v>
      </c>
      <c r="AK29" s="137">
        <f t="shared" si="1"/>
        <v>98001.437579971229</v>
      </c>
      <c r="AL29" s="137">
        <f t="shared" si="1"/>
        <v>85183.326217343871</v>
      </c>
      <c r="AM29" s="137">
        <f t="shared" si="1"/>
        <v>72365.214854716498</v>
      </c>
      <c r="AN29" s="137">
        <f t="shared" si="1"/>
        <v>59547.103492089132</v>
      </c>
      <c r="AO29" s="137">
        <f t="shared" si="1"/>
        <v>46728.992129461767</v>
      </c>
      <c r="AP29" s="137">
        <f t="shared" si="1"/>
        <v>33910.880766834402</v>
      </c>
      <c r="AQ29" s="137">
        <f t="shared" si="1"/>
        <v>21092.769404207036</v>
      </c>
      <c r="AR29" s="137">
        <f t="shared" si="1"/>
        <v>8274.6580415796743</v>
      </c>
      <c r="AS29" s="137">
        <f t="shared" si="1"/>
        <v>1865.6023602659927</v>
      </c>
      <c r="AT29" s="137">
        <f t="shared" si="1"/>
        <v>1865.6023602659927</v>
      </c>
      <c r="AU29" s="140">
        <f>SUM(D29:AT29)</f>
        <v>11655249.837616347</v>
      </c>
    </row>
    <row r="30" spans="1:48" x14ac:dyDescent="0.25">
      <c r="A30" s="25"/>
      <c r="B30" s="25"/>
      <c r="C30" s="25"/>
      <c r="D30" s="315"/>
      <c r="E30" s="61"/>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row>
    <row r="31" spans="1:48" x14ac:dyDescent="0.25">
      <c r="A31" s="25"/>
      <c r="B31" s="25" t="s">
        <v>55</v>
      </c>
      <c r="C31" s="25"/>
      <c r="D31" s="315"/>
      <c r="E31" s="61">
        <f>+E30/0.79</f>
        <v>0</v>
      </c>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row>
    <row r="32" spans="1:48" x14ac:dyDescent="0.25">
      <c r="A32" s="308">
        <f>A29+1</f>
        <v>3</v>
      </c>
      <c r="B32" s="25"/>
      <c r="C32" s="25"/>
      <c r="D32" s="315"/>
      <c r="E32" s="61">
        <f>E49*$F10</f>
        <v>0</v>
      </c>
      <c r="F32" s="137">
        <f t="shared" ref="F32:AT32" si="2">F49*$F10</f>
        <v>0</v>
      </c>
      <c r="G32" s="137">
        <f t="shared" si="2"/>
        <v>0</v>
      </c>
      <c r="H32" s="137">
        <f t="shared" si="2"/>
        <v>0</v>
      </c>
      <c r="I32" s="137">
        <f t="shared" si="2"/>
        <v>0</v>
      </c>
      <c r="J32" s="137">
        <f t="shared" si="2"/>
        <v>0</v>
      </c>
      <c r="K32" s="137">
        <f t="shared" si="2"/>
        <v>0</v>
      </c>
      <c r="L32" s="137">
        <f t="shared" si="2"/>
        <v>0</v>
      </c>
      <c r="M32" s="137">
        <f t="shared" si="2"/>
        <v>0</v>
      </c>
      <c r="N32" s="137">
        <f t="shared" si="2"/>
        <v>0</v>
      </c>
      <c r="O32" s="137">
        <f t="shared" si="2"/>
        <v>0</v>
      </c>
      <c r="P32" s="137">
        <f t="shared" si="2"/>
        <v>0</v>
      </c>
      <c r="Q32" s="137">
        <f t="shared" si="2"/>
        <v>0</v>
      </c>
      <c r="R32" s="137">
        <f t="shared" si="2"/>
        <v>0</v>
      </c>
      <c r="S32" s="137">
        <f t="shared" si="2"/>
        <v>0</v>
      </c>
      <c r="T32" s="137">
        <f t="shared" si="2"/>
        <v>0</v>
      </c>
      <c r="U32" s="137">
        <f t="shared" si="2"/>
        <v>0</v>
      </c>
      <c r="V32" s="137">
        <f t="shared" si="2"/>
        <v>0</v>
      </c>
      <c r="W32" s="137">
        <f t="shared" si="2"/>
        <v>0</v>
      </c>
      <c r="X32" s="137">
        <f t="shared" si="2"/>
        <v>0</v>
      </c>
      <c r="Y32" s="137">
        <f t="shared" si="2"/>
        <v>0</v>
      </c>
      <c r="Z32" s="137">
        <f t="shared" si="2"/>
        <v>0</v>
      </c>
      <c r="AA32" s="137">
        <f t="shared" si="2"/>
        <v>0</v>
      </c>
      <c r="AB32" s="137">
        <f t="shared" si="2"/>
        <v>0</v>
      </c>
      <c r="AC32" s="137">
        <f t="shared" si="2"/>
        <v>0</v>
      </c>
      <c r="AD32" s="137">
        <f t="shared" si="2"/>
        <v>0</v>
      </c>
      <c r="AE32" s="137">
        <f t="shared" si="2"/>
        <v>0</v>
      </c>
      <c r="AF32" s="137">
        <f t="shared" si="2"/>
        <v>0</v>
      </c>
      <c r="AG32" s="137">
        <f t="shared" si="2"/>
        <v>0</v>
      </c>
      <c r="AH32" s="137">
        <f t="shared" si="2"/>
        <v>0</v>
      </c>
      <c r="AI32" s="137">
        <f t="shared" si="2"/>
        <v>0</v>
      </c>
      <c r="AJ32" s="137">
        <f t="shared" si="2"/>
        <v>0</v>
      </c>
      <c r="AK32" s="137">
        <f t="shared" si="2"/>
        <v>0</v>
      </c>
      <c r="AL32" s="137">
        <f t="shared" si="2"/>
        <v>0</v>
      </c>
      <c r="AM32" s="137">
        <f t="shared" si="2"/>
        <v>0</v>
      </c>
      <c r="AN32" s="137">
        <f t="shared" si="2"/>
        <v>0</v>
      </c>
      <c r="AO32" s="137">
        <f t="shared" si="2"/>
        <v>0</v>
      </c>
      <c r="AP32" s="137">
        <f t="shared" si="2"/>
        <v>0</v>
      </c>
      <c r="AQ32" s="137">
        <f t="shared" si="2"/>
        <v>0</v>
      </c>
      <c r="AR32" s="137">
        <f t="shared" si="2"/>
        <v>0</v>
      </c>
      <c r="AS32" s="137">
        <f t="shared" si="2"/>
        <v>0</v>
      </c>
      <c r="AT32" s="137">
        <f t="shared" si="2"/>
        <v>0</v>
      </c>
      <c r="AU32" s="140">
        <f t="shared" ref="AU32:AU42" si="3">SUM(D32:AT32)</f>
        <v>0</v>
      </c>
    </row>
    <row r="33" spans="1:47" x14ac:dyDescent="0.25">
      <c r="A33" s="308">
        <f>A32+1</f>
        <v>4</v>
      </c>
      <c r="B33" s="36"/>
      <c r="C33" s="36" t="s">
        <v>174</v>
      </c>
      <c r="D33" s="315"/>
      <c r="E33" s="61">
        <f>E49*$F11</f>
        <v>1499819.3335576949</v>
      </c>
      <c r="F33" s="137">
        <f t="shared" ref="F33:AT33" si="4">F49*$F11</f>
        <v>1452377.6071247561</v>
      </c>
      <c r="G33" s="137">
        <f t="shared" si="4"/>
        <v>1400262.0205789455</v>
      </c>
      <c r="H33" s="137">
        <f t="shared" si="4"/>
        <v>1349810.3090716084</v>
      </c>
      <c r="I33" s="137">
        <f t="shared" si="4"/>
        <v>1300897.9214962181</v>
      </c>
      <c r="J33" s="137">
        <f t="shared" si="4"/>
        <v>1253409.8876005961</v>
      </c>
      <c r="K33" s="137">
        <f t="shared" si="4"/>
        <v>1207239.2211778541</v>
      </c>
      <c r="L33" s="137">
        <f t="shared" si="4"/>
        <v>1162286.9200663934</v>
      </c>
      <c r="M33" s="137">
        <f t="shared" si="4"/>
        <v>1118014.8596136563</v>
      </c>
      <c r="N33" s="137">
        <f t="shared" si="4"/>
        <v>1073840.2045134592</v>
      </c>
      <c r="O33" s="137">
        <f t="shared" si="4"/>
        <v>1029665.5494132622</v>
      </c>
      <c r="P33" s="137">
        <f t="shared" si="4"/>
        <v>985490.89431306545</v>
      </c>
      <c r="Q33" s="137">
        <f t="shared" si="4"/>
        <v>941316.23921286839</v>
      </c>
      <c r="R33" s="137">
        <f t="shared" si="4"/>
        <v>897141.58411267144</v>
      </c>
      <c r="S33" s="137">
        <f t="shared" si="4"/>
        <v>852966.92901247437</v>
      </c>
      <c r="T33" s="137">
        <f t="shared" si="4"/>
        <v>808792.27391227742</v>
      </c>
      <c r="U33" s="137">
        <f t="shared" si="4"/>
        <v>764617.61881208047</v>
      </c>
      <c r="V33" s="137">
        <f t="shared" si="4"/>
        <v>720442.96371188341</v>
      </c>
      <c r="W33" s="137">
        <f t="shared" si="4"/>
        <v>676268.30861168646</v>
      </c>
      <c r="X33" s="137">
        <f t="shared" si="4"/>
        <v>632093.65351148939</v>
      </c>
      <c r="Y33" s="137">
        <f t="shared" si="4"/>
        <v>591481.47941977112</v>
      </c>
      <c r="Z33" s="137">
        <f t="shared" si="4"/>
        <v>557992.67053595197</v>
      </c>
      <c r="AA33" s="137">
        <f t="shared" si="4"/>
        <v>528066.3426606115</v>
      </c>
      <c r="AB33" s="137">
        <f t="shared" si="4"/>
        <v>498140.0147852712</v>
      </c>
      <c r="AC33" s="137">
        <f t="shared" si="4"/>
        <v>468213.68690993072</v>
      </c>
      <c r="AD33" s="137">
        <f t="shared" si="4"/>
        <v>438287.35903459031</v>
      </c>
      <c r="AE33" s="137">
        <f t="shared" si="4"/>
        <v>408361.03115924983</v>
      </c>
      <c r="AF33" s="137">
        <f t="shared" si="4"/>
        <v>378434.70328390942</v>
      </c>
      <c r="AG33" s="137">
        <f t="shared" si="4"/>
        <v>348508.375408569</v>
      </c>
      <c r="AH33" s="137">
        <f t="shared" si="4"/>
        <v>318582.04753322853</v>
      </c>
      <c r="AI33" s="137">
        <f t="shared" si="4"/>
        <v>288655.71965788811</v>
      </c>
      <c r="AJ33" s="137">
        <f t="shared" si="4"/>
        <v>258729.3917825477</v>
      </c>
      <c r="AK33" s="137">
        <f t="shared" si="4"/>
        <v>228803.06390720728</v>
      </c>
      <c r="AL33" s="137">
        <f t="shared" si="4"/>
        <v>198876.73603186684</v>
      </c>
      <c r="AM33" s="137">
        <f t="shared" si="4"/>
        <v>168950.40815652639</v>
      </c>
      <c r="AN33" s="137">
        <f t="shared" si="4"/>
        <v>139024.08028118595</v>
      </c>
      <c r="AO33" s="137">
        <f t="shared" si="4"/>
        <v>109097.75240584552</v>
      </c>
      <c r="AP33" s="137">
        <f t="shared" si="4"/>
        <v>79171.424530505086</v>
      </c>
      <c r="AQ33" s="137">
        <f t="shared" si="4"/>
        <v>49245.096655164656</v>
      </c>
      <c r="AR33" s="137">
        <f t="shared" si="4"/>
        <v>19318.768779824226</v>
      </c>
      <c r="AS33" s="137">
        <f t="shared" si="4"/>
        <v>4355.6048421540099</v>
      </c>
      <c r="AT33" s="137">
        <f t="shared" si="4"/>
        <v>4355.6048421540099</v>
      </c>
      <c r="AU33" s="140">
        <f t="shared" si="3"/>
        <v>27211405.66202889</v>
      </c>
    </row>
    <row r="34" spans="1:47" x14ac:dyDescent="0.25">
      <c r="A34" s="308">
        <f>A33+1</f>
        <v>5</v>
      </c>
      <c r="B34" s="25"/>
      <c r="C34" s="25" t="s">
        <v>9</v>
      </c>
      <c r="D34" s="315"/>
      <c r="E34" s="63">
        <f>E49*$F12</f>
        <v>2416670.0215629293</v>
      </c>
      <c r="F34" s="135">
        <f t="shared" ref="F34:AT34" si="5">F49*$F12</f>
        <v>2340226.8157204553</v>
      </c>
      <c r="G34" s="135">
        <f t="shared" si="5"/>
        <v>2256252.5843957569</v>
      </c>
      <c r="H34" s="135">
        <f t="shared" si="5"/>
        <v>2174959.3672673269</v>
      </c>
      <c r="I34" s="135">
        <f t="shared" si="5"/>
        <v>2096146.4742129873</v>
      </c>
      <c r="J34" s="135">
        <f t="shared" si="5"/>
        <v>2019628.6528122679</v>
      </c>
      <c r="K34" s="135">
        <f t="shared" si="5"/>
        <v>1945233.5153961184</v>
      </c>
      <c r="L34" s="135">
        <f t="shared" si="5"/>
        <v>1872801.5390469097</v>
      </c>
      <c r="M34" s="135">
        <f t="shared" si="5"/>
        <v>1801465.6395188244</v>
      </c>
      <c r="N34" s="135">
        <f t="shared" si="5"/>
        <v>1730286.6899580827</v>
      </c>
      <c r="O34" s="135">
        <f t="shared" si="5"/>
        <v>1659107.7403973413</v>
      </c>
      <c r="P34" s="135">
        <f t="shared" si="5"/>
        <v>1587928.7908366004</v>
      </c>
      <c r="Q34" s="135">
        <f t="shared" si="5"/>
        <v>1516749.8412758587</v>
      </c>
      <c r="R34" s="135">
        <f t="shared" si="5"/>
        <v>1445570.8917151175</v>
      </c>
      <c r="S34" s="135">
        <f t="shared" si="5"/>
        <v>1374391.9421543758</v>
      </c>
      <c r="T34" s="135">
        <f t="shared" si="5"/>
        <v>1303212.9925936344</v>
      </c>
      <c r="U34" s="135">
        <f t="shared" si="5"/>
        <v>1232034.043032893</v>
      </c>
      <c r="V34" s="135">
        <f t="shared" si="5"/>
        <v>1160855.0934721513</v>
      </c>
      <c r="W34" s="135">
        <f t="shared" si="5"/>
        <v>1089676.1439114101</v>
      </c>
      <c r="X34" s="135">
        <f t="shared" si="5"/>
        <v>1018497.1943506685</v>
      </c>
      <c r="Y34" s="135">
        <f t="shared" si="5"/>
        <v>953058.49687426013</v>
      </c>
      <c r="Z34" s="135">
        <f t="shared" si="5"/>
        <v>899097.73061623366</v>
      </c>
      <c r="AA34" s="135">
        <f t="shared" si="5"/>
        <v>850877.21644254017</v>
      </c>
      <c r="AB34" s="135">
        <f t="shared" si="5"/>
        <v>802656.70226884692</v>
      </c>
      <c r="AC34" s="135">
        <f t="shared" si="5"/>
        <v>754436.18809515343</v>
      </c>
      <c r="AD34" s="135">
        <f t="shared" si="5"/>
        <v>706215.67392146005</v>
      </c>
      <c r="AE34" s="135">
        <f t="shared" si="5"/>
        <v>657995.15974776656</v>
      </c>
      <c r="AF34" s="135">
        <f t="shared" si="5"/>
        <v>609774.64557407319</v>
      </c>
      <c r="AG34" s="135">
        <f t="shared" si="5"/>
        <v>561554.13140037982</v>
      </c>
      <c r="AH34" s="135">
        <f t="shared" si="5"/>
        <v>513333.61722668633</v>
      </c>
      <c r="AI34" s="135">
        <f t="shared" si="5"/>
        <v>465113.1030529929</v>
      </c>
      <c r="AJ34" s="135">
        <f t="shared" si="5"/>
        <v>416892.58887929952</v>
      </c>
      <c r="AK34" s="135">
        <f t="shared" si="5"/>
        <v>368672.07470560609</v>
      </c>
      <c r="AL34" s="135">
        <f t="shared" si="5"/>
        <v>320451.56053191266</v>
      </c>
      <c r="AM34" s="135">
        <f t="shared" si="5"/>
        <v>272231.04635821923</v>
      </c>
      <c r="AN34" s="135">
        <f t="shared" si="5"/>
        <v>224010.5321845258</v>
      </c>
      <c r="AO34" s="135">
        <f t="shared" si="5"/>
        <v>175790.01801083237</v>
      </c>
      <c r="AP34" s="135">
        <f t="shared" si="5"/>
        <v>127569.50383713895</v>
      </c>
      <c r="AQ34" s="135">
        <f t="shared" si="5"/>
        <v>79348.989663445522</v>
      </c>
      <c r="AR34" s="135">
        <f t="shared" si="5"/>
        <v>31128.475489752112</v>
      </c>
      <c r="AS34" s="135">
        <f t="shared" si="5"/>
        <v>7018.2184029054015</v>
      </c>
      <c r="AT34" s="135">
        <f t="shared" si="5"/>
        <v>7018.2184029054015</v>
      </c>
      <c r="AU34" s="140">
        <f t="shared" si="3"/>
        <v>43845939.865318649</v>
      </c>
    </row>
    <row r="35" spans="1:47" x14ac:dyDescent="0.25">
      <c r="A35" s="308">
        <f>A34+1</f>
        <v>6</v>
      </c>
      <c r="B35" s="25"/>
      <c r="C35" s="25" t="s">
        <v>58</v>
      </c>
      <c r="D35" s="315"/>
      <c r="E35" s="61">
        <f>E32+E33+E34</f>
        <v>3916489.3551206244</v>
      </c>
      <c r="F35" s="137">
        <f>F32+F33+F34</f>
        <v>3792604.4228452113</v>
      </c>
      <c r="G35" s="137">
        <f>G32+G33+G34</f>
        <v>3656514.6049747025</v>
      </c>
      <c r="H35" s="137">
        <f t="shared" ref="H35:AT35" si="6">H32+H33+H34</f>
        <v>3524769.6763389353</v>
      </c>
      <c r="I35" s="137">
        <f t="shared" si="6"/>
        <v>3397044.3957092054</v>
      </c>
      <c r="J35" s="137">
        <f t="shared" si="6"/>
        <v>3273038.5404128637</v>
      </c>
      <c r="K35" s="137">
        <f t="shared" si="6"/>
        <v>3152472.7365739727</v>
      </c>
      <c r="L35" s="137">
        <f t="shared" si="6"/>
        <v>3035088.4591133031</v>
      </c>
      <c r="M35" s="137">
        <f t="shared" si="6"/>
        <v>2919480.4991324805</v>
      </c>
      <c r="N35" s="137">
        <f t="shared" si="6"/>
        <v>2804126.894471542</v>
      </c>
      <c r="O35" s="137">
        <f t="shared" si="6"/>
        <v>2688773.2898106035</v>
      </c>
      <c r="P35" s="137">
        <f t="shared" si="6"/>
        <v>2573419.6851496659</v>
      </c>
      <c r="Q35" s="137">
        <f t="shared" si="6"/>
        <v>2458066.080488727</v>
      </c>
      <c r="R35" s="137">
        <f t="shared" si="6"/>
        <v>2342712.4758277889</v>
      </c>
      <c r="S35" s="137">
        <f t="shared" si="6"/>
        <v>2227358.8711668504</v>
      </c>
      <c r="T35" s="137">
        <f t="shared" si="6"/>
        <v>2112005.2665059119</v>
      </c>
      <c r="U35" s="137">
        <f t="shared" si="6"/>
        <v>1996651.6618449735</v>
      </c>
      <c r="V35" s="137">
        <f t="shared" si="6"/>
        <v>1881298.0571840347</v>
      </c>
      <c r="W35" s="137">
        <f t="shared" si="6"/>
        <v>1765944.4525230965</v>
      </c>
      <c r="X35" s="137">
        <f t="shared" si="6"/>
        <v>1650590.847862158</v>
      </c>
      <c r="Y35" s="137">
        <f t="shared" si="6"/>
        <v>1544539.9762940314</v>
      </c>
      <c r="Z35" s="137">
        <f t="shared" si="6"/>
        <v>1457090.4011521856</v>
      </c>
      <c r="AA35" s="137">
        <f t="shared" si="6"/>
        <v>1378943.5591031518</v>
      </c>
      <c r="AB35" s="137">
        <f t="shared" si="6"/>
        <v>1300796.7170541182</v>
      </c>
      <c r="AC35" s="137">
        <f t="shared" si="6"/>
        <v>1222649.8750050841</v>
      </c>
      <c r="AD35" s="137">
        <f t="shared" si="6"/>
        <v>1144503.0329560502</v>
      </c>
      <c r="AE35" s="137">
        <f t="shared" si="6"/>
        <v>1066356.1909070164</v>
      </c>
      <c r="AF35" s="137">
        <f t="shared" si="6"/>
        <v>988209.34885798255</v>
      </c>
      <c r="AG35" s="137">
        <f t="shared" si="6"/>
        <v>910062.50680894882</v>
      </c>
      <c r="AH35" s="137">
        <f t="shared" si="6"/>
        <v>831915.66475991486</v>
      </c>
      <c r="AI35" s="137">
        <f t="shared" si="6"/>
        <v>753768.82271088101</v>
      </c>
      <c r="AJ35" s="137">
        <f t="shared" si="6"/>
        <v>675621.98066184716</v>
      </c>
      <c r="AK35" s="137">
        <f t="shared" si="6"/>
        <v>597475.13861281332</v>
      </c>
      <c r="AL35" s="137">
        <f t="shared" si="6"/>
        <v>519328.29656377947</v>
      </c>
      <c r="AM35" s="137">
        <f t="shared" si="6"/>
        <v>441181.45451474562</v>
      </c>
      <c r="AN35" s="137">
        <f t="shared" si="6"/>
        <v>363034.61246571178</v>
      </c>
      <c r="AO35" s="137">
        <f t="shared" si="6"/>
        <v>284887.77041667787</v>
      </c>
      <c r="AP35" s="137">
        <f t="shared" si="6"/>
        <v>206740.92836764402</v>
      </c>
      <c r="AQ35" s="137">
        <f t="shared" si="6"/>
        <v>128594.08631861018</v>
      </c>
      <c r="AR35" s="137">
        <f t="shared" si="6"/>
        <v>50447.244269576338</v>
      </c>
      <c r="AS35" s="137">
        <f t="shared" si="6"/>
        <v>11373.823245059411</v>
      </c>
      <c r="AT35" s="137">
        <f t="shared" si="6"/>
        <v>11373.823245059411</v>
      </c>
      <c r="AU35" s="140">
        <f t="shared" si="3"/>
        <v>71057345.52734755</v>
      </c>
    </row>
    <row r="36" spans="1:47" x14ac:dyDescent="0.25">
      <c r="A36" s="25"/>
      <c r="B36" s="25"/>
      <c r="C36" s="25"/>
      <c r="D36" s="315"/>
      <c r="E36" s="61"/>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40">
        <f t="shared" si="3"/>
        <v>0</v>
      </c>
    </row>
    <row r="37" spans="1:47" x14ac:dyDescent="0.25">
      <c r="A37" s="308">
        <f>A35+1</f>
        <v>7</v>
      </c>
      <c r="B37" s="25" t="s">
        <v>59</v>
      </c>
      <c r="C37" s="25"/>
      <c r="D37" s="315"/>
      <c r="E37" s="64">
        <f>E27+E29+E35</f>
        <v>5897461.6597003471</v>
      </c>
      <c r="F37" s="134">
        <f>F27+F29+F35</f>
        <v>5753256.3815680742</v>
      </c>
      <c r="G37" s="134">
        <f t="shared" ref="G37:AT37" si="7">G27+G29+G35</f>
        <v>5594844.2996745445</v>
      </c>
      <c r="H37" s="134">
        <f t="shared" si="7"/>
        <v>5441489.7816755231</v>
      </c>
      <c r="I37" s="134">
        <f t="shared" si="7"/>
        <v>5292814.2383351466</v>
      </c>
      <c r="J37" s="134">
        <f t="shared" si="7"/>
        <v>5148468.2026664615</v>
      </c>
      <c r="K37" s="134">
        <f t="shared" si="7"/>
        <v>5008126.4762232779</v>
      </c>
      <c r="L37" s="134">
        <f t="shared" si="7"/>
        <v>4871488.1291001607</v>
      </c>
      <c r="M37" s="134">
        <f t="shared" si="7"/>
        <v>4736917.4616498463</v>
      </c>
      <c r="N37" s="134">
        <f t="shared" si="7"/>
        <v>4602642.8703968124</v>
      </c>
      <c r="O37" s="134">
        <f t="shared" si="7"/>
        <v>4468368.2791437777</v>
      </c>
      <c r="P37" s="134">
        <f t="shared" si="7"/>
        <v>4334093.6878907448</v>
      </c>
      <c r="Q37" s="134">
        <f t="shared" si="7"/>
        <v>4199819.0966377091</v>
      </c>
      <c r="R37" s="134">
        <f t="shared" si="7"/>
        <v>4065544.5053846762</v>
      </c>
      <c r="S37" s="134">
        <f t="shared" si="7"/>
        <v>3931269.9141316414</v>
      </c>
      <c r="T37" s="134">
        <f t="shared" si="7"/>
        <v>3796995.3228786071</v>
      </c>
      <c r="U37" s="134">
        <f t="shared" si="7"/>
        <v>3662720.7316255728</v>
      </c>
      <c r="V37" s="134">
        <f t="shared" si="7"/>
        <v>3528446.140372538</v>
      </c>
      <c r="W37" s="134">
        <f t="shared" si="7"/>
        <v>3394171.5491195042</v>
      </c>
      <c r="X37" s="134">
        <f t="shared" si="7"/>
        <v>3259896.9578664699</v>
      </c>
      <c r="Y37" s="134">
        <f t="shared" si="7"/>
        <v>3136450.9895008169</v>
      </c>
      <c r="Z37" s="134">
        <f t="shared" si="7"/>
        <v>3034657.4132017745</v>
      </c>
      <c r="AA37" s="134">
        <f t="shared" si="7"/>
        <v>2943692.4597901134</v>
      </c>
      <c r="AB37" s="134">
        <f t="shared" si="7"/>
        <v>2852727.5063784523</v>
      </c>
      <c r="AC37" s="134">
        <f t="shared" si="7"/>
        <v>2761762.5529667907</v>
      </c>
      <c r="AD37" s="134">
        <f t="shared" si="7"/>
        <v>2670797.5995551297</v>
      </c>
      <c r="AE37" s="134">
        <f t="shared" si="7"/>
        <v>2579832.6461434681</v>
      </c>
      <c r="AF37" s="134">
        <f t="shared" si="7"/>
        <v>2488867.692731807</v>
      </c>
      <c r="AG37" s="134">
        <f t="shared" si="7"/>
        <v>2397902.7393201459</v>
      </c>
      <c r="AH37" s="134">
        <f t="shared" si="7"/>
        <v>2306937.7859084848</v>
      </c>
      <c r="AI37" s="134">
        <f t="shared" si="7"/>
        <v>2215972.8324968237</v>
      </c>
      <c r="AJ37" s="134">
        <f t="shared" si="7"/>
        <v>2125007.8790851622</v>
      </c>
      <c r="AK37" s="134">
        <f t="shared" si="7"/>
        <v>2034042.9256735011</v>
      </c>
      <c r="AL37" s="134">
        <f t="shared" si="7"/>
        <v>1943077.9722618398</v>
      </c>
      <c r="AM37" s="134">
        <f t="shared" si="7"/>
        <v>1852113.0188501787</v>
      </c>
      <c r="AN37" s="134">
        <f t="shared" si="7"/>
        <v>1761148.0654385174</v>
      </c>
      <c r="AO37" s="134">
        <f t="shared" si="7"/>
        <v>1670183.1120268563</v>
      </c>
      <c r="AP37" s="134">
        <f t="shared" si="7"/>
        <v>1579218.158615195</v>
      </c>
      <c r="AQ37" s="134">
        <f t="shared" si="7"/>
        <v>1488253.2052035339</v>
      </c>
      <c r="AR37" s="134">
        <f t="shared" si="7"/>
        <v>1397288.2517918725</v>
      </c>
      <c r="AS37" s="134">
        <f t="shared" si="7"/>
        <v>13239.425605325405</v>
      </c>
      <c r="AT37" s="134">
        <f t="shared" si="7"/>
        <v>13239.425605325405</v>
      </c>
      <c r="AU37" s="140">
        <f t="shared" si="3"/>
        <v>136255249.34419262</v>
      </c>
    </row>
    <row r="38" spans="1:47" x14ac:dyDescent="0.25">
      <c r="A38" s="308">
        <f>A37+1</f>
        <v>8</v>
      </c>
      <c r="B38" s="25" t="s">
        <v>60</v>
      </c>
      <c r="C38" s="25"/>
      <c r="D38" s="315"/>
      <c r="E38" s="63">
        <f>E37/(1-$F16)-E37</f>
        <v>280782.67005436216</v>
      </c>
      <c r="F38" s="135">
        <f t="shared" ref="F38:AT38" si="8">F37/(1-$F16)-F37</f>
        <v>273916.94622836448</v>
      </c>
      <c r="G38" s="135">
        <f t="shared" si="8"/>
        <v>266374.82558570243</v>
      </c>
      <c r="H38" s="135">
        <f t="shared" si="8"/>
        <v>259073.49943670724</v>
      </c>
      <c r="I38" s="135">
        <f t="shared" si="8"/>
        <v>251994.94285766967</v>
      </c>
      <c r="J38" s="135">
        <f t="shared" si="8"/>
        <v>245122.51745747216</v>
      </c>
      <c r="K38" s="135">
        <f t="shared" si="8"/>
        <v>238440.74028882571</v>
      </c>
      <c r="L38" s="135">
        <f t="shared" si="8"/>
        <v>231935.28384826705</v>
      </c>
      <c r="M38" s="135">
        <f t="shared" si="8"/>
        <v>225528.2712218184</v>
      </c>
      <c r="N38" s="135">
        <f t="shared" si="8"/>
        <v>219135.35501006618</v>
      </c>
      <c r="O38" s="135">
        <f t="shared" si="8"/>
        <v>212742.43879831396</v>
      </c>
      <c r="P38" s="135">
        <f t="shared" si="8"/>
        <v>206349.52258656267</v>
      </c>
      <c r="Q38" s="135">
        <f t="shared" si="8"/>
        <v>199956.60637481045</v>
      </c>
      <c r="R38" s="135">
        <f t="shared" si="8"/>
        <v>193563.69016305823</v>
      </c>
      <c r="S38" s="135">
        <f t="shared" si="8"/>
        <v>187170.77395130554</v>
      </c>
      <c r="T38" s="135">
        <f t="shared" si="8"/>
        <v>180777.85773955379</v>
      </c>
      <c r="U38" s="135">
        <f t="shared" si="8"/>
        <v>174384.94152780157</v>
      </c>
      <c r="V38" s="135">
        <f t="shared" si="8"/>
        <v>167992.02531604934</v>
      </c>
      <c r="W38" s="135">
        <f t="shared" si="8"/>
        <v>161599.10910429712</v>
      </c>
      <c r="X38" s="135">
        <f t="shared" si="8"/>
        <v>155206.1928925449</v>
      </c>
      <c r="Y38" s="135">
        <f t="shared" si="8"/>
        <v>149328.83571665874</v>
      </c>
      <c r="Z38" s="135">
        <f t="shared" si="8"/>
        <v>144482.36552373832</v>
      </c>
      <c r="AA38" s="135">
        <f t="shared" si="8"/>
        <v>140151.45436668396</v>
      </c>
      <c r="AB38" s="135">
        <f t="shared" si="8"/>
        <v>135820.5432096296</v>
      </c>
      <c r="AC38" s="135">
        <f t="shared" si="8"/>
        <v>131489.63205257524</v>
      </c>
      <c r="AD38" s="135">
        <f t="shared" si="8"/>
        <v>127158.72089552088</v>
      </c>
      <c r="AE38" s="135">
        <f t="shared" si="8"/>
        <v>122827.80973846652</v>
      </c>
      <c r="AF38" s="135">
        <f t="shared" si="8"/>
        <v>118496.89858141169</v>
      </c>
      <c r="AG38" s="135">
        <f t="shared" si="8"/>
        <v>114165.98742435733</v>
      </c>
      <c r="AH38" s="135">
        <f t="shared" si="8"/>
        <v>109835.07626730297</v>
      </c>
      <c r="AI38" s="135">
        <f t="shared" si="8"/>
        <v>105504.16511024861</v>
      </c>
      <c r="AJ38" s="135">
        <f t="shared" si="8"/>
        <v>101173.25395319425</v>
      </c>
      <c r="AK38" s="135">
        <f t="shared" si="8"/>
        <v>96842.342796139885</v>
      </c>
      <c r="AL38" s="135">
        <f t="shared" si="8"/>
        <v>92511.431639085291</v>
      </c>
      <c r="AM38" s="135">
        <f t="shared" si="8"/>
        <v>88180.52048203093</v>
      </c>
      <c r="AN38" s="135">
        <f t="shared" si="8"/>
        <v>83849.609324976569</v>
      </c>
      <c r="AO38" s="135">
        <f t="shared" si="8"/>
        <v>79518.698167922208</v>
      </c>
      <c r="AP38" s="135">
        <f t="shared" si="8"/>
        <v>75187.787010867614</v>
      </c>
      <c r="AQ38" s="135">
        <f t="shared" si="8"/>
        <v>70856.875853813253</v>
      </c>
      <c r="AR38" s="135">
        <f t="shared" si="8"/>
        <v>66525.964696758892</v>
      </c>
      <c r="AS38" s="135">
        <f t="shared" si="8"/>
        <v>630.33920116035915</v>
      </c>
      <c r="AT38" s="135">
        <f t="shared" si="8"/>
        <v>630.33920116035915</v>
      </c>
      <c r="AU38" s="140">
        <f t="shared" si="3"/>
        <v>6487216.8616572544</v>
      </c>
    </row>
    <row r="39" spans="1:47" x14ac:dyDescent="0.25">
      <c r="A39" s="308">
        <f>A38+1</f>
        <v>9</v>
      </c>
      <c r="B39" s="25"/>
      <c r="C39" s="25" t="s">
        <v>61</v>
      </c>
      <c r="D39" s="315"/>
      <c r="E39" s="64">
        <f>SUM(E37:E38)</f>
        <v>6178244.3297547093</v>
      </c>
      <c r="F39" s="134">
        <f t="shared" ref="F39:AT39" si="9">SUM(F37:F38)</f>
        <v>6027173.3277964387</v>
      </c>
      <c r="G39" s="134">
        <f t="shared" si="9"/>
        <v>5861219.1252602469</v>
      </c>
      <c r="H39" s="134">
        <f t="shared" si="9"/>
        <v>5700563.2811122304</v>
      </c>
      <c r="I39" s="134">
        <f t="shared" si="9"/>
        <v>5544809.1811928162</v>
      </c>
      <c r="J39" s="134">
        <f t="shared" si="9"/>
        <v>5393590.7201239336</v>
      </c>
      <c r="K39" s="134">
        <f t="shared" si="9"/>
        <v>5246567.2165121036</v>
      </c>
      <c r="L39" s="134">
        <f t="shared" si="9"/>
        <v>5103423.4129484277</v>
      </c>
      <c r="M39" s="134">
        <f t="shared" si="9"/>
        <v>4962445.7328716647</v>
      </c>
      <c r="N39" s="134">
        <f t="shared" si="9"/>
        <v>4821778.2254068786</v>
      </c>
      <c r="O39" s="134">
        <f t="shared" si="9"/>
        <v>4681110.7179420916</v>
      </c>
      <c r="P39" s="134">
        <f t="shared" si="9"/>
        <v>4540443.2104773074</v>
      </c>
      <c r="Q39" s="134">
        <f t="shared" si="9"/>
        <v>4399775.7030125195</v>
      </c>
      <c r="R39" s="134">
        <f t="shared" si="9"/>
        <v>4259108.1955477344</v>
      </c>
      <c r="S39" s="134">
        <f t="shared" si="9"/>
        <v>4118440.6880829469</v>
      </c>
      <c r="T39" s="134">
        <f t="shared" si="9"/>
        <v>3977773.1806181609</v>
      </c>
      <c r="U39" s="134">
        <f t="shared" si="9"/>
        <v>3837105.6731533743</v>
      </c>
      <c r="V39" s="134">
        <f t="shared" si="9"/>
        <v>3696438.1656885874</v>
      </c>
      <c r="W39" s="134">
        <f t="shared" si="9"/>
        <v>3555770.6582238013</v>
      </c>
      <c r="X39" s="134">
        <f t="shared" si="9"/>
        <v>3415103.1507590148</v>
      </c>
      <c r="Y39" s="134">
        <f t="shared" si="9"/>
        <v>3285779.8252174756</v>
      </c>
      <c r="Z39" s="134">
        <f t="shared" si="9"/>
        <v>3179139.7787255128</v>
      </c>
      <c r="AA39" s="134">
        <f t="shared" si="9"/>
        <v>3083843.9141567973</v>
      </c>
      <c r="AB39" s="134">
        <f t="shared" si="9"/>
        <v>2988548.0495880819</v>
      </c>
      <c r="AC39" s="134">
        <f t="shared" si="9"/>
        <v>2893252.185019366</v>
      </c>
      <c r="AD39" s="134">
        <f t="shared" si="9"/>
        <v>2797956.3204506505</v>
      </c>
      <c r="AE39" s="134">
        <f t="shared" si="9"/>
        <v>2702660.4558819346</v>
      </c>
      <c r="AF39" s="134">
        <f t="shared" si="9"/>
        <v>2607364.5913132187</v>
      </c>
      <c r="AG39" s="134">
        <f t="shared" si="9"/>
        <v>2512068.7267445032</v>
      </c>
      <c r="AH39" s="134">
        <f t="shared" si="9"/>
        <v>2416772.8621757878</v>
      </c>
      <c r="AI39" s="134">
        <f t="shared" si="9"/>
        <v>2321476.9976070723</v>
      </c>
      <c r="AJ39" s="134">
        <f t="shared" si="9"/>
        <v>2226181.1330383564</v>
      </c>
      <c r="AK39" s="134">
        <f t="shared" si="9"/>
        <v>2130885.268469641</v>
      </c>
      <c r="AL39" s="134">
        <f t="shared" si="9"/>
        <v>2035589.4039009251</v>
      </c>
      <c r="AM39" s="134">
        <f t="shared" si="9"/>
        <v>1940293.5393322096</v>
      </c>
      <c r="AN39" s="134">
        <f t="shared" si="9"/>
        <v>1844997.6747634939</v>
      </c>
      <c r="AO39" s="134">
        <f t="shared" si="9"/>
        <v>1749701.8101947785</v>
      </c>
      <c r="AP39" s="134">
        <f t="shared" si="9"/>
        <v>1654405.9456260626</v>
      </c>
      <c r="AQ39" s="134">
        <f t="shared" si="9"/>
        <v>1559110.0810573471</v>
      </c>
      <c r="AR39" s="134">
        <f t="shared" si="9"/>
        <v>1463814.2164886314</v>
      </c>
      <c r="AS39" s="134">
        <f t="shared" si="9"/>
        <v>13869.764806485764</v>
      </c>
      <c r="AT39" s="134">
        <f t="shared" si="9"/>
        <v>13869.764806485764</v>
      </c>
      <c r="AU39" s="140">
        <f t="shared" si="3"/>
        <v>142742466.2058498</v>
      </c>
    </row>
    <row r="40" spans="1:47" x14ac:dyDescent="0.25">
      <c r="A40" s="308">
        <f t="shared" ref="A40:A66" si="10">A39+1</f>
        <v>10</v>
      </c>
      <c r="B40" s="25"/>
      <c r="C40" s="25"/>
      <c r="D40" s="315"/>
      <c r="E40" s="6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40">
        <f t="shared" si="3"/>
        <v>0</v>
      </c>
    </row>
    <row r="41" spans="1:47" x14ac:dyDescent="0.25">
      <c r="A41" s="308">
        <f t="shared" si="10"/>
        <v>11</v>
      </c>
      <c r="B41" s="25"/>
      <c r="C41" s="25"/>
      <c r="D41" s="315"/>
      <c r="E41" s="61"/>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40">
        <f t="shared" si="3"/>
        <v>0</v>
      </c>
    </row>
    <row r="42" spans="1:47" x14ac:dyDescent="0.25">
      <c r="A42" s="308">
        <f t="shared" si="10"/>
        <v>12</v>
      </c>
      <c r="B42" s="25" t="s">
        <v>210</v>
      </c>
      <c r="C42" s="25"/>
      <c r="D42" s="315"/>
      <c r="E42" s="63">
        <f>E39</f>
        <v>6178244.3297547093</v>
      </c>
      <c r="F42" s="135">
        <f>F39</f>
        <v>6027173.3277964387</v>
      </c>
      <c r="G42" s="135">
        <f t="shared" ref="G42:AT42" si="11">G39</f>
        <v>5861219.1252602469</v>
      </c>
      <c r="H42" s="135">
        <f t="shared" si="11"/>
        <v>5700563.2811122304</v>
      </c>
      <c r="I42" s="135">
        <f t="shared" si="11"/>
        <v>5544809.1811928162</v>
      </c>
      <c r="J42" s="135">
        <f t="shared" si="11"/>
        <v>5393590.7201239336</v>
      </c>
      <c r="K42" s="135">
        <f t="shared" si="11"/>
        <v>5246567.2165121036</v>
      </c>
      <c r="L42" s="135">
        <f t="shared" si="11"/>
        <v>5103423.4129484277</v>
      </c>
      <c r="M42" s="135">
        <f t="shared" si="11"/>
        <v>4962445.7328716647</v>
      </c>
      <c r="N42" s="135">
        <f t="shared" si="11"/>
        <v>4821778.2254068786</v>
      </c>
      <c r="O42" s="135">
        <f t="shared" si="11"/>
        <v>4681110.7179420916</v>
      </c>
      <c r="P42" s="135">
        <f t="shared" si="11"/>
        <v>4540443.2104773074</v>
      </c>
      <c r="Q42" s="135">
        <f t="shared" si="11"/>
        <v>4399775.7030125195</v>
      </c>
      <c r="R42" s="135">
        <f t="shared" si="11"/>
        <v>4259108.1955477344</v>
      </c>
      <c r="S42" s="135">
        <f t="shared" si="11"/>
        <v>4118440.6880829469</v>
      </c>
      <c r="T42" s="135">
        <f t="shared" si="11"/>
        <v>3977773.1806181609</v>
      </c>
      <c r="U42" s="135">
        <f t="shared" si="11"/>
        <v>3837105.6731533743</v>
      </c>
      <c r="V42" s="135">
        <f t="shared" si="11"/>
        <v>3696438.1656885874</v>
      </c>
      <c r="W42" s="135">
        <f t="shared" si="11"/>
        <v>3555770.6582238013</v>
      </c>
      <c r="X42" s="135">
        <f t="shared" si="11"/>
        <v>3415103.1507590148</v>
      </c>
      <c r="Y42" s="135">
        <f t="shared" si="11"/>
        <v>3285779.8252174756</v>
      </c>
      <c r="Z42" s="135">
        <f t="shared" si="11"/>
        <v>3179139.7787255128</v>
      </c>
      <c r="AA42" s="135">
        <f t="shared" si="11"/>
        <v>3083843.9141567973</v>
      </c>
      <c r="AB42" s="135">
        <f t="shared" si="11"/>
        <v>2988548.0495880819</v>
      </c>
      <c r="AC42" s="135">
        <f t="shared" si="11"/>
        <v>2893252.185019366</v>
      </c>
      <c r="AD42" s="135">
        <f t="shared" si="11"/>
        <v>2797956.3204506505</v>
      </c>
      <c r="AE42" s="135">
        <f t="shared" si="11"/>
        <v>2702660.4558819346</v>
      </c>
      <c r="AF42" s="135">
        <f t="shared" si="11"/>
        <v>2607364.5913132187</v>
      </c>
      <c r="AG42" s="135">
        <f t="shared" si="11"/>
        <v>2512068.7267445032</v>
      </c>
      <c r="AH42" s="135">
        <f t="shared" si="11"/>
        <v>2416772.8621757878</v>
      </c>
      <c r="AI42" s="135">
        <f t="shared" si="11"/>
        <v>2321476.9976070723</v>
      </c>
      <c r="AJ42" s="135">
        <f t="shared" si="11"/>
        <v>2226181.1330383564</v>
      </c>
      <c r="AK42" s="135">
        <f t="shared" si="11"/>
        <v>2130885.268469641</v>
      </c>
      <c r="AL42" s="135">
        <f t="shared" si="11"/>
        <v>2035589.4039009251</v>
      </c>
      <c r="AM42" s="135">
        <f t="shared" si="11"/>
        <v>1940293.5393322096</v>
      </c>
      <c r="AN42" s="135">
        <f t="shared" si="11"/>
        <v>1844997.6747634939</v>
      </c>
      <c r="AO42" s="135">
        <f t="shared" si="11"/>
        <v>1749701.8101947785</v>
      </c>
      <c r="AP42" s="135">
        <f t="shared" si="11"/>
        <v>1654405.9456260626</v>
      </c>
      <c r="AQ42" s="135">
        <f t="shared" si="11"/>
        <v>1559110.0810573471</v>
      </c>
      <c r="AR42" s="135">
        <f t="shared" si="11"/>
        <v>1463814.2164886314</v>
      </c>
      <c r="AS42" s="135">
        <f t="shared" si="11"/>
        <v>13869.764806485764</v>
      </c>
      <c r="AT42" s="135">
        <f t="shared" si="11"/>
        <v>13869.764806485764</v>
      </c>
      <c r="AU42" s="140">
        <f t="shared" si="3"/>
        <v>142742466.2058498</v>
      </c>
    </row>
    <row r="43" spans="1:47" x14ac:dyDescent="0.25">
      <c r="A43" s="308">
        <f t="shared" si="10"/>
        <v>13</v>
      </c>
      <c r="B43" s="25"/>
      <c r="C43" s="25"/>
      <c r="D43" s="315"/>
      <c r="E43" s="116"/>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row>
    <row r="44" spans="1:47" outlineLevel="1" x14ac:dyDescent="0.25">
      <c r="A44" s="308">
        <f t="shared" si="10"/>
        <v>14</v>
      </c>
      <c r="B44" s="25"/>
      <c r="C44" s="25"/>
      <c r="D44" s="315"/>
      <c r="E44" s="66"/>
      <c r="F44" s="315"/>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row>
    <row r="45" spans="1:47" outlineLevel="1" x14ac:dyDescent="0.25">
      <c r="A45" s="308">
        <f t="shared" si="10"/>
        <v>15</v>
      </c>
      <c r="B45" s="25" t="s">
        <v>63</v>
      </c>
      <c r="C45" s="315"/>
      <c r="D45" s="315"/>
      <c r="E45" s="68">
        <f>+E42/$F$22</f>
        <v>0.11497087227476442</v>
      </c>
      <c r="F45" s="136">
        <f t="shared" ref="F45:AT45" si="12">+F42/$F$22</f>
        <v>0.11215959386887227</v>
      </c>
      <c r="G45" s="136">
        <f t="shared" si="12"/>
        <v>0.1090713541676097</v>
      </c>
      <c r="H45" s="136">
        <f t="shared" si="12"/>
        <v>0.10608171155202388</v>
      </c>
      <c r="I45" s="136">
        <f t="shared" si="12"/>
        <v>0.10318328543412757</v>
      </c>
      <c r="J45" s="136">
        <f t="shared" si="12"/>
        <v>0.1003692629634709</v>
      </c>
      <c r="K45" s="136">
        <f t="shared" si="12"/>
        <v>9.7633304404218649E-2</v>
      </c>
      <c r="L45" s="136">
        <f t="shared" si="12"/>
        <v>9.4969543135150034E-2</v>
      </c>
      <c r="M45" s="136">
        <f t="shared" si="12"/>
        <v>9.234609123124296E-2</v>
      </c>
      <c r="N45" s="136">
        <f t="shared" si="12"/>
        <v>8.9728411325633681E-2</v>
      </c>
      <c r="O45" s="136">
        <f t="shared" si="12"/>
        <v>8.7110731420024373E-2</v>
      </c>
      <c r="P45" s="136">
        <f t="shared" si="12"/>
        <v>8.4493051514415121E-2</v>
      </c>
      <c r="Q45" s="136">
        <f t="shared" si="12"/>
        <v>8.1875371608805814E-2</v>
      </c>
      <c r="R45" s="136">
        <f t="shared" si="12"/>
        <v>7.9257691703196548E-2</v>
      </c>
      <c r="S45" s="136">
        <f t="shared" si="12"/>
        <v>7.664001179758724E-2</v>
      </c>
      <c r="T45" s="136">
        <f t="shared" si="12"/>
        <v>7.402233189197796E-2</v>
      </c>
      <c r="U45" s="136">
        <f t="shared" si="12"/>
        <v>7.1404651986368667E-2</v>
      </c>
      <c r="V45" s="136">
        <f t="shared" si="12"/>
        <v>6.8786972080759373E-2</v>
      </c>
      <c r="W45" s="136">
        <f t="shared" si="12"/>
        <v>6.616929217515008E-2</v>
      </c>
      <c r="X45" s="136">
        <f t="shared" si="12"/>
        <v>6.35516122695408E-2</v>
      </c>
      <c r="Y45" s="136">
        <f t="shared" si="12"/>
        <v>6.1145036104953532E-2</v>
      </c>
      <c r="Z45" s="136">
        <f t="shared" si="12"/>
        <v>5.9160572799487408E-2</v>
      </c>
      <c r="AA45" s="136">
        <f t="shared" si="12"/>
        <v>5.7387213235043304E-2</v>
      </c>
      <c r="AB45" s="136">
        <f t="shared" si="12"/>
        <v>5.5613853670599206E-2</v>
      </c>
      <c r="AC45" s="136">
        <f t="shared" si="12"/>
        <v>5.3840494106155101E-2</v>
      </c>
      <c r="AD45" s="136">
        <f t="shared" si="12"/>
        <v>5.2067134541711003E-2</v>
      </c>
      <c r="AE45" s="136">
        <f t="shared" si="12"/>
        <v>5.0293774977266899E-2</v>
      </c>
      <c r="AF45" s="136">
        <f t="shared" si="12"/>
        <v>4.8520415412822787E-2</v>
      </c>
      <c r="AG45" s="136">
        <f t="shared" si="12"/>
        <v>4.6747055848378689E-2</v>
      </c>
      <c r="AH45" s="136">
        <f t="shared" si="12"/>
        <v>4.4973696283934592E-2</v>
      </c>
      <c r="AI45" s="136">
        <f t="shared" si="12"/>
        <v>4.3200336719490494E-2</v>
      </c>
      <c r="AJ45" s="136">
        <f t="shared" si="12"/>
        <v>4.1426977155046389E-2</v>
      </c>
      <c r="AK45" s="136">
        <f t="shared" si="12"/>
        <v>3.9653617590602291E-2</v>
      </c>
      <c r="AL45" s="136">
        <f t="shared" si="12"/>
        <v>3.788025802615818E-2</v>
      </c>
      <c r="AM45" s="136">
        <f t="shared" si="12"/>
        <v>3.6106898461714082E-2</v>
      </c>
      <c r="AN45" s="136">
        <f t="shared" si="12"/>
        <v>3.4333538897269977E-2</v>
      </c>
      <c r="AO45" s="136">
        <f t="shared" si="12"/>
        <v>3.256017933282588E-2</v>
      </c>
      <c r="AP45" s="136">
        <f t="shared" si="12"/>
        <v>3.0786819768381775E-2</v>
      </c>
      <c r="AQ45" s="136">
        <f t="shared" si="12"/>
        <v>2.9013460203937677E-2</v>
      </c>
      <c r="AR45" s="136">
        <f t="shared" si="12"/>
        <v>2.7240100639493572E-2</v>
      </c>
      <c r="AS45" s="136">
        <f t="shared" si="12"/>
        <v>2.5810228164136194E-4</v>
      </c>
      <c r="AT45" s="136">
        <f t="shared" si="12"/>
        <v>2.5810228164136194E-4</v>
      </c>
    </row>
    <row r="46" spans="1:47" outlineLevel="1" x14ac:dyDescent="0.25">
      <c r="A46" s="308">
        <f t="shared" si="10"/>
        <v>16</v>
      </c>
      <c r="B46" s="25"/>
      <c r="C46" s="25"/>
      <c r="D46" s="315"/>
      <c r="E46" s="66"/>
      <c r="F46" s="315"/>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row>
    <row r="47" spans="1:47" outlineLevel="1" x14ac:dyDescent="0.25">
      <c r="A47" s="308">
        <f t="shared" si="10"/>
        <v>17</v>
      </c>
      <c r="B47" s="25"/>
      <c r="C47" s="25"/>
      <c r="D47" s="315"/>
      <c r="E47" s="66">
        <f>+E27/2</f>
        <v>669283.17474035826</v>
      </c>
      <c r="F47" s="134"/>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row>
    <row r="48" spans="1:47" outlineLevel="1" x14ac:dyDescent="0.25">
      <c r="A48" s="308">
        <f t="shared" si="10"/>
        <v>18</v>
      </c>
      <c r="B48" s="25"/>
      <c r="C48" s="25"/>
      <c r="D48" s="315"/>
      <c r="E48" s="66">
        <f>+E60/2</f>
        <v>71041.83958139988</v>
      </c>
      <c r="F48" s="134"/>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row>
    <row r="49" spans="1:47" x14ac:dyDescent="0.25">
      <c r="A49" s="308">
        <f t="shared" si="10"/>
        <v>19</v>
      </c>
      <c r="B49" s="69" t="s">
        <v>64</v>
      </c>
      <c r="C49" s="25"/>
      <c r="D49" s="315"/>
      <c r="E49" s="64">
        <f>F22-E27/2-E60/2</f>
        <v>52997149.59567827</v>
      </c>
      <c r="F49" s="152">
        <f>$F$22-(SUM($E$27:E27)+F27/2)-(SUM($E$60:E60)+F60/2)</f>
        <v>51320763.502641559</v>
      </c>
      <c r="G49" s="152">
        <f>$F$22-(SUM($E$27:F27)+G27/2)-(SUM($E$60:F60)+G60/2)</f>
        <v>49479223.342012212</v>
      </c>
      <c r="H49" s="152">
        <f>$F$22-(SUM($E$27:G27)+H27/2)-(SUM($E$60:G60)+H60/2)</f>
        <v>47696477.352353655</v>
      </c>
      <c r="I49" s="152">
        <f>$F$22-(SUM($E$27:H27)+I27/2)-(SUM($E$60:H60)+I60/2)</f>
        <v>45968124.434495337</v>
      </c>
      <c r="J49" s="152">
        <f>$F$22-(SUM($E$27:I27)+J27/2)-(SUM($E$60:I60)+J60/2)</f>
        <v>44290102.035356753</v>
      </c>
      <c r="K49" s="152">
        <f>$F$22-(SUM($E$27:J27)+K27/2)-(SUM($E$60:J60)+K60/2)</f>
        <v>42658629.723599084</v>
      </c>
      <c r="L49" s="152">
        <f>$F$22-(SUM($E$27:K27)+L27/2)-(SUM($E$60:K60)+L60/2)</f>
        <v>41070209.189625211</v>
      </c>
      <c r="M49" s="152">
        <f>$F$22-(SUM($E$27:L27)+M27/2)-(SUM($E$60:L60)+M60/2)</f>
        <v>39505825.428044394</v>
      </c>
      <c r="N49" s="152">
        <f>$F$22-(SUM($E$27:M27)+N27/2)-(SUM($E$60:M60)+N60/2)</f>
        <v>37944883.551712342</v>
      </c>
      <c r="O49" s="152">
        <f>$F$22-(SUM($E$27:N27)+O27/2)-(SUM($E$60:N60)+O60/2)</f>
        <v>36383941.67538029</v>
      </c>
      <c r="P49" s="152">
        <f>$F$22-(SUM($E$27:O27)+P27/2)-(SUM($E$60:O60)+P60/2)</f>
        <v>34822999.799048252</v>
      </c>
      <c r="Q49" s="152">
        <f>$F$22-(SUM($E$27:P27)+Q27/2)-(SUM($E$60:P60)+Q60/2)</f>
        <v>33262057.9227162</v>
      </c>
      <c r="R49" s="152">
        <f>$F$22-(SUM($E$27:Q27)+R27/2)-(SUM($E$60:Q60)+R60/2)</f>
        <v>31701116.046384152</v>
      </c>
      <c r="S49" s="152">
        <f>$F$22-(SUM($E$27:R27)+S27/2)-(SUM($E$60:R60)+S60/2)</f>
        <v>30140174.1700521</v>
      </c>
      <c r="T49" s="152">
        <f>$F$22-(SUM($E$27:S27)+T27/2)-(SUM($E$60:S60)+T60/2)</f>
        <v>28579232.293720052</v>
      </c>
      <c r="U49" s="152">
        <f>$F$22-(SUM($E$27:T27)+U27/2)-(SUM($E$60:T60)+U60/2)</f>
        <v>27018290.417388003</v>
      </c>
      <c r="V49" s="152">
        <f>$F$22-(SUM($E$27:U27)+V27/2)-(SUM($E$60:U60)+V60/2)</f>
        <v>25457348.541055951</v>
      </c>
      <c r="W49" s="152">
        <f>$F$22-(SUM($E$27:V27)+W27/2)-(SUM($E$60:V60)+W60/2)</f>
        <v>23896406.664723903</v>
      </c>
      <c r="X49" s="152">
        <f>$F$22-(SUM($E$27:W27)+X27/2)-(SUM($E$60:W60)+X60/2)</f>
        <v>22335464.788391851</v>
      </c>
      <c r="Y49" s="152">
        <f>$F$22-(SUM($E$27:X27)+Y27/2)-(SUM($E$60:X60)+Y60/2)</f>
        <v>20900405.633207459</v>
      </c>
      <c r="Z49" s="152">
        <f>$F$22-(SUM($E$27:Y27)+Z27/2)-(SUM($E$60:Y60)+Z60/2)</f>
        <v>19717055.495970037</v>
      </c>
      <c r="AA49" s="152">
        <f>$F$22-(SUM($E$27:Z27)+AA27/2)-(SUM($E$60:Z60)+AA60/2)</f>
        <v>18659588.079880267</v>
      </c>
      <c r="AB49" s="152">
        <f>$F$22-(SUM($E$27:AA27)+AB27/2)-(SUM($E$60:AA60)+AB60/2)</f>
        <v>17602120.663790502</v>
      </c>
      <c r="AC49" s="152">
        <f>$F$22-(SUM($E$27:AB27)+AC27/2)-(SUM($E$60:AB60)+AC60/2)</f>
        <v>16544653.247700732</v>
      </c>
      <c r="AD49" s="152">
        <f>$F$22-(SUM($E$27:AC27)+AD27/2)-(SUM($E$60:AC60)+AD60/2)</f>
        <v>15487185.831610966</v>
      </c>
      <c r="AE49" s="152">
        <f>$F$22-(SUM($E$27:AD27)+AE27/2)-(SUM($E$60:AD60)+AE60/2)</f>
        <v>14429718.415521197</v>
      </c>
      <c r="AF49" s="152">
        <f>$F$22-(SUM($E$27:AE27)+AF27/2)-(SUM($E$60:AE60)+AF60/2)</f>
        <v>13372250.999431429</v>
      </c>
      <c r="AG49" s="152">
        <f>$F$22-(SUM($E$27:AF27)+AG27/2)-(SUM($E$60:AF60)+AG60/2)</f>
        <v>12314783.583341662</v>
      </c>
      <c r="AH49" s="152">
        <f>$F$22-(SUM($E$27:AG27)+AH27/2)-(SUM($E$60:AG60)+AH60/2)</f>
        <v>11257316.167251892</v>
      </c>
      <c r="AI49" s="152">
        <f>$F$22-(SUM($E$27:AH27)+AI27/2)-(SUM($E$60:AH60)+AI60/2)</f>
        <v>10199848.751162125</v>
      </c>
      <c r="AJ49" s="152">
        <f>$F$22-(SUM($E$27:AI27)+AJ27/2)-(SUM($E$60:AI60)+AJ60/2)</f>
        <v>9142381.3350723572</v>
      </c>
      <c r="AK49" s="152">
        <f>$F$22-(SUM($E$27:AJ27)+AK27/2)-(SUM($E$60:AJ60)+AK60/2)</f>
        <v>8084913.9189825896</v>
      </c>
      <c r="AL49" s="152">
        <f>$F$22-(SUM($E$27:AK27)+AL27/2)-(SUM($E$60:AK60)+AL60/2)</f>
        <v>7027446.5028928211</v>
      </c>
      <c r="AM49" s="152">
        <f>$F$22-(SUM($E$27:AL27)+AM27/2)-(SUM($E$60:AL60)+AM60/2)</f>
        <v>5969979.0868030526</v>
      </c>
      <c r="AN49" s="152">
        <f>$F$22-(SUM($E$27:AM27)+AN27/2)-(SUM($E$60:AM60)+AN60/2)</f>
        <v>4912511.670713285</v>
      </c>
      <c r="AO49" s="152">
        <f>$F$22-(SUM($E$27:AN27)+AO27/2)-(SUM($E$60:AN60)+AO60/2)</f>
        <v>3855044.2546235165</v>
      </c>
      <c r="AP49" s="152">
        <f>$F$22-(SUM($E$27:AO27)+AP27/2)-(SUM($E$60:AO60)+AP60/2)</f>
        <v>2797576.8385337489</v>
      </c>
      <c r="AQ49" s="152">
        <f>$F$22-(SUM($E$27:AP27)+AQ27/2)-(SUM($E$60:AP60)+AQ60/2)</f>
        <v>1740109.4224439808</v>
      </c>
      <c r="AR49" s="152">
        <f>$F$22-(SUM($E$27:AQ27)+AR27/2)-(SUM($E$60:AQ60)+AR60/2)</f>
        <v>682642.00635421299</v>
      </c>
      <c r="AS49" s="152">
        <f>$F$22-(SUM($E$27:AR27)+AS27/2)-(SUM($E$60:AR60)+AS60/2)</f>
        <v>153908.29830932897</v>
      </c>
      <c r="AT49" s="152">
        <f>$F$22-(SUM($E$27:AR27)+AT27/2)-(SUM($E$60:AR60)+AT60/2)</f>
        <v>153908.29830932897</v>
      </c>
      <c r="AU49" s="140">
        <f t="shared" ref="AU49:AU60" si="13">SUM(D49:AT49)</f>
        <v>961533768.97628582</v>
      </c>
    </row>
    <row r="50" spans="1:47" x14ac:dyDescent="0.25">
      <c r="A50" s="308">
        <f t="shared" si="10"/>
        <v>20</v>
      </c>
      <c r="B50" s="25"/>
      <c r="C50" s="25"/>
      <c r="D50" s="315"/>
      <c r="E50" s="118"/>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40">
        <f t="shared" si="13"/>
        <v>0</v>
      </c>
    </row>
    <row r="51" spans="1:47" x14ac:dyDescent="0.25">
      <c r="A51" s="308">
        <f t="shared" si="10"/>
        <v>21</v>
      </c>
      <c r="B51" s="25"/>
      <c r="C51" s="25"/>
      <c r="D51" s="315"/>
      <c r="E51" s="61"/>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40">
        <f t="shared" si="13"/>
        <v>0</v>
      </c>
    </row>
    <row r="52" spans="1:47" x14ac:dyDescent="0.25">
      <c r="A52" s="308">
        <f t="shared" si="10"/>
        <v>22</v>
      </c>
      <c r="B52" s="25" t="s">
        <v>65</v>
      </c>
      <c r="C52" s="25"/>
      <c r="D52" s="315"/>
      <c r="E52" s="61">
        <f>(E34)/(1-$F$15)</f>
        <v>3059075.9766619354</v>
      </c>
      <c r="F52" s="137">
        <f t="shared" ref="F52:AT52" si="14">(F34)/(1-$F$15)</f>
        <v>2962312.4249626016</v>
      </c>
      <c r="G52" s="137">
        <f t="shared" si="14"/>
        <v>2856015.929614882</v>
      </c>
      <c r="H52" s="137">
        <f t="shared" si="14"/>
        <v>2753113.1231231983</v>
      </c>
      <c r="I52" s="137">
        <f t="shared" si="14"/>
        <v>2653349.9673582115</v>
      </c>
      <c r="J52" s="137">
        <f t="shared" si="14"/>
        <v>2556491.9655851489</v>
      </c>
      <c r="K52" s="137">
        <f t="shared" si="14"/>
        <v>2462320.9055647068</v>
      </c>
      <c r="L52" s="137">
        <f t="shared" si="14"/>
        <v>2370634.8595530502</v>
      </c>
      <c r="M52" s="137">
        <f t="shared" si="14"/>
        <v>2280336.2525554737</v>
      </c>
      <c r="N52" s="137">
        <f t="shared" si="14"/>
        <v>2190236.3164026365</v>
      </c>
      <c r="O52" s="137">
        <f t="shared" si="14"/>
        <v>2100136.3802497992</v>
      </c>
      <c r="P52" s="137">
        <f t="shared" si="14"/>
        <v>2010036.4440969625</v>
      </c>
      <c r="Q52" s="137">
        <f t="shared" si="14"/>
        <v>1919936.5079441248</v>
      </c>
      <c r="R52" s="137">
        <f t="shared" si="14"/>
        <v>1829836.571791288</v>
      </c>
      <c r="S52" s="137">
        <f t="shared" si="14"/>
        <v>1739736.6356384503</v>
      </c>
      <c r="T52" s="137">
        <f t="shared" si="14"/>
        <v>1649636.699485613</v>
      </c>
      <c r="U52" s="137">
        <f t="shared" si="14"/>
        <v>1559536.7633327758</v>
      </c>
      <c r="V52" s="137">
        <f t="shared" si="14"/>
        <v>1469436.8271799383</v>
      </c>
      <c r="W52" s="137">
        <f t="shared" si="14"/>
        <v>1379336.8910271013</v>
      </c>
      <c r="X52" s="137">
        <f t="shared" si="14"/>
        <v>1289236.9548742638</v>
      </c>
      <c r="Y52" s="137">
        <f t="shared" si="14"/>
        <v>1206403.1606003293</v>
      </c>
      <c r="Z52" s="137">
        <f t="shared" si="14"/>
        <v>1138098.3931851059</v>
      </c>
      <c r="AA52" s="137">
        <f t="shared" si="14"/>
        <v>1077059.7676487849</v>
      </c>
      <c r="AB52" s="137">
        <f t="shared" si="14"/>
        <v>1016021.1421124644</v>
      </c>
      <c r="AC52" s="137">
        <f t="shared" si="14"/>
        <v>954982.51657614356</v>
      </c>
      <c r="AD52" s="137">
        <f t="shared" si="14"/>
        <v>893943.89103982283</v>
      </c>
      <c r="AE52" s="137">
        <f t="shared" si="14"/>
        <v>832905.26550350199</v>
      </c>
      <c r="AF52" s="137">
        <f t="shared" si="14"/>
        <v>771866.63996718125</v>
      </c>
      <c r="AG52" s="137">
        <f t="shared" si="14"/>
        <v>710828.01443086052</v>
      </c>
      <c r="AH52" s="137">
        <f t="shared" si="14"/>
        <v>649789.38889453968</v>
      </c>
      <c r="AI52" s="137">
        <f t="shared" si="14"/>
        <v>588750.76335821883</v>
      </c>
      <c r="AJ52" s="137">
        <f t="shared" si="14"/>
        <v>527712.1378218981</v>
      </c>
      <c r="AK52" s="137">
        <f t="shared" si="14"/>
        <v>466673.51228557731</v>
      </c>
      <c r="AL52" s="137">
        <f t="shared" si="14"/>
        <v>405634.88674925652</v>
      </c>
      <c r="AM52" s="137">
        <f t="shared" si="14"/>
        <v>344596.26121293573</v>
      </c>
      <c r="AN52" s="137">
        <f t="shared" si="14"/>
        <v>283557.63567661494</v>
      </c>
      <c r="AO52" s="137">
        <f t="shared" si="14"/>
        <v>222519.01014029412</v>
      </c>
      <c r="AP52" s="137">
        <f t="shared" si="14"/>
        <v>161480.38460397336</v>
      </c>
      <c r="AQ52" s="137">
        <f t="shared" si="14"/>
        <v>100441.75906765256</v>
      </c>
      <c r="AR52" s="137">
        <f t="shared" si="14"/>
        <v>39403.133531331783</v>
      </c>
      <c r="AS52" s="137">
        <f t="shared" si="14"/>
        <v>8883.820763171394</v>
      </c>
      <c r="AT52" s="137">
        <f t="shared" si="14"/>
        <v>8883.820763171394</v>
      </c>
      <c r="AU52" s="140">
        <f t="shared" si="13"/>
        <v>55501189.702935003</v>
      </c>
    </row>
    <row r="53" spans="1:47" x14ac:dyDescent="0.25">
      <c r="A53" s="308">
        <f t="shared" si="10"/>
        <v>23</v>
      </c>
      <c r="B53" s="25" t="s">
        <v>66</v>
      </c>
      <c r="C53" s="25"/>
      <c r="D53" s="315"/>
      <c r="E53" s="63">
        <f t="shared" ref="E53:AT53" si="15">E52*$F15</f>
        <v>642405.95509900642</v>
      </c>
      <c r="F53" s="135">
        <f t="shared" si="15"/>
        <v>622085.60924214637</v>
      </c>
      <c r="G53" s="135">
        <f t="shared" si="15"/>
        <v>599763.34521912516</v>
      </c>
      <c r="H53" s="135">
        <f t="shared" si="15"/>
        <v>578153.7558558716</v>
      </c>
      <c r="I53" s="135">
        <f t="shared" si="15"/>
        <v>557203.49314522441</v>
      </c>
      <c r="J53" s="135">
        <f t="shared" si="15"/>
        <v>536863.31277288124</v>
      </c>
      <c r="K53" s="135">
        <f t="shared" si="15"/>
        <v>517087.39016858838</v>
      </c>
      <c r="L53" s="135">
        <f t="shared" si="15"/>
        <v>497833.32050614053</v>
      </c>
      <c r="M53" s="135">
        <f t="shared" si="15"/>
        <v>478870.61303664948</v>
      </c>
      <c r="N53" s="135">
        <f t="shared" si="15"/>
        <v>459949.62644455367</v>
      </c>
      <c r="O53" s="135">
        <f t="shared" si="15"/>
        <v>441028.6398524578</v>
      </c>
      <c r="P53" s="135">
        <f t="shared" si="15"/>
        <v>422107.6532603621</v>
      </c>
      <c r="Q53" s="135">
        <f t="shared" si="15"/>
        <v>403186.66666826617</v>
      </c>
      <c r="R53" s="135">
        <f t="shared" si="15"/>
        <v>384265.68007617048</v>
      </c>
      <c r="S53" s="135">
        <f t="shared" si="15"/>
        <v>365344.69348407455</v>
      </c>
      <c r="T53" s="135">
        <f t="shared" si="15"/>
        <v>346423.70689197874</v>
      </c>
      <c r="U53" s="135">
        <f t="shared" si="15"/>
        <v>327502.72029988293</v>
      </c>
      <c r="V53" s="135">
        <f t="shared" si="15"/>
        <v>308581.73370778706</v>
      </c>
      <c r="W53" s="135">
        <f t="shared" si="15"/>
        <v>289660.74711569125</v>
      </c>
      <c r="X53" s="135">
        <f t="shared" si="15"/>
        <v>270739.76052359538</v>
      </c>
      <c r="Y53" s="135">
        <f t="shared" si="15"/>
        <v>253344.66372606915</v>
      </c>
      <c r="Z53" s="135">
        <f t="shared" si="15"/>
        <v>239000.66256887221</v>
      </c>
      <c r="AA53" s="135">
        <f t="shared" si="15"/>
        <v>226182.55120624483</v>
      </c>
      <c r="AB53" s="135">
        <f t="shared" si="15"/>
        <v>213364.43984361753</v>
      </c>
      <c r="AC53" s="135">
        <f t="shared" si="15"/>
        <v>200546.32848099014</v>
      </c>
      <c r="AD53" s="135">
        <f t="shared" si="15"/>
        <v>187728.21711836278</v>
      </c>
      <c r="AE53" s="135">
        <f t="shared" si="15"/>
        <v>174910.10575573542</v>
      </c>
      <c r="AF53" s="135">
        <f t="shared" si="15"/>
        <v>162091.99439310806</v>
      </c>
      <c r="AG53" s="135">
        <f t="shared" si="15"/>
        <v>149273.88303048071</v>
      </c>
      <c r="AH53" s="135">
        <f t="shared" si="15"/>
        <v>136455.77166785332</v>
      </c>
      <c r="AI53" s="135">
        <f t="shared" si="15"/>
        <v>123637.66030522595</v>
      </c>
      <c r="AJ53" s="135">
        <f t="shared" si="15"/>
        <v>110819.5489425986</v>
      </c>
      <c r="AK53" s="135">
        <f t="shared" si="15"/>
        <v>98001.437579971229</v>
      </c>
      <c r="AL53" s="135">
        <f t="shared" si="15"/>
        <v>85183.326217343871</v>
      </c>
      <c r="AM53" s="135">
        <f t="shared" si="15"/>
        <v>72365.214854716498</v>
      </c>
      <c r="AN53" s="135">
        <f t="shared" si="15"/>
        <v>59547.103492089132</v>
      </c>
      <c r="AO53" s="135">
        <f t="shared" si="15"/>
        <v>46728.992129461767</v>
      </c>
      <c r="AP53" s="135">
        <f t="shared" si="15"/>
        <v>33910.880766834402</v>
      </c>
      <c r="AQ53" s="135">
        <f t="shared" si="15"/>
        <v>21092.769404207036</v>
      </c>
      <c r="AR53" s="135">
        <f t="shared" si="15"/>
        <v>8274.6580415796743</v>
      </c>
      <c r="AS53" s="135">
        <f t="shared" si="15"/>
        <v>1865.6023602659927</v>
      </c>
      <c r="AT53" s="135">
        <f t="shared" si="15"/>
        <v>1865.6023602659927</v>
      </c>
      <c r="AU53" s="140">
        <f t="shared" si="13"/>
        <v>11655249.837616347</v>
      </c>
    </row>
    <row r="54" spans="1:47" x14ac:dyDescent="0.25">
      <c r="A54" s="308">
        <f t="shared" si="10"/>
        <v>24</v>
      </c>
      <c r="B54" s="25" t="s">
        <v>67</v>
      </c>
      <c r="C54" s="25"/>
      <c r="D54" s="315"/>
      <c r="E54" s="61">
        <f>E52-E53</f>
        <v>2416670.0215629293</v>
      </c>
      <c r="F54" s="137">
        <f t="shared" ref="F54:AT54" si="16">F52-F53</f>
        <v>2340226.8157204553</v>
      </c>
      <c r="G54" s="137">
        <f t="shared" si="16"/>
        <v>2256252.5843957569</v>
      </c>
      <c r="H54" s="137">
        <f t="shared" si="16"/>
        <v>2174959.3672673265</v>
      </c>
      <c r="I54" s="137">
        <f t="shared" si="16"/>
        <v>2096146.4742129871</v>
      </c>
      <c r="J54" s="137">
        <f t="shared" si="16"/>
        <v>2019628.6528122677</v>
      </c>
      <c r="K54" s="137">
        <f t="shared" si="16"/>
        <v>1945233.5153961184</v>
      </c>
      <c r="L54" s="137">
        <f t="shared" si="16"/>
        <v>1872801.5390469097</v>
      </c>
      <c r="M54" s="137">
        <f t="shared" si="16"/>
        <v>1801465.6395188242</v>
      </c>
      <c r="N54" s="137">
        <f t="shared" si="16"/>
        <v>1730286.6899580827</v>
      </c>
      <c r="O54" s="137">
        <f t="shared" si="16"/>
        <v>1659107.7403973415</v>
      </c>
      <c r="P54" s="137">
        <f t="shared" si="16"/>
        <v>1587928.7908366004</v>
      </c>
      <c r="Q54" s="137">
        <f t="shared" si="16"/>
        <v>1516749.8412758587</v>
      </c>
      <c r="R54" s="137">
        <f t="shared" si="16"/>
        <v>1445570.8917151175</v>
      </c>
      <c r="S54" s="137">
        <f t="shared" si="16"/>
        <v>1374391.9421543758</v>
      </c>
      <c r="T54" s="137">
        <f t="shared" si="16"/>
        <v>1303212.9925936344</v>
      </c>
      <c r="U54" s="137">
        <f t="shared" si="16"/>
        <v>1232034.043032893</v>
      </c>
      <c r="V54" s="137">
        <f t="shared" si="16"/>
        <v>1160855.0934721513</v>
      </c>
      <c r="W54" s="137">
        <f t="shared" si="16"/>
        <v>1089676.1439114101</v>
      </c>
      <c r="X54" s="137">
        <f t="shared" si="16"/>
        <v>1018497.1943506685</v>
      </c>
      <c r="Y54" s="137">
        <f t="shared" si="16"/>
        <v>953058.49687426013</v>
      </c>
      <c r="Z54" s="137">
        <f t="shared" si="16"/>
        <v>899097.73061623366</v>
      </c>
      <c r="AA54" s="137">
        <f t="shared" si="16"/>
        <v>850877.21644254006</v>
      </c>
      <c r="AB54" s="137">
        <f t="shared" si="16"/>
        <v>802656.70226884692</v>
      </c>
      <c r="AC54" s="137">
        <f t="shared" si="16"/>
        <v>754436.18809515343</v>
      </c>
      <c r="AD54" s="137">
        <f t="shared" si="16"/>
        <v>706215.67392146005</v>
      </c>
      <c r="AE54" s="137">
        <f t="shared" si="16"/>
        <v>657995.15974776656</v>
      </c>
      <c r="AF54" s="137">
        <f t="shared" si="16"/>
        <v>609774.64557407319</v>
      </c>
      <c r="AG54" s="137">
        <f t="shared" si="16"/>
        <v>561554.13140037982</v>
      </c>
      <c r="AH54" s="137">
        <f t="shared" si="16"/>
        <v>513333.61722668633</v>
      </c>
      <c r="AI54" s="137">
        <f t="shared" si="16"/>
        <v>465113.1030529929</v>
      </c>
      <c r="AJ54" s="137">
        <f t="shared" si="16"/>
        <v>416892.58887929947</v>
      </c>
      <c r="AK54" s="137">
        <f t="shared" si="16"/>
        <v>368672.07470560609</v>
      </c>
      <c r="AL54" s="137">
        <f t="shared" si="16"/>
        <v>320451.56053191266</v>
      </c>
      <c r="AM54" s="137">
        <f t="shared" si="16"/>
        <v>272231.04635821923</v>
      </c>
      <c r="AN54" s="137">
        <f t="shared" si="16"/>
        <v>224010.5321845258</v>
      </c>
      <c r="AO54" s="137">
        <f t="shared" si="16"/>
        <v>175790.01801083237</v>
      </c>
      <c r="AP54" s="137">
        <f t="shared" si="16"/>
        <v>127569.50383713897</v>
      </c>
      <c r="AQ54" s="137">
        <f t="shared" si="16"/>
        <v>79348.989663445522</v>
      </c>
      <c r="AR54" s="137">
        <f t="shared" si="16"/>
        <v>31128.475489752109</v>
      </c>
      <c r="AS54" s="137">
        <f t="shared" si="16"/>
        <v>7018.2184029054015</v>
      </c>
      <c r="AT54" s="137">
        <f t="shared" si="16"/>
        <v>7018.2184029054015</v>
      </c>
      <c r="AU54" s="140">
        <f t="shared" si="13"/>
        <v>43845939.865318649</v>
      </c>
    </row>
    <row r="55" spans="1:47" x14ac:dyDescent="0.25">
      <c r="A55" s="308">
        <f t="shared" si="10"/>
        <v>25</v>
      </c>
      <c r="B55" s="25"/>
      <c r="C55" s="25"/>
      <c r="D55" s="315"/>
      <c r="E55" s="317"/>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140">
        <f t="shared" si="13"/>
        <v>0</v>
      </c>
    </row>
    <row r="56" spans="1:47" x14ac:dyDescent="0.25">
      <c r="A56" s="308">
        <f t="shared" si="10"/>
        <v>26</v>
      </c>
      <c r="B56" s="25"/>
      <c r="C56" s="25"/>
      <c r="D56" s="315"/>
      <c r="E56" s="118"/>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140">
        <f t="shared" si="13"/>
        <v>0</v>
      </c>
    </row>
    <row r="57" spans="1:47" x14ac:dyDescent="0.25">
      <c r="A57" s="308">
        <f t="shared" si="10"/>
        <v>27</v>
      </c>
      <c r="B57" s="25" t="s">
        <v>68</v>
      </c>
      <c r="C57" s="25"/>
      <c r="D57" s="315"/>
      <c r="E57" s="61">
        <f>E27+E28</f>
        <v>1338566.3494807165</v>
      </c>
      <c r="F57" s="137">
        <f>F27</f>
        <v>1338566.3494807165</v>
      </c>
      <c r="G57" s="137">
        <f>G27</f>
        <v>1338566.3494807165</v>
      </c>
      <c r="H57" s="137">
        <f t="shared" ref="H57:AT57" si="17">H27</f>
        <v>1338566.3494807165</v>
      </c>
      <c r="I57" s="137">
        <f t="shared" si="17"/>
        <v>1338566.3494807165</v>
      </c>
      <c r="J57" s="137">
        <f t="shared" si="17"/>
        <v>1338566.3494807165</v>
      </c>
      <c r="K57" s="137">
        <f t="shared" si="17"/>
        <v>1338566.3494807165</v>
      </c>
      <c r="L57" s="137">
        <f t="shared" si="17"/>
        <v>1338566.3494807165</v>
      </c>
      <c r="M57" s="137">
        <f t="shared" si="17"/>
        <v>1338566.3494807165</v>
      </c>
      <c r="N57" s="137">
        <f t="shared" si="17"/>
        <v>1338566.3494807165</v>
      </c>
      <c r="O57" s="137">
        <f t="shared" si="17"/>
        <v>1338566.3494807165</v>
      </c>
      <c r="P57" s="137">
        <f t="shared" si="17"/>
        <v>1338566.3494807165</v>
      </c>
      <c r="Q57" s="137">
        <f t="shared" si="17"/>
        <v>1338566.3494807165</v>
      </c>
      <c r="R57" s="137">
        <f t="shared" si="17"/>
        <v>1338566.3494807165</v>
      </c>
      <c r="S57" s="137">
        <f t="shared" si="17"/>
        <v>1338566.3494807165</v>
      </c>
      <c r="T57" s="137">
        <f t="shared" si="17"/>
        <v>1338566.3494807165</v>
      </c>
      <c r="U57" s="137">
        <f t="shared" si="17"/>
        <v>1338566.3494807165</v>
      </c>
      <c r="V57" s="137">
        <f t="shared" si="17"/>
        <v>1338566.3494807165</v>
      </c>
      <c r="W57" s="137">
        <f t="shared" si="17"/>
        <v>1338566.3494807165</v>
      </c>
      <c r="X57" s="137">
        <f t="shared" si="17"/>
        <v>1338566.3494807165</v>
      </c>
      <c r="Y57" s="137">
        <f t="shared" si="17"/>
        <v>1338566.3494807165</v>
      </c>
      <c r="Z57" s="137">
        <f t="shared" si="17"/>
        <v>1338566.3494807165</v>
      </c>
      <c r="AA57" s="137">
        <f t="shared" si="17"/>
        <v>1338566.3494807165</v>
      </c>
      <c r="AB57" s="137">
        <f t="shared" si="17"/>
        <v>1338566.3494807165</v>
      </c>
      <c r="AC57" s="137">
        <f t="shared" si="17"/>
        <v>1338566.3494807165</v>
      </c>
      <c r="AD57" s="137">
        <f t="shared" si="17"/>
        <v>1338566.3494807165</v>
      </c>
      <c r="AE57" s="137">
        <f t="shared" si="17"/>
        <v>1338566.3494807165</v>
      </c>
      <c r="AF57" s="137">
        <f t="shared" si="17"/>
        <v>1338566.3494807165</v>
      </c>
      <c r="AG57" s="137">
        <f t="shared" si="17"/>
        <v>1338566.3494807165</v>
      </c>
      <c r="AH57" s="137">
        <f t="shared" si="17"/>
        <v>1338566.3494807165</v>
      </c>
      <c r="AI57" s="137">
        <f t="shared" si="17"/>
        <v>1338566.3494807165</v>
      </c>
      <c r="AJ57" s="137">
        <f t="shared" si="17"/>
        <v>1338566.3494807165</v>
      </c>
      <c r="AK57" s="137">
        <f t="shared" si="17"/>
        <v>1338566.3494807165</v>
      </c>
      <c r="AL57" s="137">
        <f t="shared" si="17"/>
        <v>1338566.3494807165</v>
      </c>
      <c r="AM57" s="137">
        <f t="shared" si="17"/>
        <v>1338566.3494807165</v>
      </c>
      <c r="AN57" s="137">
        <f t="shared" si="17"/>
        <v>1338566.3494807165</v>
      </c>
      <c r="AO57" s="137">
        <f t="shared" si="17"/>
        <v>1338566.3494807165</v>
      </c>
      <c r="AP57" s="137">
        <f t="shared" si="17"/>
        <v>1338566.3494807165</v>
      </c>
      <c r="AQ57" s="137">
        <f t="shared" si="17"/>
        <v>1338566.3494807165</v>
      </c>
      <c r="AR57" s="137">
        <f t="shared" si="17"/>
        <v>1338566.3494807165</v>
      </c>
      <c r="AS57" s="137">
        <f t="shared" si="17"/>
        <v>0</v>
      </c>
      <c r="AT57" s="137">
        <f t="shared" si="17"/>
        <v>0</v>
      </c>
      <c r="AU57" s="140">
        <f t="shared" si="13"/>
        <v>53542653.979228713</v>
      </c>
    </row>
    <row r="58" spans="1:47" x14ac:dyDescent="0.25">
      <c r="A58" s="308">
        <f t="shared" si="10"/>
        <v>28</v>
      </c>
      <c r="B58" s="25" t="s">
        <v>69</v>
      </c>
      <c r="C58" s="25"/>
      <c r="D58" s="315"/>
      <c r="E58" s="61">
        <f>$F22*E62</f>
        <v>2015155.2978750011</v>
      </c>
      <c r="F58" s="137">
        <f t="shared" ref="F58:AT58" si="18">$F22*F62</f>
        <v>3879308.2920959024</v>
      </c>
      <c r="G58" s="137">
        <f t="shared" si="18"/>
        <v>3588051.1797097018</v>
      </c>
      <c r="H58" s="137">
        <f t="shared" si="18"/>
        <v>3319363.8066597017</v>
      </c>
      <c r="I58" s="137">
        <f t="shared" si="18"/>
        <v>3070021.9244693015</v>
      </c>
      <c r="J58" s="137">
        <f t="shared" si="18"/>
        <v>2840025.5331385015</v>
      </c>
      <c r="K58" s="137">
        <f t="shared" si="18"/>
        <v>2626687.7589368015</v>
      </c>
      <c r="L58" s="137">
        <f t="shared" si="18"/>
        <v>2430008.6018642015</v>
      </c>
      <c r="M58" s="137">
        <f t="shared" si="18"/>
        <v>2397766.1170982015</v>
      </c>
      <c r="N58" s="137">
        <f t="shared" si="18"/>
        <v>2397228.7423521015</v>
      </c>
      <c r="O58" s="137">
        <f t="shared" si="18"/>
        <v>2397766.1170982015</v>
      </c>
      <c r="P58" s="137">
        <f t="shared" si="18"/>
        <v>2397228.7423521015</v>
      </c>
      <c r="Q58" s="137">
        <f t="shared" si="18"/>
        <v>2397766.1170982015</v>
      </c>
      <c r="R58" s="137">
        <f t="shared" si="18"/>
        <v>2397228.7423521015</v>
      </c>
      <c r="S58" s="137">
        <f t="shared" si="18"/>
        <v>2397766.1170982015</v>
      </c>
      <c r="T58" s="137">
        <f t="shared" si="18"/>
        <v>2397228.7423521015</v>
      </c>
      <c r="U58" s="137">
        <f t="shared" si="18"/>
        <v>2397766.1170982015</v>
      </c>
      <c r="V58" s="137">
        <f t="shared" si="18"/>
        <v>2397228.7423521015</v>
      </c>
      <c r="W58" s="137">
        <f t="shared" si="18"/>
        <v>2397766.1170982015</v>
      </c>
      <c r="X58" s="137">
        <f t="shared" si="18"/>
        <v>2397228.7423521015</v>
      </c>
      <c r="Y58" s="137">
        <f t="shared" si="18"/>
        <v>1198883.0585491008</v>
      </c>
      <c r="Z58" s="137">
        <f t="shared" si="18"/>
        <v>0</v>
      </c>
      <c r="AA58" s="137">
        <f t="shared" si="18"/>
        <v>0</v>
      </c>
      <c r="AB58" s="137">
        <f t="shared" si="18"/>
        <v>0</v>
      </c>
      <c r="AC58" s="137">
        <f t="shared" si="18"/>
        <v>0</v>
      </c>
      <c r="AD58" s="137">
        <f t="shared" si="18"/>
        <v>0</v>
      </c>
      <c r="AE58" s="137">
        <f t="shared" si="18"/>
        <v>0</v>
      </c>
      <c r="AF58" s="137">
        <f t="shared" si="18"/>
        <v>0</v>
      </c>
      <c r="AG58" s="137">
        <f t="shared" si="18"/>
        <v>0</v>
      </c>
      <c r="AH58" s="137">
        <f t="shared" si="18"/>
        <v>0</v>
      </c>
      <c r="AI58" s="137">
        <f t="shared" si="18"/>
        <v>0</v>
      </c>
      <c r="AJ58" s="137">
        <f t="shared" si="18"/>
        <v>0</v>
      </c>
      <c r="AK58" s="137">
        <f t="shared" si="18"/>
        <v>0</v>
      </c>
      <c r="AL58" s="137">
        <f t="shared" si="18"/>
        <v>0</v>
      </c>
      <c r="AM58" s="137">
        <f t="shared" si="18"/>
        <v>0</v>
      </c>
      <c r="AN58" s="137">
        <f t="shared" si="18"/>
        <v>0</v>
      </c>
      <c r="AO58" s="137">
        <f t="shared" si="18"/>
        <v>0</v>
      </c>
      <c r="AP58" s="137">
        <f t="shared" si="18"/>
        <v>0</v>
      </c>
      <c r="AQ58" s="137">
        <f t="shared" si="18"/>
        <v>0</v>
      </c>
      <c r="AR58" s="137">
        <f t="shared" si="18"/>
        <v>0</v>
      </c>
      <c r="AS58" s="137">
        <f t="shared" si="18"/>
        <v>0</v>
      </c>
      <c r="AT58" s="137">
        <f t="shared" si="18"/>
        <v>0</v>
      </c>
      <c r="AU58" s="140">
        <f t="shared" si="13"/>
        <v>53737474.610000022</v>
      </c>
    </row>
    <row r="59" spans="1:47" x14ac:dyDescent="0.25">
      <c r="A59" s="308">
        <f t="shared" si="10"/>
        <v>29</v>
      </c>
      <c r="B59" s="25" t="s">
        <v>70</v>
      </c>
      <c r="C59" s="25"/>
      <c r="D59" s="315"/>
      <c r="E59" s="61">
        <f>E58-E57</f>
        <v>676588.94839428458</v>
      </c>
      <c r="F59" s="137">
        <f>F58-F57</f>
        <v>2540741.9426151859</v>
      </c>
      <c r="G59" s="137">
        <f>G58-G57</f>
        <v>2249484.8302289853</v>
      </c>
      <c r="H59" s="137">
        <f t="shared" ref="H59:AT59" si="19">H58-H57</f>
        <v>1980797.4571789852</v>
      </c>
      <c r="I59" s="137">
        <f t="shared" si="19"/>
        <v>1731455.574988585</v>
      </c>
      <c r="J59" s="137">
        <f t="shared" si="19"/>
        <v>1501459.1836577849</v>
      </c>
      <c r="K59" s="137">
        <f t="shared" si="19"/>
        <v>1288121.4094560849</v>
      </c>
      <c r="L59" s="137">
        <f t="shared" si="19"/>
        <v>1091442.252383485</v>
      </c>
      <c r="M59" s="137">
        <f t="shared" si="19"/>
        <v>1059199.767617485</v>
      </c>
      <c r="N59" s="137">
        <f t="shared" si="19"/>
        <v>1058662.392871385</v>
      </c>
      <c r="O59" s="137">
        <f t="shared" si="19"/>
        <v>1059199.767617485</v>
      </c>
      <c r="P59" s="137">
        <f t="shared" si="19"/>
        <v>1058662.392871385</v>
      </c>
      <c r="Q59" s="137">
        <f t="shared" si="19"/>
        <v>1059199.767617485</v>
      </c>
      <c r="R59" s="137">
        <f t="shared" si="19"/>
        <v>1058662.392871385</v>
      </c>
      <c r="S59" s="137">
        <f t="shared" si="19"/>
        <v>1059199.767617485</v>
      </c>
      <c r="T59" s="137">
        <f t="shared" si="19"/>
        <v>1058662.392871385</v>
      </c>
      <c r="U59" s="137">
        <f t="shared" si="19"/>
        <v>1059199.767617485</v>
      </c>
      <c r="V59" s="137">
        <f t="shared" si="19"/>
        <v>1058662.392871385</v>
      </c>
      <c r="W59" s="137">
        <f t="shared" si="19"/>
        <v>1059199.767617485</v>
      </c>
      <c r="X59" s="137">
        <f t="shared" si="19"/>
        <v>1058662.392871385</v>
      </c>
      <c r="Y59" s="137">
        <f t="shared" si="19"/>
        <v>-139683.29093161575</v>
      </c>
      <c r="Z59" s="137">
        <f t="shared" si="19"/>
        <v>-1338566.3494807165</v>
      </c>
      <c r="AA59" s="137">
        <f t="shared" si="19"/>
        <v>-1338566.3494807165</v>
      </c>
      <c r="AB59" s="137">
        <f t="shared" si="19"/>
        <v>-1338566.3494807165</v>
      </c>
      <c r="AC59" s="137">
        <f t="shared" si="19"/>
        <v>-1338566.3494807165</v>
      </c>
      <c r="AD59" s="137">
        <f t="shared" si="19"/>
        <v>-1338566.3494807165</v>
      </c>
      <c r="AE59" s="137">
        <f t="shared" si="19"/>
        <v>-1338566.3494807165</v>
      </c>
      <c r="AF59" s="137">
        <f t="shared" si="19"/>
        <v>-1338566.3494807165</v>
      </c>
      <c r="AG59" s="137">
        <f t="shared" si="19"/>
        <v>-1338566.3494807165</v>
      </c>
      <c r="AH59" s="137">
        <f t="shared" si="19"/>
        <v>-1338566.3494807165</v>
      </c>
      <c r="AI59" s="137">
        <f t="shared" si="19"/>
        <v>-1338566.3494807165</v>
      </c>
      <c r="AJ59" s="137">
        <f t="shared" si="19"/>
        <v>-1338566.3494807165</v>
      </c>
      <c r="AK59" s="137">
        <f t="shared" si="19"/>
        <v>-1338566.3494807165</v>
      </c>
      <c r="AL59" s="137">
        <f t="shared" si="19"/>
        <v>-1338566.3494807165</v>
      </c>
      <c r="AM59" s="137">
        <f t="shared" si="19"/>
        <v>-1338566.3494807165</v>
      </c>
      <c r="AN59" s="137">
        <f t="shared" si="19"/>
        <v>-1338566.3494807165</v>
      </c>
      <c r="AO59" s="137">
        <f t="shared" si="19"/>
        <v>-1338566.3494807165</v>
      </c>
      <c r="AP59" s="137">
        <f t="shared" si="19"/>
        <v>-1338566.3494807165</v>
      </c>
      <c r="AQ59" s="137">
        <f t="shared" si="19"/>
        <v>-1338566.3494807165</v>
      </c>
      <c r="AR59" s="137">
        <f t="shared" si="19"/>
        <v>-1338566.3494807165</v>
      </c>
      <c r="AS59" s="137">
        <f t="shared" si="19"/>
        <v>0</v>
      </c>
      <c r="AT59" s="137">
        <f t="shared" si="19"/>
        <v>0</v>
      </c>
      <c r="AU59" s="140">
        <f t="shared" si="13"/>
        <v>194820.63077136315</v>
      </c>
    </row>
    <row r="60" spans="1:47" x14ac:dyDescent="0.25">
      <c r="A60" s="308">
        <f t="shared" si="10"/>
        <v>30</v>
      </c>
      <c r="B60" s="25" t="s">
        <v>71</v>
      </c>
      <c r="C60" s="25"/>
      <c r="D60" s="315"/>
      <c r="E60" s="61">
        <f>E59*F15</f>
        <v>142083.67916279976</v>
      </c>
      <c r="F60" s="137">
        <f t="shared" ref="F60:AT60" si="20">F59*$F$15</f>
        <v>533555.80794918898</v>
      </c>
      <c r="G60" s="137">
        <f t="shared" si="20"/>
        <v>472391.81434808689</v>
      </c>
      <c r="H60" s="137">
        <f t="shared" si="20"/>
        <v>415967.46600758686</v>
      </c>
      <c r="I60" s="137">
        <f t="shared" si="20"/>
        <v>363605.67074760282</v>
      </c>
      <c r="J60" s="137">
        <f t="shared" si="20"/>
        <v>315306.42856813484</v>
      </c>
      <c r="K60" s="137">
        <f t="shared" si="20"/>
        <v>270505.49598577782</v>
      </c>
      <c r="L60" s="137">
        <f t="shared" si="20"/>
        <v>229202.87300053184</v>
      </c>
      <c r="M60" s="137">
        <f t="shared" si="20"/>
        <v>222431.95119967184</v>
      </c>
      <c r="N60" s="137">
        <f t="shared" si="20"/>
        <v>222319.10250299083</v>
      </c>
      <c r="O60" s="137">
        <f t="shared" si="20"/>
        <v>222431.95119967184</v>
      </c>
      <c r="P60" s="137">
        <f t="shared" si="20"/>
        <v>222319.10250299083</v>
      </c>
      <c r="Q60" s="137">
        <f t="shared" si="20"/>
        <v>222431.95119967184</v>
      </c>
      <c r="R60" s="137">
        <f t="shared" si="20"/>
        <v>222319.10250299083</v>
      </c>
      <c r="S60" s="137">
        <f t="shared" si="20"/>
        <v>222431.95119967184</v>
      </c>
      <c r="T60" s="137">
        <f t="shared" si="20"/>
        <v>222319.10250299083</v>
      </c>
      <c r="U60" s="137">
        <f t="shared" si="20"/>
        <v>222431.95119967184</v>
      </c>
      <c r="V60" s="137">
        <f t="shared" si="20"/>
        <v>222319.10250299083</v>
      </c>
      <c r="W60" s="137">
        <f t="shared" si="20"/>
        <v>222431.95119967184</v>
      </c>
      <c r="X60" s="137">
        <f t="shared" si="20"/>
        <v>222319.10250299083</v>
      </c>
      <c r="Y60" s="137">
        <f t="shared" si="20"/>
        <v>-29333.491095639307</v>
      </c>
      <c r="Z60" s="137">
        <f t="shared" si="20"/>
        <v>-281098.93339095043</v>
      </c>
      <c r="AA60" s="137">
        <f t="shared" si="20"/>
        <v>-281098.93339095043</v>
      </c>
      <c r="AB60" s="137">
        <f t="shared" si="20"/>
        <v>-281098.93339095043</v>
      </c>
      <c r="AC60" s="137">
        <f t="shared" si="20"/>
        <v>-281098.93339095043</v>
      </c>
      <c r="AD60" s="137">
        <f t="shared" si="20"/>
        <v>-281098.93339095043</v>
      </c>
      <c r="AE60" s="137">
        <f t="shared" si="20"/>
        <v>-281098.93339095043</v>
      </c>
      <c r="AF60" s="137">
        <f t="shared" si="20"/>
        <v>-281098.93339095043</v>
      </c>
      <c r="AG60" s="137">
        <f t="shared" si="20"/>
        <v>-281098.93339095043</v>
      </c>
      <c r="AH60" s="137">
        <f t="shared" si="20"/>
        <v>-281098.93339095043</v>
      </c>
      <c r="AI60" s="137">
        <f t="shared" si="20"/>
        <v>-281098.93339095043</v>
      </c>
      <c r="AJ60" s="137">
        <f t="shared" si="20"/>
        <v>-281098.93339095043</v>
      </c>
      <c r="AK60" s="137">
        <f t="shared" si="20"/>
        <v>-281098.93339095043</v>
      </c>
      <c r="AL60" s="137">
        <f t="shared" si="20"/>
        <v>-281098.93339095043</v>
      </c>
      <c r="AM60" s="137">
        <f t="shared" si="20"/>
        <v>-281098.93339095043</v>
      </c>
      <c r="AN60" s="137">
        <f t="shared" si="20"/>
        <v>-281098.93339095043</v>
      </c>
      <c r="AO60" s="137">
        <f t="shared" si="20"/>
        <v>-281098.93339095043</v>
      </c>
      <c r="AP60" s="137">
        <f t="shared" si="20"/>
        <v>-281098.93339095043</v>
      </c>
      <c r="AQ60" s="137">
        <f t="shared" si="20"/>
        <v>-281098.93339095043</v>
      </c>
      <c r="AR60" s="137">
        <f t="shared" si="20"/>
        <v>-281098.93339095043</v>
      </c>
      <c r="AS60" s="137">
        <f t="shared" si="20"/>
        <v>0</v>
      </c>
      <c r="AT60" s="137">
        <f t="shared" si="20"/>
        <v>0</v>
      </c>
      <c r="AU60" s="140">
        <f t="shared" si="13"/>
        <v>40912.332461987622</v>
      </c>
    </row>
    <row r="61" spans="1:47" x14ac:dyDescent="0.25">
      <c r="A61" s="308">
        <f t="shared" si="10"/>
        <v>31</v>
      </c>
      <c r="B61" s="25"/>
      <c r="C61" s="25"/>
      <c r="D61" s="315"/>
      <c r="E61" s="11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315"/>
    </row>
    <row r="62" spans="1:47" s="73" customFormat="1" x14ac:dyDescent="0.25">
      <c r="A62" s="308">
        <f t="shared" si="10"/>
        <v>32</v>
      </c>
      <c r="B62" s="25" t="str">
        <f t="shared" ref="B62" si="21">IF($F$18=1,B66,B65)</f>
        <v>MACRS Depreciation - 20</v>
      </c>
      <c r="C62" s="25"/>
      <c r="D62" s="70"/>
      <c r="E62" s="85">
        <f t="shared" ref="E62:Y62" si="22">IF($F$18=1,E66,E65)</f>
        <v>3.7499999999999999E-2</v>
      </c>
      <c r="F62" s="81">
        <f t="shared" si="22"/>
        <v>7.2190000000000004E-2</v>
      </c>
      <c r="G62" s="81">
        <f t="shared" si="22"/>
        <v>6.6769999999999996E-2</v>
      </c>
      <c r="H62" s="84">
        <f t="shared" si="22"/>
        <v>6.1769999999999999E-2</v>
      </c>
      <c r="I62" s="84">
        <f t="shared" si="22"/>
        <v>5.713E-2</v>
      </c>
      <c r="J62" s="84">
        <f t="shared" si="22"/>
        <v>5.2850000000000001E-2</v>
      </c>
      <c r="K62" s="84">
        <f t="shared" si="22"/>
        <v>4.888E-2</v>
      </c>
      <c r="L62" s="84">
        <f t="shared" si="22"/>
        <v>4.5220000000000003E-2</v>
      </c>
      <c r="M62" s="84">
        <f t="shared" si="22"/>
        <v>4.462E-2</v>
      </c>
      <c r="N62" s="84">
        <f t="shared" si="22"/>
        <v>4.4610000000000004E-2</v>
      </c>
      <c r="O62" s="84">
        <f t="shared" si="22"/>
        <v>4.462E-2</v>
      </c>
      <c r="P62" s="84">
        <f t="shared" si="22"/>
        <v>4.4610000000000004E-2</v>
      </c>
      <c r="Q62" s="84">
        <f t="shared" si="22"/>
        <v>4.462E-2</v>
      </c>
      <c r="R62" s="84">
        <f t="shared" si="22"/>
        <v>4.4610000000000004E-2</v>
      </c>
      <c r="S62" s="84">
        <f t="shared" si="22"/>
        <v>4.462E-2</v>
      </c>
      <c r="T62" s="84">
        <f t="shared" si="22"/>
        <v>4.4610000000000004E-2</v>
      </c>
      <c r="U62" s="84">
        <f t="shared" si="22"/>
        <v>4.462E-2</v>
      </c>
      <c r="V62" s="84">
        <f t="shared" si="22"/>
        <v>4.4610000000000004E-2</v>
      </c>
      <c r="W62" s="84">
        <f t="shared" si="22"/>
        <v>4.462E-2</v>
      </c>
      <c r="X62" s="84">
        <f t="shared" si="22"/>
        <v>4.4610000000000004E-2</v>
      </c>
      <c r="Y62" s="84">
        <f t="shared" si="22"/>
        <v>2.231E-2</v>
      </c>
      <c r="Z62" s="71"/>
      <c r="AA62" s="71"/>
      <c r="AB62" s="71"/>
      <c r="AC62" s="71"/>
      <c r="AD62" s="71"/>
      <c r="AE62" s="71"/>
      <c r="AF62" s="71"/>
      <c r="AG62" s="71"/>
      <c r="AH62" s="71"/>
      <c r="AI62" s="71"/>
      <c r="AJ62" s="71"/>
      <c r="AK62" s="71"/>
      <c r="AL62" s="71"/>
      <c r="AM62" s="71"/>
      <c r="AN62" s="71"/>
      <c r="AO62" s="71"/>
      <c r="AP62" s="70"/>
    </row>
    <row r="63" spans="1:47" outlineLevel="1" x14ac:dyDescent="0.35">
      <c r="A63" s="308">
        <f t="shared" si="10"/>
        <v>33</v>
      </c>
      <c r="B63" s="25"/>
      <c r="C63" s="318"/>
      <c r="E63" s="319"/>
      <c r="F63" s="320"/>
      <c r="G63" s="320"/>
      <c r="H63" s="320"/>
      <c r="I63" s="320"/>
      <c r="J63" s="320"/>
      <c r="K63" s="320"/>
      <c r="L63" s="320"/>
      <c r="M63" s="321"/>
      <c r="N63" s="321"/>
      <c r="O63" s="321"/>
      <c r="P63" s="321"/>
      <c r="Q63" s="321"/>
      <c r="R63" s="321"/>
      <c r="S63" s="321"/>
      <c r="T63" s="321"/>
      <c r="U63" s="321"/>
      <c r="V63" s="321"/>
      <c r="W63" s="321"/>
      <c r="X63" s="321"/>
      <c r="Y63" s="321"/>
      <c r="Z63" s="315"/>
      <c r="AA63" s="315"/>
      <c r="AB63" s="315"/>
      <c r="AC63" s="315"/>
      <c r="AD63" s="315"/>
      <c r="AE63" s="315"/>
      <c r="AF63" s="315"/>
      <c r="AG63" s="315"/>
      <c r="AH63" s="315"/>
      <c r="AI63" s="315"/>
      <c r="AJ63" s="315"/>
      <c r="AK63" s="315"/>
      <c r="AL63" s="315"/>
      <c r="AM63" s="315"/>
      <c r="AN63" s="315"/>
      <c r="AO63" s="26"/>
    </row>
    <row r="64" spans="1:47" outlineLevel="1" x14ac:dyDescent="0.35">
      <c r="A64" s="308">
        <f t="shared" si="10"/>
        <v>34</v>
      </c>
      <c r="B64" s="25"/>
      <c r="C64" s="318"/>
      <c r="E64" s="319"/>
      <c r="F64" s="320"/>
      <c r="G64" s="320"/>
      <c r="H64" s="320"/>
      <c r="I64" s="320"/>
      <c r="J64" s="320"/>
      <c r="K64" s="320"/>
      <c r="L64" s="320"/>
      <c r="M64" s="321"/>
      <c r="N64" s="321"/>
      <c r="O64" s="321"/>
      <c r="P64" s="321"/>
      <c r="Q64" s="321"/>
      <c r="R64" s="321"/>
      <c r="S64" s="321"/>
      <c r="T64" s="321"/>
      <c r="U64" s="321"/>
      <c r="V64" s="321"/>
      <c r="W64" s="321"/>
      <c r="X64" s="321"/>
      <c r="Y64" s="321"/>
      <c r="Z64" s="315"/>
      <c r="AA64" s="315"/>
      <c r="AB64" s="315"/>
      <c r="AC64" s="315"/>
      <c r="AD64" s="315"/>
      <c r="AE64" s="315"/>
      <c r="AF64" s="315"/>
      <c r="AG64" s="315"/>
      <c r="AH64" s="315"/>
      <c r="AI64" s="315"/>
      <c r="AJ64" s="315"/>
      <c r="AK64" s="315"/>
      <c r="AL64" s="315"/>
      <c r="AM64" s="315"/>
      <c r="AN64" s="315"/>
      <c r="AO64" s="26"/>
    </row>
    <row r="65" spans="1:42" s="73" customFormat="1" x14ac:dyDescent="0.35">
      <c r="A65" s="308">
        <f t="shared" si="10"/>
        <v>35</v>
      </c>
      <c r="B65" s="25" t="s">
        <v>72</v>
      </c>
      <c r="C65" s="25"/>
      <c r="D65" s="74">
        <v>0</v>
      </c>
      <c r="E65" s="82">
        <f>'MACRS 20'!B5</f>
        <v>3.7499999999999999E-2</v>
      </c>
      <c r="F65" s="81">
        <f>'MACRS 20'!C5</f>
        <v>7.2190000000000004E-2</v>
      </c>
      <c r="G65" s="81">
        <f>'MACRS 20'!D5</f>
        <v>6.6769999999999996E-2</v>
      </c>
      <c r="H65" s="83">
        <f>'MACRS 20'!E5</f>
        <v>6.1769999999999999E-2</v>
      </c>
      <c r="I65" s="83">
        <f>'MACRS 20'!F5</f>
        <v>5.713E-2</v>
      </c>
      <c r="J65" s="83">
        <f>'MACRS 20'!G5</f>
        <v>5.2850000000000001E-2</v>
      </c>
      <c r="K65" s="83">
        <f>'MACRS 20'!H5</f>
        <v>4.888E-2</v>
      </c>
      <c r="L65" s="83">
        <f>'MACRS 20'!I5</f>
        <v>4.5220000000000003E-2</v>
      </c>
      <c r="M65" s="83">
        <f>'MACRS 20'!J5</f>
        <v>4.462E-2</v>
      </c>
      <c r="N65" s="83">
        <f>'MACRS 20'!K5</f>
        <v>4.4610000000000004E-2</v>
      </c>
      <c r="O65" s="83">
        <f>'MACRS 20'!L5</f>
        <v>4.462E-2</v>
      </c>
      <c r="P65" s="83">
        <f>'MACRS 20'!M5</f>
        <v>4.4610000000000004E-2</v>
      </c>
      <c r="Q65" s="83">
        <f>'MACRS 20'!N5</f>
        <v>4.462E-2</v>
      </c>
      <c r="R65" s="83">
        <f>'MACRS 20'!O5</f>
        <v>4.4610000000000004E-2</v>
      </c>
      <c r="S65" s="83">
        <f>'MACRS 20'!P5</f>
        <v>4.462E-2</v>
      </c>
      <c r="T65" s="83">
        <f>'MACRS 20'!Q5</f>
        <v>4.4610000000000004E-2</v>
      </c>
      <c r="U65" s="83">
        <f>'MACRS 20'!R5</f>
        <v>4.462E-2</v>
      </c>
      <c r="V65" s="83">
        <f>'MACRS 20'!S5</f>
        <v>4.4610000000000004E-2</v>
      </c>
      <c r="W65" s="83">
        <f>'MACRS 20'!T5</f>
        <v>4.462E-2</v>
      </c>
      <c r="X65" s="83">
        <f>'MACRS 20'!U5</f>
        <v>4.4610000000000004E-2</v>
      </c>
      <c r="Y65" s="83">
        <f>'MACRS 20'!V5</f>
        <v>2.231E-2</v>
      </c>
      <c r="Z65" s="75"/>
      <c r="AA65" s="71"/>
      <c r="AB65" s="71"/>
      <c r="AC65" s="71"/>
      <c r="AD65" s="71"/>
      <c r="AE65" s="71"/>
      <c r="AF65" s="71"/>
      <c r="AG65" s="71"/>
      <c r="AH65" s="71"/>
      <c r="AI65" s="71"/>
      <c r="AJ65" s="71"/>
      <c r="AK65" s="71"/>
      <c r="AL65" s="71"/>
      <c r="AM65" s="71"/>
      <c r="AN65" s="70"/>
      <c r="AP65" s="76"/>
    </row>
    <row r="66" spans="1:42" x14ac:dyDescent="0.25">
      <c r="A66" s="308">
        <f t="shared" si="10"/>
        <v>36</v>
      </c>
      <c r="B66" s="25" t="s">
        <v>73</v>
      </c>
      <c r="C66" s="25"/>
      <c r="D66" s="74">
        <v>0</v>
      </c>
      <c r="E66" s="82">
        <f>'MACRS 20'!B6</f>
        <v>0.51875000000000004</v>
      </c>
      <c r="F66" s="81">
        <f>'MACRS 20'!C6</f>
        <v>3.6095000000000002E-2</v>
      </c>
      <c r="G66" s="81">
        <f>'MACRS 20'!D6</f>
        <v>3.3384999999999998E-2</v>
      </c>
      <c r="H66" s="84">
        <f>'MACRS 20'!E6</f>
        <v>3.0884999999999999E-2</v>
      </c>
      <c r="I66" s="84">
        <f>'MACRS 20'!F6</f>
        <v>2.8565E-2</v>
      </c>
      <c r="J66" s="84">
        <f>'MACRS 20'!G6</f>
        <v>2.6425000000000001E-2</v>
      </c>
      <c r="K66" s="84">
        <f>'MACRS 20'!H6</f>
        <v>2.444E-2</v>
      </c>
      <c r="L66" s="84">
        <f>'MACRS 20'!I6</f>
        <v>2.2610000000000002E-2</v>
      </c>
      <c r="M66" s="84">
        <f>'MACRS 20'!J6</f>
        <v>2.231E-2</v>
      </c>
      <c r="N66" s="84">
        <f>'MACRS 20'!K6</f>
        <v>2.2305000000000002E-2</v>
      </c>
      <c r="O66" s="84">
        <f>'MACRS 20'!L6</f>
        <v>2.231E-2</v>
      </c>
      <c r="P66" s="84">
        <f>'MACRS 20'!M6</f>
        <v>2.2305000000000002E-2</v>
      </c>
      <c r="Q66" s="84">
        <f>'MACRS 20'!N6</f>
        <v>2.231E-2</v>
      </c>
      <c r="R66" s="84">
        <f>'MACRS 20'!O6</f>
        <v>2.2305000000000002E-2</v>
      </c>
      <c r="S66" s="84">
        <f>'MACRS 20'!P6</f>
        <v>2.231E-2</v>
      </c>
      <c r="T66" s="84">
        <f>'MACRS 20'!Q6</f>
        <v>2.2305000000000002E-2</v>
      </c>
      <c r="U66" s="84">
        <f>'MACRS 20'!R6</f>
        <v>2.231E-2</v>
      </c>
      <c r="V66" s="84">
        <f>'MACRS 20'!S6</f>
        <v>2.2305000000000002E-2</v>
      </c>
      <c r="W66" s="84">
        <f>'MACRS 20'!T6</f>
        <v>2.231E-2</v>
      </c>
      <c r="X66" s="84">
        <f>'MACRS 20'!U6</f>
        <v>2.2305000000000002E-2</v>
      </c>
      <c r="Y66" s="84">
        <f>'MACRS 20'!V6</f>
        <v>1.1155E-2</v>
      </c>
      <c r="Z66" s="72"/>
      <c r="AA66" s="72"/>
      <c r="AB66" s="77"/>
      <c r="AC66" s="77"/>
      <c r="AD66" s="77"/>
      <c r="AE66" s="77"/>
      <c r="AF66" s="77"/>
      <c r="AG66" s="77"/>
      <c r="AH66" s="77"/>
      <c r="AI66" s="77"/>
      <c r="AJ66" s="77"/>
      <c r="AK66" s="77"/>
      <c r="AL66" s="77"/>
      <c r="AM66" s="77"/>
      <c r="AN66" s="315"/>
      <c r="AO66" s="26"/>
      <c r="AP66" s="76">
        <f>SUM(D66:AO66)</f>
        <v>1.0000000000000004</v>
      </c>
    </row>
    <row r="69" spans="1:42" x14ac:dyDescent="0.35">
      <c r="B69" s="78"/>
    </row>
  </sheetData>
  <mergeCells count="1">
    <mergeCell ref="E1:F1"/>
  </mergeCells>
  <printOptions horizontalCentered="1"/>
  <pageMargins left="0.75" right="0.5" top="0.5" bottom="0.5" header="0.5" footer="0.25"/>
  <pageSetup scale="15"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90" zoomScaleNormal="90" workbookViewId="0">
      <pane xSplit="4" ySplit="26" topLeftCell="E29" activePane="bottomRight" state="frozen"/>
      <selection activeCell="H14" sqref="H14:L18"/>
      <selection pane="topRight" activeCell="H14" sqref="H14:L18"/>
      <selection pane="bottomLeft" activeCell="H14" sqref="H14:L18"/>
      <selection pane="bottomRight" activeCell="B1" sqref="B1"/>
    </sheetView>
  </sheetViews>
  <sheetFormatPr defaultColWidth="10.26953125" defaultRowHeight="14.5" outlineLevelRow="1" outlineLevelCol="1" x14ac:dyDescent="0.25"/>
  <cols>
    <col min="1" max="1" width="5.7265625" style="57" customWidth="1"/>
    <col min="2" max="2" width="7.453125" style="57" customWidth="1"/>
    <col min="3" max="3" width="26.453125" style="57" customWidth="1"/>
    <col min="4" max="4" width="15.54296875" style="26" customWidth="1"/>
    <col min="5" max="5" width="16.7265625" style="79" customWidth="1"/>
    <col min="6" max="6" width="13.453125" style="79" customWidth="1"/>
    <col min="7" max="7" width="14.54296875" style="79" bestFit="1" customWidth="1"/>
    <col min="8" max="8" width="12.54296875" style="79" customWidth="1"/>
    <col min="9" max="9" width="14.26953125" style="79" bestFit="1" customWidth="1"/>
    <col min="10" max="25" width="12.81640625" style="79" bestFit="1" customWidth="1"/>
    <col min="26" max="38" width="12.26953125" style="79" bestFit="1" customWidth="1"/>
    <col min="39" max="39" width="17" style="79" customWidth="1" outlineLevel="1"/>
    <col min="40" max="40" width="13" style="79" customWidth="1" outlineLevel="1"/>
    <col min="41" max="41" width="14.26953125" style="79" customWidth="1" outlineLevel="1"/>
    <col min="42" max="42" width="12.7265625" style="26" bestFit="1" customWidth="1"/>
    <col min="43" max="43" width="12.26953125" style="26" customWidth="1"/>
    <col min="44" max="45" width="14" style="26" customWidth="1"/>
    <col min="46" max="46" width="14.26953125" style="26" bestFit="1" customWidth="1"/>
    <col min="47" max="47" width="16.54296875" style="26" customWidth="1"/>
    <col min="48" max="48" width="15" style="26" bestFit="1" customWidth="1"/>
    <col min="49" max="16384" width="10.26953125" style="26"/>
  </cols>
  <sheetData>
    <row r="1" spans="1:41" ht="11.5" customHeight="1" x14ac:dyDescent="0.35">
      <c r="A1" s="24" t="s">
        <v>0</v>
      </c>
      <c r="B1" s="25"/>
      <c r="C1" s="25"/>
      <c r="E1" s="645"/>
      <c r="F1" s="645"/>
      <c r="G1" s="26"/>
      <c r="H1" s="27"/>
      <c r="I1" s="28"/>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row>
    <row r="2" spans="1:41" ht="11.5" customHeight="1" x14ac:dyDescent="0.35">
      <c r="A2" s="29" t="s">
        <v>1</v>
      </c>
      <c r="B2" s="25"/>
      <c r="C2" s="25"/>
      <c r="E2" s="26"/>
      <c r="F2" s="28"/>
      <c r="G2" s="28"/>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41" ht="12.75" customHeight="1" x14ac:dyDescent="0.35">
      <c r="A3" s="29" t="s">
        <v>2</v>
      </c>
      <c r="B3" s="25"/>
      <c r="C3" s="308" t="s">
        <v>201</v>
      </c>
      <c r="D3" s="315" t="s">
        <v>3</v>
      </c>
      <c r="E3" s="26"/>
      <c r="F3" s="28"/>
      <c r="G3" s="28"/>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row>
    <row r="4" spans="1:41" ht="11.5" customHeight="1" thickBot="1" x14ac:dyDescent="0.3">
      <c r="A4" s="25"/>
      <c r="B4" s="25"/>
      <c r="C4" s="25"/>
      <c r="E4" s="26"/>
      <c r="F4" s="28"/>
      <c r="G4" s="28"/>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row>
    <row r="5" spans="1:41" x14ac:dyDescent="0.25">
      <c r="A5" s="30" t="s">
        <v>4</v>
      </c>
      <c r="B5" s="31"/>
      <c r="C5" s="31"/>
      <c r="D5" s="32"/>
      <c r="E5" s="32"/>
      <c r="F5" s="33"/>
      <c r="G5" s="228"/>
      <c r="H5" s="26"/>
      <c r="I5" s="26"/>
      <c r="J5" s="26"/>
      <c r="K5" s="26"/>
      <c r="L5" s="26"/>
      <c r="M5" s="26"/>
      <c r="N5" s="45"/>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row>
    <row r="6" spans="1:41" x14ac:dyDescent="0.25">
      <c r="A6" s="35"/>
      <c r="B6" s="36"/>
      <c r="C6" s="36"/>
      <c r="D6" s="229" t="s">
        <v>197</v>
      </c>
      <c r="E6" s="148"/>
      <c r="F6" s="149" t="s">
        <v>262</v>
      </c>
      <c r="G6" s="230" t="s">
        <v>263</v>
      </c>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row>
    <row r="7" spans="1:41" x14ac:dyDescent="0.25">
      <c r="A7" s="35"/>
      <c r="B7" s="36"/>
      <c r="C7" s="36"/>
      <c r="D7" s="39"/>
      <c r="E7" s="39"/>
      <c r="F7" s="40" t="s">
        <v>5</v>
      </c>
      <c r="G7" s="231" t="s">
        <v>5</v>
      </c>
      <c r="H7" s="26"/>
      <c r="I7" s="26"/>
      <c r="J7" s="26"/>
      <c r="K7" s="26"/>
      <c r="L7" s="26"/>
      <c r="M7" s="150"/>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row>
    <row r="8" spans="1:41" ht="18.75" customHeight="1" x14ac:dyDescent="0.25">
      <c r="A8" s="35" t="s">
        <v>6</v>
      </c>
      <c r="B8" s="36"/>
      <c r="C8" s="36"/>
      <c r="D8" s="42" t="s">
        <v>7</v>
      </c>
      <c r="E8" s="42" t="s">
        <v>8</v>
      </c>
      <c r="F8" s="43" t="s">
        <v>8</v>
      </c>
      <c r="G8" s="232" t="s">
        <v>8</v>
      </c>
      <c r="H8" s="26"/>
      <c r="I8" s="26"/>
      <c r="J8" s="26"/>
      <c r="K8" s="26"/>
      <c r="L8" s="26"/>
      <c r="M8" s="141"/>
      <c r="N8" s="45"/>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41" ht="11.5" customHeight="1" x14ac:dyDescent="0.25">
      <c r="A9" s="35"/>
      <c r="B9" s="36"/>
      <c r="C9" s="36"/>
      <c r="D9" s="37"/>
      <c r="E9" s="37"/>
      <c r="F9" s="44"/>
      <c r="G9" s="233"/>
      <c r="H9" s="26"/>
      <c r="I9" s="26"/>
      <c r="J9" s="26"/>
      <c r="K9" s="26"/>
      <c r="L9" s="26"/>
      <c r="M9" s="141"/>
      <c r="N9" s="45"/>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row>
    <row r="10" spans="1:41" ht="11.5" customHeight="1" x14ac:dyDescent="0.25">
      <c r="A10" s="35"/>
      <c r="B10" s="36"/>
      <c r="C10" s="36"/>
      <c r="D10" s="46"/>
      <c r="E10" s="46"/>
      <c r="F10" s="47"/>
      <c r="G10" s="234"/>
      <c r="H10" s="26"/>
      <c r="I10" s="26"/>
      <c r="J10" s="26"/>
      <c r="K10" s="26"/>
      <c r="L10" s="26"/>
      <c r="M10" s="141"/>
      <c r="N10" s="45"/>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row>
    <row r="11" spans="1:41" x14ac:dyDescent="0.25">
      <c r="A11" s="35" t="s">
        <v>174</v>
      </c>
      <c r="B11" s="36"/>
      <c r="C11" s="36"/>
      <c r="D11" s="46">
        <v>0.51500000000000001</v>
      </c>
      <c r="E11" s="46">
        <v>5.8058252427184473E-2</v>
      </c>
      <c r="F11" s="47">
        <v>2.9899999999999999E-2</v>
      </c>
      <c r="G11" s="234">
        <f>'2019 GRC'!E12</f>
        <v>2.8299999999999999E-2</v>
      </c>
      <c r="H11" s="26"/>
      <c r="I11" s="26"/>
      <c r="J11" s="26"/>
      <c r="K11" s="26"/>
      <c r="L11" s="26"/>
      <c r="M11" s="141"/>
      <c r="N11" s="45"/>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row>
    <row r="12" spans="1:41" x14ac:dyDescent="0.25">
      <c r="A12" s="35" t="s">
        <v>9</v>
      </c>
      <c r="B12" s="36"/>
      <c r="C12" s="36"/>
      <c r="D12" s="48">
        <v>0.48499999999999999</v>
      </c>
      <c r="E12" s="46">
        <v>9.5000000000000001E-2</v>
      </c>
      <c r="F12" s="49">
        <v>4.6100000000000002E-2</v>
      </c>
      <c r="G12" s="235">
        <f>'2019 GRC'!E13</f>
        <v>4.5600000000000002E-2</v>
      </c>
      <c r="H12" s="26"/>
      <c r="I12" s="236"/>
      <c r="J12" s="26"/>
      <c r="K12" s="26"/>
      <c r="L12" s="26"/>
      <c r="M12" s="141"/>
      <c r="N12" s="45"/>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row>
    <row r="13" spans="1:41" ht="15" thickBot="1" x14ac:dyDescent="0.3">
      <c r="A13" s="35" t="s">
        <v>10</v>
      </c>
      <c r="B13" s="36"/>
      <c r="C13" s="36"/>
      <c r="D13" s="50">
        <f>D10+D11+D12</f>
        <v>1</v>
      </c>
      <c r="E13" s="51"/>
      <c r="F13" s="52">
        <f>F10+F11+F12</f>
        <v>7.5999999999999998E-2</v>
      </c>
      <c r="G13" s="237">
        <f>G10+G11+G12</f>
        <v>7.3899999999999993E-2</v>
      </c>
      <c r="H13" s="26"/>
      <c r="I13" s="26"/>
      <c r="J13" s="26"/>
      <c r="K13" s="26"/>
      <c r="L13" s="26"/>
      <c r="M13" s="141"/>
      <c r="N13" s="45"/>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row>
    <row r="14" spans="1:41" ht="11.5" customHeight="1" thickTop="1" x14ac:dyDescent="0.25">
      <c r="A14" s="35"/>
      <c r="B14" s="36"/>
      <c r="C14" s="36"/>
      <c r="D14" s="37"/>
      <c r="E14" s="37"/>
      <c r="F14" s="44"/>
      <c r="G14" s="233"/>
      <c r="H14" s="26"/>
      <c r="I14" s="26"/>
      <c r="J14" s="26"/>
      <c r="K14" s="26"/>
      <c r="L14" s="26"/>
      <c r="M14" s="141"/>
      <c r="N14" s="45"/>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row>
    <row r="15" spans="1:41" x14ac:dyDescent="0.25">
      <c r="A15" s="35" t="s">
        <v>11</v>
      </c>
      <c r="B15" s="36"/>
      <c r="C15" s="36"/>
      <c r="D15" s="37"/>
      <c r="E15" s="37"/>
      <c r="F15" s="47">
        <v>0.21</v>
      </c>
      <c r="G15" s="234">
        <f>'2019 GRC'!I19</f>
        <v>0.21</v>
      </c>
      <c r="H15" s="26"/>
      <c r="I15" s="26"/>
      <c r="J15" s="26"/>
      <c r="K15" s="26"/>
      <c r="L15" s="26"/>
      <c r="M15" s="141"/>
      <c r="N15" s="45"/>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1" ht="15" thickBot="1" x14ac:dyDescent="0.3">
      <c r="A16" s="35" t="s">
        <v>12</v>
      </c>
      <c r="B16" s="36"/>
      <c r="C16" s="36"/>
      <c r="D16" s="37"/>
      <c r="E16" s="37"/>
      <c r="F16" s="47" t="e">
        <f>#REF!</f>
        <v>#REF!</v>
      </c>
      <c r="G16" s="238">
        <f>'2019 GRC'!J16</f>
        <v>4.5447000000000001E-2</v>
      </c>
      <c r="H16" s="26"/>
      <c r="I16" s="26"/>
      <c r="J16" s="26"/>
      <c r="K16" s="26"/>
      <c r="L16" s="26"/>
      <c r="M16" s="141"/>
      <c r="N16" s="45"/>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row>
    <row r="17" spans="1:48" x14ac:dyDescent="0.25">
      <c r="A17" s="35" t="s">
        <v>13</v>
      </c>
      <c r="B17" s="36"/>
      <c r="C17" s="36"/>
      <c r="D17" s="37"/>
      <c r="E17" s="37"/>
      <c r="F17" s="47">
        <v>2.4443933509191149E-2</v>
      </c>
      <c r="G17" s="46"/>
      <c r="H17" s="26"/>
      <c r="I17" s="26"/>
      <c r="J17" s="26"/>
      <c r="K17" s="26"/>
      <c r="L17" s="26"/>
      <c r="M17" s="141"/>
      <c r="N17" s="4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row>
    <row r="18" spans="1:48" ht="13.5" customHeight="1" x14ac:dyDescent="0.25">
      <c r="A18" s="35" t="s">
        <v>14</v>
      </c>
      <c r="B18" s="36"/>
      <c r="C18" s="36"/>
      <c r="D18" s="37"/>
      <c r="E18" s="37"/>
      <c r="F18" s="53">
        <v>2</v>
      </c>
      <c r="G18" s="239"/>
      <c r="H18" s="26"/>
      <c r="I18" s="26"/>
      <c r="J18" s="26"/>
      <c r="K18" s="26"/>
      <c r="L18" s="26"/>
      <c r="M18" s="141"/>
      <c r="N18" s="45"/>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row>
    <row r="19" spans="1:48" ht="11.5" customHeight="1" x14ac:dyDescent="0.25">
      <c r="A19" s="35"/>
      <c r="B19" s="36"/>
      <c r="C19" s="36"/>
      <c r="D19" s="37"/>
      <c r="E19" s="37"/>
      <c r="F19" s="38"/>
      <c r="G19" s="34"/>
      <c r="H19" s="26"/>
      <c r="I19" s="26"/>
      <c r="J19" s="26"/>
      <c r="K19" s="26"/>
      <c r="L19" s="26"/>
      <c r="M19" s="141"/>
      <c r="N19" s="45"/>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row>
    <row r="20" spans="1:48" ht="11.5" customHeight="1" x14ac:dyDescent="0.25">
      <c r="A20" s="35" t="s">
        <v>15</v>
      </c>
      <c r="B20" s="36"/>
      <c r="C20" s="36"/>
      <c r="D20" s="37"/>
      <c r="E20" s="37"/>
      <c r="F20" s="38"/>
      <c r="G20" s="34"/>
      <c r="H20" s="26"/>
      <c r="I20" s="26"/>
      <c r="J20" s="26"/>
      <c r="K20" s="26"/>
      <c r="L20" s="26"/>
      <c r="N20" s="151"/>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row>
    <row r="21" spans="1:48" ht="11.5" customHeight="1" x14ac:dyDescent="0.25">
      <c r="A21" s="35" t="s">
        <v>16</v>
      </c>
      <c r="B21" s="36"/>
      <c r="C21" s="36"/>
      <c r="D21" s="37"/>
      <c r="E21" s="37"/>
      <c r="F21" s="38"/>
      <c r="G21" s="34"/>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row>
    <row r="22" spans="1:48" ht="13.15" customHeight="1" thickBot="1" x14ac:dyDescent="0.3">
      <c r="A22" s="54" t="s">
        <v>17</v>
      </c>
      <c r="B22" s="55"/>
      <c r="C22" s="55"/>
      <c r="D22" s="55"/>
      <c r="E22" s="56"/>
      <c r="F22" s="80">
        <v>60639592.879999995</v>
      </c>
      <c r="G22" s="240"/>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row>
    <row r="23" spans="1:48" ht="9.65" customHeight="1" x14ac:dyDescent="0.25">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row>
    <row r="24" spans="1:48" ht="6" customHeight="1" x14ac:dyDescent="0.25">
      <c r="B24" s="26"/>
      <c r="C24" s="26"/>
      <c r="D24" s="141"/>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row>
    <row r="25" spans="1:48" x14ac:dyDescent="0.25">
      <c r="A25" s="25"/>
      <c r="B25" s="25"/>
      <c r="C25" s="25"/>
      <c r="D25" s="315"/>
      <c r="E25" s="59" t="s">
        <v>18</v>
      </c>
      <c r="F25" s="130" t="s">
        <v>19</v>
      </c>
      <c r="G25" s="60" t="s">
        <v>20</v>
      </c>
      <c r="H25" s="60" t="s">
        <v>21</v>
      </c>
      <c r="I25" s="60" t="s">
        <v>22</v>
      </c>
      <c r="J25" s="60" t="s">
        <v>23</v>
      </c>
      <c r="K25" s="60" t="s">
        <v>24</v>
      </c>
      <c r="L25" s="60" t="s">
        <v>25</v>
      </c>
      <c r="M25" s="60" t="s">
        <v>26</v>
      </c>
      <c r="N25" s="60" t="s">
        <v>27</v>
      </c>
      <c r="O25" s="60" t="s">
        <v>28</v>
      </c>
      <c r="P25" s="60" t="s">
        <v>29</v>
      </c>
      <c r="Q25" s="60" t="s">
        <v>30</v>
      </c>
      <c r="R25" s="60" t="s">
        <v>31</v>
      </c>
      <c r="S25" s="60" t="s">
        <v>32</v>
      </c>
      <c r="T25" s="60" t="s">
        <v>33</v>
      </c>
      <c r="U25" s="60" t="s">
        <v>34</v>
      </c>
      <c r="V25" s="60" t="s">
        <v>35</v>
      </c>
      <c r="W25" s="60" t="s">
        <v>36</v>
      </c>
      <c r="X25" s="60" t="s">
        <v>37</v>
      </c>
      <c r="Y25" s="60" t="s">
        <v>38</v>
      </c>
      <c r="Z25" s="60" t="s">
        <v>39</v>
      </c>
      <c r="AA25" s="60" t="s">
        <v>40</v>
      </c>
      <c r="AB25" s="60" t="s">
        <v>41</v>
      </c>
      <c r="AC25" s="60" t="s">
        <v>42</v>
      </c>
      <c r="AD25" s="60" t="s">
        <v>43</v>
      </c>
      <c r="AE25" s="60" t="s">
        <v>44</v>
      </c>
      <c r="AF25" s="60" t="s">
        <v>45</v>
      </c>
      <c r="AG25" s="60" t="s">
        <v>46</v>
      </c>
      <c r="AH25" s="60" t="s">
        <v>47</v>
      </c>
      <c r="AI25" s="60" t="s">
        <v>48</v>
      </c>
      <c r="AJ25" s="60" t="s">
        <v>49</v>
      </c>
      <c r="AK25" s="60" t="s">
        <v>50</v>
      </c>
      <c r="AL25" s="60" t="s">
        <v>51</v>
      </c>
      <c r="AM25" s="60" t="s">
        <v>52</v>
      </c>
      <c r="AN25" s="60" t="s">
        <v>74</v>
      </c>
      <c r="AO25" s="60" t="s">
        <v>75</v>
      </c>
      <c r="AP25" s="60" t="s">
        <v>175</v>
      </c>
      <c r="AQ25" s="60" t="s">
        <v>176</v>
      </c>
      <c r="AR25" s="60" t="s">
        <v>177</v>
      </c>
      <c r="AS25" s="26" t="s">
        <v>178</v>
      </c>
    </row>
    <row r="26" spans="1:48" x14ac:dyDescent="0.25">
      <c r="A26" s="25"/>
      <c r="B26" s="25"/>
      <c r="C26" s="25"/>
      <c r="D26" s="315"/>
      <c r="E26" s="115">
        <v>2019</v>
      </c>
      <c r="F26" s="115">
        <v>2020</v>
      </c>
      <c r="G26" s="115">
        <v>2021</v>
      </c>
      <c r="H26" s="115">
        <v>2022</v>
      </c>
      <c r="I26" s="115">
        <v>2023</v>
      </c>
      <c r="J26" s="115">
        <v>2024</v>
      </c>
      <c r="K26" s="115">
        <v>2025</v>
      </c>
      <c r="L26" s="115">
        <v>2026</v>
      </c>
      <c r="M26" s="115">
        <v>2027</v>
      </c>
      <c r="N26" s="115">
        <v>2028</v>
      </c>
      <c r="O26" s="115">
        <v>2029</v>
      </c>
      <c r="P26" s="115">
        <v>2030</v>
      </c>
      <c r="Q26" s="115">
        <v>2031</v>
      </c>
      <c r="R26" s="115">
        <v>2032</v>
      </c>
      <c r="S26" s="115">
        <v>2033</v>
      </c>
      <c r="T26" s="115">
        <v>2034</v>
      </c>
      <c r="U26" s="115">
        <v>2035</v>
      </c>
      <c r="V26" s="115">
        <v>2036</v>
      </c>
      <c r="W26" s="115">
        <v>2037</v>
      </c>
      <c r="X26" s="115">
        <v>2038</v>
      </c>
      <c r="Y26" s="115">
        <v>2039</v>
      </c>
      <c r="Z26" s="115">
        <v>2040</v>
      </c>
      <c r="AA26" s="115">
        <v>2041</v>
      </c>
      <c r="AB26" s="115">
        <v>2042</v>
      </c>
      <c r="AC26" s="115">
        <v>2043</v>
      </c>
      <c r="AD26" s="115">
        <v>2044</v>
      </c>
      <c r="AE26" s="115">
        <v>2045</v>
      </c>
      <c r="AF26" s="115">
        <v>2046</v>
      </c>
      <c r="AG26" s="115">
        <v>2047</v>
      </c>
      <c r="AH26" s="115">
        <v>2048</v>
      </c>
      <c r="AI26" s="115">
        <v>2049</v>
      </c>
      <c r="AJ26" s="115">
        <v>2050</v>
      </c>
      <c r="AK26" s="115">
        <v>2051</v>
      </c>
      <c r="AL26" s="115">
        <v>2052</v>
      </c>
      <c r="AM26" s="115">
        <v>2053</v>
      </c>
      <c r="AN26" s="115">
        <v>2054</v>
      </c>
      <c r="AO26" s="115">
        <v>2055</v>
      </c>
      <c r="AP26" s="115">
        <v>2056</v>
      </c>
      <c r="AQ26" s="115">
        <v>2057</v>
      </c>
      <c r="AR26" s="115">
        <v>2058</v>
      </c>
      <c r="AS26" s="115">
        <v>2059</v>
      </c>
    </row>
    <row r="27" spans="1:48" x14ac:dyDescent="0.25">
      <c r="A27" s="308">
        <v>1</v>
      </c>
      <c r="B27" s="25" t="s">
        <v>53</v>
      </c>
      <c r="C27" s="25"/>
      <c r="D27" s="315"/>
      <c r="E27" s="61">
        <f>$F22*$F17</f>
        <v>1482270.176383141</v>
      </c>
      <c r="F27" s="137">
        <f>$F22*$F17</f>
        <v>1482270.176383141</v>
      </c>
      <c r="G27" s="137">
        <f>$F22*$F17</f>
        <v>1482270.176383141</v>
      </c>
      <c r="H27" s="137">
        <f t="shared" ref="H27:AR27" si="0">$F22*$F17</f>
        <v>1482270.176383141</v>
      </c>
      <c r="I27" s="137">
        <f t="shared" si="0"/>
        <v>1482270.176383141</v>
      </c>
      <c r="J27" s="137">
        <f t="shared" si="0"/>
        <v>1482270.176383141</v>
      </c>
      <c r="K27" s="137">
        <f t="shared" si="0"/>
        <v>1482270.176383141</v>
      </c>
      <c r="L27" s="137">
        <f t="shared" si="0"/>
        <v>1482270.176383141</v>
      </c>
      <c r="M27" s="137">
        <f t="shared" si="0"/>
        <v>1482270.176383141</v>
      </c>
      <c r="N27" s="137">
        <f t="shared" si="0"/>
        <v>1482270.176383141</v>
      </c>
      <c r="O27" s="137">
        <f t="shared" si="0"/>
        <v>1482270.176383141</v>
      </c>
      <c r="P27" s="137">
        <f t="shared" si="0"/>
        <v>1482270.176383141</v>
      </c>
      <c r="Q27" s="137">
        <f t="shared" si="0"/>
        <v>1482270.176383141</v>
      </c>
      <c r="R27" s="137">
        <f t="shared" si="0"/>
        <v>1482270.176383141</v>
      </c>
      <c r="S27" s="137">
        <f t="shared" si="0"/>
        <v>1482270.176383141</v>
      </c>
      <c r="T27" s="137">
        <f t="shared" si="0"/>
        <v>1482270.176383141</v>
      </c>
      <c r="U27" s="137">
        <f t="shared" si="0"/>
        <v>1482270.176383141</v>
      </c>
      <c r="V27" s="137">
        <f t="shared" si="0"/>
        <v>1482270.176383141</v>
      </c>
      <c r="W27" s="137">
        <f t="shared" si="0"/>
        <v>1482270.176383141</v>
      </c>
      <c r="X27" s="137">
        <f t="shared" si="0"/>
        <v>1482270.176383141</v>
      </c>
      <c r="Y27" s="137">
        <f t="shared" si="0"/>
        <v>1482270.176383141</v>
      </c>
      <c r="Z27" s="137">
        <f t="shared" si="0"/>
        <v>1482270.176383141</v>
      </c>
      <c r="AA27" s="137">
        <f t="shared" si="0"/>
        <v>1482270.176383141</v>
      </c>
      <c r="AB27" s="137">
        <f t="shared" si="0"/>
        <v>1482270.176383141</v>
      </c>
      <c r="AC27" s="137">
        <f t="shared" si="0"/>
        <v>1482270.176383141</v>
      </c>
      <c r="AD27" s="137">
        <f t="shared" si="0"/>
        <v>1482270.176383141</v>
      </c>
      <c r="AE27" s="137">
        <f t="shared" si="0"/>
        <v>1482270.176383141</v>
      </c>
      <c r="AF27" s="137">
        <f t="shared" si="0"/>
        <v>1482270.176383141</v>
      </c>
      <c r="AG27" s="137">
        <f t="shared" si="0"/>
        <v>1482270.176383141</v>
      </c>
      <c r="AH27" s="137">
        <f t="shared" si="0"/>
        <v>1482270.176383141</v>
      </c>
      <c r="AI27" s="137">
        <f t="shared" si="0"/>
        <v>1482270.176383141</v>
      </c>
      <c r="AJ27" s="137">
        <f t="shared" si="0"/>
        <v>1482270.176383141</v>
      </c>
      <c r="AK27" s="137">
        <f t="shared" si="0"/>
        <v>1482270.176383141</v>
      </c>
      <c r="AL27" s="137">
        <f t="shared" si="0"/>
        <v>1482270.176383141</v>
      </c>
      <c r="AM27" s="137">
        <f t="shared" si="0"/>
        <v>1482270.176383141</v>
      </c>
      <c r="AN27" s="137">
        <f t="shared" si="0"/>
        <v>1482270.176383141</v>
      </c>
      <c r="AO27" s="137">
        <f t="shared" si="0"/>
        <v>1482270.176383141</v>
      </c>
      <c r="AP27" s="137">
        <f t="shared" si="0"/>
        <v>1482270.176383141</v>
      </c>
      <c r="AQ27" s="137">
        <f t="shared" si="0"/>
        <v>1482270.176383141</v>
      </c>
      <c r="AR27" s="137">
        <f t="shared" si="0"/>
        <v>1482270.176383141</v>
      </c>
      <c r="AS27" s="137">
        <v>0</v>
      </c>
      <c r="AT27" s="137"/>
      <c r="AU27" s="140">
        <f>SUM(D27:AT27)</f>
        <v>59290807.05532559</v>
      </c>
      <c r="AV27" s="45">
        <f>F22</f>
        <v>60639592.879999995</v>
      </c>
    </row>
    <row r="28" spans="1:48" x14ac:dyDescent="0.25">
      <c r="A28" s="25"/>
      <c r="B28" s="25"/>
      <c r="C28" s="25"/>
      <c r="D28" s="315"/>
      <c r="E28" s="61"/>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62"/>
      <c r="AN28" s="137"/>
      <c r="AO28" s="137"/>
      <c r="AP28" s="316"/>
    </row>
    <row r="29" spans="1:48" x14ac:dyDescent="0.25">
      <c r="A29" s="308">
        <f>A27+1</f>
        <v>2</v>
      </c>
      <c r="B29" s="25" t="s">
        <v>54</v>
      </c>
      <c r="C29" s="25"/>
      <c r="D29" s="315"/>
      <c r="E29" s="61">
        <f>E53</f>
        <v>733002.76971787796</v>
      </c>
      <c r="F29" s="137">
        <f t="shared" ref="F29:AT29" si="1">F53</f>
        <v>702392.57976173412</v>
      </c>
      <c r="G29" s="137">
        <f t="shared" si="1"/>
        <v>677473.48090067063</v>
      </c>
      <c r="H29" s="137">
        <f t="shared" si="1"/>
        <v>653358.59365427354</v>
      </c>
      <c r="I29" s="137">
        <f t="shared" si="1"/>
        <v>629987.71792086912</v>
      </c>
      <c r="J29" s="137">
        <f t="shared" si="1"/>
        <v>607305.28437583544</v>
      </c>
      <c r="K29" s="137">
        <f t="shared" si="1"/>
        <v>585259.5826754272</v>
      </c>
      <c r="L29" s="137">
        <f t="shared" si="1"/>
        <v>563802.7614567756</v>
      </c>
      <c r="M29" s="137">
        <f t="shared" si="1"/>
        <v>542674.72540880332</v>
      </c>
      <c r="N29" s="137">
        <f t="shared" si="1"/>
        <v>521593.76892752462</v>
      </c>
      <c r="O29" s="137">
        <f t="shared" si="1"/>
        <v>500512.81244624581</v>
      </c>
      <c r="P29" s="137">
        <f t="shared" si="1"/>
        <v>479431.85596496699</v>
      </c>
      <c r="Q29" s="137">
        <f t="shared" si="1"/>
        <v>458350.89948368829</v>
      </c>
      <c r="R29" s="137">
        <f t="shared" si="1"/>
        <v>437269.94300240959</v>
      </c>
      <c r="S29" s="137">
        <f t="shared" si="1"/>
        <v>416188.98652113089</v>
      </c>
      <c r="T29" s="137">
        <f t="shared" si="1"/>
        <v>395108.03003985208</v>
      </c>
      <c r="U29" s="137">
        <f t="shared" si="1"/>
        <v>374027.07355857326</v>
      </c>
      <c r="V29" s="137">
        <f t="shared" si="1"/>
        <v>352946.11707729456</v>
      </c>
      <c r="W29" s="137">
        <f t="shared" si="1"/>
        <v>331865.16059601575</v>
      </c>
      <c r="X29" s="137">
        <f t="shared" si="1"/>
        <v>310784.20411473705</v>
      </c>
      <c r="Y29" s="137">
        <f t="shared" si="1"/>
        <v>291425.12490056054</v>
      </c>
      <c r="Z29" s="137">
        <f t="shared" si="1"/>
        <v>275509.02842441335</v>
      </c>
      <c r="AA29" s="137">
        <f t="shared" si="1"/>
        <v>261314.80921536835</v>
      </c>
      <c r="AB29" s="137">
        <f t="shared" si="1"/>
        <v>247120.59000632336</v>
      </c>
      <c r="AC29" s="137">
        <f t="shared" si="1"/>
        <v>232926.37079727848</v>
      </c>
      <c r="AD29" s="137">
        <f t="shared" si="1"/>
        <v>218732.15158823351</v>
      </c>
      <c r="AE29" s="137">
        <f t="shared" si="1"/>
        <v>204537.9323791886</v>
      </c>
      <c r="AF29" s="137">
        <f t="shared" si="1"/>
        <v>190343.71317014366</v>
      </c>
      <c r="AG29" s="137">
        <f t="shared" si="1"/>
        <v>176149.49396109875</v>
      </c>
      <c r="AH29" s="137">
        <f t="shared" si="1"/>
        <v>161955.27475205384</v>
      </c>
      <c r="AI29" s="137">
        <f t="shared" si="1"/>
        <v>147761.05554300893</v>
      </c>
      <c r="AJ29" s="137">
        <f t="shared" si="1"/>
        <v>133566.83633396399</v>
      </c>
      <c r="AK29" s="137">
        <f t="shared" si="1"/>
        <v>119372.61712491907</v>
      </c>
      <c r="AL29" s="137">
        <f t="shared" si="1"/>
        <v>105178.39791587417</v>
      </c>
      <c r="AM29" s="137">
        <f t="shared" si="1"/>
        <v>90984.178706829262</v>
      </c>
      <c r="AN29" s="137">
        <f t="shared" si="1"/>
        <v>76789.959497784337</v>
      </c>
      <c r="AO29" s="137">
        <f t="shared" si="1"/>
        <v>62595.74028873942</v>
      </c>
      <c r="AP29" s="137">
        <f t="shared" si="1"/>
        <v>48401.52107969451</v>
      </c>
      <c r="AQ29" s="137">
        <f t="shared" si="1"/>
        <v>34207.301870649593</v>
      </c>
      <c r="AR29" s="137">
        <f t="shared" si="1"/>
        <v>20013.082661604672</v>
      </c>
      <c r="AS29" s="137">
        <f t="shared" si="1"/>
        <v>12915.973057082216</v>
      </c>
      <c r="AT29" s="137">
        <f t="shared" si="1"/>
        <v>12915.973057082216</v>
      </c>
      <c r="AU29" s="140">
        <f>SUM(D29:AT29)</f>
        <v>13398053.473936601</v>
      </c>
    </row>
    <row r="30" spans="1:48" x14ac:dyDescent="0.25">
      <c r="A30" s="25"/>
      <c r="B30" s="25"/>
      <c r="C30" s="25"/>
      <c r="D30" s="315"/>
      <c r="E30" s="61"/>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row>
    <row r="31" spans="1:48" x14ac:dyDescent="0.25">
      <c r="A31" s="25"/>
      <c r="B31" s="25" t="s">
        <v>55</v>
      </c>
      <c r="C31" s="25"/>
      <c r="D31" s="315"/>
      <c r="E31" s="61"/>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row>
    <row r="32" spans="1:48" x14ac:dyDescent="0.25">
      <c r="A32" s="308">
        <f>A29+1</f>
        <v>3</v>
      </c>
      <c r="B32" s="25"/>
      <c r="C32" s="25"/>
      <c r="D32" s="315"/>
      <c r="E32" s="61">
        <f>E49*$F10</f>
        <v>0</v>
      </c>
      <c r="F32" s="137">
        <f>F49*$G10</f>
        <v>0</v>
      </c>
      <c r="G32" s="137">
        <f t="shared" ref="G32:AT32" si="2">G49*$F10</f>
        <v>0</v>
      </c>
      <c r="H32" s="137">
        <f t="shared" si="2"/>
        <v>0</v>
      </c>
      <c r="I32" s="137">
        <f t="shared" si="2"/>
        <v>0</v>
      </c>
      <c r="J32" s="137">
        <f t="shared" si="2"/>
        <v>0</v>
      </c>
      <c r="K32" s="137">
        <f t="shared" si="2"/>
        <v>0</v>
      </c>
      <c r="L32" s="137">
        <f t="shared" si="2"/>
        <v>0</v>
      </c>
      <c r="M32" s="137">
        <f t="shared" si="2"/>
        <v>0</v>
      </c>
      <c r="N32" s="137">
        <f t="shared" si="2"/>
        <v>0</v>
      </c>
      <c r="O32" s="137">
        <f t="shared" si="2"/>
        <v>0</v>
      </c>
      <c r="P32" s="137">
        <f t="shared" si="2"/>
        <v>0</v>
      </c>
      <c r="Q32" s="137">
        <f t="shared" si="2"/>
        <v>0</v>
      </c>
      <c r="R32" s="137">
        <f t="shared" si="2"/>
        <v>0</v>
      </c>
      <c r="S32" s="137">
        <f t="shared" si="2"/>
        <v>0</v>
      </c>
      <c r="T32" s="137">
        <f t="shared" si="2"/>
        <v>0</v>
      </c>
      <c r="U32" s="137">
        <f t="shared" si="2"/>
        <v>0</v>
      </c>
      <c r="V32" s="137">
        <f t="shared" si="2"/>
        <v>0</v>
      </c>
      <c r="W32" s="137">
        <f t="shared" si="2"/>
        <v>0</v>
      </c>
      <c r="X32" s="137">
        <f t="shared" si="2"/>
        <v>0</v>
      </c>
      <c r="Y32" s="137">
        <f t="shared" si="2"/>
        <v>0</v>
      </c>
      <c r="Z32" s="137">
        <f t="shared" si="2"/>
        <v>0</v>
      </c>
      <c r="AA32" s="137">
        <f t="shared" si="2"/>
        <v>0</v>
      </c>
      <c r="AB32" s="137">
        <f t="shared" si="2"/>
        <v>0</v>
      </c>
      <c r="AC32" s="137">
        <f t="shared" si="2"/>
        <v>0</v>
      </c>
      <c r="AD32" s="137">
        <f t="shared" si="2"/>
        <v>0</v>
      </c>
      <c r="AE32" s="137">
        <f t="shared" si="2"/>
        <v>0</v>
      </c>
      <c r="AF32" s="137">
        <f t="shared" si="2"/>
        <v>0</v>
      </c>
      <c r="AG32" s="137">
        <f t="shared" si="2"/>
        <v>0</v>
      </c>
      <c r="AH32" s="137">
        <f t="shared" si="2"/>
        <v>0</v>
      </c>
      <c r="AI32" s="137">
        <f t="shared" si="2"/>
        <v>0</v>
      </c>
      <c r="AJ32" s="137">
        <f t="shared" si="2"/>
        <v>0</v>
      </c>
      <c r="AK32" s="137">
        <f t="shared" si="2"/>
        <v>0</v>
      </c>
      <c r="AL32" s="137">
        <f t="shared" si="2"/>
        <v>0</v>
      </c>
      <c r="AM32" s="137">
        <f t="shared" si="2"/>
        <v>0</v>
      </c>
      <c r="AN32" s="137">
        <f t="shared" si="2"/>
        <v>0</v>
      </c>
      <c r="AO32" s="137">
        <f t="shared" si="2"/>
        <v>0</v>
      </c>
      <c r="AP32" s="137">
        <f t="shared" si="2"/>
        <v>0</v>
      </c>
      <c r="AQ32" s="137">
        <f t="shared" si="2"/>
        <v>0</v>
      </c>
      <c r="AR32" s="137">
        <f t="shared" si="2"/>
        <v>0</v>
      </c>
      <c r="AS32" s="137">
        <f t="shared" si="2"/>
        <v>0</v>
      </c>
      <c r="AT32" s="137">
        <f t="shared" si="2"/>
        <v>0</v>
      </c>
      <c r="AU32" s="140">
        <f t="shared" ref="AU32:AU42" si="3">SUM(D32:AT32)</f>
        <v>0</v>
      </c>
    </row>
    <row r="33" spans="1:47" x14ac:dyDescent="0.25">
      <c r="A33" s="308">
        <f>A32+1</f>
        <v>4</v>
      </c>
      <c r="B33" s="36"/>
      <c r="C33" s="36" t="s">
        <v>174</v>
      </c>
      <c r="D33" s="315"/>
      <c r="E33" s="61">
        <f>E49*$F11</f>
        <v>1788478.3001245733</v>
      </c>
      <c r="F33" s="137">
        <f>F49*$G11</f>
        <v>1639869.5599136476</v>
      </c>
      <c r="G33" s="137">
        <f>G49*$G11</f>
        <v>1581691.1667184934</v>
      </c>
      <c r="H33" s="137">
        <f t="shared" ref="H33:AT33" si="4">H49*$G11</f>
        <v>1525390.3590568707</v>
      </c>
      <c r="I33" s="137">
        <f t="shared" si="4"/>
        <v>1470826.5882995897</v>
      </c>
      <c r="J33" s="137">
        <f t="shared" si="4"/>
        <v>1417870.1172504753</v>
      </c>
      <c r="K33" s="137">
        <f t="shared" si="4"/>
        <v>1366400.2182408653</v>
      </c>
      <c r="L33" s="137">
        <f t="shared" si="4"/>
        <v>1316305.1731296086</v>
      </c>
      <c r="M33" s="137">
        <f t="shared" si="4"/>
        <v>1266977.7397623868</v>
      </c>
      <c r="N33" s="137">
        <f t="shared" si="4"/>
        <v>1217760.2226308133</v>
      </c>
      <c r="O33" s="137">
        <f t="shared" si="4"/>
        <v>1168542.7054992395</v>
      </c>
      <c r="P33" s="137">
        <f t="shared" si="4"/>
        <v>1119325.1883676657</v>
      </c>
      <c r="Q33" s="137">
        <f t="shared" si="4"/>
        <v>1070107.6712360922</v>
      </c>
      <c r="R33" s="137">
        <f t="shared" si="4"/>
        <v>1020890.1541045187</v>
      </c>
      <c r="S33" s="137">
        <f t="shared" si="4"/>
        <v>971672.63697294518</v>
      </c>
      <c r="T33" s="137">
        <f t="shared" si="4"/>
        <v>922455.11984137143</v>
      </c>
      <c r="U33" s="137">
        <f t="shared" si="4"/>
        <v>873237.60270979768</v>
      </c>
      <c r="V33" s="137">
        <f t="shared" si="4"/>
        <v>824020.08557822416</v>
      </c>
      <c r="W33" s="137">
        <f t="shared" si="4"/>
        <v>774802.56844665052</v>
      </c>
      <c r="X33" s="137">
        <f t="shared" si="4"/>
        <v>725585.05131507688</v>
      </c>
      <c r="Y33" s="137">
        <f t="shared" si="4"/>
        <v>680387.58535942272</v>
      </c>
      <c r="Z33" s="137">
        <f t="shared" si="4"/>
        <v>643228.4198501053</v>
      </c>
      <c r="AA33" s="137">
        <f t="shared" si="4"/>
        <v>610089.30551670736</v>
      </c>
      <c r="AB33" s="137">
        <f t="shared" si="4"/>
        <v>576950.19118330954</v>
      </c>
      <c r="AC33" s="137">
        <f t="shared" si="4"/>
        <v>543811.07684991171</v>
      </c>
      <c r="AD33" s="137">
        <f t="shared" si="4"/>
        <v>510671.96251651383</v>
      </c>
      <c r="AE33" s="137">
        <f t="shared" si="4"/>
        <v>477532.84818311606</v>
      </c>
      <c r="AF33" s="137">
        <f t="shared" si="4"/>
        <v>444393.73384971829</v>
      </c>
      <c r="AG33" s="137">
        <f t="shared" si="4"/>
        <v>411254.61951632053</v>
      </c>
      <c r="AH33" s="137">
        <f t="shared" si="4"/>
        <v>378115.5051829227</v>
      </c>
      <c r="AI33" s="137">
        <f t="shared" si="4"/>
        <v>344976.39084952493</v>
      </c>
      <c r="AJ33" s="137">
        <f t="shared" si="4"/>
        <v>311837.27651612711</v>
      </c>
      <c r="AK33" s="137">
        <f t="shared" si="4"/>
        <v>278698.16218272928</v>
      </c>
      <c r="AL33" s="137">
        <f t="shared" si="4"/>
        <v>245559.04784933155</v>
      </c>
      <c r="AM33" s="137">
        <f t="shared" si="4"/>
        <v>212419.93351593375</v>
      </c>
      <c r="AN33" s="137">
        <f t="shared" si="4"/>
        <v>179280.81918253598</v>
      </c>
      <c r="AO33" s="137">
        <f t="shared" si="4"/>
        <v>146141.70484913819</v>
      </c>
      <c r="AP33" s="137">
        <f t="shared" si="4"/>
        <v>113002.5905157404</v>
      </c>
      <c r="AQ33" s="137">
        <f t="shared" si="4"/>
        <v>79863.476182342609</v>
      </c>
      <c r="AR33" s="137">
        <f t="shared" si="4"/>
        <v>46724.361848944827</v>
      </c>
      <c r="AS33" s="137">
        <f t="shared" si="4"/>
        <v>30154.804682245936</v>
      </c>
      <c r="AT33" s="137">
        <f t="shared" si="4"/>
        <v>30154.804682245936</v>
      </c>
      <c r="AU33" s="140">
        <f t="shared" si="3"/>
        <v>31357456.850063797</v>
      </c>
    </row>
    <row r="34" spans="1:47" x14ac:dyDescent="0.25">
      <c r="A34" s="308">
        <f>A33+1</f>
        <v>5</v>
      </c>
      <c r="B34" s="25"/>
      <c r="C34" s="25" t="s">
        <v>9</v>
      </c>
      <c r="D34" s="315"/>
      <c r="E34" s="63">
        <f>E49*$F12</f>
        <v>2757486.6098910649</v>
      </c>
      <c r="F34" s="135">
        <f>F49*$G12</f>
        <v>2642333.990532238</v>
      </c>
      <c r="G34" s="135">
        <f t="shared" ref="G34:AT34" si="5">G49*$G12</f>
        <v>2548590.713864428</v>
      </c>
      <c r="H34" s="135">
        <f t="shared" si="5"/>
        <v>2457872.8046994102</v>
      </c>
      <c r="I34" s="135">
        <f t="shared" si="5"/>
        <v>2369953.7959880317</v>
      </c>
      <c r="J34" s="135">
        <f t="shared" si="5"/>
        <v>2284624.6412233813</v>
      </c>
      <c r="K34" s="135">
        <f t="shared" si="5"/>
        <v>2201690.8110170835</v>
      </c>
      <c r="L34" s="135">
        <f t="shared" si="5"/>
        <v>2120972.2930992986</v>
      </c>
      <c r="M34" s="135">
        <f t="shared" si="5"/>
        <v>2041490.6336807366</v>
      </c>
      <c r="N34" s="135">
        <f t="shared" si="5"/>
        <v>1962186.0831083071</v>
      </c>
      <c r="O34" s="135">
        <f t="shared" si="5"/>
        <v>1882881.5325358773</v>
      </c>
      <c r="P34" s="135">
        <f t="shared" si="5"/>
        <v>1803576.9819634475</v>
      </c>
      <c r="Q34" s="135">
        <f t="shared" si="5"/>
        <v>1724272.431391018</v>
      </c>
      <c r="R34" s="135">
        <f t="shared" si="5"/>
        <v>1644967.8808185887</v>
      </c>
      <c r="S34" s="135">
        <f t="shared" si="5"/>
        <v>1565663.3302461591</v>
      </c>
      <c r="T34" s="135">
        <f t="shared" si="5"/>
        <v>1486358.7796737293</v>
      </c>
      <c r="U34" s="135">
        <f t="shared" si="5"/>
        <v>1407054.2291012995</v>
      </c>
      <c r="V34" s="135">
        <f t="shared" si="5"/>
        <v>1327749.6785288702</v>
      </c>
      <c r="W34" s="135">
        <f t="shared" si="5"/>
        <v>1248445.1279564404</v>
      </c>
      <c r="X34" s="135">
        <f t="shared" si="5"/>
        <v>1169140.5773840109</v>
      </c>
      <c r="Y34" s="135">
        <f t="shared" si="5"/>
        <v>1096313.5651021088</v>
      </c>
      <c r="Z34" s="135">
        <f t="shared" si="5"/>
        <v>1036438.725977555</v>
      </c>
      <c r="AA34" s="135">
        <f t="shared" si="5"/>
        <v>983041.42514352861</v>
      </c>
      <c r="AB34" s="135">
        <f t="shared" si="5"/>
        <v>929644.12430950231</v>
      </c>
      <c r="AC34" s="135">
        <f t="shared" si="5"/>
        <v>876246.82347547624</v>
      </c>
      <c r="AD34" s="135">
        <f t="shared" si="5"/>
        <v>822849.52264144993</v>
      </c>
      <c r="AE34" s="135">
        <f t="shared" si="5"/>
        <v>769452.22180742386</v>
      </c>
      <c r="AF34" s="135">
        <f t="shared" si="5"/>
        <v>716054.92097339767</v>
      </c>
      <c r="AG34" s="135">
        <f t="shared" si="5"/>
        <v>662657.6201393716</v>
      </c>
      <c r="AH34" s="135">
        <f t="shared" si="5"/>
        <v>609260.31930534542</v>
      </c>
      <c r="AI34" s="135">
        <f t="shared" si="5"/>
        <v>555863.01847131934</v>
      </c>
      <c r="AJ34" s="135">
        <f t="shared" si="5"/>
        <v>502465.71763729322</v>
      </c>
      <c r="AK34" s="135">
        <f t="shared" si="5"/>
        <v>449068.41680326703</v>
      </c>
      <c r="AL34" s="135">
        <f t="shared" si="5"/>
        <v>395671.11596924096</v>
      </c>
      <c r="AM34" s="135">
        <f t="shared" si="5"/>
        <v>342273.81513521483</v>
      </c>
      <c r="AN34" s="135">
        <f t="shared" si="5"/>
        <v>288876.51430118876</v>
      </c>
      <c r="AO34" s="135">
        <f t="shared" si="5"/>
        <v>235479.2134671626</v>
      </c>
      <c r="AP34" s="135">
        <f t="shared" si="5"/>
        <v>182081.9126331365</v>
      </c>
      <c r="AQ34" s="135">
        <f t="shared" si="5"/>
        <v>128684.61179911037</v>
      </c>
      <c r="AR34" s="135">
        <f t="shared" si="5"/>
        <v>75287.310965084253</v>
      </c>
      <c r="AS34" s="135">
        <f t="shared" si="5"/>
        <v>48588.660548071195</v>
      </c>
      <c r="AT34" s="135">
        <f t="shared" si="5"/>
        <v>48588.660548071195</v>
      </c>
      <c r="AU34" s="140">
        <f t="shared" si="3"/>
        <v>50402201.163856745</v>
      </c>
    </row>
    <row r="35" spans="1:47" x14ac:dyDescent="0.25">
      <c r="A35" s="308">
        <f>A34+1</f>
        <v>6</v>
      </c>
      <c r="B35" s="25"/>
      <c r="C35" s="25" t="s">
        <v>58</v>
      </c>
      <c r="D35" s="315"/>
      <c r="E35" s="61">
        <f>E32+E33+E34</f>
        <v>4545964.910015638</v>
      </c>
      <c r="F35" s="137">
        <f>F32+F33+F34</f>
        <v>4282203.5504458854</v>
      </c>
      <c r="G35" s="137">
        <f>G32+G33+G34</f>
        <v>4130281.8805829212</v>
      </c>
      <c r="H35" s="137">
        <f t="shared" ref="H35:AT35" si="6">H32+H33+H34</f>
        <v>3983263.1637562811</v>
      </c>
      <c r="I35" s="137">
        <f t="shared" si="6"/>
        <v>3840780.3842876214</v>
      </c>
      <c r="J35" s="137">
        <f t="shared" si="6"/>
        <v>3702494.7584738564</v>
      </c>
      <c r="K35" s="137">
        <f t="shared" si="6"/>
        <v>3568091.0292579485</v>
      </c>
      <c r="L35" s="137">
        <f t="shared" si="6"/>
        <v>3437277.466228907</v>
      </c>
      <c r="M35" s="137">
        <f t="shared" si="6"/>
        <v>3308468.3734431234</v>
      </c>
      <c r="N35" s="137">
        <f t="shared" si="6"/>
        <v>3179946.3057391206</v>
      </c>
      <c r="O35" s="137">
        <f t="shared" si="6"/>
        <v>3051424.2380351168</v>
      </c>
      <c r="P35" s="137">
        <f t="shared" si="6"/>
        <v>2922902.170331113</v>
      </c>
      <c r="Q35" s="137">
        <f t="shared" si="6"/>
        <v>2794380.1026271102</v>
      </c>
      <c r="R35" s="137">
        <f t="shared" si="6"/>
        <v>2665858.0349231074</v>
      </c>
      <c r="S35" s="137">
        <f t="shared" si="6"/>
        <v>2537335.9672191041</v>
      </c>
      <c r="T35" s="137">
        <f t="shared" si="6"/>
        <v>2408813.8995151008</v>
      </c>
      <c r="U35" s="137">
        <f t="shared" si="6"/>
        <v>2280291.8318110975</v>
      </c>
      <c r="V35" s="137">
        <f t="shared" si="6"/>
        <v>2151769.7641070941</v>
      </c>
      <c r="W35" s="137">
        <f t="shared" si="6"/>
        <v>2023247.6964030908</v>
      </c>
      <c r="X35" s="137">
        <f t="shared" si="6"/>
        <v>1894725.6286990878</v>
      </c>
      <c r="Y35" s="137">
        <f t="shared" si="6"/>
        <v>1776701.1504615315</v>
      </c>
      <c r="Z35" s="137">
        <f t="shared" si="6"/>
        <v>1679667.1458276603</v>
      </c>
      <c r="AA35" s="137">
        <f t="shared" si="6"/>
        <v>1593130.730660236</v>
      </c>
      <c r="AB35" s="137">
        <f t="shared" si="6"/>
        <v>1506594.3154928118</v>
      </c>
      <c r="AC35" s="137">
        <f t="shared" si="6"/>
        <v>1420057.9003253879</v>
      </c>
      <c r="AD35" s="137">
        <f t="shared" si="6"/>
        <v>1333521.4851579638</v>
      </c>
      <c r="AE35" s="137">
        <f t="shared" si="6"/>
        <v>1246985.0699905399</v>
      </c>
      <c r="AF35" s="137">
        <f t="shared" si="6"/>
        <v>1160448.654823116</v>
      </c>
      <c r="AG35" s="137">
        <f t="shared" si="6"/>
        <v>1073912.2396556921</v>
      </c>
      <c r="AH35" s="137">
        <f t="shared" si="6"/>
        <v>987375.82448826812</v>
      </c>
      <c r="AI35" s="137">
        <f t="shared" si="6"/>
        <v>900839.40932084434</v>
      </c>
      <c r="AJ35" s="137">
        <f t="shared" si="6"/>
        <v>814302.99415342032</v>
      </c>
      <c r="AK35" s="137">
        <f t="shared" si="6"/>
        <v>727766.57898599631</v>
      </c>
      <c r="AL35" s="137">
        <f t="shared" si="6"/>
        <v>641230.16381857253</v>
      </c>
      <c r="AM35" s="137">
        <f t="shared" si="6"/>
        <v>554693.74865114852</v>
      </c>
      <c r="AN35" s="137">
        <f t="shared" si="6"/>
        <v>468157.33348372474</v>
      </c>
      <c r="AO35" s="137">
        <f t="shared" si="6"/>
        <v>381620.91831630078</v>
      </c>
      <c r="AP35" s="137">
        <f t="shared" si="6"/>
        <v>295084.50314887689</v>
      </c>
      <c r="AQ35" s="137">
        <f t="shared" si="6"/>
        <v>208548.08798145299</v>
      </c>
      <c r="AR35" s="137">
        <f t="shared" si="6"/>
        <v>122011.67281402908</v>
      </c>
      <c r="AS35" s="137">
        <f t="shared" si="6"/>
        <v>78743.465230317131</v>
      </c>
      <c r="AT35" s="137">
        <f t="shared" si="6"/>
        <v>78743.465230317131</v>
      </c>
      <c r="AU35" s="140">
        <f t="shared" si="3"/>
        <v>81759658.013920531</v>
      </c>
    </row>
    <row r="36" spans="1:47" x14ac:dyDescent="0.25">
      <c r="A36" s="25"/>
      <c r="B36" s="25"/>
      <c r="C36" s="25"/>
      <c r="D36" s="315"/>
      <c r="E36" s="61"/>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40">
        <f t="shared" si="3"/>
        <v>0</v>
      </c>
    </row>
    <row r="37" spans="1:47" x14ac:dyDescent="0.25">
      <c r="A37" s="308">
        <f>A35+1</f>
        <v>7</v>
      </c>
      <c r="B37" s="25" t="s">
        <v>59</v>
      </c>
      <c r="C37" s="25"/>
      <c r="D37" s="315"/>
      <c r="E37" s="64">
        <f>E27+E29+E35</f>
        <v>6761237.8561166571</v>
      </c>
      <c r="F37" s="134">
        <f>F27+F29+F35</f>
        <v>6466866.3065907601</v>
      </c>
      <c r="G37" s="134">
        <f t="shared" ref="G37:AT37" si="7">G27+G29+G35</f>
        <v>6290025.537866733</v>
      </c>
      <c r="H37" s="134">
        <f t="shared" si="7"/>
        <v>6118891.9337936956</v>
      </c>
      <c r="I37" s="134">
        <f t="shared" si="7"/>
        <v>5953038.278591631</v>
      </c>
      <c r="J37" s="134">
        <f t="shared" si="7"/>
        <v>5792070.219232833</v>
      </c>
      <c r="K37" s="134">
        <f t="shared" si="7"/>
        <v>5635620.7883165162</v>
      </c>
      <c r="L37" s="134">
        <f t="shared" si="7"/>
        <v>5483350.4040688239</v>
      </c>
      <c r="M37" s="134">
        <f t="shared" si="7"/>
        <v>5333413.2752350681</v>
      </c>
      <c r="N37" s="134">
        <f t="shared" si="7"/>
        <v>5183810.2510497859</v>
      </c>
      <c r="O37" s="134">
        <f t="shared" si="7"/>
        <v>5034207.2268645037</v>
      </c>
      <c r="P37" s="134">
        <f t="shared" si="7"/>
        <v>4884604.2026792206</v>
      </c>
      <c r="Q37" s="134">
        <f t="shared" si="7"/>
        <v>4735001.1784939393</v>
      </c>
      <c r="R37" s="134">
        <f t="shared" si="7"/>
        <v>4585398.1543086581</v>
      </c>
      <c r="S37" s="134">
        <f t="shared" si="7"/>
        <v>4435795.1301233759</v>
      </c>
      <c r="T37" s="134">
        <f t="shared" si="7"/>
        <v>4286192.1059380937</v>
      </c>
      <c r="U37" s="134">
        <f t="shared" si="7"/>
        <v>4136589.0817528116</v>
      </c>
      <c r="V37" s="134">
        <f t="shared" si="7"/>
        <v>3986986.0575675294</v>
      </c>
      <c r="W37" s="134">
        <f t="shared" si="7"/>
        <v>3837383.0333822477</v>
      </c>
      <c r="X37" s="134">
        <f t="shared" si="7"/>
        <v>3687780.009196966</v>
      </c>
      <c r="Y37" s="134">
        <f t="shared" si="7"/>
        <v>3550396.451745233</v>
      </c>
      <c r="Z37" s="134">
        <f t="shared" si="7"/>
        <v>3437446.3506352147</v>
      </c>
      <c r="AA37" s="134">
        <f t="shared" si="7"/>
        <v>3336715.7162587452</v>
      </c>
      <c r="AB37" s="134">
        <f t="shared" si="7"/>
        <v>3235985.0818822761</v>
      </c>
      <c r="AC37" s="134">
        <f t="shared" si="7"/>
        <v>3135254.4475058075</v>
      </c>
      <c r="AD37" s="134">
        <f t="shared" si="7"/>
        <v>3034523.8131293384</v>
      </c>
      <c r="AE37" s="134">
        <f t="shared" si="7"/>
        <v>2933793.1787528694</v>
      </c>
      <c r="AF37" s="134">
        <f t="shared" si="7"/>
        <v>2833062.5443764008</v>
      </c>
      <c r="AG37" s="134">
        <f t="shared" si="7"/>
        <v>2732331.9099999322</v>
      </c>
      <c r="AH37" s="134">
        <f t="shared" si="7"/>
        <v>2631601.2756234631</v>
      </c>
      <c r="AI37" s="134">
        <f t="shared" si="7"/>
        <v>2530870.641246994</v>
      </c>
      <c r="AJ37" s="134">
        <f t="shared" si="7"/>
        <v>2430140.0068705254</v>
      </c>
      <c r="AK37" s="134">
        <f t="shared" si="7"/>
        <v>2329409.3724940564</v>
      </c>
      <c r="AL37" s="134">
        <f t="shared" si="7"/>
        <v>2228678.7381175878</v>
      </c>
      <c r="AM37" s="134">
        <f t="shared" si="7"/>
        <v>2127948.1037411187</v>
      </c>
      <c r="AN37" s="134">
        <f t="shared" si="7"/>
        <v>2027217.4693646501</v>
      </c>
      <c r="AO37" s="134">
        <f t="shared" si="7"/>
        <v>1926486.834988181</v>
      </c>
      <c r="AP37" s="134">
        <f t="shared" si="7"/>
        <v>1825756.2006117124</v>
      </c>
      <c r="AQ37" s="134">
        <f t="shared" si="7"/>
        <v>1725025.5662352436</v>
      </c>
      <c r="AR37" s="134">
        <f t="shared" si="7"/>
        <v>1624294.9318587747</v>
      </c>
      <c r="AS37" s="134">
        <f t="shared" si="7"/>
        <v>91659.438287399345</v>
      </c>
      <c r="AT37" s="134">
        <f t="shared" si="7"/>
        <v>91659.438287399345</v>
      </c>
      <c r="AU37" s="140">
        <f t="shared" si="3"/>
        <v>154448518.54318279</v>
      </c>
    </row>
    <row r="38" spans="1:47" x14ac:dyDescent="0.25">
      <c r="A38" s="308">
        <f>A37+1</f>
        <v>8</v>
      </c>
      <c r="B38" s="25" t="s">
        <v>60</v>
      </c>
      <c r="C38" s="25"/>
      <c r="D38" s="315"/>
      <c r="E38" s="63" t="e">
        <f t="shared" ref="E38" si="8">E37/(1-$F16)-E37</f>
        <v>#REF!</v>
      </c>
      <c r="F38" s="135">
        <f>F37/(1-$G16)-F37</f>
        <v>307892.46174453385</v>
      </c>
      <c r="G38" s="135">
        <f>G37/(1-$G16)-G37</f>
        <v>299472.93719618488</v>
      </c>
      <c r="H38" s="135">
        <f t="shared" ref="H38:AT38" si="9">H37/(1-$G16)-H37</f>
        <v>291325.13513144106</v>
      </c>
      <c r="I38" s="135">
        <f t="shared" si="9"/>
        <v>283428.71547955275</v>
      </c>
      <c r="J38" s="135">
        <f t="shared" si="9"/>
        <v>275764.90279059857</v>
      </c>
      <c r="K38" s="135">
        <f t="shared" si="9"/>
        <v>268316.22546534427</v>
      </c>
      <c r="L38" s="135">
        <f t="shared" si="9"/>
        <v>261066.51575524453</v>
      </c>
      <c r="M38" s="135">
        <f t="shared" si="9"/>
        <v>253927.89412385505</v>
      </c>
      <c r="N38" s="135">
        <f t="shared" si="9"/>
        <v>246805.17947087251</v>
      </c>
      <c r="O38" s="135">
        <f t="shared" si="9"/>
        <v>239682.46481788997</v>
      </c>
      <c r="P38" s="135">
        <f t="shared" si="9"/>
        <v>232559.75016490743</v>
      </c>
      <c r="Q38" s="135">
        <f t="shared" si="9"/>
        <v>225437.03551192489</v>
      </c>
      <c r="R38" s="135">
        <f t="shared" si="9"/>
        <v>218314.32085894234</v>
      </c>
      <c r="S38" s="135">
        <f t="shared" si="9"/>
        <v>211191.6062059598</v>
      </c>
      <c r="T38" s="135">
        <f t="shared" si="9"/>
        <v>204068.89155297633</v>
      </c>
      <c r="U38" s="135">
        <f t="shared" si="9"/>
        <v>196946.17689999379</v>
      </c>
      <c r="V38" s="135">
        <f t="shared" si="9"/>
        <v>189823.46224701172</v>
      </c>
      <c r="W38" s="135">
        <f t="shared" si="9"/>
        <v>182700.74759402871</v>
      </c>
      <c r="X38" s="135">
        <f t="shared" si="9"/>
        <v>175578.03294104617</v>
      </c>
      <c r="Y38" s="135">
        <f t="shared" si="9"/>
        <v>169037.096465535</v>
      </c>
      <c r="Z38" s="135">
        <f t="shared" si="9"/>
        <v>163659.45557482773</v>
      </c>
      <c r="AA38" s="135">
        <f t="shared" si="9"/>
        <v>158863.59286159184</v>
      </c>
      <c r="AB38" s="135">
        <f t="shared" si="9"/>
        <v>154067.73014835641</v>
      </c>
      <c r="AC38" s="135">
        <f t="shared" si="9"/>
        <v>149271.86743512051</v>
      </c>
      <c r="AD38" s="135">
        <f t="shared" si="9"/>
        <v>144476.00472188462</v>
      </c>
      <c r="AE38" s="135">
        <f t="shared" si="9"/>
        <v>139680.14200864872</v>
      </c>
      <c r="AF38" s="135">
        <f t="shared" si="9"/>
        <v>134884.27929541282</v>
      </c>
      <c r="AG38" s="135">
        <f t="shared" si="9"/>
        <v>130088.41658217739</v>
      </c>
      <c r="AH38" s="135">
        <f t="shared" si="9"/>
        <v>125292.5538689415</v>
      </c>
      <c r="AI38" s="135">
        <f t="shared" si="9"/>
        <v>120496.6911557056</v>
      </c>
      <c r="AJ38" s="135">
        <f t="shared" si="9"/>
        <v>115700.8284424697</v>
      </c>
      <c r="AK38" s="135">
        <f t="shared" si="9"/>
        <v>110904.96572923381</v>
      </c>
      <c r="AL38" s="135">
        <f t="shared" si="9"/>
        <v>106109.10301599791</v>
      </c>
      <c r="AM38" s="135">
        <f t="shared" si="9"/>
        <v>101313.24030276248</v>
      </c>
      <c r="AN38" s="135">
        <f t="shared" si="9"/>
        <v>96517.377589526586</v>
      </c>
      <c r="AO38" s="135">
        <f t="shared" si="9"/>
        <v>91721.51487629069</v>
      </c>
      <c r="AP38" s="135">
        <f t="shared" si="9"/>
        <v>86925.652163054794</v>
      </c>
      <c r="AQ38" s="135">
        <f t="shared" si="9"/>
        <v>82129.789449819131</v>
      </c>
      <c r="AR38" s="135">
        <f t="shared" si="9"/>
        <v>77333.926736583235</v>
      </c>
      <c r="AS38" s="135">
        <f t="shared" si="9"/>
        <v>4363.9761143147043</v>
      </c>
      <c r="AT38" s="135">
        <f t="shared" si="9"/>
        <v>4363.9761143147043</v>
      </c>
      <c r="AU38" s="140" t="e">
        <f t="shared" si="3"/>
        <v>#REF!</v>
      </c>
    </row>
    <row r="39" spans="1:47" x14ac:dyDescent="0.25">
      <c r="A39" s="308">
        <f>A38+1</f>
        <v>9</v>
      </c>
      <c r="B39" s="25"/>
      <c r="C39" s="25" t="s">
        <v>61</v>
      </c>
      <c r="D39" s="315"/>
      <c r="E39" s="64" t="e">
        <f>SUM(E37:E38)</f>
        <v>#REF!</v>
      </c>
      <c r="F39" s="134">
        <f>SUM(F37:F38)</f>
        <v>6774758.768335294</v>
      </c>
      <c r="G39" s="134">
        <f t="shared" ref="G39:AT39" si="10">SUM(G37:G38)</f>
        <v>6589498.4750629179</v>
      </c>
      <c r="H39" s="134">
        <f t="shared" si="10"/>
        <v>6410217.0689251367</v>
      </c>
      <c r="I39" s="134">
        <f t="shared" si="10"/>
        <v>6236466.9940711837</v>
      </c>
      <c r="J39" s="134">
        <f t="shared" si="10"/>
        <v>6067835.1220234316</v>
      </c>
      <c r="K39" s="134">
        <f t="shared" si="10"/>
        <v>5903937.0137818605</v>
      </c>
      <c r="L39" s="134">
        <f t="shared" si="10"/>
        <v>5744416.9198240684</v>
      </c>
      <c r="M39" s="134">
        <f t="shared" si="10"/>
        <v>5587341.1693589231</v>
      </c>
      <c r="N39" s="134">
        <f t="shared" si="10"/>
        <v>5430615.4305206584</v>
      </c>
      <c r="O39" s="134">
        <f t="shared" si="10"/>
        <v>5273889.6916823937</v>
      </c>
      <c r="P39" s="134">
        <f t="shared" si="10"/>
        <v>5117163.952844128</v>
      </c>
      <c r="Q39" s="134">
        <f t="shared" si="10"/>
        <v>4960438.2140058642</v>
      </c>
      <c r="R39" s="134">
        <f t="shared" si="10"/>
        <v>4803712.4751676004</v>
      </c>
      <c r="S39" s="134">
        <f t="shared" si="10"/>
        <v>4646986.7363293357</v>
      </c>
      <c r="T39" s="134">
        <f t="shared" si="10"/>
        <v>4490260.9974910701</v>
      </c>
      <c r="U39" s="134">
        <f t="shared" si="10"/>
        <v>4333535.2586528054</v>
      </c>
      <c r="V39" s="134">
        <f t="shared" si="10"/>
        <v>4176809.5198145411</v>
      </c>
      <c r="W39" s="134">
        <f t="shared" si="10"/>
        <v>4020083.7809762764</v>
      </c>
      <c r="X39" s="134">
        <f t="shared" si="10"/>
        <v>3863358.0421380121</v>
      </c>
      <c r="Y39" s="134">
        <f t="shared" si="10"/>
        <v>3719433.548210768</v>
      </c>
      <c r="Z39" s="134">
        <f t="shared" si="10"/>
        <v>3601105.8062100424</v>
      </c>
      <c r="AA39" s="134">
        <f t="shared" si="10"/>
        <v>3495579.309120337</v>
      </c>
      <c r="AB39" s="134">
        <f t="shared" si="10"/>
        <v>3390052.8120306325</v>
      </c>
      <c r="AC39" s="134">
        <f t="shared" si="10"/>
        <v>3284526.314940928</v>
      </c>
      <c r="AD39" s="134">
        <f t="shared" si="10"/>
        <v>3178999.8178512231</v>
      </c>
      <c r="AE39" s="134">
        <f t="shared" si="10"/>
        <v>3073473.3207615181</v>
      </c>
      <c r="AF39" s="134">
        <f t="shared" si="10"/>
        <v>2967946.8236718136</v>
      </c>
      <c r="AG39" s="134">
        <f t="shared" si="10"/>
        <v>2862420.3265821096</v>
      </c>
      <c r="AH39" s="134">
        <f t="shared" si="10"/>
        <v>2756893.8294924046</v>
      </c>
      <c r="AI39" s="134">
        <f t="shared" si="10"/>
        <v>2651367.3324026996</v>
      </c>
      <c r="AJ39" s="134">
        <f t="shared" si="10"/>
        <v>2545840.8353129951</v>
      </c>
      <c r="AK39" s="134">
        <f t="shared" si="10"/>
        <v>2440314.3382232902</v>
      </c>
      <c r="AL39" s="134">
        <f t="shared" si="10"/>
        <v>2334787.8411335857</v>
      </c>
      <c r="AM39" s="134">
        <f t="shared" si="10"/>
        <v>2229261.3440438812</v>
      </c>
      <c r="AN39" s="134">
        <f t="shared" si="10"/>
        <v>2123734.8469541767</v>
      </c>
      <c r="AO39" s="134">
        <f t="shared" si="10"/>
        <v>2018208.3498644717</v>
      </c>
      <c r="AP39" s="134">
        <f t="shared" si="10"/>
        <v>1912681.8527747672</v>
      </c>
      <c r="AQ39" s="134">
        <f t="shared" si="10"/>
        <v>1807155.3556850627</v>
      </c>
      <c r="AR39" s="134">
        <f t="shared" si="10"/>
        <v>1701628.858595358</v>
      </c>
      <c r="AS39" s="134">
        <f t="shared" si="10"/>
        <v>96023.41440171405</v>
      </c>
      <c r="AT39" s="134">
        <f t="shared" si="10"/>
        <v>96023.41440171405</v>
      </c>
      <c r="AU39" s="140" t="e">
        <f t="shared" si="3"/>
        <v>#REF!</v>
      </c>
    </row>
    <row r="40" spans="1:47" x14ac:dyDescent="0.25">
      <c r="A40" s="308">
        <f t="shared" ref="A40:A66" si="11">A39+1</f>
        <v>10</v>
      </c>
      <c r="B40" s="25"/>
      <c r="C40" s="25"/>
      <c r="D40" s="315"/>
      <c r="E40" s="6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40">
        <f t="shared" si="3"/>
        <v>0</v>
      </c>
    </row>
    <row r="41" spans="1:47" x14ac:dyDescent="0.25">
      <c r="A41" s="308">
        <f t="shared" si="11"/>
        <v>11</v>
      </c>
      <c r="B41" s="25"/>
      <c r="C41" s="25"/>
      <c r="D41" s="315"/>
      <c r="E41" s="61"/>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40">
        <f t="shared" si="3"/>
        <v>0</v>
      </c>
    </row>
    <row r="42" spans="1:47" x14ac:dyDescent="0.25">
      <c r="A42" s="308">
        <f t="shared" si="11"/>
        <v>12</v>
      </c>
      <c r="B42" s="25" t="s">
        <v>62</v>
      </c>
      <c r="C42" s="25"/>
      <c r="D42" s="315"/>
      <c r="E42" s="63" t="e">
        <f>E39</f>
        <v>#REF!</v>
      </c>
      <c r="F42" s="135">
        <f>F39</f>
        <v>6774758.768335294</v>
      </c>
      <c r="G42" s="135">
        <f t="shared" ref="G42:AT42" si="12">G39</f>
        <v>6589498.4750629179</v>
      </c>
      <c r="H42" s="135">
        <f t="shared" si="12"/>
        <v>6410217.0689251367</v>
      </c>
      <c r="I42" s="135">
        <f t="shared" si="12"/>
        <v>6236466.9940711837</v>
      </c>
      <c r="J42" s="135">
        <f t="shared" si="12"/>
        <v>6067835.1220234316</v>
      </c>
      <c r="K42" s="135">
        <f t="shared" si="12"/>
        <v>5903937.0137818605</v>
      </c>
      <c r="L42" s="135">
        <f t="shared" si="12"/>
        <v>5744416.9198240684</v>
      </c>
      <c r="M42" s="135">
        <f t="shared" si="12"/>
        <v>5587341.1693589231</v>
      </c>
      <c r="N42" s="135">
        <f t="shared" si="12"/>
        <v>5430615.4305206584</v>
      </c>
      <c r="O42" s="135">
        <f t="shared" si="12"/>
        <v>5273889.6916823937</v>
      </c>
      <c r="P42" s="135">
        <f t="shared" si="12"/>
        <v>5117163.952844128</v>
      </c>
      <c r="Q42" s="135">
        <f t="shared" si="12"/>
        <v>4960438.2140058642</v>
      </c>
      <c r="R42" s="135">
        <f t="shared" si="12"/>
        <v>4803712.4751676004</v>
      </c>
      <c r="S42" s="135">
        <f t="shared" si="12"/>
        <v>4646986.7363293357</v>
      </c>
      <c r="T42" s="135">
        <f t="shared" si="12"/>
        <v>4490260.9974910701</v>
      </c>
      <c r="U42" s="135">
        <f t="shared" si="12"/>
        <v>4333535.2586528054</v>
      </c>
      <c r="V42" s="135">
        <f t="shared" si="12"/>
        <v>4176809.5198145411</v>
      </c>
      <c r="W42" s="135">
        <f t="shared" si="12"/>
        <v>4020083.7809762764</v>
      </c>
      <c r="X42" s="135">
        <f t="shared" si="12"/>
        <v>3863358.0421380121</v>
      </c>
      <c r="Y42" s="135">
        <f t="shared" si="12"/>
        <v>3719433.548210768</v>
      </c>
      <c r="Z42" s="135">
        <f t="shared" si="12"/>
        <v>3601105.8062100424</v>
      </c>
      <c r="AA42" s="135">
        <f t="shared" si="12"/>
        <v>3495579.309120337</v>
      </c>
      <c r="AB42" s="135">
        <f t="shared" si="12"/>
        <v>3390052.8120306325</v>
      </c>
      <c r="AC42" s="135">
        <f t="shared" si="12"/>
        <v>3284526.314940928</v>
      </c>
      <c r="AD42" s="135">
        <f t="shared" si="12"/>
        <v>3178999.8178512231</v>
      </c>
      <c r="AE42" s="135">
        <f t="shared" si="12"/>
        <v>3073473.3207615181</v>
      </c>
      <c r="AF42" s="135">
        <f t="shared" si="12"/>
        <v>2967946.8236718136</v>
      </c>
      <c r="AG42" s="135">
        <f t="shared" si="12"/>
        <v>2862420.3265821096</v>
      </c>
      <c r="AH42" s="135">
        <f t="shared" si="12"/>
        <v>2756893.8294924046</v>
      </c>
      <c r="AI42" s="135">
        <f t="shared" si="12"/>
        <v>2651367.3324026996</v>
      </c>
      <c r="AJ42" s="135">
        <f t="shared" si="12"/>
        <v>2545840.8353129951</v>
      </c>
      <c r="AK42" s="135">
        <f t="shared" si="12"/>
        <v>2440314.3382232902</v>
      </c>
      <c r="AL42" s="135">
        <f t="shared" si="12"/>
        <v>2334787.8411335857</v>
      </c>
      <c r="AM42" s="135">
        <f t="shared" si="12"/>
        <v>2229261.3440438812</v>
      </c>
      <c r="AN42" s="135">
        <f t="shared" si="12"/>
        <v>2123734.8469541767</v>
      </c>
      <c r="AO42" s="135">
        <f t="shared" si="12"/>
        <v>2018208.3498644717</v>
      </c>
      <c r="AP42" s="135">
        <f t="shared" si="12"/>
        <v>1912681.8527747672</v>
      </c>
      <c r="AQ42" s="135">
        <f t="shared" si="12"/>
        <v>1807155.3556850627</v>
      </c>
      <c r="AR42" s="135">
        <f t="shared" si="12"/>
        <v>1701628.858595358</v>
      </c>
      <c r="AS42" s="135">
        <f t="shared" si="12"/>
        <v>96023.41440171405</v>
      </c>
      <c r="AT42" s="135">
        <f t="shared" si="12"/>
        <v>96023.41440171405</v>
      </c>
      <c r="AU42" s="140" t="e">
        <f t="shared" si="3"/>
        <v>#REF!</v>
      </c>
    </row>
    <row r="43" spans="1:47" x14ac:dyDescent="0.25">
      <c r="A43" s="308">
        <f t="shared" si="11"/>
        <v>13</v>
      </c>
      <c r="B43" s="25"/>
      <c r="C43" s="25"/>
      <c r="D43" s="315"/>
      <c r="E43" s="116"/>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row>
    <row r="44" spans="1:47" outlineLevel="1" x14ac:dyDescent="0.25">
      <c r="A44" s="308">
        <f t="shared" si="11"/>
        <v>14</v>
      </c>
      <c r="B44" s="25"/>
      <c r="C44" s="25"/>
      <c r="D44" s="315"/>
      <c r="E44" s="66"/>
      <c r="F44" s="315"/>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row>
    <row r="45" spans="1:47" outlineLevel="1" x14ac:dyDescent="0.25">
      <c r="A45" s="308">
        <f t="shared" si="11"/>
        <v>15</v>
      </c>
      <c r="B45" s="25" t="s">
        <v>63</v>
      </c>
      <c r="C45" s="315"/>
      <c r="D45" s="315"/>
      <c r="E45" s="68" t="e">
        <f>+E42/$F$22</f>
        <v>#REF!</v>
      </c>
      <c r="F45" s="136">
        <f t="shared" ref="F45:AT45" si="13">+F42/$F$22</f>
        <v>0.11172170601049218</v>
      </c>
      <c r="G45" s="136">
        <f>+G42/$F$22</f>
        <v>0.10866660150741629</v>
      </c>
      <c r="H45" s="136">
        <f t="shared" si="13"/>
        <v>0.10571009409001721</v>
      </c>
      <c r="I45" s="136">
        <f t="shared" si="13"/>
        <v>0.10284480317030757</v>
      </c>
      <c r="J45" s="136">
        <f t="shared" si="13"/>
        <v>0.1000639158978376</v>
      </c>
      <c r="K45" s="136">
        <f t="shared" si="13"/>
        <v>9.7361092536772012E-2</v>
      </c>
      <c r="L45" s="136">
        <f t="shared" si="13"/>
        <v>9.4730466465890117E-2</v>
      </c>
      <c r="M45" s="136">
        <f t="shared" si="13"/>
        <v>9.2140149760169751E-2</v>
      </c>
      <c r="N45" s="136">
        <f t="shared" si="13"/>
        <v>8.9555605052747164E-2</v>
      </c>
      <c r="O45" s="136">
        <f t="shared" si="13"/>
        <v>8.6971060345324563E-2</v>
      </c>
      <c r="P45" s="136">
        <f t="shared" si="13"/>
        <v>8.4386515637901963E-2</v>
      </c>
      <c r="Q45" s="136">
        <f t="shared" si="13"/>
        <v>8.180197093047939E-2</v>
      </c>
      <c r="R45" s="136">
        <f t="shared" si="13"/>
        <v>7.9217426223056803E-2</v>
      </c>
      <c r="S45" s="136">
        <f t="shared" si="13"/>
        <v>7.6632881515634216E-2</v>
      </c>
      <c r="T45" s="136">
        <f t="shared" si="13"/>
        <v>7.4048336808211601E-2</v>
      </c>
      <c r="U45" s="136">
        <f t="shared" si="13"/>
        <v>7.1463792100789014E-2</v>
      </c>
      <c r="V45" s="136">
        <f t="shared" si="13"/>
        <v>6.8879247393366427E-2</v>
      </c>
      <c r="W45" s="136">
        <f t="shared" si="13"/>
        <v>6.629470268594384E-2</v>
      </c>
      <c r="X45" s="136">
        <f t="shared" si="13"/>
        <v>6.3710157978521254E-2</v>
      </c>
      <c r="Y45" s="136">
        <f t="shared" si="13"/>
        <v>6.1336717012120685E-2</v>
      </c>
      <c r="Z45" s="136">
        <f t="shared" si="13"/>
        <v>5.9385388904841255E-2</v>
      </c>
      <c r="AA45" s="136">
        <f t="shared" si="13"/>
        <v>5.7645164538583843E-2</v>
      </c>
      <c r="AB45" s="136">
        <f t="shared" si="13"/>
        <v>5.5904940172326445E-2</v>
      </c>
      <c r="AC45" s="136">
        <f t="shared" si="13"/>
        <v>5.4164715806069054E-2</v>
      </c>
      <c r="AD45" s="136">
        <f t="shared" si="13"/>
        <v>5.2424491439811649E-2</v>
      </c>
      <c r="AE45" s="136">
        <f t="shared" si="13"/>
        <v>5.0684267073554244E-2</v>
      </c>
      <c r="AF45" s="136">
        <f t="shared" si="13"/>
        <v>4.8944042707296846E-2</v>
      </c>
      <c r="AG45" s="136">
        <f t="shared" si="13"/>
        <v>4.7203818341039462E-2</v>
      </c>
      <c r="AH45" s="136">
        <f t="shared" si="13"/>
        <v>4.5463593974782057E-2</v>
      </c>
      <c r="AI45" s="136">
        <f t="shared" si="13"/>
        <v>4.3723369608524652E-2</v>
      </c>
      <c r="AJ45" s="136">
        <f t="shared" si="13"/>
        <v>4.1983145242267254E-2</v>
      </c>
      <c r="AK45" s="136">
        <f t="shared" si="13"/>
        <v>4.0242920876009849E-2</v>
      </c>
      <c r="AL45" s="136">
        <f t="shared" si="13"/>
        <v>3.8502696509752458E-2</v>
      </c>
      <c r="AM45" s="136">
        <f t="shared" si="13"/>
        <v>3.676247214349506E-2</v>
      </c>
      <c r="AN45" s="136">
        <f t="shared" si="13"/>
        <v>3.5022247777237663E-2</v>
      </c>
      <c r="AO45" s="136">
        <f t="shared" si="13"/>
        <v>3.3282023410980258E-2</v>
      </c>
      <c r="AP45" s="136">
        <f t="shared" si="13"/>
        <v>3.1541799044722867E-2</v>
      </c>
      <c r="AQ45" s="136">
        <f t="shared" si="13"/>
        <v>2.9801574678465469E-2</v>
      </c>
      <c r="AR45" s="136">
        <f t="shared" si="13"/>
        <v>2.8061350312208067E-2</v>
      </c>
      <c r="AS45" s="136">
        <f t="shared" si="13"/>
        <v>1.5835102091093403E-3</v>
      </c>
      <c r="AT45" s="136">
        <f t="shared" si="13"/>
        <v>1.5835102091093403E-3</v>
      </c>
    </row>
    <row r="46" spans="1:47" outlineLevel="1" x14ac:dyDescent="0.25">
      <c r="A46" s="308">
        <f t="shared" si="11"/>
        <v>16</v>
      </c>
      <c r="B46" s="25"/>
      <c r="C46" s="25"/>
      <c r="D46" s="315"/>
      <c r="E46" s="66"/>
      <c r="F46" s="315"/>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row>
    <row r="47" spans="1:47" outlineLevel="1" x14ac:dyDescent="0.25">
      <c r="A47" s="308">
        <f t="shared" si="11"/>
        <v>17</v>
      </c>
      <c r="B47" s="25"/>
      <c r="C47" s="25"/>
      <c r="D47" s="315"/>
      <c r="E47" s="66">
        <f>+E27/2</f>
        <v>741135.08819157048</v>
      </c>
      <c r="F47" s="134"/>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row>
    <row r="48" spans="1:47" outlineLevel="1" x14ac:dyDescent="0.25">
      <c r="A48" s="308">
        <f t="shared" si="11"/>
        <v>18</v>
      </c>
      <c r="B48" s="25"/>
      <c r="C48" s="25"/>
      <c r="D48" s="315"/>
      <c r="E48" s="66">
        <f>+E60/2</f>
        <v>83130.028444770142</v>
      </c>
      <c r="F48" s="134"/>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row>
    <row r="49" spans="1:47" x14ac:dyDescent="0.25">
      <c r="A49" s="308">
        <f t="shared" si="11"/>
        <v>19</v>
      </c>
      <c r="B49" s="69" t="s">
        <v>64</v>
      </c>
      <c r="C49" s="25"/>
      <c r="D49" s="315"/>
      <c r="E49" s="64">
        <f>F22-E27/2-E60/2</f>
        <v>59815327.763363659</v>
      </c>
      <c r="F49" s="152">
        <f>$F$22-(SUM($E$27:E27)+F27/2)-(SUM($E$60:E60)+F60/2)</f>
        <v>57945920.845005214</v>
      </c>
      <c r="G49" s="152">
        <f>$F$22-(SUM($E$27:F27)+G27/2)-(SUM($E$60:F60)+G60/2)</f>
        <v>55890147.233869031</v>
      </c>
      <c r="H49" s="152">
        <f>$F$22-(SUM($E$27:G27)+H27/2)-(SUM($E$60:G60)+H60/2)</f>
        <v>53900719.401302852</v>
      </c>
      <c r="I49" s="152">
        <f>$F$22-(SUM($E$27:H27)+I27/2)-(SUM($E$60:H60)+I60/2)</f>
        <v>51972670.964649811</v>
      </c>
      <c r="J49" s="152">
        <f>$F$22-(SUM($E$27:I27)+J27/2)-(SUM($E$60:I60)+J60/2)</f>
        <v>50101417.570688181</v>
      </c>
      <c r="K49" s="152">
        <f>$F$22-(SUM($E$27:J27)+K27/2)-(SUM($E$60:J60)+K60/2)</f>
        <v>48282693.224058844</v>
      </c>
      <c r="L49" s="152">
        <f>$F$22-(SUM($E$27:K27)+L27/2)-(SUM($E$60:K60)+L60/2)</f>
        <v>46512550.287265323</v>
      </c>
      <c r="M49" s="152">
        <f>$F$22-(SUM($E$27:L27)+M27/2)-(SUM($E$60:L60)+M60/2)</f>
        <v>44769531.440367028</v>
      </c>
      <c r="N49" s="152">
        <f>$F$22-(SUM($E$27:M27)+N27/2)-(SUM($E$60:M60)+N60/2)</f>
        <v>43030396.559392698</v>
      </c>
      <c r="O49" s="152">
        <f>$F$22-(SUM($E$27:N27)+O27/2)-(SUM($E$60:N60)+O60/2)</f>
        <v>41291261.678418361</v>
      </c>
      <c r="P49" s="152">
        <f>$F$22-(SUM($E$27:O27)+P27/2)-(SUM($E$60:O60)+P60/2)</f>
        <v>39552126.797444023</v>
      </c>
      <c r="Q49" s="152">
        <f>$F$22-(SUM($E$27:P27)+Q27/2)-(SUM($E$60:P60)+Q60/2)</f>
        <v>37812991.916469693</v>
      </c>
      <c r="R49" s="152">
        <f>$F$22-(SUM($E$27:Q27)+R27/2)-(SUM($E$60:Q60)+R60/2)</f>
        <v>36073857.035495363</v>
      </c>
      <c r="S49" s="152">
        <f>$F$22-(SUM($E$27:R27)+S27/2)-(SUM($E$60:R60)+S60/2)</f>
        <v>34334722.154521033</v>
      </c>
      <c r="T49" s="152">
        <f>$F$22-(SUM($E$27:S27)+T27/2)-(SUM($E$60:S60)+T60/2)</f>
        <v>32595587.273546696</v>
      </c>
      <c r="U49" s="152">
        <f>$F$22-(SUM($E$27:T27)+U27/2)-(SUM($E$60:T60)+U60/2)</f>
        <v>30856452.392572358</v>
      </c>
      <c r="V49" s="152">
        <f>$F$22-(SUM($E$27:U27)+V27/2)-(SUM($E$60:U60)+V60/2)</f>
        <v>29117317.511598028</v>
      </c>
      <c r="W49" s="152">
        <f>$F$22-(SUM($E$27:V27)+W27/2)-(SUM($E$60:V60)+W60/2)</f>
        <v>27378182.630623695</v>
      </c>
      <c r="X49" s="152">
        <f>$F$22-(SUM($E$27:W27)+X27/2)-(SUM($E$60:W60)+X60/2)</f>
        <v>25639047.749649361</v>
      </c>
      <c r="Y49" s="152">
        <f>$F$22-(SUM($E$27:X27)+Y27/2)-(SUM($E$60:X60)+Y60/2)</f>
        <v>24041964.146976069</v>
      </c>
      <c r="Z49" s="152">
        <f>$F$22-(SUM($E$27:Y27)+Z27/2)-(SUM($E$60:Y60)+Z60/2)</f>
        <v>22728919.429332346</v>
      </c>
      <c r="AA49" s="152">
        <f>$F$22-(SUM($E$27:Z27)+AA27/2)-(SUM($E$60:Z60)+AA60/2)</f>
        <v>21557925.989989661</v>
      </c>
      <c r="AB49" s="152">
        <f>$F$22-(SUM($E$27:AA27)+AB27/2)-(SUM($E$60:AA60)+AB60/2)</f>
        <v>20386932.550646979</v>
      </c>
      <c r="AC49" s="152">
        <f>$F$22-(SUM($E$27:AB27)+AC27/2)-(SUM($E$60:AB60)+AC60/2)</f>
        <v>19215939.111304302</v>
      </c>
      <c r="AD49" s="152">
        <f>$F$22-(SUM($E$27:AC27)+AD27/2)-(SUM($E$60:AC60)+AD60/2)</f>
        <v>18044945.67196162</v>
      </c>
      <c r="AE49" s="152">
        <f>$F$22-(SUM($E$27:AD27)+AE27/2)-(SUM($E$60:AD60)+AE60/2)</f>
        <v>16873952.232618943</v>
      </c>
      <c r="AF49" s="152">
        <f>$F$22-(SUM($E$27:AE27)+AF27/2)-(SUM($E$60:AE60)+AF60/2)</f>
        <v>15702958.793276265</v>
      </c>
      <c r="AG49" s="152">
        <f>$F$22-(SUM($E$27:AF27)+AG27/2)-(SUM($E$60:AF60)+AG60/2)</f>
        <v>14531965.353933588</v>
      </c>
      <c r="AH49" s="152">
        <f>$F$22-(SUM($E$27:AG27)+AH27/2)-(SUM($E$60:AG60)+AH60/2)</f>
        <v>13360971.914590908</v>
      </c>
      <c r="AI49" s="152">
        <f>$F$22-(SUM($E$27:AH27)+AI27/2)-(SUM($E$60:AH60)+AI60/2)</f>
        <v>12189978.475248231</v>
      </c>
      <c r="AJ49" s="152">
        <f>$F$22-(SUM($E$27:AI27)+AJ27/2)-(SUM($E$60:AI60)+AJ60/2)</f>
        <v>11018985.035905553</v>
      </c>
      <c r="AK49" s="152">
        <f>$F$22-(SUM($E$27:AJ27)+AK27/2)-(SUM($E$60:AJ60)+AK60/2)</f>
        <v>9847991.5965628736</v>
      </c>
      <c r="AL49" s="152">
        <f>$F$22-(SUM($E$27:AK27)+AL27/2)-(SUM($E$60:AK60)+AL60/2)</f>
        <v>8676998.157220196</v>
      </c>
      <c r="AM49" s="152">
        <f>$F$22-(SUM($E$27:AL27)+AM27/2)-(SUM($E$60:AL60)+AM60/2)</f>
        <v>7506004.7178775184</v>
      </c>
      <c r="AN49" s="152">
        <f>$F$22-(SUM($E$27:AM27)+AN27/2)-(SUM($E$60:AM60)+AN60/2)</f>
        <v>6335011.2785348408</v>
      </c>
      <c r="AO49" s="152">
        <f>$F$22-(SUM($E$27:AN27)+AO27/2)-(SUM($E$60:AN60)+AO60/2)</f>
        <v>5164017.8391921623</v>
      </c>
      <c r="AP49" s="152">
        <f>$F$22-(SUM($E$27:AO27)+AP27/2)-(SUM($E$60:AO60)+AP60/2)</f>
        <v>3993024.3998494847</v>
      </c>
      <c r="AQ49" s="152">
        <f>$F$22-(SUM($E$27:AP27)+AQ27/2)-(SUM($E$60:AP60)+AQ60/2)</f>
        <v>2822030.9605068062</v>
      </c>
      <c r="AR49" s="152">
        <f>$F$22-(SUM($E$27:AQ27)+AR27/2)-(SUM($E$60:AQ60)+AR60/2)</f>
        <v>1651037.5211641283</v>
      </c>
      <c r="AS49" s="152">
        <f>$F$22-(SUM($E$27:AR27)+AS27/2)-(SUM($E$60:AR60)+AS60/2)</f>
        <v>1065540.8014927893</v>
      </c>
      <c r="AT49" s="152">
        <f>$F$22-(SUM($E$27:AR27)+AT27/2)-(SUM($E$60:AR60)+AT60/2)</f>
        <v>1065540.8014927893</v>
      </c>
      <c r="AU49" s="140">
        <f t="shared" ref="AU49:AU60" si="14">SUM(D49:AT49)</f>
        <v>1104655559.2099795</v>
      </c>
    </row>
    <row r="50" spans="1:47" x14ac:dyDescent="0.25">
      <c r="A50" s="308">
        <f t="shared" si="11"/>
        <v>20</v>
      </c>
      <c r="B50" s="25"/>
      <c r="C50" s="25"/>
      <c r="D50" s="315"/>
      <c r="E50" s="118"/>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40">
        <f t="shared" si="14"/>
        <v>0</v>
      </c>
    </row>
    <row r="51" spans="1:47" x14ac:dyDescent="0.25">
      <c r="A51" s="308">
        <f t="shared" si="11"/>
        <v>21</v>
      </c>
      <c r="B51" s="25"/>
      <c r="C51" s="25"/>
      <c r="D51" s="315"/>
      <c r="E51" s="61"/>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40">
        <f t="shared" si="14"/>
        <v>0</v>
      </c>
    </row>
    <row r="52" spans="1:47" x14ac:dyDescent="0.25">
      <c r="A52" s="308">
        <f t="shared" si="11"/>
        <v>22</v>
      </c>
      <c r="B52" s="25" t="s">
        <v>65</v>
      </c>
      <c r="C52" s="25"/>
      <c r="D52" s="315"/>
      <c r="E52" s="61">
        <f>(E34)/(1-$F$15)</f>
        <v>3490489.3796089427</v>
      </c>
      <c r="F52" s="137">
        <f>(F34)/(1-$G$15)</f>
        <v>3344726.5702939723</v>
      </c>
      <c r="G52" s="137">
        <f t="shared" ref="G52:AT52" si="15">(G34)/(1-$G$15)</f>
        <v>3226064.1947650984</v>
      </c>
      <c r="H52" s="137">
        <f t="shared" si="15"/>
        <v>3111231.3983536838</v>
      </c>
      <c r="I52" s="137">
        <f t="shared" si="15"/>
        <v>2999941.5139089008</v>
      </c>
      <c r="J52" s="137">
        <f t="shared" si="15"/>
        <v>2891929.9255992165</v>
      </c>
      <c r="K52" s="137">
        <f t="shared" si="15"/>
        <v>2786950.3936925107</v>
      </c>
      <c r="L52" s="137">
        <f t="shared" si="15"/>
        <v>2684775.0545560741</v>
      </c>
      <c r="M52" s="137">
        <f t="shared" si="15"/>
        <v>2584165.3590895399</v>
      </c>
      <c r="N52" s="137">
        <f t="shared" si="15"/>
        <v>2483779.8520358317</v>
      </c>
      <c r="O52" s="137">
        <f t="shared" si="15"/>
        <v>2383394.344982123</v>
      </c>
      <c r="P52" s="137">
        <f t="shared" si="15"/>
        <v>2283008.8379284143</v>
      </c>
      <c r="Q52" s="137">
        <f t="shared" si="15"/>
        <v>2182623.3308747062</v>
      </c>
      <c r="R52" s="137">
        <f t="shared" si="15"/>
        <v>2082237.8238209982</v>
      </c>
      <c r="S52" s="137">
        <f t="shared" si="15"/>
        <v>1981852.31676729</v>
      </c>
      <c r="T52" s="137">
        <f t="shared" si="15"/>
        <v>1881466.8097135813</v>
      </c>
      <c r="U52" s="137">
        <f t="shared" si="15"/>
        <v>1781081.3026598727</v>
      </c>
      <c r="V52" s="137">
        <f t="shared" si="15"/>
        <v>1680695.7956061647</v>
      </c>
      <c r="W52" s="137">
        <f t="shared" si="15"/>
        <v>1580310.2885524561</v>
      </c>
      <c r="X52" s="137">
        <f t="shared" si="15"/>
        <v>1479924.7814987479</v>
      </c>
      <c r="Y52" s="137">
        <f t="shared" si="15"/>
        <v>1387738.6900026693</v>
      </c>
      <c r="Z52" s="137">
        <f t="shared" si="15"/>
        <v>1311947.7544019683</v>
      </c>
      <c r="AA52" s="137">
        <f t="shared" si="15"/>
        <v>1244356.234358897</v>
      </c>
      <c r="AB52" s="137">
        <f t="shared" si="15"/>
        <v>1176764.7143158256</v>
      </c>
      <c r="AC52" s="137">
        <f t="shared" si="15"/>
        <v>1109173.1942727547</v>
      </c>
      <c r="AD52" s="137">
        <f t="shared" si="15"/>
        <v>1041581.6742296835</v>
      </c>
      <c r="AE52" s="137">
        <f t="shared" si="15"/>
        <v>973990.15418661246</v>
      </c>
      <c r="AF52" s="137">
        <f t="shared" si="15"/>
        <v>906398.63414354133</v>
      </c>
      <c r="AG52" s="137">
        <f t="shared" si="15"/>
        <v>838807.11410047032</v>
      </c>
      <c r="AH52" s="137">
        <f t="shared" si="15"/>
        <v>771215.5940573992</v>
      </c>
      <c r="AI52" s="137">
        <f t="shared" si="15"/>
        <v>703624.0740143283</v>
      </c>
      <c r="AJ52" s="137">
        <f t="shared" si="15"/>
        <v>636032.55397125718</v>
      </c>
      <c r="AK52" s="137">
        <f t="shared" si="15"/>
        <v>568441.03392818605</v>
      </c>
      <c r="AL52" s="137">
        <f t="shared" si="15"/>
        <v>500849.5138851151</v>
      </c>
      <c r="AM52" s="137">
        <f t="shared" si="15"/>
        <v>433257.99384204409</v>
      </c>
      <c r="AN52" s="137">
        <f t="shared" si="15"/>
        <v>365666.47379897308</v>
      </c>
      <c r="AO52" s="137">
        <f t="shared" si="15"/>
        <v>298074.95375590201</v>
      </c>
      <c r="AP52" s="137">
        <f t="shared" si="15"/>
        <v>230483.433712831</v>
      </c>
      <c r="AQ52" s="137">
        <f t="shared" si="15"/>
        <v>162891.91366975996</v>
      </c>
      <c r="AR52" s="137">
        <f t="shared" si="15"/>
        <v>95300.393626688921</v>
      </c>
      <c r="AS52" s="137">
        <f t="shared" si="15"/>
        <v>61504.633605153409</v>
      </c>
      <c r="AT52" s="137">
        <f t="shared" si="15"/>
        <v>61504.633605153409</v>
      </c>
      <c r="AU52" s="140">
        <f t="shared" si="14"/>
        <v>63800254.63779334</v>
      </c>
    </row>
    <row r="53" spans="1:47" x14ac:dyDescent="0.25">
      <c r="A53" s="308">
        <f t="shared" si="11"/>
        <v>23</v>
      </c>
      <c r="B53" s="25" t="s">
        <v>66</v>
      </c>
      <c r="C53" s="25"/>
      <c r="D53" s="315"/>
      <c r="E53" s="63">
        <f t="shared" ref="E53" si="16">E52*$F15</f>
        <v>733002.76971787796</v>
      </c>
      <c r="F53" s="135">
        <f>F52*$G15</f>
        <v>702392.57976173412</v>
      </c>
      <c r="G53" s="135">
        <f t="shared" ref="G53:AT53" si="17">G52*$G15</f>
        <v>677473.48090067063</v>
      </c>
      <c r="H53" s="135">
        <f t="shared" si="17"/>
        <v>653358.59365427354</v>
      </c>
      <c r="I53" s="135">
        <f t="shared" si="17"/>
        <v>629987.71792086912</v>
      </c>
      <c r="J53" s="135">
        <f t="shared" si="17"/>
        <v>607305.28437583544</v>
      </c>
      <c r="K53" s="135">
        <f t="shared" si="17"/>
        <v>585259.5826754272</v>
      </c>
      <c r="L53" s="135">
        <f t="shared" si="17"/>
        <v>563802.7614567756</v>
      </c>
      <c r="M53" s="135">
        <f t="shared" si="17"/>
        <v>542674.72540880332</v>
      </c>
      <c r="N53" s="135">
        <f t="shared" si="17"/>
        <v>521593.76892752462</v>
      </c>
      <c r="O53" s="135">
        <f t="shared" si="17"/>
        <v>500512.81244624581</v>
      </c>
      <c r="P53" s="135">
        <f t="shared" si="17"/>
        <v>479431.85596496699</v>
      </c>
      <c r="Q53" s="135">
        <f t="shared" si="17"/>
        <v>458350.89948368829</v>
      </c>
      <c r="R53" s="135">
        <f t="shared" si="17"/>
        <v>437269.94300240959</v>
      </c>
      <c r="S53" s="135">
        <f t="shared" si="17"/>
        <v>416188.98652113089</v>
      </c>
      <c r="T53" s="135">
        <f t="shared" si="17"/>
        <v>395108.03003985208</v>
      </c>
      <c r="U53" s="135">
        <f t="shared" si="17"/>
        <v>374027.07355857326</v>
      </c>
      <c r="V53" s="135">
        <f t="shared" si="17"/>
        <v>352946.11707729456</v>
      </c>
      <c r="W53" s="135">
        <f t="shared" si="17"/>
        <v>331865.16059601575</v>
      </c>
      <c r="X53" s="135">
        <f t="shared" si="17"/>
        <v>310784.20411473705</v>
      </c>
      <c r="Y53" s="135">
        <f t="shared" si="17"/>
        <v>291425.12490056054</v>
      </c>
      <c r="Z53" s="135">
        <f t="shared" si="17"/>
        <v>275509.02842441335</v>
      </c>
      <c r="AA53" s="135">
        <f t="shared" si="17"/>
        <v>261314.80921536835</v>
      </c>
      <c r="AB53" s="135">
        <f t="shared" si="17"/>
        <v>247120.59000632336</v>
      </c>
      <c r="AC53" s="135">
        <f t="shared" si="17"/>
        <v>232926.37079727848</v>
      </c>
      <c r="AD53" s="135">
        <f t="shared" si="17"/>
        <v>218732.15158823351</v>
      </c>
      <c r="AE53" s="135">
        <f t="shared" si="17"/>
        <v>204537.9323791886</v>
      </c>
      <c r="AF53" s="135">
        <f t="shared" si="17"/>
        <v>190343.71317014366</v>
      </c>
      <c r="AG53" s="135">
        <f t="shared" si="17"/>
        <v>176149.49396109875</v>
      </c>
      <c r="AH53" s="135">
        <f t="shared" si="17"/>
        <v>161955.27475205384</v>
      </c>
      <c r="AI53" s="135">
        <f t="shared" si="17"/>
        <v>147761.05554300893</v>
      </c>
      <c r="AJ53" s="135">
        <f t="shared" si="17"/>
        <v>133566.83633396399</v>
      </c>
      <c r="AK53" s="135">
        <f t="shared" si="17"/>
        <v>119372.61712491907</v>
      </c>
      <c r="AL53" s="135">
        <f t="shared" si="17"/>
        <v>105178.39791587417</v>
      </c>
      <c r="AM53" s="135">
        <f t="shared" si="17"/>
        <v>90984.178706829262</v>
      </c>
      <c r="AN53" s="135">
        <f t="shared" si="17"/>
        <v>76789.959497784337</v>
      </c>
      <c r="AO53" s="135">
        <f t="shared" si="17"/>
        <v>62595.74028873942</v>
      </c>
      <c r="AP53" s="135">
        <f t="shared" si="17"/>
        <v>48401.52107969451</v>
      </c>
      <c r="AQ53" s="135">
        <f t="shared" si="17"/>
        <v>34207.301870649593</v>
      </c>
      <c r="AR53" s="135">
        <f t="shared" si="17"/>
        <v>20013.082661604672</v>
      </c>
      <c r="AS53" s="135">
        <f t="shared" si="17"/>
        <v>12915.973057082216</v>
      </c>
      <c r="AT53" s="135">
        <f t="shared" si="17"/>
        <v>12915.973057082216</v>
      </c>
      <c r="AU53" s="140">
        <f t="shared" si="14"/>
        <v>13398053.473936601</v>
      </c>
    </row>
    <row r="54" spans="1:47" x14ac:dyDescent="0.25">
      <c r="A54" s="308">
        <f t="shared" si="11"/>
        <v>24</v>
      </c>
      <c r="B54" s="25" t="s">
        <v>67</v>
      </c>
      <c r="C54" s="25"/>
      <c r="D54" s="315"/>
      <c r="E54" s="61">
        <f>E52-E53</f>
        <v>2757486.6098910645</v>
      </c>
      <c r="F54" s="137">
        <f t="shared" ref="F54:AT54" si="18">F52-F53</f>
        <v>2642333.990532238</v>
      </c>
      <c r="G54" s="137">
        <f t="shared" si="18"/>
        <v>2548590.713864428</v>
      </c>
      <c r="H54" s="137">
        <f t="shared" si="18"/>
        <v>2457872.8046994102</v>
      </c>
      <c r="I54" s="137">
        <f t="shared" si="18"/>
        <v>2369953.7959880317</v>
      </c>
      <c r="J54" s="137">
        <f t="shared" si="18"/>
        <v>2284624.6412233813</v>
      </c>
      <c r="K54" s="137">
        <f t="shared" si="18"/>
        <v>2201690.8110170835</v>
      </c>
      <c r="L54" s="137">
        <f t="shared" si="18"/>
        <v>2120972.2930992986</v>
      </c>
      <c r="M54" s="137">
        <f t="shared" si="18"/>
        <v>2041490.6336807366</v>
      </c>
      <c r="N54" s="137">
        <f t="shared" si="18"/>
        <v>1962186.0831083071</v>
      </c>
      <c r="O54" s="137">
        <f t="shared" si="18"/>
        <v>1882881.5325358771</v>
      </c>
      <c r="P54" s="137">
        <f t="shared" si="18"/>
        <v>1803576.9819634473</v>
      </c>
      <c r="Q54" s="137">
        <f t="shared" si="18"/>
        <v>1724272.431391018</v>
      </c>
      <c r="R54" s="137">
        <f t="shared" si="18"/>
        <v>1644967.8808185887</v>
      </c>
      <c r="S54" s="137">
        <f t="shared" si="18"/>
        <v>1565663.3302461591</v>
      </c>
      <c r="T54" s="137">
        <f t="shared" si="18"/>
        <v>1486358.7796737293</v>
      </c>
      <c r="U54" s="137">
        <f t="shared" si="18"/>
        <v>1407054.2291012993</v>
      </c>
      <c r="V54" s="137">
        <f t="shared" si="18"/>
        <v>1327749.6785288702</v>
      </c>
      <c r="W54" s="137">
        <f t="shared" si="18"/>
        <v>1248445.1279564402</v>
      </c>
      <c r="X54" s="137">
        <f t="shared" si="18"/>
        <v>1169140.5773840109</v>
      </c>
      <c r="Y54" s="137">
        <f t="shared" si="18"/>
        <v>1096313.5651021088</v>
      </c>
      <c r="Z54" s="137">
        <f t="shared" si="18"/>
        <v>1036438.7259775549</v>
      </c>
      <c r="AA54" s="137">
        <f t="shared" si="18"/>
        <v>983041.42514352861</v>
      </c>
      <c r="AB54" s="137">
        <f t="shared" si="18"/>
        <v>929644.12430950231</v>
      </c>
      <c r="AC54" s="137">
        <f t="shared" si="18"/>
        <v>876246.82347547624</v>
      </c>
      <c r="AD54" s="137">
        <f t="shared" si="18"/>
        <v>822849.52264144993</v>
      </c>
      <c r="AE54" s="137">
        <f t="shared" si="18"/>
        <v>769452.22180742386</v>
      </c>
      <c r="AF54" s="137">
        <f t="shared" si="18"/>
        <v>716054.92097339767</v>
      </c>
      <c r="AG54" s="137">
        <f t="shared" si="18"/>
        <v>662657.6201393716</v>
      </c>
      <c r="AH54" s="137">
        <f t="shared" si="18"/>
        <v>609260.31930534542</v>
      </c>
      <c r="AI54" s="137">
        <f t="shared" si="18"/>
        <v>555863.01847131934</v>
      </c>
      <c r="AJ54" s="137">
        <f t="shared" si="18"/>
        <v>502465.71763729316</v>
      </c>
      <c r="AK54" s="137">
        <f t="shared" si="18"/>
        <v>449068.41680326697</v>
      </c>
      <c r="AL54" s="137">
        <f t="shared" si="18"/>
        <v>395671.1159692409</v>
      </c>
      <c r="AM54" s="137">
        <f t="shared" si="18"/>
        <v>342273.81513521483</v>
      </c>
      <c r="AN54" s="137">
        <f t="shared" si="18"/>
        <v>288876.51430118876</v>
      </c>
      <c r="AO54" s="137">
        <f t="shared" si="18"/>
        <v>235479.2134671626</v>
      </c>
      <c r="AP54" s="137">
        <f t="shared" si="18"/>
        <v>182081.9126331365</v>
      </c>
      <c r="AQ54" s="137">
        <f t="shared" si="18"/>
        <v>128684.61179911037</v>
      </c>
      <c r="AR54" s="137">
        <f t="shared" si="18"/>
        <v>75287.310965084253</v>
      </c>
      <c r="AS54" s="137">
        <f t="shared" si="18"/>
        <v>48588.660548071195</v>
      </c>
      <c r="AT54" s="137">
        <f t="shared" si="18"/>
        <v>48588.660548071195</v>
      </c>
      <c r="AU54" s="140">
        <f t="shared" si="14"/>
        <v>50402201.163856745</v>
      </c>
    </row>
    <row r="55" spans="1:47" x14ac:dyDescent="0.25">
      <c r="A55" s="308">
        <f t="shared" si="11"/>
        <v>25</v>
      </c>
      <c r="B55" s="25"/>
      <c r="C55" s="25"/>
      <c r="D55" s="315"/>
      <c r="E55" s="317"/>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140">
        <f t="shared" si="14"/>
        <v>0</v>
      </c>
    </row>
    <row r="56" spans="1:47" x14ac:dyDescent="0.25">
      <c r="A56" s="308">
        <f t="shared" si="11"/>
        <v>26</v>
      </c>
      <c r="B56" s="25"/>
      <c r="C56" s="25"/>
      <c r="D56" s="315"/>
      <c r="E56" s="118"/>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140">
        <f t="shared" si="14"/>
        <v>0</v>
      </c>
    </row>
    <row r="57" spans="1:47" x14ac:dyDescent="0.25">
      <c r="A57" s="308">
        <f t="shared" si="11"/>
        <v>27</v>
      </c>
      <c r="B57" s="25" t="s">
        <v>68</v>
      </c>
      <c r="C57" s="25"/>
      <c r="D57" s="315"/>
      <c r="E57" s="61">
        <f>E27</f>
        <v>1482270.176383141</v>
      </c>
      <c r="F57" s="137">
        <f>F27</f>
        <v>1482270.176383141</v>
      </c>
      <c r="G57" s="137">
        <f>G27</f>
        <v>1482270.176383141</v>
      </c>
      <c r="H57" s="137">
        <f t="shared" ref="H57:AT57" si="19">H27</f>
        <v>1482270.176383141</v>
      </c>
      <c r="I57" s="137">
        <f t="shared" si="19"/>
        <v>1482270.176383141</v>
      </c>
      <c r="J57" s="137">
        <f t="shared" si="19"/>
        <v>1482270.176383141</v>
      </c>
      <c r="K57" s="137">
        <f t="shared" si="19"/>
        <v>1482270.176383141</v>
      </c>
      <c r="L57" s="137">
        <f t="shared" si="19"/>
        <v>1482270.176383141</v>
      </c>
      <c r="M57" s="137">
        <f t="shared" si="19"/>
        <v>1482270.176383141</v>
      </c>
      <c r="N57" s="137">
        <f t="shared" si="19"/>
        <v>1482270.176383141</v>
      </c>
      <c r="O57" s="137">
        <f t="shared" si="19"/>
        <v>1482270.176383141</v>
      </c>
      <c r="P57" s="137">
        <f t="shared" si="19"/>
        <v>1482270.176383141</v>
      </c>
      <c r="Q57" s="137">
        <f t="shared" si="19"/>
        <v>1482270.176383141</v>
      </c>
      <c r="R57" s="137">
        <f t="shared" si="19"/>
        <v>1482270.176383141</v>
      </c>
      <c r="S57" s="137">
        <f t="shared" si="19"/>
        <v>1482270.176383141</v>
      </c>
      <c r="T57" s="137">
        <f t="shared" si="19"/>
        <v>1482270.176383141</v>
      </c>
      <c r="U57" s="137">
        <f t="shared" si="19"/>
        <v>1482270.176383141</v>
      </c>
      <c r="V57" s="137">
        <f t="shared" si="19"/>
        <v>1482270.176383141</v>
      </c>
      <c r="W57" s="137">
        <f t="shared" si="19"/>
        <v>1482270.176383141</v>
      </c>
      <c r="X57" s="137">
        <f t="shared" si="19"/>
        <v>1482270.176383141</v>
      </c>
      <c r="Y57" s="137">
        <f t="shared" si="19"/>
        <v>1482270.176383141</v>
      </c>
      <c r="Z57" s="137">
        <f t="shared" si="19"/>
        <v>1482270.176383141</v>
      </c>
      <c r="AA57" s="137">
        <f t="shared" si="19"/>
        <v>1482270.176383141</v>
      </c>
      <c r="AB57" s="137">
        <f t="shared" si="19"/>
        <v>1482270.176383141</v>
      </c>
      <c r="AC57" s="137">
        <f t="shared" si="19"/>
        <v>1482270.176383141</v>
      </c>
      <c r="AD57" s="137">
        <f t="shared" si="19"/>
        <v>1482270.176383141</v>
      </c>
      <c r="AE57" s="137">
        <f t="shared" si="19"/>
        <v>1482270.176383141</v>
      </c>
      <c r="AF57" s="137">
        <f t="shared" si="19"/>
        <v>1482270.176383141</v>
      </c>
      <c r="AG57" s="137">
        <f t="shared" si="19"/>
        <v>1482270.176383141</v>
      </c>
      <c r="AH57" s="137">
        <f t="shared" si="19"/>
        <v>1482270.176383141</v>
      </c>
      <c r="AI57" s="137">
        <f t="shared" si="19"/>
        <v>1482270.176383141</v>
      </c>
      <c r="AJ57" s="137">
        <f t="shared" si="19"/>
        <v>1482270.176383141</v>
      </c>
      <c r="AK57" s="137">
        <f t="shared" si="19"/>
        <v>1482270.176383141</v>
      </c>
      <c r="AL57" s="137">
        <f t="shared" si="19"/>
        <v>1482270.176383141</v>
      </c>
      <c r="AM57" s="137">
        <f t="shared" si="19"/>
        <v>1482270.176383141</v>
      </c>
      <c r="AN57" s="137">
        <f t="shared" si="19"/>
        <v>1482270.176383141</v>
      </c>
      <c r="AO57" s="137">
        <f t="shared" si="19"/>
        <v>1482270.176383141</v>
      </c>
      <c r="AP57" s="137">
        <f t="shared" si="19"/>
        <v>1482270.176383141</v>
      </c>
      <c r="AQ57" s="137">
        <f t="shared" si="19"/>
        <v>1482270.176383141</v>
      </c>
      <c r="AR57" s="137">
        <f t="shared" si="19"/>
        <v>1482270.176383141</v>
      </c>
      <c r="AS57" s="137">
        <f t="shared" si="19"/>
        <v>0</v>
      </c>
      <c r="AT57" s="137">
        <f t="shared" si="19"/>
        <v>0</v>
      </c>
      <c r="AU57" s="140">
        <f t="shared" si="14"/>
        <v>59290807.05532559</v>
      </c>
    </row>
    <row r="58" spans="1:47" x14ac:dyDescent="0.25">
      <c r="A58" s="308">
        <f t="shared" si="11"/>
        <v>28</v>
      </c>
      <c r="B58" s="25" t="s">
        <v>69</v>
      </c>
      <c r="C58" s="25"/>
      <c r="D58" s="315"/>
      <c r="E58" s="61">
        <f>$F22*E62</f>
        <v>2273984.7329999995</v>
      </c>
      <c r="F58" s="137">
        <f t="shared" ref="F58:AT58" si="20">$F22*F62</f>
        <v>4377572.2100072</v>
      </c>
      <c r="G58" s="137">
        <f t="shared" si="20"/>
        <v>4048905.6165975993</v>
      </c>
      <c r="H58" s="137">
        <f t="shared" si="20"/>
        <v>3745707.6521975994</v>
      </c>
      <c r="I58" s="137">
        <f t="shared" si="20"/>
        <v>3464339.9412343996</v>
      </c>
      <c r="J58" s="137">
        <f t="shared" si="20"/>
        <v>3204802.4837079998</v>
      </c>
      <c r="K58" s="137">
        <f t="shared" si="20"/>
        <v>2964063.2999743996</v>
      </c>
      <c r="L58" s="137">
        <f t="shared" si="20"/>
        <v>2742122.3900335999</v>
      </c>
      <c r="M58" s="137">
        <f t="shared" si="20"/>
        <v>2705738.6343055996</v>
      </c>
      <c r="N58" s="137">
        <f t="shared" si="20"/>
        <v>2705132.2383768</v>
      </c>
      <c r="O58" s="137">
        <f t="shared" si="20"/>
        <v>2705738.6343055996</v>
      </c>
      <c r="P58" s="137">
        <f t="shared" si="20"/>
        <v>2705132.2383768</v>
      </c>
      <c r="Q58" s="137">
        <f t="shared" si="20"/>
        <v>2705738.6343055996</v>
      </c>
      <c r="R58" s="137">
        <f t="shared" si="20"/>
        <v>2705132.2383768</v>
      </c>
      <c r="S58" s="137">
        <f t="shared" si="20"/>
        <v>2705738.6343055996</v>
      </c>
      <c r="T58" s="137">
        <f t="shared" si="20"/>
        <v>2705132.2383768</v>
      </c>
      <c r="U58" s="137">
        <f t="shared" si="20"/>
        <v>2705738.6343055996</v>
      </c>
      <c r="V58" s="137">
        <f t="shared" si="20"/>
        <v>2705132.2383768</v>
      </c>
      <c r="W58" s="137">
        <f t="shared" si="20"/>
        <v>2705738.6343055996</v>
      </c>
      <c r="X58" s="137">
        <f t="shared" si="20"/>
        <v>2705132.2383768</v>
      </c>
      <c r="Y58" s="137">
        <f t="shared" si="20"/>
        <v>1352869.3171527998</v>
      </c>
      <c r="Z58" s="137">
        <f t="shared" si="20"/>
        <v>0</v>
      </c>
      <c r="AA58" s="137">
        <f t="shared" si="20"/>
        <v>0</v>
      </c>
      <c r="AB58" s="137">
        <f t="shared" si="20"/>
        <v>0</v>
      </c>
      <c r="AC58" s="137">
        <f t="shared" si="20"/>
        <v>0</v>
      </c>
      <c r="AD58" s="137">
        <f t="shared" si="20"/>
        <v>0</v>
      </c>
      <c r="AE58" s="137">
        <f t="shared" si="20"/>
        <v>0</v>
      </c>
      <c r="AF58" s="137">
        <f t="shared" si="20"/>
        <v>0</v>
      </c>
      <c r="AG58" s="137">
        <f t="shared" si="20"/>
        <v>0</v>
      </c>
      <c r="AH58" s="137">
        <f t="shared" si="20"/>
        <v>0</v>
      </c>
      <c r="AI58" s="137">
        <f t="shared" si="20"/>
        <v>0</v>
      </c>
      <c r="AJ58" s="137">
        <f t="shared" si="20"/>
        <v>0</v>
      </c>
      <c r="AK58" s="137">
        <f t="shared" si="20"/>
        <v>0</v>
      </c>
      <c r="AL58" s="137">
        <f t="shared" si="20"/>
        <v>0</v>
      </c>
      <c r="AM58" s="137">
        <f t="shared" si="20"/>
        <v>0</v>
      </c>
      <c r="AN58" s="137">
        <f t="shared" si="20"/>
        <v>0</v>
      </c>
      <c r="AO58" s="137">
        <f t="shared" si="20"/>
        <v>0</v>
      </c>
      <c r="AP58" s="137">
        <f t="shared" si="20"/>
        <v>0</v>
      </c>
      <c r="AQ58" s="137">
        <f t="shared" si="20"/>
        <v>0</v>
      </c>
      <c r="AR58" s="137">
        <f t="shared" si="20"/>
        <v>0</v>
      </c>
      <c r="AS58" s="137">
        <f t="shared" si="20"/>
        <v>0</v>
      </c>
      <c r="AT58" s="137">
        <f t="shared" si="20"/>
        <v>0</v>
      </c>
      <c r="AU58" s="140">
        <f t="shared" si="14"/>
        <v>60639592.879999965</v>
      </c>
    </row>
    <row r="59" spans="1:47" x14ac:dyDescent="0.25">
      <c r="A59" s="308">
        <f t="shared" si="11"/>
        <v>29</v>
      </c>
      <c r="B59" s="25" t="s">
        <v>70</v>
      </c>
      <c r="C59" s="25"/>
      <c r="D59" s="315"/>
      <c r="E59" s="61">
        <f>E58-E57</f>
        <v>791714.55661685858</v>
      </c>
      <c r="F59" s="137">
        <f>F58-F57</f>
        <v>2895302.0336240591</v>
      </c>
      <c r="G59" s="137">
        <f>G58-G57</f>
        <v>2566635.4402144584</v>
      </c>
      <c r="H59" s="137">
        <f t="shared" ref="H59:AT59" si="21">H58-H57</f>
        <v>2263437.4758144584</v>
      </c>
      <c r="I59" s="137">
        <f t="shared" si="21"/>
        <v>1982069.7648512586</v>
      </c>
      <c r="J59" s="137">
        <f t="shared" si="21"/>
        <v>1722532.3073248588</v>
      </c>
      <c r="K59" s="137">
        <f t="shared" si="21"/>
        <v>1481793.1235912587</v>
      </c>
      <c r="L59" s="137">
        <f t="shared" si="21"/>
        <v>1259852.213650459</v>
      </c>
      <c r="M59" s="137">
        <f t="shared" si="21"/>
        <v>1223468.4579224586</v>
      </c>
      <c r="N59" s="137">
        <f t="shared" si="21"/>
        <v>1222862.061993659</v>
      </c>
      <c r="O59" s="137">
        <f t="shared" si="21"/>
        <v>1223468.4579224586</v>
      </c>
      <c r="P59" s="137">
        <f t="shared" si="21"/>
        <v>1222862.061993659</v>
      </c>
      <c r="Q59" s="137">
        <f t="shared" si="21"/>
        <v>1223468.4579224586</v>
      </c>
      <c r="R59" s="137">
        <f t="shared" si="21"/>
        <v>1222862.061993659</v>
      </c>
      <c r="S59" s="137">
        <f t="shared" si="21"/>
        <v>1223468.4579224586</v>
      </c>
      <c r="T59" s="137">
        <f t="shared" si="21"/>
        <v>1222862.061993659</v>
      </c>
      <c r="U59" s="137">
        <f t="shared" si="21"/>
        <v>1223468.4579224586</v>
      </c>
      <c r="V59" s="137">
        <f t="shared" si="21"/>
        <v>1222862.061993659</v>
      </c>
      <c r="W59" s="137">
        <f t="shared" si="21"/>
        <v>1223468.4579224586</v>
      </c>
      <c r="X59" s="137">
        <f t="shared" si="21"/>
        <v>1222862.061993659</v>
      </c>
      <c r="Y59" s="137">
        <f t="shared" si="21"/>
        <v>-129400.85923034116</v>
      </c>
      <c r="Z59" s="137">
        <f t="shared" si="21"/>
        <v>-1482270.176383141</v>
      </c>
      <c r="AA59" s="137">
        <f t="shared" si="21"/>
        <v>-1482270.176383141</v>
      </c>
      <c r="AB59" s="137">
        <f t="shared" si="21"/>
        <v>-1482270.176383141</v>
      </c>
      <c r="AC59" s="137">
        <f t="shared" si="21"/>
        <v>-1482270.176383141</v>
      </c>
      <c r="AD59" s="137">
        <f t="shared" si="21"/>
        <v>-1482270.176383141</v>
      </c>
      <c r="AE59" s="137">
        <f t="shared" si="21"/>
        <v>-1482270.176383141</v>
      </c>
      <c r="AF59" s="137">
        <f t="shared" si="21"/>
        <v>-1482270.176383141</v>
      </c>
      <c r="AG59" s="137">
        <f t="shared" si="21"/>
        <v>-1482270.176383141</v>
      </c>
      <c r="AH59" s="137">
        <f t="shared" si="21"/>
        <v>-1482270.176383141</v>
      </c>
      <c r="AI59" s="137">
        <f t="shared" si="21"/>
        <v>-1482270.176383141</v>
      </c>
      <c r="AJ59" s="137">
        <f t="shared" si="21"/>
        <v>-1482270.176383141</v>
      </c>
      <c r="AK59" s="137">
        <f t="shared" si="21"/>
        <v>-1482270.176383141</v>
      </c>
      <c r="AL59" s="137">
        <f t="shared" si="21"/>
        <v>-1482270.176383141</v>
      </c>
      <c r="AM59" s="137">
        <f t="shared" si="21"/>
        <v>-1482270.176383141</v>
      </c>
      <c r="AN59" s="137">
        <f t="shared" si="21"/>
        <v>-1482270.176383141</v>
      </c>
      <c r="AO59" s="137">
        <f t="shared" si="21"/>
        <v>-1482270.176383141</v>
      </c>
      <c r="AP59" s="137">
        <f t="shared" si="21"/>
        <v>-1482270.176383141</v>
      </c>
      <c r="AQ59" s="137">
        <f t="shared" si="21"/>
        <v>-1482270.176383141</v>
      </c>
      <c r="AR59" s="137">
        <f t="shared" si="21"/>
        <v>-1482270.176383141</v>
      </c>
      <c r="AS59" s="137">
        <f t="shared" si="21"/>
        <v>0</v>
      </c>
      <c r="AT59" s="137">
        <f t="shared" si="21"/>
        <v>0</v>
      </c>
      <c r="AU59" s="140">
        <f t="shared" si="14"/>
        <v>1348785.8246743502</v>
      </c>
    </row>
    <row r="60" spans="1:47" x14ac:dyDescent="0.25">
      <c r="A60" s="308">
        <f t="shared" si="11"/>
        <v>30</v>
      </c>
      <c r="B60" s="25" t="s">
        <v>71</v>
      </c>
      <c r="C60" s="25"/>
      <c r="D60" s="315"/>
      <c r="E60" s="61">
        <f>E59*$F$15</f>
        <v>166260.05688954028</v>
      </c>
      <c r="F60" s="137">
        <f>F59*$G$15</f>
        <v>608013.42706105241</v>
      </c>
      <c r="G60" s="137">
        <f t="shared" ref="G60:AT60" si="22">G59*$G$15</f>
        <v>538993.44244503626</v>
      </c>
      <c r="H60" s="137">
        <f t="shared" si="22"/>
        <v>475321.86992103624</v>
      </c>
      <c r="I60" s="137">
        <f t="shared" si="22"/>
        <v>416234.65061876428</v>
      </c>
      <c r="J60" s="137">
        <f t="shared" si="22"/>
        <v>361731.78453822032</v>
      </c>
      <c r="K60" s="137">
        <f t="shared" si="22"/>
        <v>311176.5559541643</v>
      </c>
      <c r="L60" s="137">
        <f t="shared" si="22"/>
        <v>264568.96486659639</v>
      </c>
      <c r="M60" s="137">
        <f t="shared" si="22"/>
        <v>256928.37616371631</v>
      </c>
      <c r="N60" s="137">
        <f t="shared" si="22"/>
        <v>256801.03301866839</v>
      </c>
      <c r="O60" s="137">
        <f t="shared" si="22"/>
        <v>256928.37616371631</v>
      </c>
      <c r="P60" s="137">
        <f t="shared" si="22"/>
        <v>256801.03301866839</v>
      </c>
      <c r="Q60" s="137">
        <f t="shared" si="22"/>
        <v>256928.37616371631</v>
      </c>
      <c r="R60" s="137">
        <f t="shared" si="22"/>
        <v>256801.03301866839</v>
      </c>
      <c r="S60" s="137">
        <f t="shared" si="22"/>
        <v>256928.37616371631</v>
      </c>
      <c r="T60" s="137">
        <f t="shared" si="22"/>
        <v>256801.03301866839</v>
      </c>
      <c r="U60" s="137">
        <f t="shared" si="22"/>
        <v>256928.37616371631</v>
      </c>
      <c r="V60" s="137">
        <f t="shared" si="22"/>
        <v>256801.03301866839</v>
      </c>
      <c r="W60" s="137">
        <f t="shared" si="22"/>
        <v>256928.37616371631</v>
      </c>
      <c r="X60" s="137">
        <f t="shared" si="22"/>
        <v>256801.03301866839</v>
      </c>
      <c r="Y60" s="137">
        <f t="shared" si="22"/>
        <v>-27174.180438371641</v>
      </c>
      <c r="Z60" s="137">
        <f t="shared" si="22"/>
        <v>-311276.73704045959</v>
      </c>
      <c r="AA60" s="137">
        <f t="shared" si="22"/>
        <v>-311276.73704045959</v>
      </c>
      <c r="AB60" s="137">
        <f t="shared" si="22"/>
        <v>-311276.73704045959</v>
      </c>
      <c r="AC60" s="137">
        <f t="shared" si="22"/>
        <v>-311276.73704045959</v>
      </c>
      <c r="AD60" s="137">
        <f t="shared" si="22"/>
        <v>-311276.73704045959</v>
      </c>
      <c r="AE60" s="137">
        <f t="shared" si="22"/>
        <v>-311276.73704045959</v>
      </c>
      <c r="AF60" s="137">
        <f t="shared" si="22"/>
        <v>-311276.73704045959</v>
      </c>
      <c r="AG60" s="137">
        <f t="shared" si="22"/>
        <v>-311276.73704045959</v>
      </c>
      <c r="AH60" s="137">
        <f t="shared" si="22"/>
        <v>-311276.73704045959</v>
      </c>
      <c r="AI60" s="137">
        <f t="shared" si="22"/>
        <v>-311276.73704045959</v>
      </c>
      <c r="AJ60" s="137">
        <f t="shared" si="22"/>
        <v>-311276.73704045959</v>
      </c>
      <c r="AK60" s="137">
        <f t="shared" si="22"/>
        <v>-311276.73704045959</v>
      </c>
      <c r="AL60" s="137">
        <f t="shared" si="22"/>
        <v>-311276.73704045959</v>
      </c>
      <c r="AM60" s="137">
        <f t="shared" si="22"/>
        <v>-311276.73704045959</v>
      </c>
      <c r="AN60" s="137">
        <f t="shared" si="22"/>
        <v>-311276.73704045959</v>
      </c>
      <c r="AO60" s="137">
        <f t="shared" si="22"/>
        <v>-311276.73704045959</v>
      </c>
      <c r="AP60" s="137">
        <f t="shared" si="22"/>
        <v>-311276.73704045959</v>
      </c>
      <c r="AQ60" s="137">
        <f t="shared" si="22"/>
        <v>-311276.73704045959</v>
      </c>
      <c r="AR60" s="137">
        <f t="shared" si="22"/>
        <v>-311276.73704045959</v>
      </c>
      <c r="AS60" s="137">
        <f t="shared" si="22"/>
        <v>0</v>
      </c>
      <c r="AT60" s="137">
        <f t="shared" si="22"/>
        <v>0</v>
      </c>
      <c r="AU60" s="140">
        <f t="shared" si="14"/>
        <v>283245.02318161592</v>
      </c>
    </row>
    <row r="61" spans="1:47" x14ac:dyDescent="0.25">
      <c r="A61" s="308">
        <f t="shared" si="11"/>
        <v>31</v>
      </c>
      <c r="B61" s="25"/>
      <c r="C61" s="25"/>
      <c r="D61" s="315"/>
      <c r="E61" s="11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315"/>
    </row>
    <row r="62" spans="1:47" s="73" customFormat="1" x14ac:dyDescent="0.25">
      <c r="A62" s="308">
        <f t="shared" si="11"/>
        <v>32</v>
      </c>
      <c r="B62" s="25" t="str">
        <f t="shared" ref="B62" si="23">IF($F$18=1,B66,B65)</f>
        <v>MACRS Depreciation - 20</v>
      </c>
      <c r="C62" s="25"/>
      <c r="D62" s="70"/>
      <c r="E62" s="85">
        <f t="shared" ref="E62" si="24">IF($F$18=1,E66,E65)</f>
        <v>3.7499999999999999E-2</v>
      </c>
      <c r="F62" s="81">
        <f>IF($F$18=1,F66,F65)</f>
        <v>7.2190000000000004E-2</v>
      </c>
      <c r="G62" s="81">
        <f t="shared" ref="G62:Y62" si="25">IF($F$18=1,G66,G65)</f>
        <v>6.6769999999999996E-2</v>
      </c>
      <c r="H62" s="81">
        <f t="shared" si="25"/>
        <v>6.1769999999999999E-2</v>
      </c>
      <c r="I62" s="81">
        <f t="shared" si="25"/>
        <v>5.713E-2</v>
      </c>
      <c r="J62" s="81">
        <f t="shared" si="25"/>
        <v>5.2850000000000001E-2</v>
      </c>
      <c r="K62" s="81">
        <f t="shared" si="25"/>
        <v>4.888E-2</v>
      </c>
      <c r="L62" s="81">
        <f t="shared" si="25"/>
        <v>4.5220000000000003E-2</v>
      </c>
      <c r="M62" s="81">
        <f t="shared" si="25"/>
        <v>4.462E-2</v>
      </c>
      <c r="N62" s="81">
        <f t="shared" si="25"/>
        <v>4.4610000000000004E-2</v>
      </c>
      <c r="O62" s="81">
        <f t="shared" si="25"/>
        <v>4.462E-2</v>
      </c>
      <c r="P62" s="81">
        <f t="shared" si="25"/>
        <v>4.4610000000000004E-2</v>
      </c>
      <c r="Q62" s="81">
        <f t="shared" si="25"/>
        <v>4.462E-2</v>
      </c>
      <c r="R62" s="81">
        <f t="shared" si="25"/>
        <v>4.4610000000000004E-2</v>
      </c>
      <c r="S62" s="81">
        <f t="shared" si="25"/>
        <v>4.462E-2</v>
      </c>
      <c r="T62" s="81">
        <f t="shared" si="25"/>
        <v>4.4610000000000004E-2</v>
      </c>
      <c r="U62" s="81">
        <f t="shared" si="25"/>
        <v>4.462E-2</v>
      </c>
      <c r="V62" s="81">
        <f t="shared" si="25"/>
        <v>4.4610000000000004E-2</v>
      </c>
      <c r="W62" s="81">
        <f t="shared" si="25"/>
        <v>4.462E-2</v>
      </c>
      <c r="X62" s="81">
        <f t="shared" si="25"/>
        <v>4.4610000000000004E-2</v>
      </c>
      <c r="Y62" s="81">
        <f t="shared" si="25"/>
        <v>2.231E-2</v>
      </c>
      <c r="Z62" s="71"/>
      <c r="AA62" s="71"/>
      <c r="AB62" s="71"/>
      <c r="AC62" s="71"/>
      <c r="AD62" s="71"/>
      <c r="AE62" s="71"/>
      <c r="AF62" s="71"/>
      <c r="AG62" s="71"/>
      <c r="AH62" s="71"/>
      <c r="AI62" s="71"/>
      <c r="AJ62" s="71"/>
      <c r="AK62" s="71"/>
      <c r="AL62" s="71"/>
      <c r="AM62" s="71"/>
      <c r="AN62" s="71"/>
      <c r="AO62" s="71"/>
      <c r="AP62" s="70"/>
    </row>
    <row r="63" spans="1:47" outlineLevel="1" x14ac:dyDescent="0.35">
      <c r="A63" s="308">
        <f t="shared" si="11"/>
        <v>33</v>
      </c>
      <c r="B63" s="25"/>
      <c r="C63" s="318"/>
      <c r="E63" s="319"/>
      <c r="F63" s="320"/>
      <c r="G63" s="320"/>
      <c r="H63" s="320"/>
      <c r="I63" s="320"/>
      <c r="J63" s="320"/>
      <c r="K63" s="320"/>
      <c r="L63" s="320"/>
      <c r="M63" s="321"/>
      <c r="N63" s="321"/>
      <c r="O63" s="321"/>
      <c r="P63" s="321"/>
      <c r="Q63" s="321"/>
      <c r="R63" s="321"/>
      <c r="S63" s="321"/>
      <c r="T63" s="321"/>
      <c r="U63" s="321"/>
      <c r="V63" s="321"/>
      <c r="W63" s="321"/>
      <c r="X63" s="321"/>
      <c r="Y63" s="321"/>
      <c r="Z63" s="315"/>
      <c r="AA63" s="315"/>
      <c r="AB63" s="315"/>
      <c r="AC63" s="315"/>
      <c r="AD63" s="315"/>
      <c r="AE63" s="315"/>
      <c r="AF63" s="315"/>
      <c r="AG63" s="315"/>
      <c r="AH63" s="315"/>
      <c r="AI63" s="315"/>
      <c r="AJ63" s="315"/>
      <c r="AK63" s="315"/>
      <c r="AL63" s="315"/>
      <c r="AM63" s="315"/>
      <c r="AN63" s="315"/>
      <c r="AO63" s="26"/>
    </row>
    <row r="64" spans="1:47" outlineLevel="1" x14ac:dyDescent="0.35">
      <c r="A64" s="308">
        <f t="shared" si="11"/>
        <v>34</v>
      </c>
      <c r="B64" s="25"/>
      <c r="C64" s="318"/>
      <c r="E64" s="319"/>
      <c r="F64" s="320"/>
      <c r="G64" s="320"/>
      <c r="H64" s="320"/>
      <c r="I64" s="320"/>
      <c r="J64" s="320"/>
      <c r="K64" s="320"/>
      <c r="L64" s="320"/>
      <c r="M64" s="321"/>
      <c r="N64" s="321"/>
      <c r="O64" s="321"/>
      <c r="P64" s="321"/>
      <c r="Q64" s="321"/>
      <c r="R64" s="321"/>
      <c r="S64" s="321"/>
      <c r="T64" s="321"/>
      <c r="U64" s="321"/>
      <c r="V64" s="321"/>
      <c r="W64" s="321"/>
      <c r="X64" s="321"/>
      <c r="Y64" s="321"/>
      <c r="Z64" s="315"/>
      <c r="AA64" s="315"/>
      <c r="AB64" s="315"/>
      <c r="AC64" s="315"/>
      <c r="AD64" s="315"/>
      <c r="AE64" s="315"/>
      <c r="AF64" s="315"/>
      <c r="AG64" s="315"/>
      <c r="AH64" s="315"/>
      <c r="AI64" s="315"/>
      <c r="AJ64" s="315"/>
      <c r="AK64" s="315"/>
      <c r="AL64" s="315"/>
      <c r="AM64" s="315"/>
      <c r="AN64" s="315"/>
      <c r="AO64" s="26"/>
    </row>
    <row r="65" spans="1:42" s="73" customFormat="1" x14ac:dyDescent="0.35">
      <c r="A65" s="308">
        <f t="shared" si="11"/>
        <v>35</v>
      </c>
      <c r="B65" s="25" t="s">
        <v>72</v>
      </c>
      <c r="C65" s="25"/>
      <c r="D65" s="74">
        <v>0</v>
      </c>
      <c r="E65" s="82">
        <f>'MACRS 20'!B5</f>
        <v>3.7499999999999999E-2</v>
      </c>
      <c r="F65" s="81">
        <f>'MACRS 20'!C5</f>
        <v>7.2190000000000004E-2</v>
      </c>
      <c r="G65" s="81">
        <f>'MACRS 20'!D5</f>
        <v>6.6769999999999996E-2</v>
      </c>
      <c r="H65" s="83">
        <f>'MACRS 20'!E5</f>
        <v>6.1769999999999999E-2</v>
      </c>
      <c r="I65" s="83">
        <f>'MACRS 20'!F5</f>
        <v>5.713E-2</v>
      </c>
      <c r="J65" s="83">
        <f>'MACRS 20'!G5</f>
        <v>5.2850000000000001E-2</v>
      </c>
      <c r="K65" s="83">
        <f>'MACRS 20'!H5</f>
        <v>4.888E-2</v>
      </c>
      <c r="L65" s="83">
        <f>'MACRS 20'!I5</f>
        <v>4.5220000000000003E-2</v>
      </c>
      <c r="M65" s="83">
        <f>'MACRS 20'!J5</f>
        <v>4.462E-2</v>
      </c>
      <c r="N65" s="83">
        <f>'MACRS 20'!K5</f>
        <v>4.4610000000000004E-2</v>
      </c>
      <c r="O65" s="83">
        <f>'MACRS 20'!L5</f>
        <v>4.462E-2</v>
      </c>
      <c r="P65" s="83">
        <f>'MACRS 20'!M5</f>
        <v>4.4610000000000004E-2</v>
      </c>
      <c r="Q65" s="83">
        <f>'MACRS 20'!N5</f>
        <v>4.462E-2</v>
      </c>
      <c r="R65" s="83">
        <f>'MACRS 20'!O5</f>
        <v>4.4610000000000004E-2</v>
      </c>
      <c r="S65" s="83">
        <f>'MACRS 20'!P5</f>
        <v>4.462E-2</v>
      </c>
      <c r="T65" s="83">
        <f>'MACRS 20'!Q5</f>
        <v>4.4610000000000004E-2</v>
      </c>
      <c r="U65" s="83">
        <f>'MACRS 20'!R5</f>
        <v>4.462E-2</v>
      </c>
      <c r="V65" s="83">
        <f>'MACRS 20'!S5</f>
        <v>4.4610000000000004E-2</v>
      </c>
      <c r="W65" s="83">
        <f>'MACRS 20'!T5</f>
        <v>4.462E-2</v>
      </c>
      <c r="X65" s="83">
        <f>'MACRS 20'!U5</f>
        <v>4.4610000000000004E-2</v>
      </c>
      <c r="Y65" s="83">
        <f>'MACRS 20'!V5</f>
        <v>2.231E-2</v>
      </c>
      <c r="Z65" s="75"/>
      <c r="AA65" s="71"/>
      <c r="AB65" s="71"/>
      <c r="AC65" s="71"/>
      <c r="AD65" s="71"/>
      <c r="AE65" s="71"/>
      <c r="AF65" s="71"/>
      <c r="AG65" s="71"/>
      <c r="AH65" s="71"/>
      <c r="AI65" s="71"/>
      <c r="AJ65" s="71"/>
      <c r="AK65" s="71"/>
      <c r="AL65" s="71"/>
      <c r="AM65" s="71"/>
      <c r="AN65" s="70"/>
      <c r="AP65" s="76"/>
    </row>
    <row r="66" spans="1:42" x14ac:dyDescent="0.25">
      <c r="A66" s="308">
        <f t="shared" si="11"/>
        <v>36</v>
      </c>
      <c r="B66" s="25" t="s">
        <v>73</v>
      </c>
      <c r="C66" s="25"/>
      <c r="D66" s="74">
        <v>0</v>
      </c>
      <c r="E66" s="82">
        <f>'MACRS 20'!B6</f>
        <v>0.51875000000000004</v>
      </c>
      <c r="F66" s="81">
        <f>'MACRS 20'!C6</f>
        <v>3.6095000000000002E-2</v>
      </c>
      <c r="G66" s="81">
        <f>'MACRS 20'!D6</f>
        <v>3.3384999999999998E-2</v>
      </c>
      <c r="H66" s="84">
        <f>'MACRS 20'!E6</f>
        <v>3.0884999999999999E-2</v>
      </c>
      <c r="I66" s="84">
        <f>'MACRS 20'!F6</f>
        <v>2.8565E-2</v>
      </c>
      <c r="J66" s="84">
        <f>'MACRS 20'!G6</f>
        <v>2.6425000000000001E-2</v>
      </c>
      <c r="K66" s="84">
        <f>'MACRS 20'!H6</f>
        <v>2.444E-2</v>
      </c>
      <c r="L66" s="84">
        <f>'MACRS 20'!I6</f>
        <v>2.2610000000000002E-2</v>
      </c>
      <c r="M66" s="84">
        <f>'MACRS 20'!J6</f>
        <v>2.231E-2</v>
      </c>
      <c r="N66" s="84">
        <f>'MACRS 20'!K6</f>
        <v>2.2305000000000002E-2</v>
      </c>
      <c r="O66" s="84">
        <f>'MACRS 20'!L6</f>
        <v>2.231E-2</v>
      </c>
      <c r="P66" s="84">
        <f>'MACRS 20'!M6</f>
        <v>2.2305000000000002E-2</v>
      </c>
      <c r="Q66" s="84">
        <f>'MACRS 20'!N6</f>
        <v>2.231E-2</v>
      </c>
      <c r="R66" s="84">
        <f>'MACRS 20'!O6</f>
        <v>2.2305000000000002E-2</v>
      </c>
      <c r="S66" s="84">
        <f>'MACRS 20'!P6</f>
        <v>2.231E-2</v>
      </c>
      <c r="T66" s="84">
        <f>'MACRS 20'!Q6</f>
        <v>2.2305000000000002E-2</v>
      </c>
      <c r="U66" s="84">
        <f>'MACRS 20'!R6</f>
        <v>2.231E-2</v>
      </c>
      <c r="V66" s="84">
        <f>'MACRS 20'!S6</f>
        <v>2.2305000000000002E-2</v>
      </c>
      <c r="W66" s="84">
        <f>'MACRS 20'!T6</f>
        <v>2.231E-2</v>
      </c>
      <c r="X66" s="84">
        <f>'MACRS 20'!U6</f>
        <v>2.2305000000000002E-2</v>
      </c>
      <c r="Y66" s="84">
        <f>'MACRS 20'!V6</f>
        <v>1.1155E-2</v>
      </c>
      <c r="Z66" s="72"/>
      <c r="AA66" s="72"/>
      <c r="AB66" s="77"/>
      <c r="AC66" s="77"/>
      <c r="AD66" s="77"/>
      <c r="AE66" s="77"/>
      <c r="AF66" s="77"/>
      <c r="AG66" s="77"/>
      <c r="AH66" s="77"/>
      <c r="AI66" s="77"/>
      <c r="AJ66" s="77"/>
      <c r="AK66" s="77"/>
      <c r="AL66" s="77"/>
      <c r="AM66" s="77"/>
      <c r="AN66" s="315"/>
      <c r="AO66" s="26"/>
      <c r="AP66" s="76">
        <f>SUM(D66:AO66)</f>
        <v>1.0000000000000004</v>
      </c>
    </row>
    <row r="69" spans="1:42" x14ac:dyDescent="0.35">
      <c r="B69" s="78"/>
    </row>
  </sheetData>
  <mergeCells count="1">
    <mergeCell ref="E1:F1"/>
  </mergeCells>
  <printOptions horizontalCentered="1"/>
  <pageMargins left="0.75" right="0.5" top="0.5" bottom="0.5" header="0.5" footer="0.25"/>
  <pageSetup scale="15"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topLeftCell="A3" zoomScale="90" zoomScaleNormal="90" workbookViewId="0">
      <selection activeCell="B3" sqref="B3"/>
    </sheetView>
  </sheetViews>
  <sheetFormatPr defaultColWidth="9.08984375" defaultRowHeight="14.5" outlineLevelRow="1" x14ac:dyDescent="0.35"/>
  <cols>
    <col min="1" max="1" width="17" style="268" customWidth="1"/>
    <col min="2" max="2" width="46" style="268" bestFit="1" customWidth="1"/>
    <col min="3" max="3" width="14.54296875" style="268" bestFit="1" customWidth="1"/>
    <col min="4" max="4" width="15.6328125" style="268" bestFit="1" customWidth="1"/>
    <col min="5" max="5" width="16" style="268" bestFit="1" customWidth="1"/>
    <col min="6" max="6" width="12.36328125" style="268" customWidth="1"/>
    <col min="7" max="7" width="28.54296875" style="270" bestFit="1" customWidth="1"/>
    <col min="8" max="8" width="11" style="270" customWidth="1"/>
    <col min="9" max="16384" width="9.08984375" style="270"/>
  </cols>
  <sheetData>
    <row r="1" spans="1:8" x14ac:dyDescent="0.35">
      <c r="A1" s="241"/>
      <c r="B1" s="241"/>
      <c r="C1" s="241"/>
      <c r="D1" s="241"/>
      <c r="E1" s="241"/>
      <c r="F1" s="241"/>
      <c r="G1"/>
      <c r="H1"/>
    </row>
    <row r="2" spans="1:8" x14ac:dyDescent="0.35">
      <c r="B2" s="168" t="s">
        <v>78</v>
      </c>
      <c r="C2" s="271"/>
      <c r="D2" s="271"/>
      <c r="E2" s="271"/>
    </row>
    <row r="4" spans="1:8" ht="15" thickBot="1" x14ac:dyDescent="0.4"/>
    <row r="5" spans="1:8" ht="15" thickBot="1" x14ac:dyDescent="0.4">
      <c r="A5" s="272"/>
      <c r="B5" s="160">
        <v>43739</v>
      </c>
      <c r="C5" s="273"/>
      <c r="D5" s="273"/>
      <c r="E5" s="274"/>
      <c r="F5" s="275"/>
      <c r="G5" s="276"/>
    </row>
    <row r="6" spans="1:8" ht="83" customHeight="1" x14ac:dyDescent="0.35">
      <c r="A6" s="161" t="s">
        <v>79</v>
      </c>
      <c r="B6" s="161" t="s">
        <v>80</v>
      </c>
      <c r="C6" s="162" t="s">
        <v>202</v>
      </c>
      <c r="D6" s="162" t="s">
        <v>231</v>
      </c>
      <c r="E6" s="162" t="s">
        <v>322</v>
      </c>
      <c r="F6" s="275"/>
      <c r="G6" s="276"/>
    </row>
    <row r="7" spans="1:8" ht="15.5" x14ac:dyDescent="0.35">
      <c r="A7" s="268" t="s">
        <v>95</v>
      </c>
      <c r="B7" s="164" t="s">
        <v>96</v>
      </c>
      <c r="C7" s="153">
        <v>49985039.879999995</v>
      </c>
      <c r="D7" s="153">
        <v>10065397.379999999</v>
      </c>
      <c r="E7" s="165">
        <f>SUM(C7:D7)</f>
        <v>60050437.25999999</v>
      </c>
      <c r="F7" s="275"/>
      <c r="G7" s="276"/>
    </row>
    <row r="8" spans="1:8" ht="15.5" x14ac:dyDescent="0.35">
      <c r="A8" s="268" t="s">
        <v>97</v>
      </c>
      <c r="B8" s="164" t="s">
        <v>98</v>
      </c>
      <c r="C8" s="153">
        <v>479737.33</v>
      </c>
      <c r="D8" s="153">
        <v>1588.01</v>
      </c>
      <c r="E8" s="165">
        <f>SUM(C8:D8)</f>
        <v>481325.34</v>
      </c>
      <c r="F8" s="275"/>
      <c r="G8" s="276"/>
    </row>
    <row r="9" spans="1:8" ht="15.5" x14ac:dyDescent="0.35">
      <c r="A9" s="268" t="s">
        <v>99</v>
      </c>
      <c r="B9" s="164" t="s">
        <v>100</v>
      </c>
      <c r="C9" s="153">
        <v>105950.33000000002</v>
      </c>
      <c r="D9" s="153">
        <v>1879.9500000000003</v>
      </c>
      <c r="E9" s="165">
        <f>SUM(C9:D9)</f>
        <v>107830.28000000001</v>
      </c>
      <c r="F9" s="275"/>
      <c r="G9" s="276"/>
    </row>
    <row r="10" spans="1:8" x14ac:dyDescent="0.35">
      <c r="A10" s="166" t="s">
        <v>82</v>
      </c>
      <c r="B10" s="166"/>
      <c r="C10" s="165">
        <f>SUM(C7:C9)</f>
        <v>50570727.539999992</v>
      </c>
      <c r="D10" s="165">
        <f t="shared" ref="D10:E10" si="0">SUM(D7:D9)</f>
        <v>10068865.339999998</v>
      </c>
      <c r="E10" s="165">
        <f t="shared" si="0"/>
        <v>60639592.879999995</v>
      </c>
      <c r="F10" s="275"/>
      <c r="G10" s="276"/>
    </row>
    <row r="11" spans="1:8" x14ac:dyDescent="0.35">
      <c r="F11" s="275"/>
      <c r="G11" s="276"/>
    </row>
    <row r="12" spans="1:8" x14ac:dyDescent="0.35">
      <c r="B12" s="277" t="s">
        <v>83</v>
      </c>
      <c r="C12" s="277"/>
      <c r="D12" s="277"/>
      <c r="E12" s="278">
        <f>+E7+E8</f>
        <v>60531762.599999994</v>
      </c>
      <c r="F12" s="275"/>
      <c r="G12" s="276"/>
    </row>
    <row r="13" spans="1:8" x14ac:dyDescent="0.35">
      <c r="B13" s="277" t="s">
        <v>84</v>
      </c>
      <c r="C13" s="277"/>
      <c r="D13" s="277"/>
      <c r="E13" s="278">
        <f>+E9</f>
        <v>107830.28000000001</v>
      </c>
      <c r="F13" s="275"/>
      <c r="G13" s="276"/>
    </row>
    <row r="14" spans="1:8" x14ac:dyDescent="0.35">
      <c r="E14" s="530">
        <f>+E12/E10</f>
        <v>0.99822178423569918</v>
      </c>
      <c r="F14" s="275"/>
      <c r="G14" s="276"/>
    </row>
    <row r="15" spans="1:8" x14ac:dyDescent="0.35">
      <c r="E15" s="530">
        <f>+E13/E10</f>
        <v>1.7782157643008243E-3</v>
      </c>
      <c r="F15" s="275"/>
      <c r="G15" s="276"/>
    </row>
    <row r="16" spans="1:8" x14ac:dyDescent="0.35">
      <c r="E16" s="279"/>
      <c r="F16" s="275"/>
      <c r="G16" s="276"/>
    </row>
    <row r="17" spans="1:8" x14ac:dyDescent="0.35">
      <c r="A17" s="167"/>
      <c r="B17" s="168" t="s">
        <v>85</v>
      </c>
      <c r="C17" s="168"/>
      <c r="D17" s="168"/>
      <c r="E17" s="168"/>
      <c r="F17" s="275"/>
      <c r="G17" s="276"/>
    </row>
    <row r="18" spans="1:8" x14ac:dyDescent="0.35">
      <c r="A18" s="280" t="s">
        <v>86</v>
      </c>
      <c r="B18" s="169" t="s">
        <v>188</v>
      </c>
      <c r="C18" s="170" t="s">
        <v>189</v>
      </c>
      <c r="D18" s="170" t="s">
        <v>190</v>
      </c>
      <c r="E18" s="170" t="s">
        <v>90</v>
      </c>
      <c r="F18" s="275"/>
      <c r="G18" s="276"/>
    </row>
    <row r="19" spans="1:8" x14ac:dyDescent="0.35">
      <c r="A19" s="166" t="s">
        <v>91</v>
      </c>
      <c r="B19" s="154">
        <f>D30</f>
        <v>2.443056207967733E-2</v>
      </c>
      <c r="C19" s="171">
        <f>E12*B19</f>
        <v>1478824.9839915903</v>
      </c>
      <c r="D19" s="171"/>
      <c r="E19" s="171">
        <f>SUM(C19:D19)</f>
        <v>1478824.9839915903</v>
      </c>
      <c r="F19" s="275"/>
      <c r="G19" s="276"/>
    </row>
    <row r="20" spans="1:8" x14ac:dyDescent="0.35">
      <c r="A20" s="277" t="s">
        <v>84</v>
      </c>
      <c r="B20" s="154">
        <f>D31</f>
        <v>3.1950138602539598E-2</v>
      </c>
      <c r="C20" s="171"/>
      <c r="D20" s="171">
        <f>E13*B20</f>
        <v>3445.1923915506541</v>
      </c>
      <c r="E20" s="171">
        <f>SUM(C20:D20)</f>
        <v>3445.1923915506541</v>
      </c>
      <c r="F20" s="275"/>
      <c r="G20" s="276"/>
    </row>
    <row r="21" spans="1:8" x14ac:dyDescent="0.35">
      <c r="A21" s="166" t="s">
        <v>92</v>
      </c>
      <c r="B21" s="172"/>
      <c r="C21" s="171">
        <f>SUM(C19:C20)</f>
        <v>1478824.9839915903</v>
      </c>
      <c r="D21" s="171">
        <f>SUM(D19:D20)</f>
        <v>3445.1923915506541</v>
      </c>
      <c r="E21" s="171">
        <f>SUM(C21:D21)</f>
        <v>1482270.176383141</v>
      </c>
      <c r="F21" s="275"/>
      <c r="G21" s="276"/>
    </row>
    <row r="22" spans="1:8" x14ac:dyDescent="0.35">
      <c r="A22" s="172"/>
      <c r="B22" s="173" t="s">
        <v>93</v>
      </c>
      <c r="C22" s="172"/>
      <c r="D22" s="172"/>
      <c r="E22" s="154">
        <f>+E21/E10</f>
        <v>2.4443933509191149E-2</v>
      </c>
      <c r="F22" s="281" t="s">
        <v>198</v>
      </c>
      <c r="G22" s="276"/>
    </row>
    <row r="23" spans="1:8" ht="58" x14ac:dyDescent="0.35">
      <c r="E23" s="279">
        <f>E19/E21</f>
        <v>0.99767573250380226</v>
      </c>
      <c r="F23" s="282" t="s">
        <v>199</v>
      </c>
      <c r="G23" s="276"/>
      <c r="H23" s="276"/>
    </row>
    <row r="24" spans="1:8" x14ac:dyDescent="0.35">
      <c r="E24" s="279">
        <f>E20/E21</f>
        <v>2.3242674961977592E-3</v>
      </c>
      <c r="F24" s="275"/>
      <c r="G24" s="276"/>
      <c r="H24" s="276"/>
    </row>
    <row r="25" spans="1:8" ht="15" thickBot="1" x14ac:dyDescent="0.4">
      <c r="F25" s="275"/>
      <c r="G25" s="276"/>
      <c r="H25" s="276"/>
    </row>
    <row r="26" spans="1:8" x14ac:dyDescent="0.35">
      <c r="A26" s="242" t="s">
        <v>180</v>
      </c>
      <c r="B26" s="243"/>
      <c r="C26" s="243"/>
      <c r="D26" s="244"/>
      <c r="E26" s="279"/>
    </row>
    <row r="27" spans="1:8" ht="24" x14ac:dyDescent="0.35">
      <c r="A27" s="245" t="s">
        <v>181</v>
      </c>
      <c r="B27" s="246" t="s">
        <v>110</v>
      </c>
      <c r="C27" s="247" t="s">
        <v>182</v>
      </c>
      <c r="D27" s="248" t="s">
        <v>183</v>
      </c>
      <c r="E27" s="283"/>
      <c r="F27" s="275"/>
    </row>
    <row r="28" spans="1:8" x14ac:dyDescent="0.35">
      <c r="A28" s="245" t="s">
        <v>184</v>
      </c>
      <c r="B28" s="246"/>
      <c r="C28" s="249" t="s">
        <v>111</v>
      </c>
      <c r="D28" s="250" t="s">
        <v>111</v>
      </c>
      <c r="E28" s="275"/>
      <c r="F28" s="284"/>
    </row>
    <row r="29" spans="1:8" x14ac:dyDescent="0.35">
      <c r="A29" s="251"/>
      <c r="B29" s="252"/>
      <c r="C29" s="249" t="s">
        <v>185</v>
      </c>
      <c r="D29" s="253"/>
    </row>
    <row r="30" spans="1:8" x14ac:dyDescent="0.35">
      <c r="A30" s="254">
        <v>376.2</v>
      </c>
      <c r="B30" s="252" t="s">
        <v>186</v>
      </c>
      <c r="C30" s="255">
        <v>2.7700000000000002E-2</v>
      </c>
      <c r="D30" s="256">
        <v>2.443056207967733E-2</v>
      </c>
    </row>
    <row r="31" spans="1:8" ht="15" thickBot="1" x14ac:dyDescent="0.4">
      <c r="A31" s="257">
        <v>380.2</v>
      </c>
      <c r="B31" s="258" t="s">
        <v>187</v>
      </c>
      <c r="C31" s="259">
        <v>4.58E-2</v>
      </c>
      <c r="D31" s="260">
        <v>3.1950138602539598E-2</v>
      </c>
    </row>
    <row r="33" spans="1:8" x14ac:dyDescent="0.35">
      <c r="A33" s="167"/>
      <c r="B33" s="168" t="s">
        <v>85</v>
      </c>
      <c r="C33" s="168"/>
      <c r="D33" s="168"/>
      <c r="E33" s="279"/>
    </row>
    <row r="34" spans="1:8" x14ac:dyDescent="0.35">
      <c r="A34" s="280" t="s">
        <v>86</v>
      </c>
      <c r="B34" s="169" t="s">
        <v>87</v>
      </c>
      <c r="C34" s="170" t="s">
        <v>88</v>
      </c>
      <c r="D34" s="170" t="s">
        <v>89</v>
      </c>
      <c r="E34" s="170" t="s">
        <v>90</v>
      </c>
    </row>
    <row r="35" spans="1:8" x14ac:dyDescent="0.35">
      <c r="A35" s="166" t="s">
        <v>91</v>
      </c>
      <c r="B35" s="154">
        <f>D30</f>
        <v>2.443056207967733E-2</v>
      </c>
      <c r="C35" s="171">
        <f>E80*B35</f>
        <v>1026649.0141054934</v>
      </c>
      <c r="D35" s="171"/>
      <c r="E35" s="171">
        <f>SUM(C35:D35)</f>
        <v>1026649.0141054934</v>
      </c>
    </row>
    <row r="36" spans="1:8" x14ac:dyDescent="0.35">
      <c r="A36" s="166" t="s">
        <v>84</v>
      </c>
      <c r="B36" s="154">
        <f>D31</f>
        <v>3.1950138602539598E-2</v>
      </c>
      <c r="C36" s="171"/>
      <c r="D36" s="171">
        <f>E81*B36</f>
        <v>111651.69744198215</v>
      </c>
      <c r="E36" s="171">
        <f>SUM(C36:D36)</f>
        <v>111651.69744198215</v>
      </c>
    </row>
    <row r="37" spans="1:8" x14ac:dyDescent="0.35">
      <c r="A37" s="166" t="s">
        <v>92</v>
      </c>
      <c r="B37" s="172"/>
      <c r="C37" s="171">
        <f>SUM(C35:C36)</f>
        <v>1026649.0141054934</v>
      </c>
      <c r="D37" s="171">
        <f>SUM(D35:D36)</f>
        <v>111651.69744198215</v>
      </c>
      <c r="E37" s="171">
        <f>SUM(C37:D37)</f>
        <v>1138300.7115474755</v>
      </c>
    </row>
    <row r="38" spans="1:8" x14ac:dyDescent="0.35">
      <c r="A38" s="172"/>
      <c r="B38" s="173" t="s">
        <v>93</v>
      </c>
      <c r="C38" s="172"/>
      <c r="D38" s="172"/>
      <c r="E38" s="154">
        <f>+E37/E78</f>
        <v>2.5007867478263991E-2</v>
      </c>
    </row>
    <row r="41" spans="1:8" ht="15" thickBot="1" x14ac:dyDescent="0.4"/>
    <row r="42" spans="1:8" ht="15" thickBot="1" x14ac:dyDescent="0.4">
      <c r="A42" s="272"/>
      <c r="B42" s="261">
        <v>2018</v>
      </c>
      <c r="C42" s="273"/>
      <c r="D42" s="273"/>
      <c r="E42" s="274"/>
      <c r="G42" s="262"/>
      <c r="H42" s="262"/>
    </row>
    <row r="43" spans="1:8" ht="72.5" x14ac:dyDescent="0.35">
      <c r="A43" s="161" t="s">
        <v>79</v>
      </c>
      <c r="B43" s="161" t="s">
        <v>80</v>
      </c>
      <c r="C43" s="162" t="s">
        <v>195</v>
      </c>
      <c r="D43" s="162" t="s">
        <v>196</v>
      </c>
      <c r="E43" s="163" t="s">
        <v>81</v>
      </c>
      <c r="G43" s="263"/>
      <c r="H43" s="263"/>
    </row>
    <row r="44" spans="1:8" ht="15.5" x14ac:dyDescent="0.35">
      <c r="A44" s="268" t="s">
        <v>95</v>
      </c>
      <c r="B44" s="164" t="s">
        <v>96</v>
      </c>
      <c r="C44" s="153">
        <v>50181798.259999998</v>
      </c>
      <c r="D44" s="153">
        <v>4644023.4099999992</v>
      </c>
      <c r="E44" s="165">
        <f>SUM(C44:D44)</f>
        <v>54825821.669999994</v>
      </c>
      <c r="G44" s="264"/>
      <c r="H44" s="264"/>
    </row>
    <row r="45" spans="1:8" ht="15.5" x14ac:dyDescent="0.35">
      <c r="A45" s="268" t="s">
        <v>97</v>
      </c>
      <c r="B45" s="164" t="s">
        <v>98</v>
      </c>
      <c r="C45" s="153">
        <v>4782276.53</v>
      </c>
      <c r="D45" s="153"/>
      <c r="E45" s="165">
        <f>SUM(C45:D45)</f>
        <v>4782276.53</v>
      </c>
      <c r="G45" s="264"/>
      <c r="H45" s="264"/>
    </row>
    <row r="46" spans="1:8" ht="15.5" x14ac:dyDescent="0.35">
      <c r="A46" s="268" t="s">
        <v>99</v>
      </c>
      <c r="B46" s="164" t="s">
        <v>100</v>
      </c>
      <c r="C46" s="153">
        <v>676665.87999999989</v>
      </c>
      <c r="D46" s="153"/>
      <c r="E46" s="165">
        <f>SUM(C46:D46)</f>
        <v>676665.87999999989</v>
      </c>
      <c r="G46" s="264"/>
      <c r="H46" s="264"/>
    </row>
    <row r="47" spans="1:8" x14ac:dyDescent="0.35">
      <c r="A47" s="166" t="s">
        <v>82</v>
      </c>
      <c r="B47" s="166"/>
      <c r="C47" s="165">
        <f t="shared" ref="C47:D47" si="1">SUM(C44:C46)</f>
        <v>55640740.670000002</v>
      </c>
      <c r="D47" s="165">
        <f t="shared" si="1"/>
        <v>4644023.4099999992</v>
      </c>
      <c r="E47" s="165">
        <f>SUM(E44:E46)</f>
        <v>60284764.079999998</v>
      </c>
      <c r="F47" s="285"/>
      <c r="G47" s="265"/>
      <c r="H47" s="265"/>
    </row>
    <row r="48" spans="1:8" x14ac:dyDescent="0.35">
      <c r="G48" s="286"/>
      <c r="H48" s="286"/>
    </row>
    <row r="49" spans="1:8" x14ac:dyDescent="0.35">
      <c r="B49" s="277" t="s">
        <v>83</v>
      </c>
      <c r="C49" s="277"/>
      <c r="D49" s="277"/>
      <c r="E49" s="278">
        <f>+E44+E45</f>
        <v>59608098.199999996</v>
      </c>
      <c r="G49" s="286"/>
      <c r="H49" s="286"/>
    </row>
    <row r="50" spans="1:8" x14ac:dyDescent="0.35">
      <c r="B50" s="277" t="s">
        <v>84</v>
      </c>
      <c r="C50" s="277"/>
      <c r="D50" s="277"/>
      <c r="E50" s="278">
        <f>+E46</f>
        <v>676665.87999999989</v>
      </c>
      <c r="G50" s="286"/>
      <c r="H50" s="286"/>
    </row>
    <row r="51" spans="1:8" x14ac:dyDescent="0.35">
      <c r="E51" s="279">
        <f>+E49/E47</f>
        <v>0.98877550753782428</v>
      </c>
      <c r="G51" s="286"/>
      <c r="H51" s="286"/>
    </row>
    <row r="52" spans="1:8" x14ac:dyDescent="0.35">
      <c r="E52" s="279">
        <f>+E50/E47</f>
        <v>1.1224492462175693E-2</v>
      </c>
      <c r="G52" s="286"/>
      <c r="H52" s="286"/>
    </row>
    <row r="53" spans="1:8" x14ac:dyDescent="0.35">
      <c r="E53" s="279"/>
      <c r="G53" s="286"/>
      <c r="H53" s="286"/>
    </row>
    <row r="54" spans="1:8" x14ac:dyDescent="0.35">
      <c r="A54" s="167"/>
      <c r="B54" s="168" t="s">
        <v>85</v>
      </c>
      <c r="C54" s="168"/>
      <c r="D54" s="168"/>
      <c r="E54" s="168"/>
      <c r="G54" s="286"/>
      <c r="H54" s="286"/>
    </row>
    <row r="55" spans="1:8" x14ac:dyDescent="0.35">
      <c r="A55" s="280" t="s">
        <v>86</v>
      </c>
      <c r="B55" s="169" t="s">
        <v>193</v>
      </c>
      <c r="C55" s="170" t="s">
        <v>189</v>
      </c>
      <c r="D55" s="170" t="s">
        <v>190</v>
      </c>
      <c r="E55" s="170" t="s">
        <v>90</v>
      </c>
      <c r="G55" s="286"/>
      <c r="H55" s="286"/>
    </row>
    <row r="56" spans="1:8" x14ac:dyDescent="0.35">
      <c r="A56" s="166" t="s">
        <v>91</v>
      </c>
      <c r="B56" s="154">
        <f>C30</f>
        <v>2.7700000000000002E-2</v>
      </c>
      <c r="C56" s="171">
        <f>E49*B56</f>
        <v>1651144.32014</v>
      </c>
      <c r="D56" s="171"/>
      <c r="E56" s="171">
        <f>SUM(C56:D56)</f>
        <v>1651144.32014</v>
      </c>
      <c r="G56" s="286"/>
      <c r="H56" s="286"/>
    </row>
    <row r="57" spans="1:8" x14ac:dyDescent="0.35">
      <c r="A57" s="166" t="s">
        <v>84</v>
      </c>
      <c r="B57" s="154">
        <f>C31</f>
        <v>4.58E-2</v>
      </c>
      <c r="C57" s="171"/>
      <c r="D57" s="171">
        <f>E50*B57</f>
        <v>30991.297303999996</v>
      </c>
      <c r="E57" s="171">
        <f>SUM(C57:D57)</f>
        <v>30991.297303999996</v>
      </c>
      <c r="G57" s="286"/>
      <c r="H57" s="286"/>
    </row>
    <row r="58" spans="1:8" x14ac:dyDescent="0.35">
      <c r="A58" s="166" t="s">
        <v>92</v>
      </c>
      <c r="B58" s="172"/>
      <c r="C58" s="171">
        <f>SUM(C56:C57)</f>
        <v>1651144.32014</v>
      </c>
      <c r="D58" s="171">
        <f>SUM(D56:D57)</f>
        <v>30991.297303999996</v>
      </c>
      <c r="E58" s="171">
        <f>SUM(C58:D58)</f>
        <v>1682135.617444</v>
      </c>
      <c r="G58" s="286"/>
      <c r="H58" s="286"/>
    </row>
    <row r="59" spans="1:8" x14ac:dyDescent="0.35">
      <c r="A59" s="172"/>
      <c r="B59" s="173" t="s">
        <v>93</v>
      </c>
      <c r="C59" s="172"/>
      <c r="D59" s="172"/>
      <c r="E59" s="154">
        <f>+E58/E47</f>
        <v>2.790316331356538E-2</v>
      </c>
      <c r="G59" s="286"/>
      <c r="H59" s="286"/>
    </row>
    <row r="60" spans="1:8" x14ac:dyDescent="0.35">
      <c r="E60" s="279">
        <f>E56/E58</f>
        <v>0.98157621954935403</v>
      </c>
      <c r="G60" s="286"/>
      <c r="H60" s="286"/>
    </row>
    <row r="61" spans="1:8" x14ac:dyDescent="0.35">
      <c r="E61" s="279">
        <f>E57/E58</f>
        <v>1.8423780450645934E-2</v>
      </c>
      <c r="G61" s="286"/>
      <c r="H61" s="286"/>
    </row>
    <row r="62" spans="1:8" x14ac:dyDescent="0.35">
      <c r="A62" s="167"/>
      <c r="B62" s="168" t="s">
        <v>85</v>
      </c>
      <c r="C62" s="168"/>
      <c r="D62" s="168"/>
      <c r="E62" s="168"/>
      <c r="G62" s="286"/>
      <c r="H62" s="286"/>
    </row>
    <row r="63" spans="1:8" x14ac:dyDescent="0.35">
      <c r="A63" s="280" t="s">
        <v>86</v>
      </c>
      <c r="B63" s="169" t="s">
        <v>188</v>
      </c>
      <c r="C63" s="170" t="s">
        <v>189</v>
      </c>
      <c r="D63" s="170" t="s">
        <v>190</v>
      </c>
      <c r="E63" s="170" t="s">
        <v>90</v>
      </c>
      <c r="G63" s="286"/>
      <c r="H63" s="286"/>
    </row>
    <row r="64" spans="1:8" x14ac:dyDescent="0.35">
      <c r="A64" s="166" t="s">
        <v>91</v>
      </c>
      <c r="B64" s="154">
        <f>D30</f>
        <v>2.443056207967733E-2</v>
      </c>
      <c r="C64" s="171">
        <f>E49*B64</f>
        <v>1456259.3435266025</v>
      </c>
      <c r="D64" s="171"/>
      <c r="E64" s="171">
        <f>SUM(C64:D64)</f>
        <v>1456259.3435266025</v>
      </c>
      <c r="F64" s="275"/>
      <c r="G64" s="286"/>
      <c r="H64" s="286"/>
    </row>
    <row r="65" spans="1:8" x14ac:dyDescent="0.35">
      <c r="A65" s="166" t="s">
        <v>84</v>
      </c>
      <c r="B65" s="154">
        <f>D31</f>
        <v>3.1950138602539598E-2</v>
      </c>
      <c r="C65" s="171"/>
      <c r="D65" s="171">
        <f>E50*B65</f>
        <v>21619.568653609422</v>
      </c>
      <c r="E65" s="171">
        <f>SUM(C65:D65)</f>
        <v>21619.568653609422</v>
      </c>
      <c r="F65" s="275"/>
      <c r="G65" s="286"/>
      <c r="H65" s="286"/>
    </row>
    <row r="66" spans="1:8" x14ac:dyDescent="0.35">
      <c r="A66" s="166" t="s">
        <v>92</v>
      </c>
      <c r="B66" s="172"/>
      <c r="C66" s="171">
        <f>SUM(C64:C65)</f>
        <v>1456259.3435266025</v>
      </c>
      <c r="D66" s="171">
        <f>SUM(D64:D65)</f>
        <v>21619.568653609422</v>
      </c>
      <c r="E66" s="171">
        <f>SUM(C66:D66)</f>
        <v>1477878.9121802119</v>
      </c>
      <c r="F66" s="275"/>
      <c r="G66" s="286"/>
      <c r="H66" s="286"/>
    </row>
    <row r="67" spans="1:8" x14ac:dyDescent="0.35">
      <c r="A67" s="172"/>
      <c r="B67" s="173" t="s">
        <v>93</v>
      </c>
      <c r="C67" s="172"/>
      <c r="D67" s="172"/>
      <c r="E67" s="154">
        <f>+E66/E47</f>
        <v>2.451496550967695E-2</v>
      </c>
      <c r="G67" s="287"/>
      <c r="H67" s="287"/>
    </row>
    <row r="68" spans="1:8" x14ac:dyDescent="0.35">
      <c r="E68" s="279">
        <f>E64/E66</f>
        <v>0.98537121784780357</v>
      </c>
      <c r="F68" s="275"/>
      <c r="G68" s="288"/>
      <c r="H68" s="288"/>
    </row>
    <row r="69" spans="1:8" x14ac:dyDescent="0.35">
      <c r="E69" s="279">
        <f>E65/E66</f>
        <v>1.4628782152196472E-2</v>
      </c>
      <c r="F69" s="275"/>
      <c r="G69" s="288"/>
      <c r="H69" s="288"/>
    </row>
    <row r="70" spans="1:8" x14ac:dyDescent="0.35">
      <c r="F70" s="275"/>
      <c r="G70" s="288"/>
      <c r="H70" s="288"/>
    </row>
    <row r="71" spans="1:8" x14ac:dyDescent="0.35">
      <c r="E71" s="275">
        <f>E66/12*F71</f>
        <v>50237.303400000004</v>
      </c>
      <c r="F71" s="275">
        <f>0.01/E67</f>
        <v>0.40791409623042857</v>
      </c>
      <c r="G71" s="286"/>
      <c r="H71" s="286"/>
    </row>
    <row r="72" spans="1:8" ht="15" thickBot="1" x14ac:dyDescent="0.4">
      <c r="E72" s="275"/>
      <c r="G72" s="286"/>
      <c r="H72" s="286"/>
    </row>
    <row r="73" spans="1:8" ht="15" outlineLevel="1" thickBot="1" x14ac:dyDescent="0.4">
      <c r="A73" s="272"/>
      <c r="B73" s="261">
        <v>2017</v>
      </c>
      <c r="C73" s="273"/>
      <c r="D73" s="273"/>
      <c r="E73" s="274"/>
      <c r="G73" s="289"/>
      <c r="H73" s="289"/>
    </row>
    <row r="74" spans="1:8" ht="29" outlineLevel="1" x14ac:dyDescent="0.35">
      <c r="A74" s="161" t="s">
        <v>79</v>
      </c>
      <c r="B74" s="161" t="s">
        <v>80</v>
      </c>
      <c r="C74" s="163" t="s">
        <v>94</v>
      </c>
      <c r="D74" s="163" t="s">
        <v>179</v>
      </c>
      <c r="E74" s="163" t="s">
        <v>81</v>
      </c>
      <c r="G74" s="289"/>
      <c r="H74" s="289"/>
    </row>
    <row r="75" spans="1:8" ht="15.5" outlineLevel="1" x14ac:dyDescent="0.35">
      <c r="A75" s="268" t="s">
        <v>95</v>
      </c>
      <c r="B75" s="164" t="s">
        <v>96</v>
      </c>
      <c r="C75" s="165">
        <v>32093652.129999988</v>
      </c>
      <c r="D75" s="165">
        <v>2505759</v>
      </c>
      <c r="E75" s="165">
        <f>SUM(C75:D75)</f>
        <v>34599411.129999988</v>
      </c>
      <c r="G75" s="289"/>
      <c r="H75" s="289"/>
    </row>
    <row r="76" spans="1:8" ht="15.5" outlineLevel="1" x14ac:dyDescent="0.35">
      <c r="A76" s="268" t="s">
        <v>97</v>
      </c>
      <c r="B76" s="164" t="s">
        <v>98</v>
      </c>
      <c r="C76" s="165">
        <v>7251539.2899999935</v>
      </c>
      <c r="D76" s="165">
        <v>172193</v>
      </c>
      <c r="E76" s="165">
        <f>SUM(C76:D76)</f>
        <v>7423732.2899999935</v>
      </c>
      <c r="G76" s="289"/>
      <c r="H76" s="289"/>
    </row>
    <row r="77" spans="1:8" ht="15.5" outlineLevel="1" x14ac:dyDescent="0.35">
      <c r="A77" s="268" t="s">
        <v>99</v>
      </c>
      <c r="B77" s="164" t="s">
        <v>100</v>
      </c>
      <c r="C77" s="165">
        <v>3437688.6599999969</v>
      </c>
      <c r="D77" s="165">
        <v>56872</v>
      </c>
      <c r="E77" s="165">
        <f>SUM(C77:D77)</f>
        <v>3494560.6599999969</v>
      </c>
      <c r="G77" s="289"/>
      <c r="H77" s="289"/>
    </row>
    <row r="78" spans="1:8" outlineLevel="1" x14ac:dyDescent="0.35">
      <c r="A78" s="166" t="s">
        <v>82</v>
      </c>
      <c r="B78" s="166"/>
      <c r="C78" s="165">
        <f t="shared" ref="C78:D78" si="2">SUM(C75:C77)</f>
        <v>42782880.079999976</v>
      </c>
      <c r="D78" s="165">
        <f t="shared" si="2"/>
        <v>2734824</v>
      </c>
      <c r="E78" s="165">
        <f>SUM(E75:E77)</f>
        <v>45517704.079999976</v>
      </c>
      <c r="F78" s="290"/>
      <c r="G78" s="289"/>
      <c r="H78" s="289"/>
    </row>
    <row r="79" spans="1:8" outlineLevel="1" x14ac:dyDescent="0.35">
      <c r="F79" s="291"/>
      <c r="G79" s="289"/>
      <c r="H79" s="289"/>
    </row>
    <row r="80" spans="1:8" outlineLevel="1" x14ac:dyDescent="0.35">
      <c r="B80" s="277" t="s">
        <v>83</v>
      </c>
      <c r="C80" s="277"/>
      <c r="D80" s="277"/>
      <c r="E80" s="278">
        <f>+E75+E76</f>
        <v>42023143.419999979</v>
      </c>
      <c r="G80" s="289"/>
      <c r="H80" s="289"/>
    </row>
    <row r="81" spans="1:8" outlineLevel="1" x14ac:dyDescent="0.35">
      <c r="B81" s="277" t="s">
        <v>84</v>
      </c>
      <c r="C81" s="277"/>
      <c r="D81" s="277"/>
      <c r="E81" s="278">
        <f>+E77</f>
        <v>3494560.6599999969</v>
      </c>
    </row>
    <row r="82" spans="1:8" outlineLevel="1" x14ac:dyDescent="0.35">
      <c r="D82" s="268" t="s">
        <v>191</v>
      </c>
      <c r="E82" s="279">
        <f>+E80/E78</f>
        <v>0.92322634169205664</v>
      </c>
    </row>
    <row r="83" spans="1:8" outlineLevel="1" x14ac:dyDescent="0.35">
      <c r="D83" s="268" t="s">
        <v>192</v>
      </c>
      <c r="E83" s="279">
        <f>+E81/E78</f>
        <v>7.6773658307943346E-2</v>
      </c>
    </row>
    <row r="84" spans="1:8" outlineLevel="1" x14ac:dyDescent="0.35">
      <c r="A84" s="167"/>
      <c r="B84" s="168" t="s">
        <v>85</v>
      </c>
      <c r="C84" s="168"/>
      <c r="D84" s="168"/>
    </row>
    <row r="85" spans="1:8" outlineLevel="1" x14ac:dyDescent="0.35">
      <c r="A85" s="280" t="s">
        <v>86</v>
      </c>
      <c r="B85" s="169" t="s">
        <v>87</v>
      </c>
      <c r="C85" s="170" t="s">
        <v>88</v>
      </c>
      <c r="D85" s="170" t="s">
        <v>89</v>
      </c>
      <c r="E85" s="170" t="s">
        <v>90</v>
      </c>
    </row>
    <row r="86" spans="1:8" outlineLevel="1" x14ac:dyDescent="0.35">
      <c r="A86" s="166" t="s">
        <v>91</v>
      </c>
      <c r="B86" s="154">
        <f>C30</f>
        <v>2.7700000000000002E-2</v>
      </c>
      <c r="C86" s="171">
        <f>E80*B86</f>
        <v>1164041.0727339995</v>
      </c>
      <c r="D86" s="171"/>
      <c r="E86" s="171">
        <f>SUM(C86:D86)</f>
        <v>1164041.0727339995</v>
      </c>
      <c r="F86" s="275"/>
    </row>
    <row r="87" spans="1:8" outlineLevel="1" x14ac:dyDescent="0.35">
      <c r="A87" s="166" t="s">
        <v>84</v>
      </c>
      <c r="B87" s="154">
        <f>C31</f>
        <v>4.58E-2</v>
      </c>
      <c r="C87" s="171"/>
      <c r="D87" s="171">
        <f>E81*B87</f>
        <v>160050.87822799987</v>
      </c>
      <c r="E87" s="171">
        <f>SUM(C87:D87)</f>
        <v>160050.87822799987</v>
      </c>
      <c r="F87" s="275"/>
    </row>
    <row r="88" spans="1:8" outlineLevel="1" x14ac:dyDescent="0.35">
      <c r="A88" s="166" t="s">
        <v>92</v>
      </c>
      <c r="B88" s="172"/>
      <c r="C88" s="171">
        <f>SUM(C86:C87)</f>
        <v>1164041.0727339995</v>
      </c>
      <c r="D88" s="171">
        <f>SUM(D86:D87)</f>
        <v>160050.87822799987</v>
      </c>
      <c r="E88" s="171">
        <f>SUM(C88:D88)</f>
        <v>1324091.9509619994</v>
      </c>
      <c r="F88" s="275"/>
    </row>
    <row r="89" spans="1:8" outlineLevel="1" x14ac:dyDescent="0.35">
      <c r="A89" s="172"/>
      <c r="B89" s="173" t="s">
        <v>93</v>
      </c>
      <c r="C89" s="172"/>
      <c r="D89" s="172"/>
      <c r="E89" s="154">
        <f>+E88/E78</f>
        <v>2.9089603215373776E-2</v>
      </c>
      <c r="F89" s="275"/>
    </row>
    <row r="90" spans="1:8" outlineLevel="1" x14ac:dyDescent="0.35">
      <c r="E90" s="279">
        <f>E86/E88</f>
        <v>0.87912404564372038</v>
      </c>
      <c r="F90" s="275"/>
      <c r="G90" s="276"/>
      <c r="H90" s="276"/>
    </row>
    <row r="91" spans="1:8" outlineLevel="1" x14ac:dyDescent="0.35">
      <c r="E91" s="279">
        <f>E87/E88</f>
        <v>0.12087595435627962</v>
      </c>
      <c r="F91" s="275"/>
      <c r="G91" s="276"/>
      <c r="H91" s="276"/>
    </row>
  </sheetData>
  <pageMargins left="0.7" right="0.7" top="0.75" bottom="0.75" header="0.3" footer="0.3"/>
  <pageSetup scale="4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B1" zoomScale="90" zoomScaleNormal="90" workbookViewId="0">
      <selection activeCell="B3" sqref="B3"/>
    </sheetView>
  </sheetViews>
  <sheetFormatPr defaultRowHeight="12.5" x14ac:dyDescent="0.25"/>
  <cols>
    <col min="1" max="1" width="5.453125" customWidth="1"/>
    <col min="2" max="2" width="49.81640625" bestFit="1" customWidth="1"/>
    <col min="5" max="5" width="18.81640625" customWidth="1"/>
    <col min="6" max="6" width="5" bestFit="1" customWidth="1"/>
    <col min="7" max="7" width="75.453125" bestFit="1" customWidth="1"/>
    <col min="9" max="9" width="8.453125" bestFit="1" customWidth="1"/>
    <col min="10" max="10" width="9.54296875" bestFit="1" customWidth="1"/>
  </cols>
  <sheetData>
    <row r="1" spans="1:10" ht="14" x14ac:dyDescent="0.3">
      <c r="A1" s="196" t="s">
        <v>237</v>
      </c>
      <c r="B1" s="197"/>
      <c r="C1" s="197"/>
      <c r="D1" s="198" t="s">
        <v>239</v>
      </c>
      <c r="E1" s="199"/>
      <c r="F1" s="196" t="s">
        <v>237</v>
      </c>
      <c r="G1" s="197"/>
      <c r="H1" s="197"/>
      <c r="I1" s="198" t="s">
        <v>240</v>
      </c>
      <c r="J1" s="199"/>
    </row>
    <row r="2" spans="1:10" ht="14" x14ac:dyDescent="0.3">
      <c r="A2" s="200" t="s">
        <v>241</v>
      </c>
      <c r="B2" s="200"/>
      <c r="C2" s="200"/>
      <c r="D2" s="200"/>
      <c r="E2" s="200"/>
      <c r="F2" s="200" t="s">
        <v>241</v>
      </c>
      <c r="G2" s="200"/>
      <c r="H2" s="201"/>
      <c r="I2" s="201"/>
      <c r="J2" s="201"/>
    </row>
    <row r="3" spans="1:10" ht="14" x14ac:dyDescent="0.3">
      <c r="A3" s="200" t="s">
        <v>242</v>
      </c>
      <c r="B3" s="200"/>
      <c r="C3" s="200"/>
      <c r="D3" s="200"/>
      <c r="E3" s="200"/>
      <c r="F3" s="200" t="s">
        <v>242</v>
      </c>
      <c r="G3" s="200"/>
      <c r="H3" s="201"/>
      <c r="I3" s="201"/>
      <c r="J3" s="201"/>
    </row>
    <row r="4" spans="1:10" ht="14" x14ac:dyDescent="0.3">
      <c r="A4" s="200" t="s">
        <v>243</v>
      </c>
      <c r="B4" s="200"/>
      <c r="C4" s="200"/>
      <c r="D4" s="200"/>
      <c r="E4" s="200"/>
      <c r="F4" s="200" t="s">
        <v>243</v>
      </c>
      <c r="G4" s="200"/>
      <c r="H4" s="201"/>
      <c r="I4" s="201"/>
      <c r="J4" s="201"/>
    </row>
    <row r="5" spans="1:10" ht="14" x14ac:dyDescent="0.3">
      <c r="A5" s="200" t="s">
        <v>244</v>
      </c>
      <c r="B5" s="200"/>
      <c r="C5" s="200"/>
      <c r="D5" s="200"/>
      <c r="E5" s="200"/>
      <c r="F5" s="200" t="s">
        <v>244</v>
      </c>
      <c r="G5" s="200"/>
      <c r="H5" s="201"/>
      <c r="I5" s="201"/>
      <c r="J5" s="201"/>
    </row>
    <row r="6" spans="1:10" ht="14" x14ac:dyDescent="0.3">
      <c r="A6" s="200" t="s">
        <v>245</v>
      </c>
      <c r="B6" s="200"/>
      <c r="C6" s="200"/>
      <c r="D6" s="200"/>
      <c r="E6" s="200"/>
      <c r="F6" s="200" t="s">
        <v>246</v>
      </c>
      <c r="G6" s="200"/>
      <c r="H6" s="200"/>
      <c r="I6" s="200"/>
      <c r="J6" s="200"/>
    </row>
    <row r="7" spans="1:10" ht="14" x14ac:dyDescent="0.3">
      <c r="A7" s="197"/>
      <c r="B7" s="201"/>
      <c r="C7" s="201"/>
      <c r="D7" s="201"/>
      <c r="E7" s="201"/>
      <c r="F7" s="201"/>
      <c r="G7" s="201"/>
      <c r="H7" s="201"/>
      <c r="I7" s="201"/>
      <c r="J7" s="201"/>
    </row>
    <row r="8" spans="1:10" ht="14" x14ac:dyDescent="0.3">
      <c r="A8" s="197"/>
      <c r="B8" s="197"/>
      <c r="C8" s="197"/>
      <c r="D8" s="197"/>
      <c r="E8" s="197"/>
      <c r="F8" s="201"/>
      <c r="G8" s="201"/>
      <c r="H8" s="201"/>
      <c r="I8" s="201"/>
      <c r="J8" s="197"/>
    </row>
    <row r="9" spans="1:10" ht="13" x14ac:dyDescent="0.3">
      <c r="A9" s="202" t="s">
        <v>108</v>
      </c>
      <c r="B9" s="202"/>
      <c r="C9" s="203" t="s">
        <v>211</v>
      </c>
      <c r="D9" s="204"/>
      <c r="E9" s="203" t="s">
        <v>247</v>
      </c>
      <c r="F9" s="202" t="s">
        <v>108</v>
      </c>
      <c r="G9" s="202"/>
      <c r="H9" s="202"/>
      <c r="I9" s="204"/>
      <c r="J9" s="204"/>
    </row>
    <row r="10" spans="1:10" ht="13" x14ac:dyDescent="0.3">
      <c r="A10" s="205" t="s">
        <v>109</v>
      </c>
      <c r="B10" s="205" t="s">
        <v>110</v>
      </c>
      <c r="C10" s="206" t="s">
        <v>248</v>
      </c>
      <c r="D10" s="206" t="s">
        <v>249</v>
      </c>
      <c r="E10" s="206" t="s">
        <v>249</v>
      </c>
      <c r="F10" s="205" t="s">
        <v>109</v>
      </c>
      <c r="G10" s="205" t="s">
        <v>110</v>
      </c>
      <c r="H10" s="205"/>
      <c r="I10" s="207"/>
      <c r="J10" s="207"/>
    </row>
    <row r="11" spans="1:10" ht="14" x14ac:dyDescent="0.3">
      <c r="A11" s="197"/>
      <c r="B11" s="197"/>
      <c r="C11" s="197"/>
      <c r="D11" s="197"/>
      <c r="E11" s="197"/>
      <c r="F11" s="197"/>
      <c r="G11" s="197"/>
      <c r="H11" s="197"/>
      <c r="I11" s="197"/>
      <c r="J11" s="197"/>
    </row>
    <row r="12" spans="1:10" ht="14" x14ac:dyDescent="0.3">
      <c r="A12" s="208">
        <v>1</v>
      </c>
      <c r="B12" s="209" t="s">
        <v>250</v>
      </c>
      <c r="C12" s="210">
        <v>0.51500000000000001</v>
      </c>
      <c r="D12" s="210">
        <v>5.4951456310679617E-2</v>
      </c>
      <c r="E12" s="210">
        <v>2.8299999999999999E-2</v>
      </c>
      <c r="F12" s="208">
        <v>1</v>
      </c>
      <c r="G12" s="211" t="s">
        <v>112</v>
      </c>
      <c r="H12" s="209"/>
      <c r="I12" s="209"/>
      <c r="J12" s="212">
        <v>5.1240000000000001E-3</v>
      </c>
    </row>
    <row r="13" spans="1:10" ht="14" x14ac:dyDescent="0.3">
      <c r="A13" s="208">
        <v>2</v>
      </c>
      <c r="B13" s="209" t="s">
        <v>251</v>
      </c>
      <c r="C13" s="210">
        <v>0.48499999999999999</v>
      </c>
      <c r="D13" s="210">
        <v>9.4E-2</v>
      </c>
      <c r="E13" s="210">
        <v>4.5600000000000002E-2</v>
      </c>
      <c r="F13" s="208">
        <v>2</v>
      </c>
      <c r="G13" s="211" t="s">
        <v>113</v>
      </c>
      <c r="H13" s="209"/>
      <c r="I13" s="209"/>
      <c r="J13" s="212">
        <v>2E-3</v>
      </c>
    </row>
    <row r="14" spans="1:10" ht="14" x14ac:dyDescent="0.3">
      <c r="A14" s="208">
        <v>3</v>
      </c>
      <c r="B14" s="209" t="s">
        <v>252</v>
      </c>
      <c r="C14" s="213">
        <v>1</v>
      </c>
      <c r="D14" s="214"/>
      <c r="E14" s="215">
        <v>7.3899999999999993E-2</v>
      </c>
      <c r="F14" s="208">
        <v>3</v>
      </c>
      <c r="G14" s="211" t="s">
        <v>253</v>
      </c>
      <c r="H14" s="197"/>
      <c r="I14" s="216">
        <v>3.8519999999999999E-2</v>
      </c>
      <c r="J14" s="217">
        <v>3.8323000000000003E-2</v>
      </c>
    </row>
    <row r="15" spans="1:10" ht="14" x14ac:dyDescent="0.3">
      <c r="A15" s="208">
        <v>4</v>
      </c>
      <c r="B15" s="209"/>
      <c r="C15" s="197"/>
      <c r="D15" s="197"/>
      <c r="E15" s="197"/>
      <c r="F15" s="208">
        <v>4</v>
      </c>
      <c r="G15" s="211"/>
      <c r="H15" s="209"/>
      <c r="I15" s="209"/>
      <c r="J15" s="218"/>
    </row>
    <row r="16" spans="1:10" ht="14" x14ac:dyDescent="0.3">
      <c r="A16" s="208">
        <v>5</v>
      </c>
      <c r="B16" s="209" t="s">
        <v>254</v>
      </c>
      <c r="C16" s="210">
        <v>0.51500000000000001</v>
      </c>
      <c r="D16" s="210">
        <v>4.3411650485436902E-2</v>
      </c>
      <c r="E16" s="210">
        <v>2.24E-2</v>
      </c>
      <c r="F16" s="208">
        <v>5</v>
      </c>
      <c r="G16" s="211" t="s">
        <v>114</v>
      </c>
      <c r="H16" s="209"/>
      <c r="I16" s="209"/>
      <c r="J16" s="219">
        <v>4.5447000000000001E-2</v>
      </c>
    </row>
    <row r="17" spans="1:10" ht="14" x14ac:dyDescent="0.3">
      <c r="A17" s="208">
        <v>6</v>
      </c>
      <c r="B17" s="209" t="s">
        <v>251</v>
      </c>
      <c r="C17" s="210">
        <v>0.48499999999999999</v>
      </c>
      <c r="D17" s="210">
        <v>9.4E-2</v>
      </c>
      <c r="E17" s="210">
        <v>4.5600000000000002E-2</v>
      </c>
      <c r="F17" s="208">
        <v>6</v>
      </c>
      <c r="G17" s="209"/>
      <c r="H17" s="209"/>
      <c r="I17" s="209"/>
      <c r="J17" s="212"/>
    </row>
    <row r="18" spans="1:10" ht="14" x14ac:dyDescent="0.3">
      <c r="A18" s="208">
        <v>7</v>
      </c>
      <c r="B18" s="209" t="s">
        <v>255</v>
      </c>
      <c r="C18" s="213">
        <v>1</v>
      </c>
      <c r="D18" s="214"/>
      <c r="E18" s="213">
        <v>6.8000000000000005E-2</v>
      </c>
      <c r="F18" s="208">
        <v>7</v>
      </c>
      <c r="G18" s="209" t="s">
        <v>256</v>
      </c>
      <c r="H18" s="209"/>
      <c r="I18" s="209"/>
      <c r="J18" s="212">
        <v>0.95455299999999998</v>
      </c>
    </row>
    <row r="19" spans="1:10" ht="14" x14ac:dyDescent="0.3">
      <c r="A19" s="208"/>
      <c r="B19" s="197"/>
      <c r="C19" s="197"/>
      <c r="D19" s="197"/>
      <c r="E19" s="197"/>
      <c r="F19" s="208">
        <v>8</v>
      </c>
      <c r="G19" s="211" t="s">
        <v>257</v>
      </c>
      <c r="H19" s="209"/>
      <c r="I19" s="220">
        <v>0.21</v>
      </c>
      <c r="J19" s="212">
        <v>0.200456</v>
      </c>
    </row>
    <row r="20" spans="1:10" ht="14.5" thickBot="1" x14ac:dyDescent="0.35">
      <c r="A20" s="208"/>
      <c r="B20" s="197"/>
      <c r="C20" s="197"/>
      <c r="D20" s="197"/>
      <c r="E20" s="197"/>
      <c r="F20" s="208">
        <v>9</v>
      </c>
      <c r="G20" s="211" t="s">
        <v>258</v>
      </c>
      <c r="H20" s="209"/>
      <c r="I20" s="209"/>
      <c r="J20" s="221">
        <v>0.75409700000000002</v>
      </c>
    </row>
    <row r="21" spans="1:10" ht="14.5" thickTop="1" x14ac:dyDescent="0.3">
      <c r="A21" s="208"/>
      <c r="B21" s="222"/>
      <c r="C21" s="10"/>
      <c r="D21" s="197"/>
      <c r="E21" s="197"/>
      <c r="F21" s="208"/>
      <c r="G21" s="197"/>
      <c r="H21" s="209"/>
      <c r="I21" s="209"/>
      <c r="J21" s="209"/>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7"/>
  <sheetViews>
    <sheetView zoomScale="90" zoomScaleNormal="90" workbookViewId="0">
      <selection activeCell="A4" sqref="A4"/>
    </sheetView>
  </sheetViews>
  <sheetFormatPr defaultColWidth="9.1796875" defaultRowHeight="15.5" x14ac:dyDescent="0.35"/>
  <cols>
    <col min="1" max="1" width="19.1796875" style="142" bestFit="1" customWidth="1"/>
    <col min="2" max="2" width="11.54296875" style="142" bestFit="1" customWidth="1"/>
    <col min="3" max="22" width="10.26953125" style="142" bestFit="1" customWidth="1"/>
    <col min="23" max="23" width="12.81640625" style="142" bestFit="1" customWidth="1"/>
    <col min="24" max="16384" width="9.1796875" style="142"/>
  </cols>
  <sheetData>
    <row r="2" spans="1:23" x14ac:dyDescent="0.35">
      <c r="B2" s="143"/>
    </row>
    <row r="4" spans="1:23" x14ac:dyDescent="0.35">
      <c r="A4" s="144" t="s">
        <v>103</v>
      </c>
      <c r="B4" s="145">
        <v>1</v>
      </c>
      <c r="C4" s="145">
        <v>2</v>
      </c>
      <c r="D4" s="145">
        <v>3</v>
      </c>
      <c r="E4" s="145">
        <v>4</v>
      </c>
      <c r="F4" s="145">
        <v>5</v>
      </c>
      <c r="G4" s="145">
        <v>6</v>
      </c>
      <c r="H4" s="145">
        <v>7</v>
      </c>
      <c r="I4" s="145">
        <v>8</v>
      </c>
      <c r="J4" s="145">
        <v>9</v>
      </c>
      <c r="K4" s="145">
        <v>10</v>
      </c>
      <c r="L4" s="145">
        <v>11</v>
      </c>
      <c r="M4" s="145">
        <v>12</v>
      </c>
      <c r="N4" s="145">
        <v>13</v>
      </c>
      <c r="O4" s="145">
        <v>14</v>
      </c>
      <c r="P4" s="145">
        <v>15</v>
      </c>
      <c r="Q4" s="145">
        <v>16</v>
      </c>
      <c r="R4" s="145">
        <v>17</v>
      </c>
      <c r="S4" s="145">
        <v>18</v>
      </c>
      <c r="T4" s="145">
        <v>19</v>
      </c>
      <c r="U4" s="145">
        <v>20</v>
      </c>
      <c r="V4" s="145">
        <v>21</v>
      </c>
      <c r="W4" s="145" t="s">
        <v>104</v>
      </c>
    </row>
    <row r="5" spans="1:23" x14ac:dyDescent="0.35">
      <c r="A5" s="146" t="s">
        <v>105</v>
      </c>
      <c r="B5" s="147">
        <v>3.7499999999999999E-2</v>
      </c>
      <c r="C5" s="147">
        <v>7.2190000000000004E-2</v>
      </c>
      <c r="D5" s="147">
        <v>6.6769999999999996E-2</v>
      </c>
      <c r="E5" s="147">
        <v>6.1769999999999999E-2</v>
      </c>
      <c r="F5" s="147">
        <v>5.713E-2</v>
      </c>
      <c r="G5" s="147">
        <v>5.2850000000000001E-2</v>
      </c>
      <c r="H5" s="147">
        <v>4.888E-2</v>
      </c>
      <c r="I5" s="147">
        <v>4.5220000000000003E-2</v>
      </c>
      <c r="J5" s="147">
        <v>4.462E-2</v>
      </c>
      <c r="K5" s="147">
        <v>4.4610000000000004E-2</v>
      </c>
      <c r="L5" s="147">
        <v>4.462E-2</v>
      </c>
      <c r="M5" s="147">
        <v>4.4610000000000004E-2</v>
      </c>
      <c r="N5" s="147">
        <v>4.462E-2</v>
      </c>
      <c r="O5" s="147">
        <v>4.4610000000000004E-2</v>
      </c>
      <c r="P5" s="147">
        <v>4.462E-2</v>
      </c>
      <c r="Q5" s="147">
        <v>4.4610000000000004E-2</v>
      </c>
      <c r="R5" s="147">
        <v>4.462E-2</v>
      </c>
      <c r="S5" s="147">
        <v>4.4610000000000004E-2</v>
      </c>
      <c r="T5" s="147">
        <v>4.462E-2</v>
      </c>
      <c r="U5" s="147">
        <v>4.4610000000000004E-2</v>
      </c>
      <c r="V5" s="147">
        <v>2.231E-2</v>
      </c>
      <c r="W5" s="147">
        <f>SUM(B5:V5)</f>
        <v>1.0000000000000002</v>
      </c>
    </row>
    <row r="6" spans="1:23" x14ac:dyDescent="0.35">
      <c r="A6" s="146" t="s">
        <v>106</v>
      </c>
      <c r="B6" s="147">
        <f>B5*0.5+0.5</f>
        <v>0.51875000000000004</v>
      </c>
      <c r="C6" s="147">
        <f>C5*0.5</f>
        <v>3.6095000000000002E-2</v>
      </c>
      <c r="D6" s="147">
        <f t="shared" ref="D6:V6" si="0">D5*0.5</f>
        <v>3.3384999999999998E-2</v>
      </c>
      <c r="E6" s="147">
        <f t="shared" si="0"/>
        <v>3.0884999999999999E-2</v>
      </c>
      <c r="F6" s="147">
        <f t="shared" si="0"/>
        <v>2.8565E-2</v>
      </c>
      <c r="G6" s="147">
        <f t="shared" si="0"/>
        <v>2.6425000000000001E-2</v>
      </c>
      <c r="H6" s="147">
        <f t="shared" si="0"/>
        <v>2.444E-2</v>
      </c>
      <c r="I6" s="147">
        <f t="shared" si="0"/>
        <v>2.2610000000000002E-2</v>
      </c>
      <c r="J6" s="147">
        <f t="shared" si="0"/>
        <v>2.231E-2</v>
      </c>
      <c r="K6" s="147">
        <f t="shared" si="0"/>
        <v>2.2305000000000002E-2</v>
      </c>
      <c r="L6" s="147">
        <f t="shared" si="0"/>
        <v>2.231E-2</v>
      </c>
      <c r="M6" s="147">
        <f t="shared" si="0"/>
        <v>2.2305000000000002E-2</v>
      </c>
      <c r="N6" s="147">
        <f t="shared" si="0"/>
        <v>2.231E-2</v>
      </c>
      <c r="O6" s="147">
        <f t="shared" si="0"/>
        <v>2.2305000000000002E-2</v>
      </c>
      <c r="P6" s="147">
        <f t="shared" si="0"/>
        <v>2.231E-2</v>
      </c>
      <c r="Q6" s="147">
        <f t="shared" si="0"/>
        <v>2.2305000000000002E-2</v>
      </c>
      <c r="R6" s="147">
        <f t="shared" si="0"/>
        <v>2.231E-2</v>
      </c>
      <c r="S6" s="147">
        <f t="shared" si="0"/>
        <v>2.2305000000000002E-2</v>
      </c>
      <c r="T6" s="147">
        <f t="shared" si="0"/>
        <v>2.231E-2</v>
      </c>
      <c r="U6" s="147">
        <f t="shared" si="0"/>
        <v>2.2305000000000002E-2</v>
      </c>
      <c r="V6" s="147">
        <f t="shared" si="0"/>
        <v>1.1155E-2</v>
      </c>
      <c r="W6" s="147">
        <f>SUM(B6:V6)</f>
        <v>1.0000000000000004</v>
      </c>
    </row>
    <row r="7" spans="1:23" x14ac:dyDescent="0.35">
      <c r="A7" s="146" t="s">
        <v>107</v>
      </c>
      <c r="B7" s="147">
        <f>B5*0.6+0.4</f>
        <v>0.42250000000000004</v>
      </c>
      <c r="C7" s="147">
        <f>C5*0.6</f>
        <v>4.3313999999999998E-2</v>
      </c>
      <c r="D7" s="147">
        <f t="shared" ref="D7:V7" si="1">D5*0.6</f>
        <v>4.0061999999999993E-2</v>
      </c>
      <c r="E7" s="147">
        <f t="shared" si="1"/>
        <v>3.7061999999999998E-2</v>
      </c>
      <c r="F7" s="147">
        <f t="shared" si="1"/>
        <v>3.4277999999999996E-2</v>
      </c>
      <c r="G7" s="147">
        <f t="shared" si="1"/>
        <v>3.1710000000000002E-2</v>
      </c>
      <c r="H7" s="147">
        <f t="shared" si="1"/>
        <v>2.9328E-2</v>
      </c>
      <c r="I7" s="147">
        <f t="shared" si="1"/>
        <v>2.7132E-2</v>
      </c>
      <c r="J7" s="147">
        <f t="shared" si="1"/>
        <v>2.6772000000000001E-2</v>
      </c>
      <c r="K7" s="147">
        <f t="shared" si="1"/>
        <v>2.6766000000000002E-2</v>
      </c>
      <c r="L7" s="147">
        <f t="shared" si="1"/>
        <v>2.6772000000000001E-2</v>
      </c>
      <c r="M7" s="147">
        <f t="shared" si="1"/>
        <v>2.6766000000000002E-2</v>
      </c>
      <c r="N7" s="147">
        <f t="shared" si="1"/>
        <v>2.6772000000000001E-2</v>
      </c>
      <c r="O7" s="147">
        <f t="shared" si="1"/>
        <v>2.6766000000000002E-2</v>
      </c>
      <c r="P7" s="147">
        <f t="shared" si="1"/>
        <v>2.6772000000000001E-2</v>
      </c>
      <c r="Q7" s="147">
        <f t="shared" si="1"/>
        <v>2.6766000000000002E-2</v>
      </c>
      <c r="R7" s="147">
        <f t="shared" si="1"/>
        <v>2.6772000000000001E-2</v>
      </c>
      <c r="S7" s="147">
        <f t="shared" si="1"/>
        <v>2.6766000000000002E-2</v>
      </c>
      <c r="T7" s="147">
        <f t="shared" si="1"/>
        <v>2.6772000000000001E-2</v>
      </c>
      <c r="U7" s="147">
        <f t="shared" si="1"/>
        <v>2.6766000000000002E-2</v>
      </c>
      <c r="V7" s="147">
        <f t="shared" si="1"/>
        <v>1.3386E-2</v>
      </c>
      <c r="W7" s="147">
        <f>SUM(B7:V7)</f>
        <v>1</v>
      </c>
    </row>
  </sheetData>
  <pageMargins left="0.7" right="0.7" top="0.75" bottom="0.7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
  <sheetViews>
    <sheetView workbookViewId="0">
      <selection activeCell="E25" sqref="E25"/>
    </sheetView>
  </sheetViews>
  <sheetFormatPr defaultRowHeight="12.5"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7"/>
  <sheetViews>
    <sheetView zoomScale="90" zoomScaleNormal="90" workbookViewId="0">
      <pane xSplit="3" ySplit="9" topLeftCell="E10" activePane="bottomRight" state="frozenSplit"/>
      <selection activeCell="C24" sqref="C24"/>
      <selection pane="topRight" activeCell="C24" sqref="C24"/>
      <selection pane="bottomLeft" activeCell="C24" sqref="C24"/>
      <selection pane="bottomRight" activeCell="B3" sqref="B3:U3"/>
    </sheetView>
  </sheetViews>
  <sheetFormatPr defaultRowHeight="14.5" x14ac:dyDescent="0.35"/>
  <cols>
    <col min="1" max="1" width="2.81640625" style="540" customWidth="1"/>
    <col min="2" max="2" width="37.54296875" style="540" customWidth="1"/>
    <col min="3" max="3" width="8.453125" style="540" bestFit="1" customWidth="1"/>
    <col min="4" max="4" width="15" style="540" bestFit="1" customWidth="1"/>
    <col min="5" max="5" width="14.54296875" style="540" bestFit="1" customWidth="1"/>
    <col min="6" max="6" width="11.7265625" style="540" bestFit="1" customWidth="1"/>
    <col min="7" max="7" width="15" style="540" bestFit="1" customWidth="1"/>
    <col min="8" max="8" width="15.54296875" style="540" bestFit="1" customWidth="1"/>
    <col min="9" max="9" width="14.54296875" style="540" bestFit="1" customWidth="1"/>
    <col min="10" max="11" width="13.26953125" style="540" bestFit="1" customWidth="1"/>
    <col min="12" max="12" width="12.1796875" style="540" bestFit="1" customWidth="1"/>
    <col min="13" max="13" width="13.26953125" style="540" bestFit="1" customWidth="1"/>
    <col min="14" max="14" width="14" style="540" bestFit="1" customWidth="1"/>
    <col min="15" max="15" width="11.26953125" style="540" bestFit="1" customWidth="1"/>
    <col min="16" max="16" width="12.81640625" style="540" bestFit="1" customWidth="1"/>
    <col min="17" max="18" width="13.26953125" style="540" bestFit="1" customWidth="1"/>
    <col min="19" max="19" width="15.7265625" style="540" bestFit="1" customWidth="1"/>
    <col min="20" max="20" width="11.7265625" style="540" customWidth="1"/>
    <col min="21" max="21" width="7.81640625" style="540" bestFit="1" customWidth="1"/>
    <col min="22" max="22" width="13.7265625" style="540" bestFit="1" customWidth="1"/>
    <col min="23" max="16384" width="8.7265625" style="540"/>
  </cols>
  <sheetData>
    <row r="1" spans="2:21" x14ac:dyDescent="0.35">
      <c r="B1" s="642" t="s">
        <v>0</v>
      </c>
      <c r="C1" s="642"/>
      <c r="D1" s="642"/>
      <c r="E1" s="642"/>
      <c r="F1" s="642"/>
      <c r="G1" s="642"/>
      <c r="H1" s="642"/>
      <c r="I1" s="642"/>
      <c r="J1" s="642"/>
      <c r="K1" s="642"/>
      <c r="L1" s="642"/>
      <c r="M1" s="642"/>
      <c r="N1" s="642"/>
      <c r="O1" s="642"/>
      <c r="P1" s="642"/>
      <c r="Q1" s="642"/>
      <c r="R1" s="642"/>
      <c r="S1" s="642"/>
      <c r="T1" s="642"/>
      <c r="U1" s="642"/>
    </row>
    <row r="2" spans="2:21" x14ac:dyDescent="0.35">
      <c r="B2" s="642" t="s">
        <v>429</v>
      </c>
      <c r="C2" s="642"/>
      <c r="D2" s="642"/>
      <c r="E2" s="642"/>
      <c r="F2" s="642"/>
      <c r="G2" s="642"/>
      <c r="H2" s="642"/>
      <c r="I2" s="642"/>
      <c r="J2" s="642"/>
      <c r="K2" s="642"/>
      <c r="L2" s="642"/>
      <c r="M2" s="642"/>
      <c r="N2" s="642"/>
      <c r="O2" s="642"/>
      <c r="P2" s="642"/>
      <c r="Q2" s="642"/>
      <c r="R2" s="642"/>
      <c r="S2" s="642"/>
      <c r="T2" s="642"/>
      <c r="U2" s="642"/>
    </row>
    <row r="3" spans="2:21" x14ac:dyDescent="0.35">
      <c r="B3" s="643" t="s">
        <v>323</v>
      </c>
      <c r="C3" s="643"/>
      <c r="D3" s="643"/>
      <c r="E3" s="643"/>
      <c r="F3" s="643"/>
      <c r="G3" s="643"/>
      <c r="H3" s="643"/>
      <c r="I3" s="643"/>
      <c r="J3" s="643"/>
      <c r="K3" s="643"/>
      <c r="L3" s="643"/>
      <c r="M3" s="643"/>
      <c r="N3" s="643"/>
      <c r="O3" s="643"/>
      <c r="P3" s="643"/>
      <c r="Q3" s="643"/>
      <c r="R3" s="643"/>
      <c r="S3" s="643"/>
      <c r="T3" s="643"/>
      <c r="U3" s="643"/>
    </row>
    <row r="4" spans="2:21" x14ac:dyDescent="0.35">
      <c r="B4" s="643" t="s">
        <v>324</v>
      </c>
      <c r="C4" s="643"/>
      <c r="D4" s="643"/>
      <c r="E4" s="643"/>
      <c r="F4" s="643"/>
      <c r="G4" s="643"/>
      <c r="H4" s="643"/>
      <c r="I4" s="643"/>
      <c r="J4" s="643"/>
      <c r="K4" s="643"/>
      <c r="L4" s="643"/>
      <c r="M4" s="643"/>
      <c r="N4" s="643"/>
      <c r="O4" s="643"/>
      <c r="P4" s="643"/>
      <c r="Q4" s="643"/>
      <c r="R4" s="643"/>
      <c r="S4" s="643"/>
      <c r="T4" s="643"/>
      <c r="U4" s="643"/>
    </row>
    <row r="5" spans="2:21" x14ac:dyDescent="0.35">
      <c r="F5" s="541"/>
      <c r="N5" s="541"/>
      <c r="R5" s="541"/>
    </row>
    <row r="6" spans="2:21" x14ac:dyDescent="0.35">
      <c r="F6" s="541"/>
      <c r="G6" s="542" t="s">
        <v>325</v>
      </c>
      <c r="N6" s="541"/>
      <c r="R6" s="541"/>
    </row>
    <row r="7" spans="2:21" x14ac:dyDescent="0.35">
      <c r="B7" s="542"/>
      <c r="C7" s="542"/>
      <c r="D7" s="542" t="s">
        <v>326</v>
      </c>
      <c r="E7" s="542" t="s">
        <v>326</v>
      </c>
      <c r="F7" s="542"/>
      <c r="G7" s="542" t="s">
        <v>327</v>
      </c>
      <c r="H7" s="541"/>
      <c r="I7" s="542"/>
      <c r="J7" s="542"/>
      <c r="K7" s="542"/>
      <c r="L7" s="542"/>
      <c r="M7" s="542"/>
      <c r="N7" s="542"/>
      <c r="O7" s="542"/>
      <c r="P7" s="542"/>
      <c r="Q7" s="542"/>
      <c r="R7" s="542"/>
      <c r="S7" s="543" t="s">
        <v>328</v>
      </c>
      <c r="T7" s="543" t="s">
        <v>329</v>
      </c>
      <c r="U7" s="542"/>
    </row>
    <row r="8" spans="2:21" x14ac:dyDescent="0.35">
      <c r="B8" s="542"/>
      <c r="C8" s="542" t="s">
        <v>330</v>
      </c>
      <c r="D8" s="542" t="s">
        <v>130</v>
      </c>
      <c r="E8" s="542" t="s">
        <v>331</v>
      </c>
      <c r="F8" s="542" t="s">
        <v>332</v>
      </c>
      <c r="G8" s="543" t="s">
        <v>333</v>
      </c>
      <c r="H8" s="541" t="s">
        <v>325</v>
      </c>
      <c r="I8" s="542" t="s">
        <v>334</v>
      </c>
      <c r="J8" s="542" t="s">
        <v>335</v>
      </c>
      <c r="K8" s="542" t="s">
        <v>336</v>
      </c>
      <c r="L8" s="542" t="s">
        <v>337</v>
      </c>
      <c r="M8" s="542" t="s">
        <v>338</v>
      </c>
      <c r="N8" s="542" t="s">
        <v>339</v>
      </c>
      <c r="O8" s="542" t="s">
        <v>340</v>
      </c>
      <c r="P8" s="542" t="s">
        <v>341</v>
      </c>
      <c r="Q8" s="542" t="s">
        <v>342</v>
      </c>
      <c r="R8" s="542" t="s">
        <v>343</v>
      </c>
      <c r="S8" s="542" t="s">
        <v>344</v>
      </c>
      <c r="T8" s="542" t="s">
        <v>345</v>
      </c>
      <c r="U8" s="542" t="s">
        <v>145</v>
      </c>
    </row>
    <row r="9" spans="2:21" ht="16.5" x14ac:dyDescent="0.35">
      <c r="B9" s="544" t="s">
        <v>346</v>
      </c>
      <c r="C9" s="544" t="s">
        <v>163</v>
      </c>
      <c r="D9" s="544" t="s">
        <v>347</v>
      </c>
      <c r="E9" s="544" t="s">
        <v>348</v>
      </c>
      <c r="F9" s="544" t="s">
        <v>349</v>
      </c>
      <c r="G9" s="545" t="s">
        <v>350</v>
      </c>
      <c r="H9" s="544" t="s">
        <v>351</v>
      </c>
      <c r="I9" s="544" t="s">
        <v>345</v>
      </c>
      <c r="J9" s="544" t="s">
        <v>345</v>
      </c>
      <c r="K9" s="544" t="s">
        <v>345</v>
      </c>
      <c r="L9" s="544" t="s">
        <v>345</v>
      </c>
      <c r="M9" s="544" t="s">
        <v>345</v>
      </c>
      <c r="N9" s="544" t="s">
        <v>345</v>
      </c>
      <c r="O9" s="544" t="s">
        <v>345</v>
      </c>
      <c r="P9" s="544" t="s">
        <v>345</v>
      </c>
      <c r="Q9" s="544" t="s">
        <v>345</v>
      </c>
      <c r="R9" s="544" t="s">
        <v>345</v>
      </c>
      <c r="S9" s="546" t="s">
        <v>352</v>
      </c>
      <c r="T9" s="544" t="s">
        <v>353</v>
      </c>
      <c r="U9" s="544" t="s">
        <v>353</v>
      </c>
    </row>
    <row r="10" spans="2:21" x14ac:dyDescent="0.35">
      <c r="B10" s="542" t="s">
        <v>354</v>
      </c>
      <c r="C10" s="542" t="s">
        <v>355</v>
      </c>
      <c r="D10" s="547" t="s">
        <v>356</v>
      </c>
      <c r="E10" s="548" t="s">
        <v>357</v>
      </c>
      <c r="F10" s="542" t="s">
        <v>358</v>
      </c>
      <c r="G10" s="542" t="s">
        <v>359</v>
      </c>
      <c r="H10" s="542" t="s">
        <v>360</v>
      </c>
      <c r="I10" s="542" t="s">
        <v>361</v>
      </c>
      <c r="J10" s="542" t="s">
        <v>362</v>
      </c>
      <c r="K10" s="542" t="s">
        <v>363</v>
      </c>
      <c r="L10" s="548" t="s">
        <v>364</v>
      </c>
      <c r="M10" s="542" t="s">
        <v>365</v>
      </c>
      <c r="N10" s="548" t="s">
        <v>366</v>
      </c>
      <c r="O10" s="542" t="s">
        <v>367</v>
      </c>
      <c r="P10" s="548" t="s">
        <v>368</v>
      </c>
      <c r="Q10" s="548" t="s">
        <v>369</v>
      </c>
      <c r="R10" s="542" t="s">
        <v>370</v>
      </c>
      <c r="S10" s="549" t="s">
        <v>371</v>
      </c>
      <c r="T10" s="542" t="s">
        <v>372</v>
      </c>
      <c r="U10" s="542" t="s">
        <v>373</v>
      </c>
    </row>
    <row r="11" spans="2:21" x14ac:dyDescent="0.35">
      <c r="B11" s="540" t="s">
        <v>128</v>
      </c>
      <c r="C11" s="550" t="s">
        <v>374</v>
      </c>
      <c r="D11" s="636">
        <v>609248315.15931809</v>
      </c>
      <c r="E11" s="556">
        <v>369409021.81868041</v>
      </c>
      <c r="F11" s="552">
        <f t="shared" ref="F11:F16" si="0">(E11)/D11</f>
        <v>0.60633572982812456</v>
      </c>
      <c r="G11" s="636">
        <v>636122043</v>
      </c>
      <c r="H11" s="553">
        <f>F11*G11</f>
        <v>385703523.20216262</v>
      </c>
      <c r="I11" s="556">
        <v>242546973.78</v>
      </c>
      <c r="J11" s="556">
        <v>30705611.02</v>
      </c>
      <c r="K11" s="556">
        <v>12843304.04817</v>
      </c>
      <c r="L11" s="556">
        <v>4459215.5214299997</v>
      </c>
      <c r="M11" s="556">
        <v>14471776.478249999</v>
      </c>
      <c r="N11" s="556">
        <v>-8829373.9568399992</v>
      </c>
      <c r="O11" s="556">
        <v>-432562.98924000002</v>
      </c>
      <c r="P11" s="556">
        <v>-871487.19890999992</v>
      </c>
      <c r="Q11" s="556">
        <v>14325468.41</v>
      </c>
      <c r="R11" s="556">
        <f>'Schedule 149'!F9</f>
        <v>11259360.1611</v>
      </c>
      <c r="S11" s="554">
        <f>SUM(H11:R11)</f>
        <v>706181808.4761225</v>
      </c>
      <c r="T11" s="551">
        <f>'Schedule 149'!H9</f>
        <v>2786214.5483399983</v>
      </c>
      <c r="U11" s="555">
        <f>T11/S11</f>
        <v>3.9454634980648981E-3</v>
      </c>
    </row>
    <row r="12" spans="2:21" x14ac:dyDescent="0.35">
      <c r="B12" s="540" t="s">
        <v>375</v>
      </c>
      <c r="C12" s="550">
        <v>16</v>
      </c>
      <c r="D12" s="636">
        <v>9386</v>
      </c>
      <c r="E12" s="556">
        <v>5636.54</v>
      </c>
      <c r="F12" s="552">
        <f t="shared" si="0"/>
        <v>0.60052631578947369</v>
      </c>
      <c r="G12" s="636">
        <v>8832</v>
      </c>
      <c r="H12" s="553">
        <f t="shared" ref="H12:H23" si="1">F12*G12</f>
        <v>5303.8484210526312</v>
      </c>
      <c r="I12" s="556">
        <v>3367.55</v>
      </c>
      <c r="J12" s="556">
        <v>426.32</v>
      </c>
      <c r="K12" s="556">
        <v>178.31808000000001</v>
      </c>
      <c r="L12" s="556"/>
      <c r="M12" s="556">
        <v>200.928</v>
      </c>
      <c r="N12" s="556">
        <v>-122.58816</v>
      </c>
      <c r="O12" s="556">
        <v>-6.0057600000000004</v>
      </c>
      <c r="P12" s="556">
        <v>-12.099839999999999</v>
      </c>
      <c r="Q12" s="556"/>
      <c r="R12" s="556">
        <f>'Schedule 149'!F10</f>
        <v>156.32640000000001</v>
      </c>
      <c r="S12" s="554">
        <f t="shared" ref="S12:S23" si="2">SUM(H12:R12)</f>
        <v>9492.5971410526327</v>
      </c>
      <c r="T12" s="551">
        <f>'Schedule 149'!H10</f>
        <v>38.684159999999991</v>
      </c>
      <c r="U12" s="555">
        <f t="shared" ref="U12:U24" si="3">T12/S12</f>
        <v>4.0751924289194382E-3</v>
      </c>
    </row>
    <row r="13" spans="2:21" x14ac:dyDescent="0.35">
      <c r="B13" s="540" t="s">
        <v>376</v>
      </c>
      <c r="C13" s="550">
        <v>31</v>
      </c>
      <c r="D13" s="636">
        <v>234140158.08963937</v>
      </c>
      <c r="E13" s="556">
        <v>117941137.18000001</v>
      </c>
      <c r="F13" s="552">
        <f t="shared" si="0"/>
        <v>0.50372024236375057</v>
      </c>
      <c r="G13" s="636">
        <v>237822307</v>
      </c>
      <c r="H13" s="553">
        <f t="shared" si="1"/>
        <v>119795910.1215463</v>
      </c>
      <c r="I13" s="556">
        <v>88743393.859999999</v>
      </c>
      <c r="J13" s="556">
        <v>11444009.41</v>
      </c>
      <c r="K13" s="556">
        <v>4801632.3783299997</v>
      </c>
      <c r="L13" s="556">
        <v>1322292.0269199999</v>
      </c>
      <c r="M13" s="556">
        <v>6259483.1202400001</v>
      </c>
      <c r="N13" s="556">
        <v>-3555443.4896499999</v>
      </c>
      <c r="O13" s="556">
        <v>-171232.06104</v>
      </c>
      <c r="P13" s="556">
        <v>-349598.79128999996</v>
      </c>
      <c r="Q13" s="556">
        <v>7676904.0699999994</v>
      </c>
      <c r="R13" s="556">
        <f>'Schedule 149'!F11</f>
        <v>4471059.3716000002</v>
      </c>
      <c r="S13" s="554">
        <f t="shared" si="2"/>
        <v>240438410.01665625</v>
      </c>
      <c r="T13" s="551">
        <f>'Schedule 149'!H11</f>
        <v>1260458.2270999998</v>
      </c>
      <c r="U13" s="555">
        <f t="shared" si="3"/>
        <v>5.2423330657222454E-3</v>
      </c>
    </row>
    <row r="14" spans="2:21" x14ac:dyDescent="0.35">
      <c r="B14" s="540" t="s">
        <v>377</v>
      </c>
      <c r="C14" s="550">
        <v>41</v>
      </c>
      <c r="D14" s="636">
        <v>65836657.463465497</v>
      </c>
      <c r="E14" s="556">
        <v>16769592.583254175</v>
      </c>
      <c r="F14" s="552">
        <f t="shared" si="0"/>
        <v>0.25471512724594297</v>
      </c>
      <c r="G14" s="636">
        <v>66459784</v>
      </c>
      <c r="H14" s="553">
        <f t="shared" si="1"/>
        <v>16928312.338297885</v>
      </c>
      <c r="I14" s="556">
        <v>22205879.23</v>
      </c>
      <c r="J14" s="556">
        <v>3156175.14</v>
      </c>
      <c r="K14" s="556">
        <v>1341823.03896</v>
      </c>
      <c r="L14" s="556">
        <v>202702.34120000002</v>
      </c>
      <c r="M14" s="556">
        <v>584181.50135999999</v>
      </c>
      <c r="N14" s="556">
        <v>-378820.76880000002</v>
      </c>
      <c r="O14" s="556">
        <v>-19273.337360000001</v>
      </c>
      <c r="P14" s="556">
        <v>-37217.479039999998</v>
      </c>
      <c r="Q14" s="556">
        <v>-1328498.6000000001</v>
      </c>
      <c r="R14" s="556">
        <f>'Schedule 149'!F12</f>
        <v>616082.19767999998</v>
      </c>
      <c r="S14" s="554">
        <f t="shared" si="2"/>
        <v>43271345.602297887</v>
      </c>
      <c r="T14" s="551">
        <f>'Schedule 149'!H12</f>
        <v>117633.81767999998</v>
      </c>
      <c r="U14" s="555">
        <f t="shared" si="3"/>
        <v>2.7185153602838998E-3</v>
      </c>
    </row>
    <row r="15" spans="2:21" x14ac:dyDescent="0.35">
      <c r="B15" s="540" t="s">
        <v>131</v>
      </c>
      <c r="C15" s="550">
        <v>85</v>
      </c>
      <c r="D15" s="636">
        <v>16184434.068649083</v>
      </c>
      <c r="E15" s="556">
        <v>1712016.4100000001</v>
      </c>
      <c r="F15" s="552">
        <f t="shared" si="0"/>
        <v>0.10578166667664657</v>
      </c>
      <c r="G15" s="636">
        <v>11987089</v>
      </c>
      <c r="H15" s="553">
        <f t="shared" si="1"/>
        <v>1268014.2530212966</v>
      </c>
      <c r="I15" s="556">
        <v>3694531.9899999998</v>
      </c>
      <c r="J15" s="556">
        <v>563992.54</v>
      </c>
      <c r="K15" s="556">
        <v>201143.35342</v>
      </c>
      <c r="L15" s="556">
        <v>17018.899667769929</v>
      </c>
      <c r="M15" s="556">
        <v>58137.381650000003</v>
      </c>
      <c r="N15" s="556">
        <v>-32365.140300000003</v>
      </c>
      <c r="O15" s="556">
        <v>-1917.93424</v>
      </c>
      <c r="P15" s="556">
        <v>-3236.5140299999998</v>
      </c>
      <c r="Q15" s="556"/>
      <c r="R15" s="556">
        <f>'Schedule 149'!F13</f>
        <v>59336.090550000008</v>
      </c>
      <c r="S15" s="554">
        <f t="shared" si="2"/>
        <v>5824654.9197390648</v>
      </c>
      <c r="T15" s="551">
        <f>'Schedule 149'!H13</f>
        <v>19538.955069999996</v>
      </c>
      <c r="U15" s="555">
        <f t="shared" si="3"/>
        <v>3.35452577693226E-3</v>
      </c>
    </row>
    <row r="16" spans="2:21" x14ac:dyDescent="0.35">
      <c r="B16" s="540" t="s">
        <v>378</v>
      </c>
      <c r="C16" s="550">
        <v>86</v>
      </c>
      <c r="D16" s="636">
        <v>9397200.2729263548</v>
      </c>
      <c r="E16" s="556">
        <v>1992002.78</v>
      </c>
      <c r="F16" s="552">
        <f t="shared" si="0"/>
        <v>0.21197832568696295</v>
      </c>
      <c r="G16" s="636">
        <v>6125732</v>
      </c>
      <c r="H16" s="553">
        <f t="shared" si="1"/>
        <v>1298522.4129670509</v>
      </c>
      <c r="I16" s="556">
        <v>2010123.73</v>
      </c>
      <c r="J16" s="556">
        <v>289440.84000000003</v>
      </c>
      <c r="K16" s="556">
        <v>102789.78296</v>
      </c>
      <c r="L16" s="556">
        <v>18132.166720000001</v>
      </c>
      <c r="M16" s="556">
        <v>66464.192200000005</v>
      </c>
      <c r="N16" s="556">
        <v>-20704.974160000002</v>
      </c>
      <c r="O16" s="556">
        <v>-1960.2342400000002</v>
      </c>
      <c r="P16" s="556">
        <v>-2021.4915599999999</v>
      </c>
      <c r="Q16" s="556">
        <v>-106522.28</v>
      </c>
      <c r="R16" s="556">
        <f>'Schedule 149'!F14</f>
        <v>54028.95624</v>
      </c>
      <c r="S16" s="554">
        <f t="shared" si="2"/>
        <v>3708293.1011270508</v>
      </c>
      <c r="T16" s="551">
        <f>'Schedule 149'!H14</f>
        <v>-3307.8952800000043</v>
      </c>
      <c r="U16" s="555">
        <f t="shared" si="3"/>
        <v>-8.9202638243310523E-4</v>
      </c>
    </row>
    <row r="17" spans="2:22" x14ac:dyDescent="0.35">
      <c r="B17" s="540" t="s">
        <v>379</v>
      </c>
      <c r="C17" s="550">
        <v>87</v>
      </c>
      <c r="D17" s="636">
        <v>23337042.118500695</v>
      </c>
      <c r="E17" s="556">
        <v>1405341.91</v>
      </c>
      <c r="F17" s="552">
        <f>(E17)/D17</f>
        <v>6.0219367255882859E-2</v>
      </c>
      <c r="G17" s="636">
        <v>17216892</v>
      </c>
      <c r="H17" s="553">
        <f t="shared" si="1"/>
        <v>1036790.3423528716</v>
      </c>
      <c r="I17" s="556">
        <v>5368915.5999999996</v>
      </c>
      <c r="J17" s="556">
        <v>810571.28</v>
      </c>
      <c r="K17" s="556">
        <v>288899.44776000001</v>
      </c>
      <c r="L17" s="556">
        <v>10059.75595671299</v>
      </c>
      <c r="M17" s="556">
        <v>45452.594879999997</v>
      </c>
      <c r="N17" s="556">
        <v>-24447.986639999999</v>
      </c>
      <c r="O17" s="556">
        <v>-1377.3513600000001</v>
      </c>
      <c r="P17" s="556">
        <v>-2410.3648799999996</v>
      </c>
      <c r="Q17" s="556"/>
      <c r="R17" s="556">
        <f>'Schedule 149'!F15</f>
        <v>49928.986799999999</v>
      </c>
      <c r="S17" s="554">
        <f t="shared" si="2"/>
        <v>7582382.3048695847</v>
      </c>
      <c r="T17" s="551">
        <f>'Schedule 149'!H15</f>
        <v>13257.006840000002</v>
      </c>
      <c r="U17" s="555">
        <f t="shared" si="3"/>
        <v>1.7483959931018037E-3</v>
      </c>
    </row>
    <row r="18" spans="2:22" x14ac:dyDescent="0.35">
      <c r="B18" s="540" t="s">
        <v>380</v>
      </c>
      <c r="C18" s="550" t="s">
        <v>164</v>
      </c>
      <c r="D18" s="636">
        <v>36359.963605097219</v>
      </c>
      <c r="E18" s="556">
        <v>25456.9</v>
      </c>
      <c r="F18" s="552">
        <f>(E18)/D18</f>
        <v>0.70013546428388773</v>
      </c>
      <c r="G18" s="636">
        <v>35141</v>
      </c>
      <c r="H18" s="553">
        <f t="shared" si="1"/>
        <v>24603.460350400099</v>
      </c>
      <c r="I18" s="556"/>
      <c r="J18" s="556"/>
      <c r="K18" s="556"/>
      <c r="L18" s="556">
        <v>195.38396</v>
      </c>
      <c r="M18" s="556">
        <v>924.91111999999998</v>
      </c>
      <c r="N18" s="556">
        <v>-525.35794999999996</v>
      </c>
      <c r="O18" s="556">
        <v>-25.30152</v>
      </c>
      <c r="P18" s="556">
        <v>-51.657269999999997</v>
      </c>
      <c r="Q18" s="556">
        <v>1095.3399999999999</v>
      </c>
      <c r="R18" s="556">
        <f>'Schedule 149'!F16</f>
        <v>660.6508</v>
      </c>
      <c r="S18" s="554">
        <f t="shared" si="2"/>
        <v>26877.429490400096</v>
      </c>
      <c r="T18" s="551">
        <f>'Schedule 149'!H16</f>
        <v>186.2473</v>
      </c>
      <c r="U18" s="555">
        <f t="shared" si="3"/>
        <v>6.9295056681861105E-3</v>
      </c>
    </row>
    <row r="19" spans="2:22" x14ac:dyDescent="0.35">
      <c r="B19" s="540" t="s">
        <v>381</v>
      </c>
      <c r="C19" s="540" t="s">
        <v>165</v>
      </c>
      <c r="D19" s="636">
        <v>20492334.449073859</v>
      </c>
      <c r="E19" s="556">
        <v>4419777.9054754293</v>
      </c>
      <c r="F19" s="552">
        <f t="shared" ref="F19:F24" si="4">(E19)/D19</f>
        <v>0.21567957113227668</v>
      </c>
      <c r="G19" s="636">
        <v>24281446</v>
      </c>
      <c r="H19" s="553">
        <f>F19*G19</f>
        <v>5237011.8597515346</v>
      </c>
      <c r="I19" s="556"/>
      <c r="J19" s="556"/>
      <c r="K19" s="556"/>
      <c r="L19" s="556">
        <v>74058.410300000003</v>
      </c>
      <c r="M19" s="556">
        <v>213433.91033999997</v>
      </c>
      <c r="N19" s="556">
        <v>-138404.24220000001</v>
      </c>
      <c r="O19" s="556">
        <v>-7041.6193400000002</v>
      </c>
      <c r="P19" s="556">
        <v>-13597.609759999999</v>
      </c>
      <c r="Q19" s="556">
        <v>-424057.16</v>
      </c>
      <c r="R19" s="556">
        <f>'Schedule 149'!F17</f>
        <v>225089.00442000001</v>
      </c>
      <c r="S19" s="554">
        <f>SUM(H19:R19)</f>
        <v>5166492.5535115339</v>
      </c>
      <c r="T19" s="551">
        <f>'Schedule 149'!H17</f>
        <v>42978.159419999982</v>
      </c>
      <c r="U19" s="555">
        <f t="shared" si="3"/>
        <v>8.3186337684332517E-3</v>
      </c>
    </row>
    <row r="20" spans="2:22" x14ac:dyDescent="0.35">
      <c r="B20" s="540" t="s">
        <v>382</v>
      </c>
      <c r="C20" s="540" t="s">
        <v>166</v>
      </c>
      <c r="D20" s="636">
        <v>74773537.134971082</v>
      </c>
      <c r="E20" s="556">
        <v>7547127.8200000003</v>
      </c>
      <c r="F20" s="552">
        <f t="shared" si="4"/>
        <v>0.10093313903790516</v>
      </c>
      <c r="G20" s="636">
        <v>63933179</v>
      </c>
      <c r="H20" s="553">
        <f t="shared" si="1"/>
        <v>6452976.4451422784</v>
      </c>
      <c r="I20" s="556"/>
      <c r="J20" s="556"/>
      <c r="K20" s="556"/>
      <c r="L20" s="556">
        <v>83219.495174252661</v>
      </c>
      <c r="M20" s="556">
        <v>310075.91814999998</v>
      </c>
      <c r="N20" s="556">
        <v>-172619.5833</v>
      </c>
      <c r="O20" s="556">
        <v>-10229.308640000001</v>
      </c>
      <c r="P20" s="556">
        <v>-17261.958330000001</v>
      </c>
      <c r="Q20" s="556"/>
      <c r="R20" s="556">
        <f>'Schedule 149'!F18</f>
        <v>316469.23605000001</v>
      </c>
      <c r="S20" s="554">
        <f t="shared" si="2"/>
        <v>6962630.2442465313</v>
      </c>
      <c r="T20" s="551">
        <f>'Schedule 149'!H18</f>
        <v>104211.08176999999</v>
      </c>
      <c r="U20" s="555">
        <f t="shared" si="3"/>
        <v>1.4967200341582595E-2</v>
      </c>
    </row>
    <row r="21" spans="2:22" x14ac:dyDescent="0.35">
      <c r="B21" s="540" t="s">
        <v>383</v>
      </c>
      <c r="C21" s="540" t="s">
        <v>167</v>
      </c>
      <c r="D21" s="636">
        <v>351288.14999999997</v>
      </c>
      <c r="E21" s="556">
        <v>70216.179999999993</v>
      </c>
      <c r="F21" s="552">
        <f t="shared" si="4"/>
        <v>0.19988200569817113</v>
      </c>
      <c r="G21" s="636">
        <v>505400</v>
      </c>
      <c r="H21" s="553">
        <f t="shared" si="1"/>
        <v>101020.36567985569</v>
      </c>
      <c r="I21" s="556"/>
      <c r="J21" s="556"/>
      <c r="K21" s="556"/>
      <c r="L21" s="556">
        <v>1495.9839999999999</v>
      </c>
      <c r="M21" s="556">
        <v>5483.59</v>
      </c>
      <c r="N21" s="556">
        <v>-1708.2520000000002</v>
      </c>
      <c r="O21" s="556">
        <v>-161.72800000000001</v>
      </c>
      <c r="P21" s="556">
        <v>-166.78200000000001</v>
      </c>
      <c r="Q21" s="556">
        <v>-8158.8</v>
      </c>
      <c r="R21" s="556">
        <f>'Schedule 149'!F19</f>
        <v>4457.6279999999997</v>
      </c>
      <c r="S21" s="554">
        <f t="shared" si="2"/>
        <v>102262.00567985568</v>
      </c>
      <c r="T21" s="551">
        <f>'Schedule 149'!H19</f>
        <v>-272.91600000000017</v>
      </c>
      <c r="U21" s="555">
        <f t="shared" si="3"/>
        <v>-2.6687917783893142E-3</v>
      </c>
    </row>
    <row r="22" spans="2:22" x14ac:dyDescent="0.35">
      <c r="B22" s="540" t="s">
        <v>384</v>
      </c>
      <c r="C22" s="540" t="s">
        <v>168</v>
      </c>
      <c r="D22" s="636">
        <v>100441128.37470125</v>
      </c>
      <c r="E22" s="556">
        <v>4429994.87</v>
      </c>
      <c r="F22" s="552">
        <f>(E22)/D22</f>
        <v>4.4105387321751864E-2</v>
      </c>
      <c r="G22" s="636">
        <v>85254176</v>
      </c>
      <c r="H22" s="553">
        <f t="shared" si="1"/>
        <v>3760168.4532768019</v>
      </c>
      <c r="I22" s="556"/>
      <c r="J22" s="556"/>
      <c r="K22" s="556"/>
      <c r="L22" s="556">
        <v>40787.353013194763</v>
      </c>
      <c r="M22" s="556">
        <v>225071.02463999999</v>
      </c>
      <c r="N22" s="556">
        <v>-121060.92992000001</v>
      </c>
      <c r="O22" s="556">
        <v>-6820.3340800000005</v>
      </c>
      <c r="P22" s="556">
        <v>-11935.584639999999</v>
      </c>
      <c r="Q22" s="556"/>
      <c r="R22" s="556">
        <f>'Schedule 149'!F20</f>
        <v>247237.11039999998</v>
      </c>
      <c r="S22" s="554">
        <f t="shared" si="2"/>
        <v>4133447.0926899966</v>
      </c>
      <c r="T22" s="551">
        <f>'Schedule 149'!H20</f>
        <v>65645.715520000056</v>
      </c>
      <c r="U22" s="555">
        <f t="shared" si="3"/>
        <v>1.5881590848494116E-2</v>
      </c>
    </row>
    <row r="23" spans="2:22" x14ac:dyDescent="0.35">
      <c r="B23" s="540" t="s">
        <v>132</v>
      </c>
      <c r="D23" s="636">
        <v>37056427.854413897</v>
      </c>
      <c r="E23" s="556">
        <v>1757519.5213237838</v>
      </c>
      <c r="F23" s="557">
        <f t="shared" si="4"/>
        <v>4.7428195945617584E-2</v>
      </c>
      <c r="G23" s="636">
        <v>31618458</v>
      </c>
      <c r="H23" s="553">
        <f t="shared" si="1"/>
        <v>1499606.4215222797</v>
      </c>
      <c r="I23" s="556"/>
      <c r="J23" s="556"/>
      <c r="K23" s="556"/>
      <c r="L23" s="556"/>
      <c r="M23" s="556">
        <v>41420.179980000001</v>
      </c>
      <c r="N23" s="556">
        <v>-23397.658919999998</v>
      </c>
      <c r="O23" s="556">
        <v>-3478.0303800000002</v>
      </c>
      <c r="P23" s="556">
        <v>-2213.2920599999998</v>
      </c>
      <c r="Q23" s="556"/>
      <c r="R23" s="556">
        <f>'Schedule 149'!F21</f>
        <v>21816.73602</v>
      </c>
      <c r="S23" s="554">
        <f t="shared" si="2"/>
        <v>1533754.3561622798</v>
      </c>
      <c r="T23" s="551">
        <f>'Schedule 149'!H21</f>
        <v>6956.0607600000003</v>
      </c>
      <c r="U23" s="555">
        <f t="shared" si="3"/>
        <v>4.5353160576542869E-3</v>
      </c>
    </row>
    <row r="24" spans="2:22" x14ac:dyDescent="0.35">
      <c r="B24" s="540" t="s">
        <v>90</v>
      </c>
      <c r="D24" s="558">
        <f>SUM(D11:D23)</f>
        <v>1191304269.0992641</v>
      </c>
      <c r="E24" s="559">
        <f>SUM(E11:E23)</f>
        <v>527484842.41873384</v>
      </c>
      <c r="F24" s="552">
        <f t="shared" si="4"/>
        <v>0.44277927654667182</v>
      </c>
      <c r="G24" s="558">
        <f>SUM(G11:G23)</f>
        <v>1181370479</v>
      </c>
      <c r="H24" s="559">
        <f>SUM(H11:H23)</f>
        <v>543111763.52449214</v>
      </c>
      <c r="I24" s="559">
        <f t="shared" ref="I24:K24" si="5">SUM(I11:I23)</f>
        <v>364573185.74000007</v>
      </c>
      <c r="J24" s="559">
        <f t="shared" si="5"/>
        <v>46970226.550000004</v>
      </c>
      <c r="K24" s="559">
        <f t="shared" si="5"/>
        <v>19579770.367680002</v>
      </c>
      <c r="L24" s="559">
        <f>SUM(L11:L23)</f>
        <v>6229177.3383419299</v>
      </c>
      <c r="M24" s="559">
        <f>SUM(M11:M23)</f>
        <v>22282105.730810001</v>
      </c>
      <c r="N24" s="559">
        <f>SUM(N11:N23)</f>
        <v>-13298994.92884</v>
      </c>
      <c r="O24" s="559">
        <f>SUM(O11:O23)</f>
        <v>-656086.23519999988</v>
      </c>
      <c r="P24" s="559">
        <f>SUM(P11:P23)</f>
        <v>-1311210.8236099996</v>
      </c>
      <c r="Q24" s="559">
        <f t="shared" ref="Q24:S24" si="6">SUM(Q11:Q23)</f>
        <v>20136230.979999997</v>
      </c>
      <c r="R24" s="559">
        <f t="shared" si="6"/>
        <v>17325682.456059996</v>
      </c>
      <c r="S24" s="560">
        <f t="shared" si="6"/>
        <v>1024941850.6997339</v>
      </c>
      <c r="T24" s="559">
        <f>SUM(T11:T23)</f>
        <v>4413537.6926799985</v>
      </c>
      <c r="U24" s="561">
        <f t="shared" si="3"/>
        <v>4.3061347233180596E-3</v>
      </c>
      <c r="V24" s="553"/>
    </row>
    <row r="25" spans="2:22" x14ac:dyDescent="0.35">
      <c r="D25" s="562"/>
      <c r="E25" s="553"/>
      <c r="G25" s="562"/>
      <c r="L25" s="553"/>
      <c r="P25" s="553"/>
      <c r="Q25" s="553"/>
      <c r="S25" s="553"/>
      <c r="U25" s="563"/>
    </row>
    <row r="26" spans="2:22" s="568" customFormat="1" x14ac:dyDescent="0.35">
      <c r="B26" s="564" t="s">
        <v>385</v>
      </c>
      <c r="C26" s="565"/>
      <c r="D26" s="566"/>
      <c r="E26" s="567"/>
      <c r="T26" s="569"/>
      <c r="U26" s="570"/>
    </row>
    <row r="27" spans="2:22" s="568" customFormat="1" x14ac:dyDescent="0.35">
      <c r="B27" s="571" t="s">
        <v>386</v>
      </c>
      <c r="C27" s="571"/>
      <c r="D27" s="572">
        <f>D11+D12</f>
        <v>609257701.15931809</v>
      </c>
      <c r="E27" s="573">
        <f>E11+E12</f>
        <v>369414658.35868043</v>
      </c>
      <c r="F27" s="552">
        <f t="shared" ref="F27:F34" si="7">(E27)/D27</f>
        <v>0.60633564033042919</v>
      </c>
      <c r="G27" s="574">
        <f>G11+G12</f>
        <v>636130875</v>
      </c>
      <c r="H27" s="573">
        <f>H11+H12</f>
        <v>385708827.05058366</v>
      </c>
      <c r="I27" s="573">
        <f t="shared" ref="I27:R27" si="8">I11+I12</f>
        <v>242550341.33000001</v>
      </c>
      <c r="J27" s="573">
        <f t="shared" si="8"/>
        <v>30706037.34</v>
      </c>
      <c r="K27" s="573">
        <f t="shared" si="8"/>
        <v>12843482.366250001</v>
      </c>
      <c r="L27" s="573">
        <f t="shared" si="8"/>
        <v>4459215.5214299997</v>
      </c>
      <c r="M27" s="573">
        <f t="shared" si="8"/>
        <v>14471977.406249998</v>
      </c>
      <c r="N27" s="573">
        <f t="shared" si="8"/>
        <v>-8829496.5449999999</v>
      </c>
      <c r="O27" s="573">
        <f t="shared" si="8"/>
        <v>-432568.995</v>
      </c>
      <c r="P27" s="573">
        <f t="shared" si="8"/>
        <v>-871499.29874999996</v>
      </c>
      <c r="Q27" s="573">
        <f t="shared" si="8"/>
        <v>14325468.41</v>
      </c>
      <c r="R27" s="573">
        <f t="shared" si="8"/>
        <v>11259516.487500001</v>
      </c>
      <c r="S27" s="573">
        <f>S11+S12</f>
        <v>706191301.07326353</v>
      </c>
      <c r="T27" s="553">
        <f>SUM(T11:T12)</f>
        <v>2786253.2324999985</v>
      </c>
      <c r="U27" s="555">
        <f t="shared" ref="U27:U34" si="9">T27/S27</f>
        <v>3.945465241876351E-3</v>
      </c>
      <c r="V27" s="575"/>
    </row>
    <row r="28" spans="2:22" s="568" customFormat="1" x14ac:dyDescent="0.35">
      <c r="B28" s="576" t="s">
        <v>387</v>
      </c>
      <c r="C28" s="576"/>
      <c r="D28" s="572">
        <f>D13+D18</f>
        <v>234176518.05324447</v>
      </c>
      <c r="E28" s="573">
        <f>E13+E18</f>
        <v>117966594.08000001</v>
      </c>
      <c r="F28" s="552">
        <f t="shared" si="7"/>
        <v>0.50375073923158287</v>
      </c>
      <c r="G28" s="574">
        <f t="shared" ref="G28:R32" si="10">G13+G18</f>
        <v>237857448</v>
      </c>
      <c r="H28" s="573">
        <f t="shared" si="10"/>
        <v>119820513.58189669</v>
      </c>
      <c r="I28" s="573">
        <f t="shared" si="10"/>
        <v>88743393.859999999</v>
      </c>
      <c r="J28" s="573">
        <f t="shared" si="10"/>
        <v>11444009.41</v>
      </c>
      <c r="K28" s="573">
        <f t="shared" si="10"/>
        <v>4801632.3783299997</v>
      </c>
      <c r="L28" s="573">
        <f t="shared" si="10"/>
        <v>1322487.4108799999</v>
      </c>
      <c r="M28" s="573">
        <f t="shared" si="10"/>
        <v>6260408.0313600004</v>
      </c>
      <c r="N28" s="573">
        <f t="shared" si="10"/>
        <v>-3555968.8476</v>
      </c>
      <c r="O28" s="573">
        <f t="shared" si="10"/>
        <v>-171257.36256000001</v>
      </c>
      <c r="P28" s="573">
        <f t="shared" si="10"/>
        <v>-349650.44855999999</v>
      </c>
      <c r="Q28" s="573">
        <f t="shared" si="10"/>
        <v>7677999.4099999992</v>
      </c>
      <c r="R28" s="573">
        <f t="shared" si="10"/>
        <v>4471720.0224000001</v>
      </c>
      <c r="S28" s="573">
        <f>S13+S18</f>
        <v>240465287.44614664</v>
      </c>
      <c r="T28" s="553">
        <f>SUM(T13,T18)</f>
        <v>1260644.4743999997</v>
      </c>
      <c r="U28" s="555">
        <f t="shared" si="9"/>
        <v>5.2425216453843761E-3</v>
      </c>
    </row>
    <row r="29" spans="2:22" s="568" customFormat="1" x14ac:dyDescent="0.35">
      <c r="B29" s="571" t="s">
        <v>388</v>
      </c>
      <c r="C29" s="571"/>
      <c r="D29" s="572">
        <f t="shared" ref="D29:E32" si="11">D14+D19</f>
        <v>86328991.912539363</v>
      </c>
      <c r="E29" s="573">
        <f t="shared" si="11"/>
        <v>21189370.488729604</v>
      </c>
      <c r="F29" s="552">
        <f t="shared" si="7"/>
        <v>0.2454490666379695</v>
      </c>
      <c r="G29" s="574">
        <f t="shared" si="10"/>
        <v>90741230</v>
      </c>
      <c r="H29" s="573">
        <f t="shared" si="10"/>
        <v>22165324.198049419</v>
      </c>
      <c r="I29" s="573">
        <f t="shared" si="10"/>
        <v>22205879.23</v>
      </c>
      <c r="J29" s="573">
        <f t="shared" si="10"/>
        <v>3156175.14</v>
      </c>
      <c r="K29" s="573">
        <f t="shared" si="10"/>
        <v>1341823.03896</v>
      </c>
      <c r="L29" s="573">
        <f t="shared" si="10"/>
        <v>276760.75150000001</v>
      </c>
      <c r="M29" s="573">
        <f t="shared" si="10"/>
        <v>797615.41169999994</v>
      </c>
      <c r="N29" s="573">
        <f t="shared" si="10"/>
        <v>-517225.01100000006</v>
      </c>
      <c r="O29" s="573">
        <f t="shared" si="10"/>
        <v>-26314.956700000002</v>
      </c>
      <c r="P29" s="573">
        <f t="shared" si="10"/>
        <v>-50815.088799999998</v>
      </c>
      <c r="Q29" s="573">
        <f t="shared" si="10"/>
        <v>-1752555.76</v>
      </c>
      <c r="R29" s="573">
        <f t="shared" si="10"/>
        <v>841171.20209999999</v>
      </c>
      <c r="S29" s="573">
        <f>S14+S19</f>
        <v>48437838.155809417</v>
      </c>
      <c r="T29" s="553">
        <f>SUM(T14,T19)</f>
        <v>160611.97709999996</v>
      </c>
      <c r="U29" s="555">
        <f t="shared" si="9"/>
        <v>3.3158370235963322E-3</v>
      </c>
    </row>
    <row r="30" spans="2:22" s="568" customFormat="1" x14ac:dyDescent="0.35">
      <c r="B30" s="571" t="s">
        <v>389</v>
      </c>
      <c r="C30" s="571"/>
      <c r="D30" s="572">
        <f t="shared" si="11"/>
        <v>90957971.203620166</v>
      </c>
      <c r="E30" s="573">
        <f t="shared" si="11"/>
        <v>9259144.2300000004</v>
      </c>
      <c r="F30" s="552">
        <f t="shared" si="7"/>
        <v>0.1017958526061703</v>
      </c>
      <c r="G30" s="574">
        <f t="shared" si="10"/>
        <v>75920268</v>
      </c>
      <c r="H30" s="573">
        <f t="shared" si="10"/>
        <v>7720990.6981635746</v>
      </c>
      <c r="I30" s="573">
        <f t="shared" si="10"/>
        <v>3694531.9899999998</v>
      </c>
      <c r="J30" s="573">
        <f t="shared" si="10"/>
        <v>563992.54</v>
      </c>
      <c r="K30" s="573">
        <f t="shared" si="10"/>
        <v>201143.35342</v>
      </c>
      <c r="L30" s="573">
        <f t="shared" si="10"/>
        <v>100238.39484202259</v>
      </c>
      <c r="M30" s="573">
        <f t="shared" si="10"/>
        <v>368213.29979999998</v>
      </c>
      <c r="N30" s="573">
        <f t="shared" si="10"/>
        <v>-204984.7236</v>
      </c>
      <c r="O30" s="573">
        <f t="shared" si="10"/>
        <v>-12147.242880000002</v>
      </c>
      <c r="P30" s="573">
        <f t="shared" si="10"/>
        <v>-20498.47236</v>
      </c>
      <c r="Q30" s="573">
        <f t="shared" si="10"/>
        <v>0</v>
      </c>
      <c r="R30" s="573">
        <f t="shared" si="10"/>
        <v>375805.32660000003</v>
      </c>
      <c r="S30" s="573">
        <f>S15+S20</f>
        <v>12787285.163985595</v>
      </c>
      <c r="T30" s="553">
        <f>SUM(T15,T20)</f>
        <v>123750.03683999999</v>
      </c>
      <c r="U30" s="555">
        <f t="shared" si="9"/>
        <v>9.6775848237538684E-3</v>
      </c>
    </row>
    <row r="31" spans="2:22" s="568" customFormat="1" x14ac:dyDescent="0.35">
      <c r="B31" s="571" t="s">
        <v>390</v>
      </c>
      <c r="C31" s="571"/>
      <c r="D31" s="572">
        <f t="shared" si="11"/>
        <v>9748488.4229263552</v>
      </c>
      <c r="E31" s="573">
        <f t="shared" si="11"/>
        <v>2062218.96</v>
      </c>
      <c r="F31" s="552">
        <f t="shared" si="7"/>
        <v>0.2115424330966125</v>
      </c>
      <c r="G31" s="574">
        <f t="shared" si="10"/>
        <v>6631132</v>
      </c>
      <c r="H31" s="573">
        <f t="shared" si="10"/>
        <v>1399542.7786469066</v>
      </c>
      <c r="I31" s="573">
        <f t="shared" si="10"/>
        <v>2010123.73</v>
      </c>
      <c r="J31" s="573">
        <f t="shared" si="10"/>
        <v>289440.84000000003</v>
      </c>
      <c r="K31" s="573">
        <f t="shared" si="10"/>
        <v>102789.78296</v>
      </c>
      <c r="L31" s="573">
        <f t="shared" si="10"/>
        <v>19628.150720000001</v>
      </c>
      <c r="M31" s="573">
        <f t="shared" si="10"/>
        <v>71947.782200000001</v>
      </c>
      <c r="N31" s="573">
        <f t="shared" si="10"/>
        <v>-22413.226160000002</v>
      </c>
      <c r="O31" s="573">
        <f t="shared" si="10"/>
        <v>-2121.9622400000003</v>
      </c>
      <c r="P31" s="573">
        <f t="shared" si="10"/>
        <v>-2188.2735600000001</v>
      </c>
      <c r="Q31" s="573">
        <f t="shared" si="10"/>
        <v>-114681.08</v>
      </c>
      <c r="R31" s="573">
        <f t="shared" si="10"/>
        <v>58486.584239999996</v>
      </c>
      <c r="S31" s="573">
        <f>S16+S21</f>
        <v>3810555.1068069064</v>
      </c>
      <c r="T31" s="553">
        <f>SUM(T16,T21)</f>
        <v>-3580.8112800000044</v>
      </c>
      <c r="U31" s="555">
        <f t="shared" si="9"/>
        <v>-9.3970856729075933E-4</v>
      </c>
    </row>
    <row r="32" spans="2:22" s="568" customFormat="1" x14ac:dyDescent="0.35">
      <c r="B32" s="577" t="s">
        <v>391</v>
      </c>
      <c r="C32" s="577"/>
      <c r="D32" s="572">
        <f t="shared" si="11"/>
        <v>123778170.49320194</v>
      </c>
      <c r="E32" s="573">
        <f t="shared" si="11"/>
        <v>5835336.7800000003</v>
      </c>
      <c r="F32" s="552">
        <f t="shared" si="7"/>
        <v>4.7143504842160233E-2</v>
      </c>
      <c r="G32" s="574">
        <f t="shared" si="10"/>
        <v>102471068</v>
      </c>
      <c r="H32" s="573">
        <f t="shared" si="10"/>
        <v>4796958.7956296736</v>
      </c>
      <c r="I32" s="573">
        <f t="shared" si="10"/>
        <v>5368915.5999999996</v>
      </c>
      <c r="J32" s="573">
        <f t="shared" si="10"/>
        <v>810571.28</v>
      </c>
      <c r="K32" s="573">
        <f t="shared" si="10"/>
        <v>288899.44776000001</v>
      </c>
      <c r="L32" s="573">
        <f t="shared" si="10"/>
        <v>50847.108969907757</v>
      </c>
      <c r="M32" s="573">
        <f t="shared" si="10"/>
        <v>270523.61952000001</v>
      </c>
      <c r="N32" s="573">
        <f t="shared" si="10"/>
        <v>-145508.91656000001</v>
      </c>
      <c r="O32" s="573">
        <f t="shared" si="10"/>
        <v>-8197.6854400000011</v>
      </c>
      <c r="P32" s="573">
        <f t="shared" si="10"/>
        <v>-14345.949519999998</v>
      </c>
      <c r="Q32" s="573">
        <f t="shared" si="10"/>
        <v>0</v>
      </c>
      <c r="R32" s="573">
        <f t="shared" si="10"/>
        <v>297166.09719999996</v>
      </c>
      <c r="S32" s="573">
        <f>S17+S22</f>
        <v>11715829.397559581</v>
      </c>
      <c r="T32" s="553">
        <f>SUM(T17,T22)</f>
        <v>78902.722360000058</v>
      </c>
      <c r="U32" s="555">
        <f t="shared" si="9"/>
        <v>6.7347107646032788E-3</v>
      </c>
    </row>
    <row r="33" spans="2:21" s="568" customFormat="1" x14ac:dyDescent="0.35">
      <c r="B33" s="577" t="s">
        <v>132</v>
      </c>
      <c r="C33" s="577"/>
      <c r="D33" s="572">
        <f>D23</f>
        <v>37056427.854413897</v>
      </c>
      <c r="E33" s="573">
        <f>E23</f>
        <v>1757519.5213237838</v>
      </c>
      <c r="F33" s="552">
        <f t="shared" si="7"/>
        <v>4.7428195945617584E-2</v>
      </c>
      <c r="G33" s="574">
        <f>G23</f>
        <v>31618458</v>
      </c>
      <c r="H33" s="573">
        <f>H23</f>
        <v>1499606.4215222797</v>
      </c>
      <c r="I33" s="573">
        <f t="shared" ref="I33:R33" si="12">I23</f>
        <v>0</v>
      </c>
      <c r="J33" s="573">
        <f t="shared" si="12"/>
        <v>0</v>
      </c>
      <c r="K33" s="573">
        <f t="shared" si="12"/>
        <v>0</v>
      </c>
      <c r="L33" s="573">
        <f t="shared" si="12"/>
        <v>0</v>
      </c>
      <c r="M33" s="573">
        <f t="shared" si="12"/>
        <v>41420.179980000001</v>
      </c>
      <c r="N33" s="573">
        <f t="shared" si="12"/>
        <v>-23397.658919999998</v>
      </c>
      <c r="O33" s="573">
        <f t="shared" si="12"/>
        <v>-3478.0303800000002</v>
      </c>
      <c r="P33" s="573">
        <f t="shared" si="12"/>
        <v>-2213.2920599999998</v>
      </c>
      <c r="Q33" s="573">
        <f t="shared" si="12"/>
        <v>0</v>
      </c>
      <c r="R33" s="573">
        <f t="shared" si="12"/>
        <v>21816.73602</v>
      </c>
      <c r="S33" s="573">
        <f>S23</f>
        <v>1533754.3561622798</v>
      </c>
      <c r="T33" s="553">
        <f>T23</f>
        <v>6956.0607600000003</v>
      </c>
      <c r="U33" s="555">
        <f t="shared" si="9"/>
        <v>4.5353160576542869E-3</v>
      </c>
    </row>
    <row r="34" spans="2:21" s="568" customFormat="1" x14ac:dyDescent="0.35">
      <c r="B34" s="577" t="s">
        <v>392</v>
      </c>
      <c r="C34" s="577"/>
      <c r="D34" s="578">
        <f>SUM(D27:D33)</f>
        <v>1191304269.0992644</v>
      </c>
      <c r="E34" s="579">
        <f>SUM(E27:E33)</f>
        <v>527484842.41873378</v>
      </c>
      <c r="F34" s="580">
        <f t="shared" si="7"/>
        <v>0.44277927654667171</v>
      </c>
      <c r="G34" s="581">
        <f>SUM(G27:G33)</f>
        <v>1181370479</v>
      </c>
      <c r="H34" s="579">
        <f>SUM(H27:H33)</f>
        <v>543111763.52449214</v>
      </c>
      <c r="I34" s="579">
        <f t="shared" ref="I34:R34" si="13">SUM(I27:I33)</f>
        <v>364573185.74000007</v>
      </c>
      <c r="J34" s="579">
        <f t="shared" si="13"/>
        <v>46970226.550000004</v>
      </c>
      <c r="K34" s="579">
        <f t="shared" si="13"/>
        <v>19579770.367680002</v>
      </c>
      <c r="L34" s="579">
        <f t="shared" si="13"/>
        <v>6229177.3383419318</v>
      </c>
      <c r="M34" s="579">
        <f t="shared" si="13"/>
        <v>22282105.730810001</v>
      </c>
      <c r="N34" s="579">
        <f t="shared" si="13"/>
        <v>-13298994.928839998</v>
      </c>
      <c r="O34" s="579">
        <f t="shared" si="13"/>
        <v>-656086.23520000011</v>
      </c>
      <c r="P34" s="579">
        <f t="shared" si="13"/>
        <v>-1311210.8236099998</v>
      </c>
      <c r="Q34" s="579">
        <f t="shared" si="13"/>
        <v>20136230.98</v>
      </c>
      <c r="R34" s="579">
        <f t="shared" si="13"/>
        <v>17325682.456059996</v>
      </c>
      <c r="S34" s="579">
        <f>SUM(S27:S33)</f>
        <v>1024941850.6997339</v>
      </c>
      <c r="T34" s="579">
        <f>SUM(T27:T33)</f>
        <v>4413537.6926799985</v>
      </c>
      <c r="U34" s="561">
        <f t="shared" si="9"/>
        <v>4.3061347233180596E-3</v>
      </c>
    </row>
    <row r="35" spans="2:21" s="568" customFormat="1" x14ac:dyDescent="0.35">
      <c r="B35" s="582"/>
      <c r="C35" s="582"/>
      <c r="D35" s="582"/>
      <c r="E35" s="582"/>
      <c r="F35" s="582"/>
      <c r="I35" s="583"/>
      <c r="L35" s="582"/>
      <c r="N35" s="582"/>
      <c r="P35" s="582"/>
      <c r="Q35" s="582"/>
      <c r="R35" s="582"/>
      <c r="S35" s="582"/>
      <c r="T35" s="584"/>
    </row>
    <row r="36" spans="2:21" ht="16.5" x14ac:dyDescent="0.35">
      <c r="B36" s="540" t="s">
        <v>393</v>
      </c>
      <c r="D36" s="562"/>
      <c r="E36" s="562"/>
      <c r="H36" s="585"/>
      <c r="L36" s="562"/>
      <c r="P36" s="562"/>
      <c r="Q36" s="562"/>
      <c r="S36" s="562"/>
    </row>
    <row r="37" spans="2:21" ht="16.5" x14ac:dyDescent="0.35">
      <c r="B37" s="540" t="s">
        <v>394</v>
      </c>
    </row>
  </sheetData>
  <mergeCells count="4">
    <mergeCell ref="B1:U1"/>
    <mergeCell ref="B2:U2"/>
    <mergeCell ref="B3:U3"/>
    <mergeCell ref="B4:U4"/>
  </mergeCells>
  <printOptions horizontalCentered="1"/>
  <pageMargins left="0.45" right="0.45" top="0.75" bottom="0.75" header="0.3" footer="0.3"/>
  <pageSetup paperSize="5" scale="63" orientation="landscape" blackAndWhite="1" r:id="rId1"/>
  <headerFooter>
    <oddFooter>&amp;L&amp;F 
&amp;A&amp;C&amp;P&amp;R&amp;D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6"/>
  <sheetViews>
    <sheetView zoomScale="90" zoomScaleNormal="90" workbookViewId="0">
      <selection activeCell="B2" sqref="B2:H2"/>
    </sheetView>
  </sheetViews>
  <sheetFormatPr defaultColWidth="9.1796875" defaultRowHeight="14.5" x14ac:dyDescent="0.35"/>
  <cols>
    <col min="1" max="1" width="2.1796875" style="586" customWidth="1"/>
    <col min="2" max="2" width="2.453125" style="586" customWidth="1"/>
    <col min="3" max="3" width="34.54296875" style="586" customWidth="1"/>
    <col min="4" max="5" width="11.81640625" style="586" customWidth="1"/>
    <col min="6" max="6" width="2.7265625" style="600" customWidth="1"/>
    <col min="7" max="8" width="11.81640625" style="586" customWidth="1"/>
    <col min="9" max="16384" width="9.1796875" style="586"/>
  </cols>
  <sheetData>
    <row r="1" spans="2:8" x14ac:dyDescent="0.35">
      <c r="B1" s="644" t="s">
        <v>0</v>
      </c>
      <c r="C1" s="644"/>
      <c r="D1" s="644"/>
      <c r="E1" s="644"/>
      <c r="F1" s="644"/>
      <c r="G1" s="644"/>
      <c r="H1" s="644"/>
    </row>
    <row r="2" spans="2:8" x14ac:dyDescent="0.35">
      <c r="B2" s="644" t="str">
        <f>'Rate Impacts Sch149'!B2:U2</f>
        <v>2021 Gas Schedule 149 CRM Filing (Preliminary Filing)</v>
      </c>
      <c r="C2" s="644"/>
      <c r="D2" s="644"/>
      <c r="E2" s="644"/>
      <c r="F2" s="644"/>
      <c r="G2" s="644"/>
      <c r="H2" s="644"/>
    </row>
    <row r="3" spans="2:8" x14ac:dyDescent="0.35">
      <c r="B3" s="642" t="s">
        <v>395</v>
      </c>
      <c r="C3" s="642"/>
      <c r="D3" s="642"/>
      <c r="E3" s="642"/>
      <c r="F3" s="642"/>
      <c r="G3" s="642"/>
      <c r="H3" s="642"/>
    </row>
    <row r="4" spans="2:8" x14ac:dyDescent="0.35">
      <c r="B4" s="642" t="str">
        <f>'Rate Impacts Sch149'!B4:U4</f>
        <v>Proposed Rates Effective November 1, 2021</v>
      </c>
      <c r="C4" s="642"/>
      <c r="D4" s="642"/>
      <c r="E4" s="642"/>
      <c r="F4" s="642"/>
      <c r="G4" s="642"/>
      <c r="H4" s="642"/>
    </row>
    <row r="6" spans="2:8" x14ac:dyDescent="0.35">
      <c r="D6" s="587" t="s">
        <v>396</v>
      </c>
      <c r="E6" s="587"/>
      <c r="F6" s="588"/>
      <c r="G6" s="587" t="s">
        <v>397</v>
      </c>
      <c r="H6" s="587"/>
    </row>
    <row r="7" spans="2:8" ht="16.5" x14ac:dyDescent="0.35">
      <c r="D7" s="589" t="s">
        <v>398</v>
      </c>
      <c r="E7" s="589" t="s">
        <v>399</v>
      </c>
      <c r="F7" s="590"/>
      <c r="G7" s="589" t="s">
        <v>400</v>
      </c>
      <c r="H7" s="589" t="s">
        <v>399</v>
      </c>
    </row>
    <row r="8" spans="2:8" x14ac:dyDescent="0.35">
      <c r="B8" s="586" t="s">
        <v>401</v>
      </c>
      <c r="D8" s="591">
        <v>64</v>
      </c>
      <c r="E8" s="592"/>
      <c r="F8" s="593"/>
      <c r="G8" s="591">
        <v>64</v>
      </c>
      <c r="H8" s="592"/>
    </row>
    <row r="9" spans="2:8" x14ac:dyDescent="0.35">
      <c r="D9" s="591"/>
      <c r="E9" s="592"/>
      <c r="F9" s="593"/>
      <c r="G9" s="591"/>
      <c r="H9" s="592"/>
    </row>
    <row r="10" spans="2:8" x14ac:dyDescent="0.35">
      <c r="B10" s="586" t="s">
        <v>402</v>
      </c>
      <c r="D10" s="591"/>
      <c r="E10" s="592"/>
      <c r="F10" s="593"/>
      <c r="G10" s="591"/>
      <c r="H10" s="592"/>
    </row>
    <row r="11" spans="2:8" x14ac:dyDescent="0.35">
      <c r="C11" s="586" t="s">
        <v>403</v>
      </c>
      <c r="D11" s="637">
        <v>11.52</v>
      </c>
      <c r="E11" s="592">
        <f>D11</f>
        <v>11.52</v>
      </c>
      <c r="F11" s="594"/>
      <c r="G11" s="595">
        <f>$D$11</f>
        <v>11.52</v>
      </c>
      <c r="H11" s="592">
        <f>G11</f>
        <v>11.52</v>
      </c>
    </row>
    <row r="12" spans="2:8" x14ac:dyDescent="0.35">
      <c r="C12" s="586" t="s">
        <v>404</v>
      </c>
      <c r="D12" s="638">
        <v>0</v>
      </c>
      <c r="E12" s="596">
        <f>D12</f>
        <v>0</v>
      </c>
      <c r="F12" s="594"/>
      <c r="G12" s="597">
        <f>$D$12</f>
        <v>0</v>
      </c>
      <c r="H12" s="596">
        <f>G12</f>
        <v>0</v>
      </c>
    </row>
    <row r="13" spans="2:8" x14ac:dyDescent="0.35">
      <c r="C13" s="586" t="s">
        <v>392</v>
      </c>
      <c r="D13" s="598">
        <f>SUM(D11:D12)</f>
        <v>11.52</v>
      </c>
      <c r="E13" s="598">
        <f>SUM(E11:E12)</f>
        <v>11.52</v>
      </c>
      <c r="F13" s="594"/>
      <c r="G13" s="598">
        <f>SUM(G11:G12)</f>
        <v>11.52</v>
      </c>
      <c r="H13" s="598">
        <f>SUM(H11:H12)</f>
        <v>11.52</v>
      </c>
    </row>
    <row r="14" spans="2:8" x14ac:dyDescent="0.35">
      <c r="D14" s="599"/>
      <c r="E14" s="592"/>
      <c r="F14" s="594"/>
      <c r="G14" s="595"/>
      <c r="H14" s="592"/>
    </row>
    <row r="15" spans="2:8" x14ac:dyDescent="0.35">
      <c r="B15" s="586" t="s">
        <v>405</v>
      </c>
      <c r="E15" s="592"/>
      <c r="H15" s="592"/>
    </row>
    <row r="16" spans="2:8" x14ac:dyDescent="0.35">
      <c r="C16" s="586" t="s">
        <v>406</v>
      </c>
      <c r="D16" s="639">
        <v>0.42857000000000001</v>
      </c>
      <c r="E16" s="592"/>
      <c r="F16" s="602"/>
      <c r="G16" s="603">
        <f>$D$16</f>
        <v>0.42857000000000001</v>
      </c>
      <c r="H16" s="592"/>
    </row>
    <row r="17" spans="3:8" x14ac:dyDescent="0.35">
      <c r="C17" s="586" t="s">
        <v>407</v>
      </c>
      <c r="D17" s="640">
        <v>7.0099999999999997E-3</v>
      </c>
      <c r="E17" s="592"/>
      <c r="F17" s="602"/>
      <c r="G17" s="604">
        <f>$D$17</f>
        <v>7.0099999999999997E-3</v>
      </c>
      <c r="H17" s="592"/>
    </row>
    <row r="18" spans="3:8" x14ac:dyDescent="0.35">
      <c r="C18" s="586" t="s">
        <v>408</v>
      </c>
      <c r="D18" s="639">
        <v>2.2749999999999999E-2</v>
      </c>
      <c r="E18" s="592"/>
      <c r="F18" s="602"/>
      <c r="G18" s="604">
        <f>$D$18</f>
        <v>2.2749999999999999E-2</v>
      </c>
      <c r="H18" s="592"/>
    </row>
    <row r="19" spans="3:8" x14ac:dyDescent="0.35">
      <c r="C19" s="586" t="s">
        <v>404</v>
      </c>
      <c r="D19" s="639">
        <v>0</v>
      </c>
      <c r="E19" s="592"/>
      <c r="F19" s="602"/>
      <c r="G19" s="603">
        <f>$D$19</f>
        <v>0</v>
      </c>
      <c r="H19" s="592"/>
    </row>
    <row r="20" spans="3:8" x14ac:dyDescent="0.35">
      <c r="C20" s="586" t="s">
        <v>409</v>
      </c>
      <c r="D20" s="639">
        <v>-1.388E-2</v>
      </c>
      <c r="E20" s="592"/>
      <c r="F20" s="602"/>
      <c r="G20" s="603">
        <f>$D$20</f>
        <v>-1.388E-2</v>
      </c>
      <c r="H20" s="592"/>
    </row>
    <row r="21" spans="3:8" x14ac:dyDescent="0.35">
      <c r="C21" s="586" t="s">
        <v>410</v>
      </c>
      <c r="D21" s="639">
        <v>-6.8000000000000005E-4</v>
      </c>
      <c r="E21" s="592"/>
      <c r="F21" s="602"/>
      <c r="G21" s="604">
        <f>$D$21</f>
        <v>-6.8000000000000005E-4</v>
      </c>
      <c r="H21" s="592"/>
    </row>
    <row r="22" spans="3:8" x14ac:dyDescent="0.35">
      <c r="C22" s="586" t="s">
        <v>411</v>
      </c>
      <c r="D22" s="639">
        <v>-1.3699999999999999E-3</v>
      </c>
      <c r="E22" s="592"/>
      <c r="F22" s="602"/>
      <c r="G22" s="604">
        <f>$D$22</f>
        <v>-1.3699999999999999E-3</v>
      </c>
      <c r="H22" s="592"/>
    </row>
    <row r="23" spans="3:8" x14ac:dyDescent="0.35">
      <c r="C23" s="586" t="s">
        <v>412</v>
      </c>
      <c r="D23" s="639">
        <v>2.2519999999999998E-2</v>
      </c>
      <c r="E23" s="592"/>
      <c r="F23" s="602"/>
      <c r="G23" s="604">
        <f>$D$23</f>
        <v>2.2519999999999998E-2</v>
      </c>
      <c r="H23" s="592"/>
    </row>
    <row r="24" spans="3:8" x14ac:dyDescent="0.35">
      <c r="C24" s="586" t="s">
        <v>413</v>
      </c>
      <c r="D24" s="640">
        <f>'Schedule 149'!$D$9</f>
        <v>1.77E-2</v>
      </c>
      <c r="E24" s="592"/>
      <c r="F24" s="602"/>
      <c r="G24" s="601">
        <f>'Schedule 149'!$E$9</f>
        <v>2.2079999999999999E-2</v>
      </c>
      <c r="H24" s="592"/>
    </row>
    <row r="25" spans="3:8" x14ac:dyDescent="0.35">
      <c r="C25" s="586" t="s">
        <v>392</v>
      </c>
      <c r="D25" s="605">
        <f>SUM(D16:D24)</f>
        <v>0.48261999999999999</v>
      </c>
      <c r="E25" s="592">
        <f>ROUND(D25*D$8,2)</f>
        <v>30.89</v>
      </c>
      <c r="F25" s="602"/>
      <c r="G25" s="605">
        <f>SUM(G16:G24)</f>
        <v>0.48699999999999999</v>
      </c>
      <c r="H25" s="592">
        <f>ROUND(G25*G$8,2)</f>
        <v>31.17</v>
      </c>
    </row>
    <row r="27" spans="3:8" x14ac:dyDescent="0.35">
      <c r="C27" s="586" t="s">
        <v>414</v>
      </c>
      <c r="D27" s="639">
        <v>2.019E-2</v>
      </c>
      <c r="E27" s="592">
        <f>ROUND(D27*D$8,2)</f>
        <v>1.29</v>
      </c>
      <c r="F27" s="602"/>
      <c r="G27" s="606">
        <f>$D$27</f>
        <v>2.019E-2</v>
      </c>
      <c r="H27" s="592">
        <f>ROUND(G27*G$8,2)</f>
        <v>1.29</v>
      </c>
    </row>
    <row r="28" spans="3:8" x14ac:dyDescent="0.35">
      <c r="D28" s="639"/>
      <c r="E28" s="592"/>
      <c r="F28" s="602"/>
      <c r="G28" s="603"/>
      <c r="H28" s="592"/>
    </row>
    <row r="29" spans="3:8" x14ac:dyDescent="0.35">
      <c r="C29" s="586" t="s">
        <v>415</v>
      </c>
      <c r="D29" s="639">
        <v>0.38129000000000002</v>
      </c>
      <c r="E29" s="592"/>
      <c r="F29" s="602"/>
      <c r="G29" s="604">
        <f>$D$29</f>
        <v>0.38129000000000002</v>
      </c>
      <c r="H29" s="592"/>
    </row>
    <row r="30" spans="3:8" x14ac:dyDescent="0.35">
      <c r="C30" s="586" t="s">
        <v>416</v>
      </c>
      <c r="D30" s="639">
        <v>4.827E-2</v>
      </c>
      <c r="E30" s="592"/>
      <c r="F30" s="602"/>
      <c r="G30" s="604">
        <f>$D$30</f>
        <v>4.827E-2</v>
      </c>
      <c r="H30" s="592"/>
    </row>
    <row r="31" spans="3:8" x14ac:dyDescent="0.35">
      <c r="C31" s="586" t="s">
        <v>392</v>
      </c>
      <c r="D31" s="605">
        <f>SUM(D29:D30)</f>
        <v>0.42956</v>
      </c>
      <c r="E31" s="592">
        <f>ROUND(D31*D$8,2)</f>
        <v>27.49</v>
      </c>
      <c r="F31" s="602"/>
      <c r="G31" s="605">
        <f>SUM(G29:G30)</f>
        <v>0.42956</v>
      </c>
      <c r="H31" s="592">
        <f>ROUND(G31*G$8,2)</f>
        <v>27.49</v>
      </c>
    </row>
    <row r="32" spans="3:8" x14ac:dyDescent="0.35">
      <c r="C32" s="586" t="s">
        <v>417</v>
      </c>
      <c r="D32" s="605">
        <f>D25+D27+D31</f>
        <v>0.93236999999999992</v>
      </c>
      <c r="E32" s="607">
        <f>SUM(E25,E27,E31)</f>
        <v>59.67</v>
      </c>
      <c r="F32" s="608"/>
      <c r="G32" s="605">
        <f>G25+G27+G31</f>
        <v>0.93674999999999997</v>
      </c>
      <c r="H32" s="607">
        <f>SUM(H25,H27,H31)</f>
        <v>59.95</v>
      </c>
    </row>
    <row r="33" spans="2:8" x14ac:dyDescent="0.35">
      <c r="E33" s="592"/>
      <c r="H33" s="592"/>
    </row>
    <row r="34" spans="2:8" x14ac:dyDescent="0.35">
      <c r="B34" s="586" t="s">
        <v>418</v>
      </c>
      <c r="D34" s="595"/>
      <c r="E34" s="592">
        <f>E13+E32</f>
        <v>71.19</v>
      </c>
      <c r="F34" s="597"/>
      <c r="G34" s="595"/>
      <c r="H34" s="592">
        <f>H13+H32</f>
        <v>71.47</v>
      </c>
    </row>
    <row r="35" spans="2:8" x14ac:dyDescent="0.35">
      <c r="B35" s="586" t="s">
        <v>419</v>
      </c>
      <c r="D35" s="595"/>
      <c r="E35" s="592"/>
      <c r="F35" s="597"/>
      <c r="G35" s="595"/>
      <c r="H35" s="592">
        <f>H34-$E34</f>
        <v>0.28000000000000114</v>
      </c>
    </row>
    <row r="36" spans="2:8" x14ac:dyDescent="0.35">
      <c r="B36" s="586" t="s">
        <v>420</v>
      </c>
      <c r="D36" s="609"/>
      <c r="E36" s="609"/>
      <c r="F36" s="610"/>
      <c r="G36" s="609"/>
      <c r="H36" s="611">
        <f>H35/$E34</f>
        <v>3.9331366764995242E-3</v>
      </c>
    </row>
    <row r="37" spans="2:8" x14ac:dyDescent="0.35">
      <c r="E37" s="592"/>
    </row>
    <row r="38" spans="2:8" x14ac:dyDescent="0.35">
      <c r="B38" s="586" t="s">
        <v>421</v>
      </c>
      <c r="D38" s="603">
        <f>D25+D27</f>
        <v>0.50280999999999998</v>
      </c>
      <c r="E38" s="592"/>
      <c r="F38" s="608"/>
      <c r="G38" s="603">
        <f>G25+G27</f>
        <v>0.50719000000000003</v>
      </c>
    </row>
    <row r="40" spans="2:8" ht="16.5" x14ac:dyDescent="0.35">
      <c r="B40" s="612" t="s">
        <v>422</v>
      </c>
    </row>
    <row r="41" spans="2:8" x14ac:dyDescent="0.35">
      <c r="C41" s="612"/>
      <c r="D41" s="612"/>
      <c r="E41" s="612"/>
      <c r="F41" s="613"/>
      <c r="G41" s="613"/>
      <c r="H41" s="613"/>
    </row>
    <row r="46" spans="2:8" ht="14.25" customHeight="1" x14ac:dyDescent="0.35"/>
  </sheetData>
  <mergeCells count="4">
    <mergeCell ref="B1:H1"/>
    <mergeCell ref="B2:H2"/>
    <mergeCell ref="B3:H3"/>
    <mergeCell ref="B4:H4"/>
  </mergeCells>
  <printOptions horizontalCentered="1"/>
  <pageMargins left="0.5" right="0.5" top="1" bottom="1" header="0.5" footer="0.5"/>
  <pageSetup scale="73" orientation="landscape" blackAndWhite="1" r:id="rId1"/>
  <headerFooter alignWithMargins="0">
    <oddFooter>&amp;L&amp;F  
&amp;A&amp;C&amp;P&amp;R&amp;D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90" zoomScaleNormal="90" workbookViewId="0">
      <selection activeCell="A3" sqref="A3:I3"/>
    </sheetView>
  </sheetViews>
  <sheetFormatPr defaultColWidth="8.7265625" defaultRowHeight="14.5" x14ac:dyDescent="0.35"/>
  <cols>
    <col min="1" max="1" width="38.7265625" style="615" customWidth="1"/>
    <col min="2" max="2" width="9.1796875" style="615" bestFit="1" customWidth="1"/>
    <col min="3" max="3" width="18.54296875" style="615" bestFit="1" customWidth="1"/>
    <col min="4" max="5" width="13.7265625" style="615" customWidth="1"/>
    <col min="6" max="8" width="14.453125" style="615" customWidth="1"/>
    <col min="9" max="9" width="7.81640625" style="615" bestFit="1" customWidth="1"/>
    <col min="10" max="16384" width="8.7265625" style="615"/>
  </cols>
  <sheetData>
    <row r="1" spans="1:10" s="586" customFormat="1" ht="15" customHeight="1" x14ac:dyDescent="0.35">
      <c r="A1" s="643" t="s">
        <v>0</v>
      </c>
      <c r="B1" s="643"/>
      <c r="C1" s="643"/>
      <c r="D1" s="643"/>
      <c r="E1" s="643"/>
      <c r="F1" s="643"/>
      <c r="G1" s="643"/>
      <c r="H1" s="643"/>
      <c r="I1" s="643"/>
      <c r="J1" s="614"/>
    </row>
    <row r="2" spans="1:10" s="586" customFormat="1" ht="15" customHeight="1" x14ac:dyDescent="0.35">
      <c r="A2" s="643" t="s">
        <v>423</v>
      </c>
      <c r="B2" s="643"/>
      <c r="C2" s="643"/>
      <c r="D2" s="643"/>
      <c r="E2" s="643"/>
      <c r="F2" s="643"/>
      <c r="G2" s="643"/>
      <c r="H2" s="643"/>
      <c r="I2" s="643"/>
      <c r="J2" s="614"/>
    </row>
    <row r="3" spans="1:10" s="586" customFormat="1" ht="15" customHeight="1" x14ac:dyDescent="0.35">
      <c r="A3" s="643" t="s">
        <v>424</v>
      </c>
      <c r="B3" s="643"/>
      <c r="C3" s="643"/>
      <c r="D3" s="643"/>
      <c r="E3" s="643"/>
      <c r="F3" s="643"/>
      <c r="G3" s="643"/>
      <c r="H3" s="643"/>
      <c r="I3" s="643"/>
      <c r="J3" s="614"/>
    </row>
    <row r="4" spans="1:10" s="586" customFormat="1" ht="15" customHeight="1" x14ac:dyDescent="0.35">
      <c r="A4" s="643" t="s">
        <v>324</v>
      </c>
      <c r="B4" s="643"/>
      <c r="C4" s="643"/>
      <c r="D4" s="643"/>
      <c r="E4" s="643"/>
      <c r="F4" s="643"/>
      <c r="G4" s="643"/>
      <c r="H4" s="643"/>
      <c r="I4" s="643"/>
      <c r="J4" s="614"/>
    </row>
    <row r="5" spans="1:10" x14ac:dyDescent="0.35">
      <c r="D5" s="616"/>
      <c r="E5" s="616"/>
    </row>
    <row r="6" spans="1:10" x14ac:dyDescent="0.35">
      <c r="A6" s="617"/>
      <c r="B6" s="617"/>
      <c r="C6" s="617" t="s">
        <v>325</v>
      </c>
      <c r="D6" s="617" t="s">
        <v>425</v>
      </c>
      <c r="E6" s="617" t="s">
        <v>426</v>
      </c>
      <c r="F6" s="618" t="s">
        <v>325</v>
      </c>
      <c r="G6" s="618" t="s">
        <v>325</v>
      </c>
      <c r="H6" s="617" t="s">
        <v>343</v>
      </c>
      <c r="I6" s="617"/>
    </row>
    <row r="7" spans="1:10" x14ac:dyDescent="0.35">
      <c r="A7" s="617"/>
      <c r="B7" s="617" t="s">
        <v>330</v>
      </c>
      <c r="C7" s="617" t="s">
        <v>427</v>
      </c>
      <c r="D7" s="617" t="s">
        <v>343</v>
      </c>
      <c r="E7" s="617" t="s">
        <v>343</v>
      </c>
      <c r="F7" s="618" t="s">
        <v>345</v>
      </c>
      <c r="G7" s="618" t="s">
        <v>345</v>
      </c>
      <c r="H7" s="617" t="s">
        <v>345</v>
      </c>
      <c r="I7" s="617" t="s">
        <v>145</v>
      </c>
    </row>
    <row r="8" spans="1:10" x14ac:dyDescent="0.35">
      <c r="A8" s="546" t="s">
        <v>346</v>
      </c>
      <c r="B8" s="546" t="s">
        <v>163</v>
      </c>
      <c r="C8" s="545" t="s">
        <v>328</v>
      </c>
      <c r="D8" s="546" t="s">
        <v>400</v>
      </c>
      <c r="E8" s="546" t="s">
        <v>400</v>
      </c>
      <c r="F8" s="589" t="s">
        <v>396</v>
      </c>
      <c r="G8" s="589" t="s">
        <v>428</v>
      </c>
      <c r="H8" s="546" t="s">
        <v>353</v>
      </c>
      <c r="I8" s="546" t="s">
        <v>353</v>
      </c>
    </row>
    <row r="9" spans="1:10" x14ac:dyDescent="0.35">
      <c r="A9" s="615" t="s">
        <v>128</v>
      </c>
      <c r="B9" s="619" t="s">
        <v>374</v>
      </c>
      <c r="C9" s="636">
        <v>636122043</v>
      </c>
      <c r="D9" s="620">
        <v>1.77E-2</v>
      </c>
      <c r="E9" s="634">
        <f>'CRM Rates'!E21</f>
        <v>2.2079999999999999E-2</v>
      </c>
      <c r="F9" s="554">
        <f>C9*D9</f>
        <v>11259360.1611</v>
      </c>
      <c r="G9" s="554">
        <f>C9*E9</f>
        <v>14045574.709439998</v>
      </c>
      <c r="H9" s="621">
        <f>G9-F9</f>
        <v>2786214.5483399983</v>
      </c>
      <c r="I9" s="622">
        <f>H9/F9</f>
        <v>0.24745762711864391</v>
      </c>
    </row>
    <row r="10" spans="1:10" x14ac:dyDescent="0.35">
      <c r="A10" s="615" t="s">
        <v>375</v>
      </c>
      <c r="B10" s="619">
        <v>16</v>
      </c>
      <c r="C10" s="636">
        <v>8832</v>
      </c>
      <c r="D10" s="620">
        <v>1.77E-2</v>
      </c>
      <c r="E10" s="634">
        <f>E9</f>
        <v>2.2079999999999999E-2</v>
      </c>
      <c r="F10" s="554">
        <f t="shared" ref="F10:F21" si="0">C10*D10</f>
        <v>156.32640000000001</v>
      </c>
      <c r="G10" s="554">
        <f t="shared" ref="G10:G21" si="1">C10*E10</f>
        <v>195.01056</v>
      </c>
      <c r="H10" s="621">
        <f t="shared" ref="H10:H21" si="2">G10-F10</f>
        <v>38.684159999999991</v>
      </c>
      <c r="I10" s="622">
        <f t="shared" ref="I10:I22" si="3">H10/F10</f>
        <v>0.247457627118644</v>
      </c>
    </row>
    <row r="11" spans="1:10" x14ac:dyDescent="0.35">
      <c r="A11" s="615" t="s">
        <v>376</v>
      </c>
      <c r="B11" s="619">
        <v>31</v>
      </c>
      <c r="C11" s="636">
        <v>237822307</v>
      </c>
      <c r="D11" s="620">
        <v>1.8800000000000001E-2</v>
      </c>
      <c r="E11" s="634">
        <f>'CRM Rates'!F21</f>
        <v>2.41E-2</v>
      </c>
      <c r="F11" s="554">
        <f t="shared" si="0"/>
        <v>4471059.3716000002</v>
      </c>
      <c r="G11" s="554">
        <f t="shared" si="1"/>
        <v>5731517.5987</v>
      </c>
      <c r="H11" s="621">
        <f t="shared" si="2"/>
        <v>1260458.2270999998</v>
      </c>
      <c r="I11" s="622">
        <f t="shared" si="3"/>
        <v>0.28191489361702121</v>
      </c>
    </row>
    <row r="12" spans="1:10" x14ac:dyDescent="0.35">
      <c r="A12" s="615" t="s">
        <v>377</v>
      </c>
      <c r="B12" s="619">
        <v>41</v>
      </c>
      <c r="C12" s="636">
        <v>66459784</v>
      </c>
      <c r="D12" s="620">
        <v>9.2700000000000005E-3</v>
      </c>
      <c r="E12" s="634">
        <f>'CRM Rates'!G21</f>
        <v>1.1039999999999999E-2</v>
      </c>
      <c r="F12" s="554">
        <f t="shared" si="0"/>
        <v>616082.19767999998</v>
      </c>
      <c r="G12" s="554">
        <f t="shared" si="1"/>
        <v>733716.01535999996</v>
      </c>
      <c r="H12" s="621">
        <f t="shared" si="2"/>
        <v>117633.81767999998</v>
      </c>
      <c r="I12" s="622">
        <f t="shared" si="3"/>
        <v>0.19093851132686082</v>
      </c>
    </row>
    <row r="13" spans="1:10" x14ac:dyDescent="0.35">
      <c r="A13" s="615" t="s">
        <v>131</v>
      </c>
      <c r="B13" s="619">
        <v>85</v>
      </c>
      <c r="C13" s="636">
        <v>11987089</v>
      </c>
      <c r="D13" s="620">
        <v>4.9500000000000004E-3</v>
      </c>
      <c r="E13" s="634">
        <f>'CRM Rates'!H21</f>
        <v>6.5799999999999999E-3</v>
      </c>
      <c r="F13" s="554">
        <f t="shared" si="0"/>
        <v>59336.090550000008</v>
      </c>
      <c r="G13" s="554">
        <f t="shared" si="1"/>
        <v>78875.045620000004</v>
      </c>
      <c r="H13" s="621">
        <f t="shared" si="2"/>
        <v>19538.955069999996</v>
      </c>
      <c r="I13" s="622">
        <f t="shared" si="3"/>
        <v>0.32929292929292919</v>
      </c>
    </row>
    <row r="14" spans="1:10" x14ac:dyDescent="0.35">
      <c r="A14" s="615" t="s">
        <v>378</v>
      </c>
      <c r="B14" s="619">
        <v>86</v>
      </c>
      <c r="C14" s="636">
        <v>6125732</v>
      </c>
      <c r="D14" s="620">
        <v>8.8199999999999997E-3</v>
      </c>
      <c r="E14" s="634">
        <f>'CRM Rates'!I21</f>
        <v>8.2799999999999992E-3</v>
      </c>
      <c r="F14" s="554">
        <f t="shared" si="0"/>
        <v>54028.95624</v>
      </c>
      <c r="G14" s="554">
        <f t="shared" si="1"/>
        <v>50721.060959999995</v>
      </c>
      <c r="H14" s="621">
        <f t="shared" si="2"/>
        <v>-3307.8952800000043</v>
      </c>
      <c r="I14" s="622">
        <f t="shared" si="3"/>
        <v>-6.1224489795918449E-2</v>
      </c>
    </row>
    <row r="15" spans="1:10" x14ac:dyDescent="0.35">
      <c r="A15" s="615" t="s">
        <v>379</v>
      </c>
      <c r="B15" s="619">
        <v>87</v>
      </c>
      <c r="C15" s="636">
        <v>17216892</v>
      </c>
      <c r="D15" s="620">
        <v>2.8999999999999998E-3</v>
      </c>
      <c r="E15" s="634">
        <f>'CRM Rates'!J21</f>
        <v>3.6700000000000001E-3</v>
      </c>
      <c r="F15" s="554">
        <f t="shared" si="0"/>
        <v>49928.986799999999</v>
      </c>
      <c r="G15" s="554">
        <f t="shared" si="1"/>
        <v>63185.993640000001</v>
      </c>
      <c r="H15" s="621">
        <f t="shared" si="2"/>
        <v>13257.006840000002</v>
      </c>
      <c r="I15" s="622">
        <f t="shared" si="3"/>
        <v>0.26551724137931038</v>
      </c>
    </row>
    <row r="16" spans="1:10" x14ac:dyDescent="0.35">
      <c r="A16" s="615" t="s">
        <v>380</v>
      </c>
      <c r="B16" s="619" t="s">
        <v>164</v>
      </c>
      <c r="C16" s="636">
        <v>35141</v>
      </c>
      <c r="D16" s="620">
        <v>1.8800000000000001E-2</v>
      </c>
      <c r="E16" s="634">
        <f>E11</f>
        <v>2.41E-2</v>
      </c>
      <c r="F16" s="554">
        <f t="shared" si="0"/>
        <v>660.6508</v>
      </c>
      <c r="G16" s="554">
        <f t="shared" si="1"/>
        <v>846.8981</v>
      </c>
      <c r="H16" s="621">
        <f t="shared" si="2"/>
        <v>186.2473</v>
      </c>
      <c r="I16" s="622">
        <f t="shared" si="3"/>
        <v>0.28191489361702127</v>
      </c>
    </row>
    <row r="17" spans="1:9" x14ac:dyDescent="0.35">
      <c r="A17" s="615" t="s">
        <v>381</v>
      </c>
      <c r="B17" s="615" t="s">
        <v>165</v>
      </c>
      <c r="C17" s="636">
        <v>24281446</v>
      </c>
      <c r="D17" s="620">
        <v>9.2700000000000005E-3</v>
      </c>
      <c r="E17" s="634">
        <f t="shared" ref="E17:E20" si="4">E12</f>
        <v>1.1039999999999999E-2</v>
      </c>
      <c r="F17" s="554">
        <f t="shared" si="0"/>
        <v>225089.00442000001</v>
      </c>
      <c r="G17" s="554">
        <f t="shared" si="1"/>
        <v>268067.16383999999</v>
      </c>
      <c r="H17" s="621">
        <f t="shared" si="2"/>
        <v>42978.159419999982</v>
      </c>
      <c r="I17" s="622">
        <f t="shared" si="3"/>
        <v>0.19093851132686074</v>
      </c>
    </row>
    <row r="18" spans="1:9" x14ac:dyDescent="0.35">
      <c r="A18" s="615" t="s">
        <v>382</v>
      </c>
      <c r="B18" s="615" t="s">
        <v>166</v>
      </c>
      <c r="C18" s="636">
        <v>63933179</v>
      </c>
      <c r="D18" s="620">
        <v>4.9500000000000004E-3</v>
      </c>
      <c r="E18" s="634">
        <f t="shared" si="4"/>
        <v>6.5799999999999999E-3</v>
      </c>
      <c r="F18" s="554">
        <f t="shared" si="0"/>
        <v>316469.23605000001</v>
      </c>
      <c r="G18" s="554">
        <f t="shared" si="1"/>
        <v>420680.31782</v>
      </c>
      <c r="H18" s="621">
        <f t="shared" si="2"/>
        <v>104211.08176999999</v>
      </c>
      <c r="I18" s="622">
        <f t="shared" si="3"/>
        <v>0.32929292929292925</v>
      </c>
    </row>
    <row r="19" spans="1:9" x14ac:dyDescent="0.35">
      <c r="A19" s="615" t="s">
        <v>383</v>
      </c>
      <c r="B19" s="615" t="s">
        <v>167</v>
      </c>
      <c r="C19" s="636">
        <v>505400</v>
      </c>
      <c r="D19" s="620">
        <v>8.8199999999999997E-3</v>
      </c>
      <c r="E19" s="634">
        <f t="shared" si="4"/>
        <v>8.2799999999999992E-3</v>
      </c>
      <c r="F19" s="554">
        <f t="shared" si="0"/>
        <v>4457.6279999999997</v>
      </c>
      <c r="G19" s="554">
        <f t="shared" si="1"/>
        <v>4184.7119999999995</v>
      </c>
      <c r="H19" s="621">
        <f t="shared" si="2"/>
        <v>-272.91600000000017</v>
      </c>
      <c r="I19" s="622">
        <f t="shared" si="3"/>
        <v>-6.1224489795918408E-2</v>
      </c>
    </row>
    <row r="20" spans="1:9" x14ac:dyDescent="0.35">
      <c r="A20" s="615" t="s">
        <v>384</v>
      </c>
      <c r="B20" s="615" t="s">
        <v>168</v>
      </c>
      <c r="C20" s="636">
        <v>85254176</v>
      </c>
      <c r="D20" s="620">
        <v>2.8999999999999998E-3</v>
      </c>
      <c r="E20" s="634">
        <f t="shared" si="4"/>
        <v>3.6700000000000001E-3</v>
      </c>
      <c r="F20" s="554">
        <f t="shared" si="0"/>
        <v>247237.11039999998</v>
      </c>
      <c r="G20" s="554">
        <f t="shared" si="1"/>
        <v>312882.82592000003</v>
      </c>
      <c r="H20" s="621">
        <f t="shared" si="2"/>
        <v>65645.715520000056</v>
      </c>
      <c r="I20" s="622">
        <f t="shared" si="3"/>
        <v>0.2655172413793106</v>
      </c>
    </row>
    <row r="21" spans="1:9" x14ac:dyDescent="0.35">
      <c r="A21" s="615" t="s">
        <v>132</v>
      </c>
      <c r="C21" s="636">
        <v>31618458</v>
      </c>
      <c r="D21" s="623">
        <v>6.8999999999999997E-4</v>
      </c>
      <c r="E21" s="635">
        <f>'CRM Rates'!K21</f>
        <v>9.1E-4</v>
      </c>
      <c r="F21" s="554">
        <f t="shared" si="0"/>
        <v>21816.73602</v>
      </c>
      <c r="G21" s="554">
        <f t="shared" si="1"/>
        <v>28772.796780000001</v>
      </c>
      <c r="H21" s="621">
        <f t="shared" si="2"/>
        <v>6956.0607600000003</v>
      </c>
      <c r="I21" s="622">
        <f t="shared" si="3"/>
        <v>0.31884057971014496</v>
      </c>
    </row>
    <row r="22" spans="1:9" x14ac:dyDescent="0.35">
      <c r="A22" s="615" t="s">
        <v>90</v>
      </c>
      <c r="C22" s="624">
        <f>SUM(C9:C21)</f>
        <v>1181370479</v>
      </c>
      <c r="D22" s="625"/>
      <c r="E22" s="625"/>
      <c r="F22" s="560">
        <f t="shared" ref="F22:H22" si="5">SUM(F9:F21)</f>
        <v>17325682.456059996</v>
      </c>
      <c r="G22" s="560">
        <f t="shared" si="5"/>
        <v>21739220.148740005</v>
      </c>
      <c r="H22" s="626">
        <f t="shared" si="5"/>
        <v>4413537.6926799985</v>
      </c>
      <c r="I22" s="627">
        <f t="shared" si="3"/>
        <v>0.25473961582022864</v>
      </c>
    </row>
    <row r="23" spans="1:9" s="586" customFormat="1" x14ac:dyDescent="0.35">
      <c r="A23" s="588"/>
      <c r="B23" s="628"/>
      <c r="C23" s="629"/>
      <c r="D23" s="630"/>
      <c r="E23" s="630"/>
      <c r="F23" s="630"/>
      <c r="G23" s="630"/>
      <c r="H23" s="609"/>
    </row>
    <row r="24" spans="1:9" x14ac:dyDescent="0.35">
      <c r="F24" s="621"/>
      <c r="G24" s="621"/>
    </row>
    <row r="25" spans="1:9" x14ac:dyDescent="0.35">
      <c r="C25" s="631"/>
      <c r="F25" s="621"/>
      <c r="G25" s="621"/>
      <c r="H25" s="632"/>
    </row>
    <row r="26" spans="1:9" x14ac:dyDescent="0.35">
      <c r="A26" s="633"/>
    </row>
  </sheetData>
  <mergeCells count="4">
    <mergeCell ref="A1:I1"/>
    <mergeCell ref="A2:I2"/>
    <mergeCell ref="A3:I3"/>
    <mergeCell ref="A4:I4"/>
  </mergeCells>
  <printOptions horizontalCentered="1"/>
  <pageMargins left="0.7" right="0.7" top="0.75" bottom="0.75" header="0.3" footer="0.3"/>
  <pageSetup scale="85" orientation="landscape" blackAndWhite="1" r:id="rId1"/>
  <headerFooter>
    <oddFooter>&amp;L&amp;F 
&amp;A&amp;C&amp;P&amp;R&amp;D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
  <sheetViews>
    <sheetView workbookViewId="0">
      <selection activeCell="I37" sqref="I37"/>
    </sheetView>
  </sheetViews>
  <sheetFormatPr defaultRowHeight="12.5"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O152"/>
  <sheetViews>
    <sheetView zoomScale="90" zoomScaleNormal="90" workbookViewId="0">
      <selection activeCell="C2" sqref="C2"/>
    </sheetView>
  </sheetViews>
  <sheetFormatPr defaultColWidth="8.7265625" defaultRowHeight="14.5" outlineLevelCol="1" x14ac:dyDescent="0.35"/>
  <cols>
    <col min="1" max="1" width="3.54296875" style="86" customWidth="1"/>
    <col min="2" max="2" width="2.54296875" style="86" customWidth="1"/>
    <col min="3" max="3" width="35.1796875" style="86" customWidth="1"/>
    <col min="4" max="4" width="9.1796875" style="86" bestFit="1" customWidth="1"/>
    <col min="5" max="5" width="13.81640625" style="86" customWidth="1"/>
    <col min="6" max="6" width="14.81640625" style="86" bestFit="1" customWidth="1"/>
    <col min="7" max="12" width="12.7265625" style="86" customWidth="1"/>
    <col min="13" max="13" width="8.7265625" style="86"/>
    <col min="14" max="14" width="9.1796875" style="86" customWidth="1" outlineLevel="1"/>
    <col min="15" max="15" width="11.81640625" bestFit="1" customWidth="1"/>
    <col min="16" max="16384" width="8.7265625" style="86"/>
  </cols>
  <sheetData>
    <row r="1" spans="1:15" x14ac:dyDescent="0.35">
      <c r="B1" s="296" t="s">
        <v>0</v>
      </c>
      <c r="C1" s="297"/>
      <c r="D1" s="297"/>
      <c r="E1" s="297"/>
      <c r="F1" s="297"/>
      <c r="G1" s="297"/>
      <c r="H1" s="297"/>
      <c r="I1" s="297"/>
      <c r="J1" s="297"/>
      <c r="K1" s="297"/>
      <c r="L1" s="297"/>
    </row>
    <row r="2" spans="1:15" customFormat="1" x14ac:dyDescent="0.35">
      <c r="A2" s="86"/>
      <c r="B2" s="295" t="str">
        <f>'CRM Rates'!A2</f>
        <v>2021 Gas Schedule 149 Cost Recovery Mechanism For Pipeline Replacement (CRM) Filing (Preliminary)</v>
      </c>
      <c r="C2" s="295"/>
      <c r="D2" s="295"/>
      <c r="E2" s="295"/>
      <c r="F2" s="295"/>
      <c r="G2" s="295"/>
      <c r="H2" s="295"/>
      <c r="I2" s="295"/>
      <c r="J2" s="295"/>
      <c r="K2" s="295"/>
      <c r="L2" s="295"/>
      <c r="M2" s="86"/>
      <c r="N2" s="86"/>
    </row>
    <row r="3" spans="1:15" customFormat="1" x14ac:dyDescent="0.35">
      <c r="A3" s="86"/>
      <c r="B3" s="502" t="s">
        <v>310</v>
      </c>
      <c r="C3" s="502"/>
      <c r="D3" s="502"/>
      <c r="E3" s="502"/>
      <c r="F3" s="502"/>
      <c r="G3" s="502"/>
      <c r="H3" s="502"/>
      <c r="I3" s="502"/>
      <c r="J3" s="502"/>
      <c r="K3" s="502"/>
      <c r="L3" s="502"/>
      <c r="M3" s="86"/>
      <c r="N3" s="86"/>
    </row>
    <row r="4" spans="1:15" customFormat="1" x14ac:dyDescent="0.35">
      <c r="A4" s="86"/>
      <c r="B4" s="87"/>
      <c r="C4" s="86"/>
      <c r="D4" s="86"/>
      <c r="E4" s="86"/>
      <c r="F4" s="86"/>
      <c r="G4" s="86"/>
      <c r="H4" s="86"/>
      <c r="I4" s="86"/>
      <c r="J4" s="86"/>
      <c r="K4" s="86"/>
      <c r="L4" s="86"/>
      <c r="M4" s="86"/>
      <c r="N4" s="86"/>
    </row>
    <row r="5" spans="1:15" customFormat="1" x14ac:dyDescent="0.35">
      <c r="A5" s="86"/>
      <c r="B5" s="86"/>
      <c r="C5" s="86"/>
      <c r="D5" s="86"/>
      <c r="E5" s="86"/>
      <c r="F5" s="88"/>
      <c r="G5" s="88" t="s">
        <v>116</v>
      </c>
      <c r="H5" s="88" t="s">
        <v>117</v>
      </c>
      <c r="I5" s="88"/>
      <c r="J5" s="88" t="s">
        <v>118</v>
      </c>
      <c r="K5" s="88" t="s">
        <v>119</v>
      </c>
      <c r="L5" s="88"/>
      <c r="M5" s="86"/>
      <c r="N5" s="86"/>
    </row>
    <row r="6" spans="1:15" customFormat="1" x14ac:dyDescent="0.35">
      <c r="A6" s="86"/>
      <c r="B6" s="86"/>
      <c r="C6" s="86"/>
      <c r="D6" s="88" t="s">
        <v>120</v>
      </c>
      <c r="E6" s="86"/>
      <c r="F6" s="88" t="s">
        <v>135</v>
      </c>
      <c r="G6" s="88" t="s">
        <v>122</v>
      </c>
      <c r="H6" s="88" t="s">
        <v>123</v>
      </c>
      <c r="I6" s="88" t="s">
        <v>124</v>
      </c>
      <c r="J6" s="88" t="s">
        <v>125</v>
      </c>
      <c r="K6" s="88" t="s">
        <v>126</v>
      </c>
      <c r="L6" s="88"/>
      <c r="M6" s="86"/>
      <c r="N6" s="86"/>
    </row>
    <row r="7" spans="1:15" customFormat="1" x14ac:dyDescent="0.35">
      <c r="A7" s="86"/>
      <c r="B7" s="86"/>
      <c r="C7" s="86"/>
      <c r="D7" s="89" t="s">
        <v>127</v>
      </c>
      <c r="E7" s="89" t="s">
        <v>90</v>
      </c>
      <c r="F7" s="89" t="s">
        <v>128</v>
      </c>
      <c r="G7" s="89" t="s">
        <v>129</v>
      </c>
      <c r="H7" s="89" t="s">
        <v>130</v>
      </c>
      <c r="I7" s="89" t="s">
        <v>131</v>
      </c>
      <c r="J7" s="89" t="s">
        <v>131</v>
      </c>
      <c r="K7" s="89" t="s">
        <v>131</v>
      </c>
      <c r="L7" s="89" t="s">
        <v>132</v>
      </c>
      <c r="M7" s="86"/>
      <c r="N7" s="186" t="s">
        <v>104</v>
      </c>
      <c r="O7" s="186" t="s">
        <v>260</v>
      </c>
    </row>
    <row r="8" spans="1:15" customFormat="1" x14ac:dyDescent="0.35">
      <c r="A8" s="86"/>
      <c r="B8" s="91" t="s">
        <v>136</v>
      </c>
      <c r="C8" s="86"/>
      <c r="D8" s="86"/>
      <c r="E8" s="97"/>
      <c r="F8" s="97"/>
      <c r="G8" s="97"/>
      <c r="H8" s="97"/>
      <c r="I8" s="97"/>
      <c r="J8" s="97"/>
      <c r="K8" s="97"/>
      <c r="L8" s="97"/>
      <c r="M8" s="86"/>
      <c r="N8" s="187"/>
    </row>
    <row r="9" spans="1:15" customFormat="1" x14ac:dyDescent="0.35">
      <c r="A9" s="86"/>
      <c r="B9" s="86"/>
      <c r="C9" s="178" t="s">
        <v>233</v>
      </c>
      <c r="D9" s="182">
        <v>376</v>
      </c>
      <c r="E9" s="117">
        <f>('2021 CAP CRM'!$E$29+'2021 CAP CRM'!$E$35)*'2021 C&amp;OM'!F10</f>
        <v>3394321.3131742273</v>
      </c>
      <c r="F9" s="98">
        <f>$E$9*'Allocation Factors'!E12</f>
        <v>2233029.059329988</v>
      </c>
      <c r="G9" s="98">
        <f>$E$9*'Allocation Factors'!F12</f>
        <v>813194.14768755494</v>
      </c>
      <c r="H9" s="98">
        <f>$E$9*'Allocation Factors'!G12</f>
        <v>178905.65929892281</v>
      </c>
      <c r="I9" s="98">
        <f>$E$9*'Allocation Factors'!H12</f>
        <v>87140.56794235899</v>
      </c>
      <c r="J9" s="98">
        <f>$E$9*'Allocation Factors'!I12</f>
        <v>9383.951178579995</v>
      </c>
      <c r="K9" s="98">
        <f>$E$9*'Allocation Factors'!J12</f>
        <v>68167.645832441311</v>
      </c>
      <c r="L9" s="98">
        <f>$E$9*'Allocation Factors'!K12</f>
        <v>4500.2819043808831</v>
      </c>
      <c r="M9" s="86"/>
      <c r="N9" s="187">
        <f t="shared" ref="N9:N16" si="0">SUM(F9:L9)-E9</f>
        <v>0</v>
      </c>
    </row>
    <row r="10" spans="1:15" customFormat="1" x14ac:dyDescent="0.35">
      <c r="A10" s="86"/>
      <c r="B10" s="86"/>
      <c r="C10" s="178" t="s">
        <v>234</v>
      </c>
      <c r="D10" s="182">
        <v>380</v>
      </c>
      <c r="E10" s="117">
        <f>('2021 CAP CRM'!$E$29+'2021 CAP CRM'!$E$35)*'2021 C&amp;OM'!F9</f>
        <v>298184.47469904524</v>
      </c>
      <c r="F10" s="98">
        <f>$E$10*'Allocation Factors'!E17</f>
        <v>171599.50510151897</v>
      </c>
      <c r="G10" s="98">
        <f>$E$10*'Allocation Factors'!F17</f>
        <v>121268.62425951337</v>
      </c>
      <c r="H10" s="98">
        <f>$E$10*'Allocation Factors'!G17</f>
        <v>2154.3987109877712</v>
      </c>
      <c r="I10" s="98">
        <f>$E$10*'Allocation Factors'!H17</f>
        <v>2162.7218770802183</v>
      </c>
      <c r="J10" s="98">
        <f>$E$10*'Allocation Factors'!I17</f>
        <v>340.88271892551342</v>
      </c>
      <c r="K10" s="98">
        <f>$E$10*'Allocation Factors'!J17</f>
        <v>278.33104535587256</v>
      </c>
      <c r="L10" s="98">
        <f>$E$10*'Allocation Factors'!K17</f>
        <v>380.01098566361043</v>
      </c>
      <c r="M10" s="86"/>
      <c r="N10" s="187">
        <f t="shared" si="0"/>
        <v>0</v>
      </c>
    </row>
    <row r="11" spans="1:15" customFormat="1" x14ac:dyDescent="0.35">
      <c r="A11" s="86"/>
      <c r="B11" s="86"/>
      <c r="C11" s="86" t="s">
        <v>90</v>
      </c>
      <c r="D11" s="176"/>
      <c r="E11" s="495">
        <f>SUM(E9:E10)</f>
        <v>3692505.7878732723</v>
      </c>
      <c r="F11" s="99">
        <f t="shared" ref="F11:L11" si="1">SUM(F9:F10)</f>
        <v>2404628.5644315071</v>
      </c>
      <c r="G11" s="99">
        <f t="shared" si="1"/>
        <v>934462.77194706828</v>
      </c>
      <c r="H11" s="99">
        <f t="shared" si="1"/>
        <v>181060.05800991057</v>
      </c>
      <c r="I11" s="99">
        <f t="shared" si="1"/>
        <v>89303.289819439204</v>
      </c>
      <c r="J11" s="99">
        <f t="shared" si="1"/>
        <v>9724.8338975055085</v>
      </c>
      <c r="K11" s="99">
        <f t="shared" si="1"/>
        <v>68445.976877797177</v>
      </c>
      <c r="L11" s="99">
        <f t="shared" si="1"/>
        <v>4880.2928900444931</v>
      </c>
      <c r="M11" s="86"/>
      <c r="N11" s="187">
        <f t="shared" si="0"/>
        <v>0</v>
      </c>
      <c r="O11" s="187"/>
    </row>
    <row r="12" spans="1:15" customFormat="1" x14ac:dyDescent="0.35">
      <c r="A12" s="86"/>
      <c r="B12" s="86"/>
      <c r="C12" s="86"/>
      <c r="D12" s="176"/>
      <c r="E12" s="496"/>
      <c r="F12" s="97"/>
      <c r="G12" s="97"/>
      <c r="H12" s="97"/>
      <c r="I12" s="97"/>
      <c r="J12" s="97"/>
      <c r="K12" s="97"/>
      <c r="L12" s="97"/>
      <c r="M12" s="86"/>
      <c r="N12" s="187"/>
    </row>
    <row r="13" spans="1:15" s="91" customFormat="1" x14ac:dyDescent="0.35">
      <c r="B13" s="91" t="s">
        <v>53</v>
      </c>
      <c r="D13" s="182"/>
      <c r="E13" s="497"/>
      <c r="F13" s="93"/>
      <c r="G13" s="93"/>
      <c r="H13" s="93"/>
      <c r="I13" s="93"/>
      <c r="J13" s="93"/>
      <c r="K13" s="93"/>
      <c r="L13" s="93"/>
      <c r="N13" s="187"/>
    </row>
    <row r="14" spans="1:15" s="91" customFormat="1" x14ac:dyDescent="0.35">
      <c r="C14" s="179" t="s">
        <v>233</v>
      </c>
      <c r="D14" s="182">
        <v>376</v>
      </c>
      <c r="E14" s="157">
        <f>'2021 CAP CRM'!$E$27*'2021 C&amp;OM'!H10</f>
        <v>977521.64885656571</v>
      </c>
      <c r="F14" s="100">
        <f>$E$14*'Allocation Factors'!E12</f>
        <v>643084.15339135367</v>
      </c>
      <c r="G14" s="100">
        <f>$E$14*'Allocation Factors'!F12</f>
        <v>234189.63932577058</v>
      </c>
      <c r="H14" s="100">
        <f>$E$14*'Allocation Factors'!G12</f>
        <v>51522.569295041096</v>
      </c>
      <c r="I14" s="100">
        <f>$E$14*'Allocation Factors'!H12</f>
        <v>25095.382492723973</v>
      </c>
      <c r="J14" s="100">
        <f>$E$14*'Allocation Factors'!I12</f>
        <v>2702.4593674359039</v>
      </c>
      <c r="K14" s="100">
        <f>$E$14*'Allocation Factors'!J12</f>
        <v>19631.420659608633</v>
      </c>
      <c r="L14" s="100">
        <f>$E$14*'Allocation Factors'!K12</f>
        <v>1296.0243246317452</v>
      </c>
      <c r="N14" s="187">
        <f t="shared" si="0"/>
        <v>0</v>
      </c>
    </row>
    <row r="15" spans="1:15" s="91" customFormat="1" x14ac:dyDescent="0.35">
      <c r="C15" s="179" t="s">
        <v>234</v>
      </c>
      <c r="D15" s="182">
        <v>380</v>
      </c>
      <c r="E15" s="157">
        <f>'2021 CAP CRM'!$E$27*'2021 C&amp;OM'!H9</f>
        <v>112304.65252005943</v>
      </c>
      <c r="F15" s="100">
        <f>$E$15*'Allocation Factors'!E17</f>
        <v>64629.19577718027</v>
      </c>
      <c r="G15" s="100">
        <f>$E$15*'Allocation Factors'!F17</f>
        <v>45673.171692777956</v>
      </c>
      <c r="H15" s="100">
        <f>$E$15*'Allocation Factors'!G17</f>
        <v>811.40709579646102</v>
      </c>
      <c r="I15" s="100">
        <f>$E$15*'Allocation Factors'!H17</f>
        <v>814.54183403802244</v>
      </c>
      <c r="J15" s="100">
        <f>$E$15*'Allocation Factors'!I17</f>
        <v>128.38601116862725</v>
      </c>
      <c r="K15" s="100">
        <f>$E$15*'Allocation Factors'!J17</f>
        <v>104.82729312377663</v>
      </c>
      <c r="L15" s="100">
        <f>$E$15*'Allocation Factors'!K17</f>
        <v>143.12281597434122</v>
      </c>
      <c r="N15" s="187">
        <f t="shared" si="0"/>
        <v>0</v>
      </c>
    </row>
    <row r="16" spans="1:15" s="91" customFormat="1" x14ac:dyDescent="0.35">
      <c r="C16" s="91" t="s">
        <v>90</v>
      </c>
      <c r="D16" s="182"/>
      <c r="E16" s="498">
        <f>SUM(E14:E15)</f>
        <v>1089826.3013766252</v>
      </c>
      <c r="F16" s="94">
        <f t="shared" ref="F16:L16" si="2">SUM(F14:F15)</f>
        <v>707713.34916853392</v>
      </c>
      <c r="G16" s="94">
        <f t="shared" si="2"/>
        <v>279862.81101854856</v>
      </c>
      <c r="H16" s="94">
        <f t="shared" si="2"/>
        <v>52333.976390837553</v>
      </c>
      <c r="I16" s="94">
        <f t="shared" si="2"/>
        <v>25909.924326761997</v>
      </c>
      <c r="J16" s="94">
        <f t="shared" si="2"/>
        <v>2830.8453786045311</v>
      </c>
      <c r="K16" s="94">
        <f t="shared" si="2"/>
        <v>19736.24795273241</v>
      </c>
      <c r="L16" s="94">
        <f t="shared" si="2"/>
        <v>1439.1471406060864</v>
      </c>
      <c r="N16" s="187">
        <f t="shared" si="0"/>
        <v>0</v>
      </c>
      <c r="O16" s="306">
        <f>E11+E16-'2021 CAP CRM'!E37</f>
        <v>0</v>
      </c>
    </row>
    <row r="17" spans="1:15" s="91" customFormat="1" x14ac:dyDescent="0.35">
      <c r="D17" s="182"/>
      <c r="E17" s="499"/>
      <c r="F17" s="96"/>
      <c r="G17" s="96"/>
      <c r="H17" s="96"/>
      <c r="I17" s="96"/>
      <c r="J17" s="96"/>
      <c r="K17" s="96"/>
      <c r="L17" s="96"/>
      <c r="N17" s="78"/>
    </row>
    <row r="18" spans="1:15" s="91" customFormat="1" x14ac:dyDescent="0.35">
      <c r="B18" s="179" t="s">
        <v>218</v>
      </c>
      <c r="D18" s="182"/>
      <c r="E18" s="499"/>
      <c r="F18" s="96"/>
      <c r="G18" s="96"/>
      <c r="H18" s="96"/>
      <c r="I18" s="96"/>
      <c r="J18" s="96"/>
      <c r="K18" s="96"/>
      <c r="L18" s="96"/>
      <c r="N18" s="78"/>
    </row>
    <row r="19" spans="1:15" s="91" customFormat="1" x14ac:dyDescent="0.35">
      <c r="C19" s="179" t="s">
        <v>235</v>
      </c>
      <c r="D19" s="305">
        <f>'2021 C&amp;OM'!L13</f>
        <v>874</v>
      </c>
      <c r="E19" s="157">
        <f>'2021 C&amp;OM'!F16+'2021 C&amp;OM'!F18</f>
        <v>2902072.87</v>
      </c>
      <c r="F19" s="100">
        <f>$E$19*'Allocation Factors'!E20</f>
        <v>1820247.7617774508</v>
      </c>
      <c r="G19" s="100">
        <f>$E$19*'Allocation Factors'!F20</f>
        <v>875672.0087960345</v>
      </c>
      <c r="H19" s="100">
        <f>$E$19*'Allocation Factors'!G20</f>
        <v>103860.36864486046</v>
      </c>
      <c r="I19" s="100">
        <f>$E$19*'Allocation Factors'!H20</f>
        <v>54618.670039639175</v>
      </c>
      <c r="J19" s="100">
        <f>$E$19*'Allocation Factors'!I20</f>
        <v>6272.6954619452554</v>
      </c>
      <c r="K19" s="100">
        <f>$E$19*'Allocation Factors'!J20</f>
        <v>37609.219998874192</v>
      </c>
      <c r="L19" s="100">
        <f>$E$19*'Allocation Factors'!K20</f>
        <v>3792.1452811951553</v>
      </c>
      <c r="N19" s="187">
        <f t="shared" ref="N19:N20" si="3">SUM(F19:L19)-E19</f>
        <v>0</v>
      </c>
    </row>
    <row r="20" spans="1:15" s="91" customFormat="1" x14ac:dyDescent="0.35">
      <c r="C20" s="179" t="str">
        <f>'Allocation Factors'!C25&amp;" (FERC "&amp;'Allocation Factors'!B25&amp;")"</f>
        <v>Maint Mains (FERC 887)</v>
      </c>
      <c r="D20" s="305">
        <f>'2021 C&amp;OM'!K13</f>
        <v>887</v>
      </c>
      <c r="E20" s="157">
        <f>'2021 C&amp;OM'!F17*'2021 C&amp;OM'!K17</f>
        <v>41163.137059258486</v>
      </c>
      <c r="F20" s="100">
        <f>$E$20*'Allocation Factors'!E26</f>
        <v>27080.076617893621</v>
      </c>
      <c r="G20" s="100">
        <f>$E$20*'Allocation Factors'!F26</f>
        <v>9861.653941578852</v>
      </c>
      <c r="H20" s="100">
        <f>$E$20*'Allocation Factors'!G26</f>
        <v>2169.5996032596458</v>
      </c>
      <c r="I20" s="100">
        <f>$E$20*'Allocation Factors'!H26</f>
        <v>1056.7588659656255</v>
      </c>
      <c r="J20" s="100">
        <f>$E$20*'Allocation Factors'!I26</f>
        <v>113.799735759268</v>
      </c>
      <c r="K20" s="100">
        <f>$E$20*'Allocation Factors'!J26</f>
        <v>826.67310767457218</v>
      </c>
      <c r="L20" s="100">
        <f>$E$20*'Allocation Factors'!K26</f>
        <v>54.575187126906691</v>
      </c>
      <c r="N20" s="187">
        <f t="shared" si="3"/>
        <v>0</v>
      </c>
    </row>
    <row r="21" spans="1:15" s="91" customFormat="1" x14ac:dyDescent="0.35">
      <c r="C21" s="179" t="str">
        <f>'Allocation Factors'!C22&amp;" (FERC "&amp;'Allocation Factors'!B22&amp;")"</f>
        <v>Oper Meter &amp; House Reg (FERC 878)</v>
      </c>
      <c r="D21" s="305">
        <f>'2021 C&amp;OM'!J13</f>
        <v>878</v>
      </c>
      <c r="E21" s="157">
        <f>'2021 C&amp;OM'!F14*'2021 C&amp;OM'!J14</f>
        <v>19480.013059304176</v>
      </c>
      <c r="F21" s="100">
        <f>$E$21*'Allocation Factors'!E23</f>
        <v>15424.980340866317</v>
      </c>
      <c r="G21" s="100">
        <f>$E$21*'Allocation Factors'!F23</f>
        <v>3975.3712098685078</v>
      </c>
      <c r="H21" s="100">
        <f>$E$21*'Allocation Factors'!G23</f>
        <v>78.804827681230449</v>
      </c>
      <c r="I21" s="100">
        <f>$E$21*'Allocation Factors'!H23</f>
        <v>0.44727152432912837</v>
      </c>
      <c r="J21" s="100">
        <f>$E$21*'Allocation Factors'!I23</f>
        <v>0.26031885567764096</v>
      </c>
      <c r="K21" s="100">
        <f>$E$21*'Allocation Factors'!J23</f>
        <v>0</v>
      </c>
      <c r="L21" s="100">
        <f>$E$21*'Allocation Factors'!K23</f>
        <v>0.14909050810970945</v>
      </c>
      <c r="N21" s="187">
        <f t="shared" ref="N21" si="4">SUM(F21:L21)-E21</f>
        <v>0</v>
      </c>
    </row>
    <row r="22" spans="1:15" s="91" customFormat="1" x14ac:dyDescent="0.35">
      <c r="C22" s="179" t="str">
        <f>'Allocation Factors'!C28&amp;" (FERC "&amp;'Allocation Factors'!B28&amp;")"</f>
        <v>Maint Services (FERC 892)</v>
      </c>
      <c r="D22" s="305">
        <f>'2021 C&amp;OM'!H13</f>
        <v>892</v>
      </c>
      <c r="E22" s="157">
        <f>'2021 C&amp;OM'!F14*'2021 C&amp;OM'!H14+'2021 C&amp;OM'!F15+'2021 C&amp;OM'!F17*'2021 C&amp;OM'!H17</f>
        <v>1088994.5946110482</v>
      </c>
      <c r="F22" s="100">
        <f>$E$22*'Allocation Factors'!E29</f>
        <v>626695.71808556491</v>
      </c>
      <c r="G22" s="100">
        <f>$E$22*'Allocation Factors'!F29</f>
        <v>442883.13953238516</v>
      </c>
      <c r="H22" s="100">
        <f>$E$22*'Allocation Factors'!G29</f>
        <v>7868.0439458513647</v>
      </c>
      <c r="I22" s="100">
        <f>$E$22*'Allocation Factors'!H29</f>
        <v>7898.4408432548016</v>
      </c>
      <c r="J22" s="100">
        <f>$E$22*'Allocation Factors'!I29</f>
        <v>1244.9321470571851</v>
      </c>
      <c r="K22" s="100">
        <f>$E$22*'Allocation Factors'!J29</f>
        <v>1016.4882132475359</v>
      </c>
      <c r="L22" s="100">
        <f>$E$22*'Allocation Factors'!K29</f>
        <v>1387.8318436872435</v>
      </c>
      <c r="N22" s="187">
        <f>SUM(F22:L22)-E22</f>
        <v>0</v>
      </c>
    </row>
    <row r="23" spans="1:15" s="91" customFormat="1" x14ac:dyDescent="0.35">
      <c r="C23" s="179" t="str">
        <f>'Allocation Factors'!C31&amp;" (FERC "&amp;'Allocation Factors'!B31&amp;")"</f>
        <v>Maint Meters &amp; House Reg (FERC 893)</v>
      </c>
      <c r="D23" s="305">
        <f>'2021 C&amp;OM'!I13</f>
        <v>893</v>
      </c>
      <c r="E23" s="157">
        <f>'2021 C&amp;OM'!F14*'2021 C&amp;OM'!I14</f>
        <v>1250.7952703893229</v>
      </c>
      <c r="F23" s="100">
        <f>$E$23*'Allocation Factors'!E32</f>
        <v>990.42502679374695</v>
      </c>
      <c r="G23" s="100">
        <f>$E$23*'Allocation Factors'!F32</f>
        <v>255.25524506619726</v>
      </c>
      <c r="H23" s="100">
        <f>$E$23*'Allocation Factors'!G32</f>
        <v>5.0599917693817762</v>
      </c>
      <c r="I23" s="100">
        <f>$E$23*'Allocation Factors'!H32</f>
        <v>2.8718928755722298E-2</v>
      </c>
      <c r="J23" s="100">
        <f>$E$23*'Allocation Factors'!I32</f>
        <v>1.671485498923914E-2</v>
      </c>
      <c r="K23" s="100">
        <f>$E$23*'Allocation Factors'!J32</f>
        <v>0</v>
      </c>
      <c r="L23" s="100">
        <f>$E$23*'Allocation Factors'!K32</f>
        <v>9.5729762519074346E-3</v>
      </c>
      <c r="N23" s="187">
        <f>SUM(F23:L23)-E23</f>
        <v>0</v>
      </c>
    </row>
    <row r="24" spans="1:15" s="91" customFormat="1" x14ac:dyDescent="0.35">
      <c r="C24" s="179" t="s">
        <v>90</v>
      </c>
      <c r="E24" s="94">
        <f t="shared" ref="E24:L24" si="5">SUM(E19:E23)</f>
        <v>4052961.41</v>
      </c>
      <c r="F24" s="94">
        <f t="shared" si="5"/>
        <v>2490438.9618485696</v>
      </c>
      <c r="G24" s="94">
        <f t="shared" si="5"/>
        <v>1332647.4287249332</v>
      </c>
      <c r="H24" s="94">
        <f t="shared" si="5"/>
        <v>113981.87701342208</v>
      </c>
      <c r="I24" s="94">
        <f t="shared" si="5"/>
        <v>63574.345739312688</v>
      </c>
      <c r="J24" s="94">
        <f t="shared" si="5"/>
        <v>7631.7043784723746</v>
      </c>
      <c r="K24" s="94">
        <f t="shared" si="5"/>
        <v>39452.381319796303</v>
      </c>
      <c r="L24" s="94">
        <f t="shared" si="5"/>
        <v>5234.7109754936664</v>
      </c>
      <c r="N24" s="187">
        <f>SUM(F24:L24)-E24</f>
        <v>0</v>
      </c>
      <c r="O24" s="306">
        <f>E24-'2021 C&amp;OM'!F19</f>
        <v>0</v>
      </c>
    </row>
    <row r="25" spans="1:15" s="91" customFormat="1" x14ac:dyDescent="0.35">
      <c r="E25" s="93"/>
      <c r="F25" s="93"/>
      <c r="G25" s="93"/>
      <c r="H25" s="93"/>
      <c r="I25" s="93"/>
      <c r="J25" s="93"/>
      <c r="K25" s="93"/>
      <c r="L25" s="93"/>
      <c r="N25" s="78"/>
    </row>
    <row r="26" spans="1:15" s="91" customFormat="1" x14ac:dyDescent="0.35">
      <c r="B26" s="91" t="s">
        <v>137</v>
      </c>
      <c r="E26" s="93">
        <f t="shared" ref="E26:L26" si="6">E11+E16+E24</f>
        <v>8835293.4992498979</v>
      </c>
      <c r="F26" s="93">
        <f t="shared" si="6"/>
        <v>5602780.8754486106</v>
      </c>
      <c r="G26" s="93">
        <f t="shared" si="6"/>
        <v>2546973.01169055</v>
      </c>
      <c r="H26" s="93">
        <f t="shared" si="6"/>
        <v>347375.91141417017</v>
      </c>
      <c r="I26" s="93">
        <f t="shared" si="6"/>
        <v>178787.55988551391</v>
      </c>
      <c r="J26" s="93">
        <f t="shared" si="6"/>
        <v>20187.383654582416</v>
      </c>
      <c r="K26" s="93">
        <f t="shared" si="6"/>
        <v>127634.6061503259</v>
      </c>
      <c r="L26" s="93">
        <f t="shared" si="6"/>
        <v>11554.151006144246</v>
      </c>
      <c r="N26" s="187">
        <f t="shared" ref="N26" si="7">SUM(F26:L26)-E26</f>
        <v>0</v>
      </c>
    </row>
    <row r="27" spans="1:15" s="91" customFormat="1" x14ac:dyDescent="0.35">
      <c r="B27" s="91" t="s">
        <v>138</v>
      </c>
      <c r="E27" s="1">
        <f>'2019 GRC'!$J$18</f>
        <v>0.95455299999999998</v>
      </c>
      <c r="F27" s="93"/>
      <c r="G27" s="93"/>
      <c r="H27" s="93"/>
      <c r="I27" s="93"/>
      <c r="J27" s="93"/>
      <c r="K27" s="93"/>
      <c r="L27" s="93"/>
      <c r="N27" s="78"/>
    </row>
    <row r="28" spans="1:15" s="91" customFormat="1" x14ac:dyDescent="0.35">
      <c r="B28" s="92" t="s">
        <v>139</v>
      </c>
      <c r="C28" s="92"/>
      <c r="D28" s="92"/>
      <c r="E28" s="101">
        <f>E26/$E$27</f>
        <v>9255948.5950490944</v>
      </c>
      <c r="F28" s="101">
        <f t="shared" ref="F28:L28" si="8">F26/$E$27</f>
        <v>5869533.5674903449</v>
      </c>
      <c r="G28" s="101">
        <f t="shared" si="8"/>
        <v>2668236.3490456268</v>
      </c>
      <c r="H28" s="101">
        <f t="shared" si="8"/>
        <v>363914.74482210015</v>
      </c>
      <c r="I28" s="101">
        <f t="shared" si="8"/>
        <v>187299.77265328789</v>
      </c>
      <c r="J28" s="101">
        <f t="shared" si="8"/>
        <v>21148.520464115052</v>
      </c>
      <c r="K28" s="101">
        <f t="shared" si="8"/>
        <v>133711.38758175386</v>
      </c>
      <c r="L28" s="101">
        <f t="shared" si="8"/>
        <v>12104.25299186556</v>
      </c>
      <c r="N28" s="187">
        <f t="shared" ref="N28" si="9">SUM(F28:L28)-E28</f>
        <v>0</v>
      </c>
      <c r="O28" s="187">
        <f>E28-'Summary - Revenue Requirement'!B14</f>
        <v>0</v>
      </c>
    </row>
    <row r="29" spans="1:15" s="91" customFormat="1" x14ac:dyDescent="0.35">
      <c r="F29" s="93"/>
      <c r="G29" s="93"/>
      <c r="H29" s="93"/>
      <c r="I29" s="93"/>
      <c r="J29" s="93"/>
      <c r="K29" s="93"/>
      <c r="L29" s="93"/>
    </row>
    <row r="30" spans="1:15" customFormat="1" x14ac:dyDescent="0.35">
      <c r="A30" s="86"/>
      <c r="B30" s="86" t="s">
        <v>140</v>
      </c>
      <c r="C30" s="86"/>
      <c r="D30" s="86"/>
      <c r="E30" s="102">
        <f>SUM(F30:L30)</f>
        <v>1.0000000000000002</v>
      </c>
      <c r="F30" s="102">
        <f>F28/$E28</f>
        <v>0.63413636184516997</v>
      </c>
      <c r="G30" s="102">
        <f t="shared" ref="G30:L30" si="10">G28/$E28</f>
        <v>0.28827259806443145</v>
      </c>
      <c r="H30" s="102">
        <f t="shared" si="10"/>
        <v>3.931685024879613E-2</v>
      </c>
      <c r="I30" s="102">
        <f t="shared" si="10"/>
        <v>2.0235610724272227E-2</v>
      </c>
      <c r="J30" s="102">
        <f t="shared" si="10"/>
        <v>2.284857164767225E-3</v>
      </c>
      <c r="K30" s="102">
        <f t="shared" si="10"/>
        <v>1.4445995049418773E-2</v>
      </c>
      <c r="L30" s="102">
        <f t="shared" si="10"/>
        <v>1.3077269031442106E-3</v>
      </c>
      <c r="M30" s="86"/>
      <c r="N30" s="86"/>
    </row>
    <row r="31" spans="1:15" customFormat="1" x14ac:dyDescent="0.35">
      <c r="A31" s="86"/>
      <c r="B31" s="86"/>
      <c r="C31" s="86"/>
      <c r="D31" s="86"/>
      <c r="E31" s="86"/>
      <c r="F31" s="90"/>
      <c r="G31" s="90"/>
      <c r="H31" s="90"/>
      <c r="I31" s="90"/>
      <c r="J31" s="90"/>
      <c r="K31" s="90"/>
      <c r="L31" s="90"/>
      <c r="M31" s="86"/>
      <c r="N31" s="86"/>
    </row>
    <row r="32" spans="1:15" customFormat="1" x14ac:dyDescent="0.35">
      <c r="A32" s="86"/>
      <c r="B32" s="86"/>
      <c r="C32" s="86"/>
      <c r="D32" s="86"/>
      <c r="E32" s="86"/>
      <c r="F32" s="86"/>
      <c r="G32" s="86"/>
      <c r="H32" s="86"/>
      <c r="I32" s="86"/>
      <c r="J32" s="86"/>
      <c r="K32" s="86"/>
      <c r="L32" s="86"/>
      <c r="M32" s="86"/>
      <c r="N32" s="86"/>
    </row>
    <row r="33" spans="1:14" customFormat="1" x14ac:dyDescent="0.35">
      <c r="A33" s="86"/>
      <c r="B33" s="86"/>
      <c r="C33" s="86"/>
      <c r="D33" s="86"/>
      <c r="E33" s="86"/>
      <c r="F33" s="86"/>
      <c r="G33" s="86"/>
      <c r="H33" s="86"/>
      <c r="I33" s="86"/>
      <c r="J33" s="86"/>
      <c r="K33" s="86"/>
      <c r="L33" s="86"/>
      <c r="M33" s="86"/>
      <c r="N33" s="86"/>
    </row>
    <row r="34" spans="1:14" customFormat="1" x14ac:dyDescent="0.35">
      <c r="A34" s="86"/>
      <c r="B34" s="86"/>
      <c r="C34" s="86"/>
      <c r="D34" s="86"/>
      <c r="E34" s="86"/>
      <c r="F34" s="86"/>
      <c r="G34" s="86"/>
      <c r="H34" s="86"/>
      <c r="I34" s="86"/>
      <c r="J34" s="86"/>
      <c r="K34" s="86"/>
      <c r="L34" s="86"/>
      <c r="M34" s="86"/>
      <c r="N34" s="86"/>
    </row>
    <row r="35" spans="1:14" customFormat="1" x14ac:dyDescent="0.35">
      <c r="A35" s="86"/>
      <c r="B35" s="86"/>
      <c r="C35" s="86"/>
      <c r="D35" s="86"/>
      <c r="E35" s="86"/>
      <c r="F35" s="86"/>
      <c r="G35" s="86"/>
      <c r="H35" s="86"/>
      <c r="I35" s="86"/>
      <c r="J35" s="86"/>
      <c r="K35" s="86"/>
      <c r="L35" s="86"/>
      <c r="M35" s="86"/>
      <c r="N35" s="86"/>
    </row>
    <row r="36" spans="1:14" customFormat="1" x14ac:dyDescent="0.35">
      <c r="A36" s="86"/>
      <c r="B36" s="86"/>
      <c r="C36" s="86"/>
      <c r="D36" s="86"/>
      <c r="E36" s="86"/>
      <c r="F36" s="86"/>
      <c r="G36" s="86"/>
      <c r="H36" s="86"/>
      <c r="I36" s="86"/>
      <c r="J36" s="86"/>
      <c r="K36" s="86"/>
      <c r="L36" s="86"/>
      <c r="M36" s="86"/>
      <c r="N36" s="86"/>
    </row>
    <row r="37" spans="1:14" customFormat="1" x14ac:dyDescent="0.35">
      <c r="A37" s="86"/>
      <c r="B37" s="86"/>
      <c r="C37" s="86"/>
      <c r="D37" s="86"/>
      <c r="E37" s="86"/>
      <c r="F37" s="86"/>
      <c r="G37" s="86"/>
      <c r="H37" s="86"/>
      <c r="I37" s="86"/>
      <c r="J37" s="86"/>
      <c r="K37" s="86"/>
      <c r="L37" s="86"/>
      <c r="M37" s="86"/>
      <c r="N37" s="86"/>
    </row>
    <row r="38" spans="1:14" customFormat="1" x14ac:dyDescent="0.35">
      <c r="A38" s="86"/>
      <c r="B38" s="86"/>
      <c r="C38" s="86"/>
      <c r="D38" s="86"/>
      <c r="E38" s="86"/>
      <c r="F38" s="86"/>
      <c r="G38" s="86"/>
      <c r="H38" s="86"/>
      <c r="I38" s="86"/>
      <c r="J38" s="86"/>
      <c r="K38" s="86"/>
      <c r="L38" s="86"/>
      <c r="M38" s="86"/>
      <c r="N38" s="86"/>
    </row>
    <row r="39" spans="1:14" customFormat="1" x14ac:dyDescent="0.35">
      <c r="A39" s="86"/>
      <c r="B39" s="86"/>
      <c r="C39" s="86"/>
      <c r="D39" s="86"/>
      <c r="E39" s="86"/>
      <c r="F39" s="86"/>
      <c r="G39" s="86"/>
      <c r="H39" s="86"/>
      <c r="I39" s="86"/>
      <c r="J39" s="86"/>
      <c r="K39" s="86"/>
      <c r="L39" s="86"/>
      <c r="M39" s="86"/>
      <c r="N39" s="86"/>
    </row>
    <row r="40" spans="1:14" customFormat="1" x14ac:dyDescent="0.35">
      <c r="A40" s="86"/>
      <c r="B40" s="86"/>
      <c r="C40" s="86"/>
      <c r="D40" s="86"/>
      <c r="E40" s="86"/>
      <c r="F40" s="86"/>
      <c r="G40" s="86"/>
      <c r="H40" s="86"/>
      <c r="I40" s="86"/>
      <c r="J40" s="86"/>
      <c r="K40" s="86"/>
      <c r="L40" s="86"/>
      <c r="M40" s="86"/>
      <c r="N40" s="86"/>
    </row>
    <row r="41" spans="1:14" customFormat="1" x14ac:dyDescent="0.35">
      <c r="A41" s="86"/>
      <c r="B41" s="86"/>
      <c r="C41" s="86"/>
      <c r="D41" s="86"/>
      <c r="E41" s="86"/>
      <c r="F41" s="86"/>
      <c r="G41" s="86"/>
      <c r="H41" s="86"/>
      <c r="I41" s="86"/>
      <c r="J41" s="86"/>
      <c r="K41" s="86"/>
      <c r="L41" s="86"/>
      <c r="M41" s="86"/>
      <c r="N41" s="86"/>
    </row>
    <row r="42" spans="1:14" customFormat="1" x14ac:dyDescent="0.35">
      <c r="A42" s="86"/>
      <c r="B42" s="86"/>
      <c r="C42" s="86"/>
      <c r="D42" s="86"/>
      <c r="E42" s="86"/>
      <c r="F42" s="86"/>
      <c r="G42" s="86"/>
      <c r="H42" s="86"/>
      <c r="I42" s="86"/>
      <c r="J42" s="86"/>
      <c r="K42" s="86"/>
      <c r="L42" s="86"/>
      <c r="M42" s="86"/>
      <c r="N42" s="86"/>
    </row>
    <row r="43" spans="1:14" customFormat="1" x14ac:dyDescent="0.35">
      <c r="A43" s="86"/>
      <c r="B43" s="86"/>
      <c r="C43" s="86"/>
      <c r="D43" s="86"/>
      <c r="E43" s="86"/>
      <c r="F43" s="86"/>
      <c r="G43" s="86"/>
      <c r="H43" s="86"/>
      <c r="I43" s="86"/>
      <c r="J43" s="86"/>
      <c r="K43" s="86"/>
      <c r="L43" s="86"/>
      <c r="M43" s="86"/>
      <c r="N43" s="86"/>
    </row>
    <row r="44" spans="1:14" customFormat="1" x14ac:dyDescent="0.35">
      <c r="A44" s="86"/>
      <c r="B44" s="86"/>
      <c r="C44" s="86"/>
      <c r="D44" s="86"/>
      <c r="E44" s="86"/>
      <c r="F44" s="86"/>
      <c r="G44" s="86"/>
      <c r="H44" s="86"/>
      <c r="I44" s="86"/>
      <c r="J44" s="86"/>
      <c r="K44" s="86"/>
      <c r="L44" s="86"/>
      <c r="M44" s="86"/>
      <c r="N44" s="86"/>
    </row>
    <row r="45" spans="1:14" customFormat="1" x14ac:dyDescent="0.35">
      <c r="A45" s="86"/>
      <c r="B45" s="86"/>
      <c r="C45" s="86"/>
      <c r="D45" s="86"/>
      <c r="E45" s="86"/>
      <c r="F45" s="86"/>
      <c r="G45" s="86"/>
      <c r="H45" s="86"/>
      <c r="I45" s="86"/>
      <c r="J45" s="86"/>
      <c r="K45" s="86"/>
      <c r="L45" s="86"/>
      <c r="M45" s="86"/>
      <c r="N45" s="86"/>
    </row>
    <row r="46" spans="1:14" customFormat="1" x14ac:dyDescent="0.35">
      <c r="A46" s="86"/>
      <c r="B46" s="86"/>
      <c r="C46" s="86"/>
      <c r="D46" s="86"/>
      <c r="E46" s="86"/>
      <c r="F46" s="86"/>
      <c r="G46" s="86"/>
      <c r="H46" s="86"/>
      <c r="I46" s="86"/>
      <c r="J46" s="86"/>
      <c r="K46" s="86"/>
      <c r="L46" s="86"/>
      <c r="M46" s="86"/>
      <c r="N46" s="86"/>
    </row>
    <row r="47" spans="1:14" customFormat="1" x14ac:dyDescent="0.35">
      <c r="A47" s="86"/>
      <c r="B47" s="86"/>
      <c r="C47" s="86"/>
      <c r="D47" s="86"/>
      <c r="E47" s="86"/>
      <c r="F47" s="86"/>
      <c r="G47" s="86"/>
      <c r="H47" s="86"/>
      <c r="I47" s="86"/>
      <c r="J47" s="86"/>
      <c r="K47" s="86"/>
      <c r="L47" s="86"/>
      <c r="M47" s="86"/>
      <c r="N47" s="86"/>
    </row>
    <row r="48" spans="1:14" customFormat="1" x14ac:dyDescent="0.35">
      <c r="A48" s="86"/>
      <c r="B48" s="86"/>
      <c r="C48" s="86"/>
      <c r="D48" s="86"/>
      <c r="E48" s="86"/>
      <c r="F48" s="86"/>
      <c r="G48" s="86"/>
      <c r="H48" s="86"/>
      <c r="I48" s="86"/>
      <c r="J48" s="86"/>
      <c r="K48" s="86"/>
      <c r="L48" s="86"/>
      <c r="M48" s="86"/>
      <c r="N48" s="86"/>
    </row>
    <row r="49" spans="1:14" customFormat="1" x14ac:dyDescent="0.35">
      <c r="A49" s="86"/>
      <c r="B49" s="86"/>
      <c r="C49" s="86"/>
      <c r="D49" s="86"/>
      <c r="E49" s="86"/>
      <c r="F49" s="86"/>
      <c r="G49" s="86"/>
      <c r="H49" s="86"/>
      <c r="I49" s="86"/>
      <c r="J49" s="86"/>
      <c r="K49" s="86"/>
      <c r="L49" s="86"/>
      <c r="M49" s="86"/>
      <c r="N49" s="86"/>
    </row>
    <row r="50" spans="1:14" customFormat="1" x14ac:dyDescent="0.35">
      <c r="A50" s="86"/>
      <c r="B50" s="86"/>
      <c r="C50" s="86"/>
      <c r="D50" s="86"/>
      <c r="E50" s="86"/>
      <c r="F50" s="86"/>
      <c r="G50" s="86"/>
      <c r="H50" s="86"/>
      <c r="I50" s="86"/>
      <c r="J50" s="86"/>
      <c r="K50" s="86"/>
      <c r="L50" s="86"/>
      <c r="M50" s="86"/>
      <c r="N50" s="86"/>
    </row>
    <row r="51" spans="1:14" customFormat="1" x14ac:dyDescent="0.35">
      <c r="A51" s="86"/>
      <c r="B51" s="86"/>
      <c r="C51" s="86"/>
      <c r="D51" s="86"/>
      <c r="E51" s="86"/>
      <c r="F51" s="86"/>
      <c r="G51" s="86"/>
      <c r="H51" s="86"/>
      <c r="I51" s="86"/>
      <c r="J51" s="86"/>
      <c r="K51" s="86"/>
      <c r="L51" s="86"/>
      <c r="M51" s="86"/>
      <c r="N51" s="86"/>
    </row>
    <row r="52" spans="1:14" customFormat="1" x14ac:dyDescent="0.35">
      <c r="A52" s="86"/>
      <c r="B52" s="86"/>
      <c r="C52" s="86"/>
      <c r="D52" s="86"/>
      <c r="E52" s="86"/>
      <c r="F52" s="86"/>
      <c r="G52" s="86"/>
      <c r="H52" s="86"/>
      <c r="I52" s="86"/>
      <c r="J52" s="86"/>
      <c r="K52" s="86"/>
      <c r="L52" s="86"/>
      <c r="M52" s="86"/>
      <c r="N52" s="86"/>
    </row>
    <row r="53" spans="1:14" customFormat="1" x14ac:dyDescent="0.35">
      <c r="A53" s="86"/>
      <c r="B53" s="86"/>
      <c r="C53" s="86"/>
      <c r="D53" s="86"/>
      <c r="E53" s="86"/>
      <c r="F53" s="86"/>
      <c r="G53" s="86"/>
      <c r="H53" s="86"/>
      <c r="I53" s="86"/>
      <c r="J53" s="86"/>
      <c r="K53" s="86"/>
      <c r="L53" s="86"/>
      <c r="M53" s="86"/>
      <c r="N53" s="86"/>
    </row>
    <row r="54" spans="1:14" customFormat="1" x14ac:dyDescent="0.35">
      <c r="A54" s="86"/>
      <c r="B54" s="86"/>
      <c r="C54" s="86"/>
      <c r="D54" s="86"/>
      <c r="E54" s="86"/>
      <c r="F54" s="86"/>
      <c r="G54" s="86"/>
      <c r="H54" s="86"/>
      <c r="I54" s="86"/>
      <c r="J54" s="86"/>
      <c r="K54" s="86"/>
      <c r="L54" s="86"/>
      <c r="M54" s="86"/>
      <c r="N54" s="86"/>
    </row>
    <row r="55" spans="1:14" customFormat="1" x14ac:dyDescent="0.35">
      <c r="A55" s="86"/>
      <c r="B55" s="86"/>
      <c r="C55" s="86"/>
      <c r="D55" s="86"/>
      <c r="E55" s="86"/>
      <c r="F55" s="86"/>
      <c r="G55" s="86"/>
      <c r="H55" s="86"/>
      <c r="I55" s="86"/>
      <c r="J55" s="86"/>
      <c r="K55" s="86"/>
      <c r="L55" s="86"/>
      <c r="M55" s="86"/>
      <c r="N55" s="86"/>
    </row>
    <row r="56" spans="1:14" customFormat="1" x14ac:dyDescent="0.35">
      <c r="A56" s="86"/>
      <c r="B56" s="86"/>
      <c r="C56" s="86"/>
      <c r="D56" s="86"/>
      <c r="E56" s="86"/>
      <c r="F56" s="86"/>
      <c r="G56" s="86"/>
      <c r="H56" s="86"/>
      <c r="I56" s="86"/>
      <c r="J56" s="86"/>
      <c r="K56" s="86"/>
      <c r="L56" s="86"/>
      <c r="M56" s="86"/>
      <c r="N56" s="86"/>
    </row>
    <row r="57" spans="1:14" customFormat="1" x14ac:dyDescent="0.35">
      <c r="A57" s="86"/>
      <c r="B57" s="86"/>
      <c r="C57" s="86"/>
      <c r="D57" s="86"/>
      <c r="E57" s="86"/>
      <c r="F57" s="86"/>
      <c r="G57" s="86"/>
      <c r="H57" s="86"/>
      <c r="I57" s="86"/>
      <c r="J57" s="86"/>
      <c r="K57" s="86"/>
      <c r="L57" s="86"/>
      <c r="M57" s="86"/>
      <c r="N57" s="86"/>
    </row>
    <row r="58" spans="1:14" customFormat="1" x14ac:dyDescent="0.35">
      <c r="A58" s="86"/>
      <c r="B58" s="86"/>
      <c r="C58" s="86"/>
      <c r="D58" s="86"/>
      <c r="E58" s="86"/>
      <c r="F58" s="86"/>
      <c r="G58" s="86"/>
      <c r="H58" s="86"/>
      <c r="I58" s="86"/>
      <c r="J58" s="86"/>
      <c r="K58" s="86"/>
      <c r="L58" s="86"/>
      <c r="M58" s="86"/>
      <c r="N58" s="86"/>
    </row>
    <row r="59" spans="1:14" customFormat="1" x14ac:dyDescent="0.35">
      <c r="A59" s="86"/>
      <c r="B59" s="86"/>
      <c r="C59" s="86"/>
      <c r="D59" s="86"/>
      <c r="E59" s="86"/>
      <c r="F59" s="86"/>
      <c r="G59" s="86"/>
      <c r="H59" s="86"/>
      <c r="I59" s="86"/>
      <c r="J59" s="86"/>
      <c r="K59" s="86"/>
      <c r="L59" s="86"/>
      <c r="M59" s="86"/>
      <c r="N59" s="86"/>
    </row>
    <row r="60" spans="1:14" customFormat="1" x14ac:dyDescent="0.35">
      <c r="A60" s="86"/>
      <c r="B60" s="86"/>
      <c r="C60" s="86"/>
      <c r="D60" s="86"/>
      <c r="E60" s="86"/>
      <c r="F60" s="86"/>
      <c r="G60" s="86"/>
      <c r="H60" s="86"/>
      <c r="I60" s="86"/>
      <c r="J60" s="86"/>
      <c r="K60" s="86"/>
      <c r="L60" s="86"/>
      <c r="M60" s="86"/>
      <c r="N60" s="86"/>
    </row>
    <row r="61" spans="1:14" customFormat="1" x14ac:dyDescent="0.35">
      <c r="A61" s="86"/>
      <c r="B61" s="86"/>
      <c r="C61" s="86"/>
      <c r="D61" s="86"/>
      <c r="E61" s="86"/>
      <c r="F61" s="86"/>
      <c r="G61" s="86"/>
      <c r="H61" s="86"/>
      <c r="I61" s="86"/>
      <c r="J61" s="86"/>
      <c r="K61" s="86"/>
      <c r="L61" s="86"/>
      <c r="M61" s="86"/>
      <c r="N61" s="86"/>
    </row>
    <row r="62" spans="1:14" customFormat="1" x14ac:dyDescent="0.35">
      <c r="A62" s="86"/>
      <c r="B62" s="86"/>
      <c r="C62" s="86"/>
      <c r="D62" s="86"/>
      <c r="E62" s="86"/>
      <c r="F62" s="86"/>
      <c r="G62" s="86"/>
      <c r="H62" s="86"/>
      <c r="I62" s="86"/>
      <c r="J62" s="86"/>
      <c r="K62" s="86"/>
      <c r="L62" s="86"/>
      <c r="M62" s="86"/>
      <c r="N62" s="86"/>
    </row>
    <row r="63" spans="1:14" customFormat="1" x14ac:dyDescent="0.35">
      <c r="A63" s="86"/>
      <c r="B63" s="86"/>
      <c r="C63" s="86"/>
      <c r="D63" s="86"/>
      <c r="E63" s="86"/>
      <c r="F63" s="86"/>
      <c r="G63" s="86"/>
      <c r="H63" s="86"/>
      <c r="I63" s="86"/>
      <c r="J63" s="86"/>
      <c r="K63" s="86"/>
      <c r="L63" s="86"/>
      <c r="M63" s="86"/>
      <c r="N63" s="86"/>
    </row>
    <row r="64" spans="1:14" customFormat="1" x14ac:dyDescent="0.35">
      <c r="A64" s="86"/>
      <c r="B64" s="86"/>
      <c r="C64" s="86"/>
      <c r="D64" s="86"/>
      <c r="E64" s="86"/>
      <c r="F64" s="86"/>
      <c r="G64" s="86"/>
      <c r="H64" s="86"/>
      <c r="I64" s="86"/>
      <c r="J64" s="86"/>
      <c r="K64" s="86"/>
      <c r="L64" s="86"/>
      <c r="M64" s="86"/>
      <c r="N64" s="86"/>
    </row>
    <row r="65" spans="1:14" customFormat="1" x14ac:dyDescent="0.35">
      <c r="A65" s="86"/>
      <c r="B65" s="86"/>
      <c r="C65" s="86"/>
      <c r="D65" s="86"/>
      <c r="E65" s="86"/>
      <c r="F65" s="86"/>
      <c r="G65" s="86"/>
      <c r="H65" s="86"/>
      <c r="I65" s="86"/>
      <c r="J65" s="86"/>
      <c r="K65" s="86"/>
      <c r="L65" s="86"/>
      <c r="M65" s="86"/>
      <c r="N65" s="86"/>
    </row>
    <row r="66" spans="1:14" customFormat="1" x14ac:dyDescent="0.35">
      <c r="A66" s="86"/>
      <c r="B66" s="86"/>
      <c r="C66" s="86"/>
      <c r="D66" s="86"/>
      <c r="E66" s="86"/>
      <c r="F66" s="86"/>
      <c r="G66" s="86"/>
      <c r="H66" s="86"/>
      <c r="I66" s="86"/>
      <c r="J66" s="86"/>
      <c r="K66" s="86"/>
      <c r="L66" s="86"/>
      <c r="M66" s="86"/>
      <c r="N66" s="86"/>
    </row>
    <row r="67" spans="1:14" customFormat="1" x14ac:dyDescent="0.35">
      <c r="A67" s="86"/>
      <c r="B67" s="86"/>
      <c r="C67" s="86"/>
      <c r="D67" s="86"/>
      <c r="E67" s="86"/>
      <c r="F67" s="86"/>
      <c r="G67" s="86"/>
      <c r="H67" s="86"/>
      <c r="I67" s="86"/>
      <c r="J67" s="86"/>
      <c r="K67" s="86"/>
      <c r="L67" s="86"/>
      <c r="M67" s="86"/>
      <c r="N67" s="86"/>
    </row>
    <row r="68" spans="1:14" customFormat="1" x14ac:dyDescent="0.35">
      <c r="A68" s="86"/>
      <c r="B68" s="86"/>
      <c r="C68" s="86"/>
      <c r="D68" s="86"/>
      <c r="E68" s="86"/>
      <c r="F68" s="86"/>
      <c r="G68" s="86"/>
      <c r="H68" s="86"/>
      <c r="I68" s="86"/>
      <c r="J68" s="86"/>
      <c r="K68" s="86"/>
      <c r="L68" s="86"/>
      <c r="M68" s="86"/>
      <c r="N68" s="86"/>
    </row>
    <row r="69" spans="1:14" customFormat="1" x14ac:dyDescent="0.35">
      <c r="A69" s="86"/>
      <c r="B69" s="86"/>
      <c r="C69" s="86"/>
      <c r="D69" s="86"/>
      <c r="E69" s="86"/>
      <c r="F69" s="86"/>
      <c r="G69" s="86"/>
      <c r="H69" s="86"/>
      <c r="I69" s="86"/>
      <c r="J69" s="86"/>
      <c r="K69" s="86"/>
      <c r="L69" s="86"/>
      <c r="M69" s="86"/>
      <c r="N69" s="86"/>
    </row>
    <row r="70" spans="1:14" customFormat="1" x14ac:dyDescent="0.35">
      <c r="A70" s="86"/>
      <c r="B70" s="86"/>
      <c r="C70" s="86"/>
      <c r="D70" s="86"/>
      <c r="E70" s="86"/>
      <c r="F70" s="86"/>
      <c r="G70" s="86"/>
      <c r="H70" s="86"/>
      <c r="I70" s="86"/>
      <c r="J70" s="86"/>
      <c r="K70" s="86"/>
      <c r="L70" s="86"/>
      <c r="M70" s="86"/>
      <c r="N70" s="86"/>
    </row>
    <row r="71" spans="1:14" customFormat="1" x14ac:dyDescent="0.35">
      <c r="A71" s="86"/>
      <c r="B71" s="86"/>
      <c r="C71" s="86"/>
      <c r="D71" s="86"/>
      <c r="E71" s="86"/>
      <c r="F71" s="86"/>
      <c r="G71" s="86"/>
      <c r="H71" s="86"/>
      <c r="I71" s="86"/>
      <c r="J71" s="86"/>
      <c r="K71" s="86"/>
      <c r="L71" s="86"/>
      <c r="M71" s="86"/>
      <c r="N71" s="86"/>
    </row>
    <row r="72" spans="1:14" customFormat="1" x14ac:dyDescent="0.35">
      <c r="A72" s="86"/>
      <c r="B72" s="86"/>
      <c r="C72" s="86"/>
      <c r="D72" s="86"/>
      <c r="E72" s="86"/>
      <c r="F72" s="86"/>
      <c r="G72" s="86"/>
      <c r="H72" s="86"/>
      <c r="I72" s="86"/>
      <c r="J72" s="86"/>
      <c r="K72" s="86"/>
      <c r="L72" s="86"/>
      <c r="M72" s="86"/>
      <c r="N72" s="86"/>
    </row>
    <row r="73" spans="1:14" customFormat="1" x14ac:dyDescent="0.35">
      <c r="A73" s="86"/>
      <c r="B73" s="86"/>
      <c r="C73" s="86"/>
      <c r="D73" s="86"/>
      <c r="E73" s="86"/>
      <c r="F73" s="86"/>
      <c r="G73" s="86"/>
      <c r="H73" s="86"/>
      <c r="I73" s="86"/>
      <c r="J73" s="86"/>
      <c r="K73" s="86"/>
      <c r="L73" s="86"/>
      <c r="M73" s="86"/>
      <c r="N73" s="86"/>
    </row>
    <row r="74" spans="1:14" customFormat="1" x14ac:dyDescent="0.35">
      <c r="A74" s="86"/>
      <c r="B74" s="86"/>
      <c r="C74" s="86"/>
      <c r="D74" s="86"/>
      <c r="E74" s="86"/>
      <c r="F74" s="86"/>
      <c r="G74" s="86"/>
      <c r="H74" s="86"/>
      <c r="I74" s="86"/>
      <c r="J74" s="86"/>
      <c r="K74" s="86"/>
      <c r="L74" s="86"/>
      <c r="M74" s="86"/>
      <c r="N74" s="86"/>
    </row>
    <row r="75" spans="1:14" customFormat="1" x14ac:dyDescent="0.35">
      <c r="A75" s="86"/>
      <c r="B75" s="86"/>
      <c r="C75" s="86"/>
      <c r="D75" s="86"/>
      <c r="E75" s="86"/>
      <c r="F75" s="86"/>
      <c r="G75" s="86"/>
      <c r="H75" s="86"/>
      <c r="I75" s="86"/>
      <c r="J75" s="86"/>
      <c r="K75" s="86"/>
      <c r="L75" s="86"/>
      <c r="M75" s="86"/>
      <c r="N75" s="86"/>
    </row>
    <row r="76" spans="1:14" customFormat="1" x14ac:dyDescent="0.35">
      <c r="A76" s="86"/>
      <c r="B76" s="86"/>
      <c r="C76" s="86"/>
      <c r="D76" s="86"/>
      <c r="E76" s="86"/>
      <c r="F76" s="86"/>
      <c r="G76" s="86"/>
      <c r="H76" s="86"/>
      <c r="I76" s="86"/>
      <c r="J76" s="86"/>
      <c r="K76" s="86"/>
      <c r="L76" s="86"/>
      <c r="M76" s="86"/>
      <c r="N76" s="86"/>
    </row>
    <row r="77" spans="1:14" customFormat="1" x14ac:dyDescent="0.35">
      <c r="A77" s="86"/>
      <c r="B77" s="86"/>
      <c r="C77" s="86"/>
      <c r="D77" s="86"/>
      <c r="E77" s="86"/>
      <c r="F77" s="86"/>
      <c r="G77" s="86"/>
      <c r="H77" s="86"/>
      <c r="I77" s="86"/>
      <c r="J77" s="86"/>
      <c r="K77" s="86"/>
      <c r="L77" s="86"/>
      <c r="M77" s="86"/>
      <c r="N77" s="86"/>
    </row>
    <row r="78" spans="1:14" customFormat="1" x14ac:dyDescent="0.35">
      <c r="A78" s="86"/>
      <c r="B78" s="86"/>
      <c r="C78" s="86"/>
      <c r="D78" s="86"/>
      <c r="E78" s="86"/>
      <c r="F78" s="86"/>
      <c r="G78" s="86"/>
      <c r="H78" s="86"/>
      <c r="I78" s="86"/>
      <c r="J78" s="86"/>
      <c r="K78" s="86"/>
      <c r="L78" s="86"/>
      <c r="M78" s="86"/>
      <c r="N78" s="86"/>
    </row>
    <row r="79" spans="1:14" customFormat="1" x14ac:dyDescent="0.35">
      <c r="A79" s="86"/>
      <c r="B79" s="86"/>
      <c r="C79" s="86"/>
      <c r="D79" s="86"/>
      <c r="E79" s="86"/>
      <c r="F79" s="86"/>
      <c r="G79" s="86"/>
      <c r="H79" s="86"/>
      <c r="I79" s="86"/>
      <c r="J79" s="86"/>
      <c r="K79" s="86"/>
      <c r="L79" s="86"/>
      <c r="M79" s="86"/>
      <c r="N79" s="86"/>
    </row>
    <row r="80" spans="1:14" customFormat="1" x14ac:dyDescent="0.35">
      <c r="A80" s="86"/>
      <c r="B80" s="86"/>
      <c r="C80" s="86"/>
      <c r="D80" s="86"/>
      <c r="E80" s="86"/>
      <c r="F80" s="86"/>
      <c r="G80" s="86"/>
      <c r="H80" s="86"/>
      <c r="I80" s="86"/>
      <c r="J80" s="86"/>
      <c r="K80" s="86"/>
      <c r="L80" s="86"/>
      <c r="M80" s="86"/>
      <c r="N80" s="86"/>
    </row>
    <row r="81" spans="1:14" customFormat="1" x14ac:dyDescent="0.35">
      <c r="A81" s="86"/>
      <c r="B81" s="86"/>
      <c r="C81" s="86"/>
      <c r="D81" s="86"/>
      <c r="E81" s="86"/>
      <c r="F81" s="86"/>
      <c r="G81" s="86"/>
      <c r="H81" s="86"/>
      <c r="I81" s="86"/>
      <c r="J81" s="86"/>
      <c r="K81" s="86"/>
      <c r="L81" s="86"/>
      <c r="M81" s="86"/>
      <c r="N81" s="86"/>
    </row>
    <row r="82" spans="1:14" customFormat="1" x14ac:dyDescent="0.35">
      <c r="A82" s="86"/>
      <c r="B82" s="86"/>
      <c r="C82" s="86"/>
      <c r="D82" s="86"/>
      <c r="E82" s="86"/>
      <c r="F82" s="86"/>
      <c r="G82" s="86"/>
      <c r="H82" s="86"/>
      <c r="I82" s="86"/>
      <c r="J82" s="86"/>
      <c r="K82" s="86"/>
      <c r="L82" s="86"/>
      <c r="M82" s="86"/>
      <c r="N82" s="86"/>
    </row>
    <row r="83" spans="1:14" customFormat="1" x14ac:dyDescent="0.35">
      <c r="A83" s="86"/>
      <c r="B83" s="86"/>
      <c r="C83" s="86"/>
      <c r="D83" s="86"/>
      <c r="E83" s="86"/>
      <c r="F83" s="86"/>
      <c r="G83" s="86"/>
      <c r="H83" s="86"/>
      <c r="I83" s="86"/>
      <c r="J83" s="86"/>
      <c r="K83" s="86"/>
      <c r="L83" s="86"/>
      <c r="M83" s="86"/>
      <c r="N83" s="86"/>
    </row>
    <row r="84" spans="1:14" customFormat="1" x14ac:dyDescent="0.35">
      <c r="A84" s="86"/>
      <c r="B84" s="86"/>
      <c r="C84" s="86"/>
      <c r="D84" s="86"/>
      <c r="E84" s="86"/>
      <c r="F84" s="86"/>
      <c r="G84" s="86"/>
      <c r="H84" s="86"/>
      <c r="I84" s="86"/>
      <c r="J84" s="86"/>
      <c r="K84" s="86"/>
      <c r="L84" s="86"/>
      <c r="M84" s="86"/>
      <c r="N84" s="86"/>
    </row>
    <row r="85" spans="1:14" customFormat="1" x14ac:dyDescent="0.35">
      <c r="A85" s="86"/>
      <c r="B85" s="86"/>
      <c r="C85" s="86"/>
      <c r="D85" s="86"/>
      <c r="E85" s="86"/>
      <c r="F85" s="86"/>
      <c r="G85" s="86"/>
      <c r="H85" s="86"/>
      <c r="I85" s="86"/>
      <c r="J85" s="86"/>
      <c r="K85" s="86"/>
      <c r="L85" s="86"/>
      <c r="M85" s="86"/>
      <c r="N85" s="86"/>
    </row>
    <row r="86" spans="1:14" customFormat="1" x14ac:dyDescent="0.35">
      <c r="A86" s="86"/>
      <c r="B86" s="86"/>
      <c r="C86" s="86"/>
      <c r="D86" s="86"/>
      <c r="E86" s="86"/>
      <c r="F86" s="86"/>
      <c r="G86" s="86"/>
      <c r="H86" s="86"/>
      <c r="I86" s="86"/>
      <c r="J86" s="86"/>
      <c r="K86" s="86"/>
      <c r="L86" s="86"/>
      <c r="M86" s="86"/>
      <c r="N86" s="86"/>
    </row>
    <row r="87" spans="1:14" customFormat="1" x14ac:dyDescent="0.35">
      <c r="A87" s="86"/>
      <c r="B87" s="86"/>
      <c r="C87" s="86"/>
      <c r="D87" s="86"/>
      <c r="E87" s="86"/>
      <c r="F87" s="86"/>
      <c r="G87" s="86"/>
      <c r="H87" s="86"/>
      <c r="I87" s="86"/>
      <c r="J87" s="86"/>
      <c r="K87" s="86"/>
      <c r="L87" s="86"/>
      <c r="M87" s="86"/>
      <c r="N87" s="86"/>
    </row>
    <row r="88" spans="1:14" customFormat="1" x14ac:dyDescent="0.35">
      <c r="A88" s="86"/>
      <c r="B88" s="86"/>
      <c r="C88" s="86"/>
      <c r="D88" s="86"/>
      <c r="E88" s="86"/>
      <c r="F88" s="86"/>
      <c r="G88" s="86"/>
      <c r="H88" s="86"/>
      <c r="I88" s="86"/>
      <c r="J88" s="86"/>
      <c r="K88" s="86"/>
      <c r="L88" s="86"/>
      <c r="M88" s="86"/>
      <c r="N88" s="86"/>
    </row>
    <row r="89" spans="1:14" customFormat="1" x14ac:dyDescent="0.35">
      <c r="A89" s="86"/>
      <c r="B89" s="86"/>
      <c r="C89" s="86"/>
      <c r="D89" s="86"/>
      <c r="E89" s="86"/>
      <c r="F89" s="86"/>
      <c r="G89" s="86"/>
      <c r="H89" s="86"/>
      <c r="I89" s="86"/>
      <c r="J89" s="86"/>
      <c r="K89" s="86"/>
      <c r="L89" s="86"/>
      <c r="M89" s="86"/>
      <c r="N89" s="86"/>
    </row>
    <row r="90" spans="1:14" customFormat="1" x14ac:dyDescent="0.35">
      <c r="A90" s="86"/>
      <c r="B90" s="86"/>
      <c r="C90" s="86"/>
      <c r="D90" s="86"/>
      <c r="E90" s="86"/>
      <c r="F90" s="86"/>
      <c r="G90" s="86"/>
      <c r="H90" s="86"/>
      <c r="I90" s="86"/>
      <c r="J90" s="86"/>
      <c r="K90" s="86"/>
      <c r="L90" s="86"/>
      <c r="M90" s="86"/>
      <c r="N90" s="86"/>
    </row>
    <row r="91" spans="1:14" customFormat="1" x14ac:dyDescent="0.35">
      <c r="A91" s="86"/>
      <c r="B91" s="86"/>
      <c r="C91" s="86"/>
      <c r="D91" s="86"/>
      <c r="E91" s="86"/>
      <c r="F91" s="86"/>
      <c r="G91" s="86"/>
      <c r="H91" s="86"/>
      <c r="I91" s="86"/>
      <c r="J91" s="86"/>
      <c r="K91" s="86"/>
      <c r="L91" s="86"/>
      <c r="M91" s="86"/>
      <c r="N91" s="86"/>
    </row>
    <row r="92" spans="1:14" customFormat="1" x14ac:dyDescent="0.35">
      <c r="A92" s="86"/>
      <c r="B92" s="86"/>
      <c r="C92" s="86"/>
      <c r="D92" s="86"/>
      <c r="E92" s="86"/>
      <c r="F92" s="86"/>
      <c r="G92" s="86"/>
      <c r="H92" s="86"/>
      <c r="I92" s="86"/>
      <c r="J92" s="86"/>
      <c r="K92" s="86"/>
      <c r="L92" s="86"/>
      <c r="M92" s="86"/>
      <c r="N92" s="86"/>
    </row>
    <row r="93" spans="1:14" customFormat="1" x14ac:dyDescent="0.35">
      <c r="A93" s="86"/>
      <c r="B93" s="86"/>
      <c r="C93" s="86"/>
      <c r="D93" s="86"/>
      <c r="E93" s="86"/>
      <c r="F93" s="86"/>
      <c r="G93" s="86"/>
      <c r="H93" s="86"/>
      <c r="I93" s="86"/>
      <c r="J93" s="86"/>
      <c r="K93" s="86"/>
      <c r="L93" s="86"/>
      <c r="M93" s="86"/>
      <c r="N93" s="86"/>
    </row>
    <row r="94" spans="1:14" customFormat="1" x14ac:dyDescent="0.35">
      <c r="A94" s="86"/>
      <c r="B94" s="86"/>
      <c r="C94" s="86"/>
      <c r="D94" s="86"/>
      <c r="E94" s="86"/>
      <c r="F94" s="86"/>
      <c r="G94" s="86"/>
      <c r="H94" s="86"/>
      <c r="I94" s="86"/>
      <c r="J94" s="86"/>
      <c r="K94" s="86"/>
      <c r="L94" s="86"/>
      <c r="M94" s="86"/>
      <c r="N94" s="86"/>
    </row>
    <row r="95" spans="1:14" customFormat="1" x14ac:dyDescent="0.35">
      <c r="A95" s="86"/>
      <c r="B95" s="86"/>
      <c r="C95" s="86"/>
      <c r="D95" s="86"/>
      <c r="E95" s="86"/>
      <c r="F95" s="86"/>
      <c r="G95" s="86"/>
      <c r="H95" s="86"/>
      <c r="I95" s="86"/>
      <c r="J95" s="86"/>
      <c r="K95" s="86"/>
      <c r="L95" s="86"/>
      <c r="M95" s="86"/>
      <c r="N95" s="86"/>
    </row>
    <row r="96" spans="1:14" customFormat="1" x14ac:dyDescent="0.35">
      <c r="A96" s="86"/>
      <c r="B96" s="86"/>
      <c r="C96" s="86"/>
      <c r="D96" s="86"/>
      <c r="E96" s="86"/>
      <c r="F96" s="86"/>
      <c r="G96" s="86"/>
      <c r="H96" s="86"/>
      <c r="I96" s="86"/>
      <c r="J96" s="86"/>
      <c r="K96" s="86"/>
      <c r="L96" s="86"/>
      <c r="M96" s="86"/>
      <c r="N96" s="86"/>
    </row>
    <row r="97" spans="1:14" customFormat="1" x14ac:dyDescent="0.35">
      <c r="A97" s="86"/>
      <c r="B97" s="86"/>
      <c r="C97" s="86"/>
      <c r="D97" s="86"/>
      <c r="E97" s="86"/>
      <c r="F97" s="86"/>
      <c r="G97" s="86"/>
      <c r="H97" s="86"/>
      <c r="I97" s="86"/>
      <c r="J97" s="86"/>
      <c r="K97" s="86"/>
      <c r="L97" s="86"/>
      <c r="M97" s="86"/>
      <c r="N97" s="86"/>
    </row>
    <row r="98" spans="1:14" customFormat="1" x14ac:dyDescent="0.35">
      <c r="A98" s="86"/>
      <c r="B98" s="86"/>
      <c r="C98" s="86"/>
      <c r="D98" s="86"/>
      <c r="E98" s="86"/>
      <c r="F98" s="86"/>
      <c r="G98" s="86"/>
      <c r="H98" s="86"/>
      <c r="I98" s="86"/>
      <c r="J98" s="86"/>
      <c r="K98" s="86"/>
      <c r="L98" s="86"/>
      <c r="M98" s="86"/>
      <c r="N98" s="86"/>
    </row>
    <row r="99" spans="1:14" customFormat="1" x14ac:dyDescent="0.35">
      <c r="A99" s="86"/>
      <c r="B99" s="86"/>
      <c r="C99" s="86"/>
      <c r="D99" s="86"/>
      <c r="E99" s="86"/>
      <c r="F99" s="86"/>
      <c r="G99" s="86"/>
      <c r="H99" s="86"/>
      <c r="I99" s="86"/>
      <c r="J99" s="86"/>
      <c r="K99" s="86"/>
      <c r="L99" s="86"/>
      <c r="M99" s="86"/>
      <c r="N99" s="86"/>
    </row>
    <row r="100" spans="1:14" customFormat="1" x14ac:dyDescent="0.35">
      <c r="A100" s="86"/>
      <c r="B100" s="86"/>
      <c r="C100" s="86"/>
      <c r="D100" s="86"/>
      <c r="E100" s="86"/>
      <c r="F100" s="86"/>
      <c r="G100" s="86"/>
      <c r="H100" s="86"/>
      <c r="I100" s="86"/>
      <c r="J100" s="86"/>
      <c r="K100" s="86"/>
      <c r="L100" s="86"/>
      <c r="M100" s="86"/>
      <c r="N100" s="86"/>
    </row>
    <row r="101" spans="1:14" customFormat="1" x14ac:dyDescent="0.35">
      <c r="A101" s="86"/>
      <c r="B101" s="86"/>
      <c r="C101" s="86"/>
      <c r="D101" s="86"/>
      <c r="E101" s="86"/>
      <c r="F101" s="86"/>
      <c r="G101" s="86"/>
      <c r="H101" s="86"/>
      <c r="I101" s="86"/>
      <c r="J101" s="86"/>
      <c r="K101" s="86"/>
      <c r="L101" s="86"/>
      <c r="M101" s="86"/>
      <c r="N101" s="86"/>
    </row>
    <row r="102" spans="1:14" customFormat="1" x14ac:dyDescent="0.35">
      <c r="A102" s="86"/>
      <c r="B102" s="86"/>
      <c r="C102" s="86"/>
      <c r="D102" s="86"/>
      <c r="E102" s="86"/>
      <c r="F102" s="86"/>
      <c r="G102" s="86"/>
      <c r="H102" s="86"/>
      <c r="I102" s="86"/>
      <c r="J102" s="86"/>
      <c r="K102" s="86"/>
      <c r="L102" s="86"/>
      <c r="M102" s="86"/>
      <c r="N102" s="86"/>
    </row>
    <row r="103" spans="1:14" customFormat="1" x14ac:dyDescent="0.35">
      <c r="A103" s="86"/>
      <c r="B103" s="86"/>
      <c r="C103" s="86"/>
      <c r="D103" s="86"/>
      <c r="E103" s="86"/>
      <c r="F103" s="86"/>
      <c r="G103" s="86"/>
      <c r="H103" s="86"/>
      <c r="I103" s="86"/>
      <c r="J103" s="86"/>
      <c r="K103" s="86"/>
      <c r="L103" s="86"/>
      <c r="M103" s="86"/>
      <c r="N103" s="86"/>
    </row>
    <row r="104" spans="1:14" customFormat="1" x14ac:dyDescent="0.35">
      <c r="A104" s="86"/>
      <c r="B104" s="86"/>
      <c r="C104" s="86"/>
      <c r="D104" s="86"/>
      <c r="E104" s="86"/>
      <c r="F104" s="86"/>
      <c r="G104" s="86"/>
      <c r="H104" s="86"/>
      <c r="I104" s="86"/>
      <c r="J104" s="86"/>
      <c r="K104" s="86"/>
      <c r="L104" s="86"/>
      <c r="M104" s="86"/>
      <c r="N104" s="86"/>
    </row>
    <row r="105" spans="1:14" customFormat="1" x14ac:dyDescent="0.35">
      <c r="A105" s="86"/>
      <c r="B105" s="86"/>
      <c r="C105" s="86"/>
      <c r="D105" s="86"/>
      <c r="E105" s="86"/>
      <c r="F105" s="86"/>
      <c r="G105" s="86"/>
      <c r="H105" s="86"/>
      <c r="I105" s="86"/>
      <c r="J105" s="86"/>
      <c r="K105" s="86"/>
      <c r="L105" s="86"/>
      <c r="M105" s="86"/>
      <c r="N105" s="86"/>
    </row>
    <row r="106" spans="1:14" customFormat="1" x14ac:dyDescent="0.35">
      <c r="A106" s="86"/>
      <c r="B106" s="86"/>
      <c r="C106" s="86"/>
      <c r="D106" s="86"/>
      <c r="E106" s="86"/>
      <c r="F106" s="86"/>
      <c r="G106" s="86"/>
      <c r="H106" s="86"/>
      <c r="I106" s="86"/>
      <c r="J106" s="86"/>
      <c r="K106" s="86"/>
      <c r="L106" s="86"/>
      <c r="M106" s="86"/>
      <c r="N106" s="86"/>
    </row>
    <row r="107" spans="1:14" customFormat="1" x14ac:dyDescent="0.35">
      <c r="A107" s="86"/>
      <c r="B107" s="86"/>
      <c r="C107" s="86"/>
      <c r="D107" s="86"/>
      <c r="E107" s="86"/>
      <c r="F107" s="86"/>
      <c r="G107" s="86"/>
      <c r="H107" s="86"/>
      <c r="I107" s="86"/>
      <c r="J107" s="86"/>
      <c r="K107" s="86"/>
      <c r="L107" s="86"/>
      <c r="M107" s="86"/>
      <c r="N107" s="86"/>
    </row>
    <row r="108" spans="1:14" customFormat="1" x14ac:dyDescent="0.35">
      <c r="A108" s="86"/>
      <c r="B108" s="86"/>
      <c r="C108" s="86"/>
      <c r="D108" s="86"/>
      <c r="E108" s="86"/>
      <c r="F108" s="86"/>
      <c r="G108" s="86"/>
      <c r="H108" s="86"/>
      <c r="I108" s="86"/>
      <c r="J108" s="86"/>
      <c r="K108" s="86"/>
      <c r="L108" s="86"/>
      <c r="M108" s="86"/>
      <c r="N108" s="86"/>
    </row>
    <row r="109" spans="1:14" customFormat="1" x14ac:dyDescent="0.35">
      <c r="A109" s="86"/>
      <c r="B109" s="86"/>
      <c r="C109" s="86"/>
      <c r="D109" s="86"/>
      <c r="E109" s="86"/>
      <c r="F109" s="86"/>
      <c r="G109" s="86"/>
      <c r="H109" s="86"/>
      <c r="I109" s="86"/>
      <c r="J109" s="86"/>
      <c r="K109" s="86"/>
      <c r="L109" s="86"/>
      <c r="M109" s="86"/>
      <c r="N109" s="86"/>
    </row>
    <row r="110" spans="1:14" customFormat="1" x14ac:dyDescent="0.35">
      <c r="A110" s="86"/>
      <c r="B110" s="86"/>
      <c r="C110" s="86"/>
      <c r="D110" s="86"/>
      <c r="E110" s="86"/>
      <c r="F110" s="86"/>
      <c r="G110" s="86"/>
      <c r="H110" s="86"/>
      <c r="I110" s="86"/>
      <c r="J110" s="86"/>
      <c r="K110" s="86"/>
      <c r="L110" s="86"/>
      <c r="M110" s="86"/>
      <c r="N110" s="86"/>
    </row>
    <row r="111" spans="1:14" customFormat="1" x14ac:dyDescent="0.35">
      <c r="A111" s="86"/>
      <c r="B111" s="86"/>
      <c r="C111" s="86"/>
      <c r="D111" s="86"/>
      <c r="E111" s="86"/>
      <c r="F111" s="86"/>
      <c r="G111" s="86"/>
      <c r="H111" s="86"/>
      <c r="I111" s="86"/>
      <c r="J111" s="86"/>
      <c r="K111" s="86"/>
      <c r="L111" s="86"/>
      <c r="M111" s="86"/>
      <c r="N111" s="86"/>
    </row>
    <row r="112" spans="1:14" customFormat="1" x14ac:dyDescent="0.35">
      <c r="A112" s="86"/>
      <c r="B112" s="86"/>
      <c r="C112" s="86"/>
      <c r="D112" s="86"/>
      <c r="E112" s="86"/>
      <c r="F112" s="86"/>
      <c r="G112" s="86"/>
      <c r="H112" s="86"/>
      <c r="I112" s="86"/>
      <c r="J112" s="86"/>
      <c r="K112" s="86"/>
      <c r="L112" s="86"/>
      <c r="M112" s="86"/>
      <c r="N112" s="86"/>
    </row>
    <row r="113" spans="1:14" customFormat="1" x14ac:dyDescent="0.35">
      <c r="A113" s="86"/>
      <c r="B113" s="86"/>
      <c r="C113" s="86"/>
      <c r="D113" s="86"/>
      <c r="E113" s="86"/>
      <c r="F113" s="86"/>
      <c r="G113" s="86"/>
      <c r="H113" s="86"/>
      <c r="I113" s="86"/>
      <c r="J113" s="86"/>
      <c r="K113" s="86"/>
      <c r="L113" s="86"/>
      <c r="M113" s="86"/>
      <c r="N113" s="86"/>
    </row>
    <row r="114" spans="1:14" customFormat="1" x14ac:dyDescent="0.35">
      <c r="A114" s="86"/>
      <c r="B114" s="86"/>
      <c r="C114" s="86"/>
      <c r="D114" s="86"/>
      <c r="E114" s="86"/>
      <c r="F114" s="86"/>
      <c r="G114" s="86"/>
      <c r="H114" s="86"/>
      <c r="I114" s="86"/>
      <c r="J114" s="86"/>
      <c r="K114" s="86"/>
      <c r="L114" s="86"/>
      <c r="M114" s="86"/>
      <c r="N114" s="86"/>
    </row>
    <row r="115" spans="1:14" customFormat="1" x14ac:dyDescent="0.35">
      <c r="A115" s="86"/>
      <c r="B115" s="86"/>
      <c r="C115" s="86"/>
      <c r="D115" s="86"/>
      <c r="E115" s="86"/>
      <c r="F115" s="86"/>
      <c r="G115" s="86"/>
      <c r="H115" s="86"/>
      <c r="I115" s="86"/>
      <c r="J115" s="86"/>
      <c r="K115" s="86"/>
      <c r="L115" s="86"/>
      <c r="M115" s="86"/>
      <c r="N115" s="86"/>
    </row>
    <row r="116" spans="1:14" customFormat="1" x14ac:dyDescent="0.35">
      <c r="A116" s="86"/>
      <c r="B116" s="86"/>
      <c r="C116" s="86"/>
      <c r="D116" s="86"/>
      <c r="E116" s="86"/>
      <c r="F116" s="86"/>
      <c r="G116" s="86"/>
      <c r="H116" s="86"/>
      <c r="I116" s="86"/>
      <c r="J116" s="86"/>
      <c r="K116" s="86"/>
      <c r="L116" s="86"/>
      <c r="M116" s="86"/>
      <c r="N116" s="86"/>
    </row>
    <row r="117" spans="1:14" customFormat="1" x14ac:dyDescent="0.35">
      <c r="A117" s="86"/>
      <c r="B117" s="86"/>
      <c r="C117" s="86"/>
      <c r="D117" s="86"/>
      <c r="E117" s="86"/>
      <c r="F117" s="86"/>
      <c r="G117" s="86"/>
      <c r="H117" s="86"/>
      <c r="I117" s="86"/>
      <c r="J117" s="86"/>
      <c r="K117" s="86"/>
      <c r="L117" s="86"/>
      <c r="M117" s="86"/>
      <c r="N117" s="86"/>
    </row>
    <row r="118" spans="1:14" customFormat="1" x14ac:dyDescent="0.35">
      <c r="A118" s="86"/>
      <c r="B118" s="86"/>
      <c r="C118" s="86"/>
      <c r="D118" s="86"/>
      <c r="E118" s="86"/>
      <c r="F118" s="86"/>
      <c r="G118" s="86"/>
      <c r="H118" s="86"/>
      <c r="I118" s="86"/>
      <c r="J118" s="86"/>
      <c r="K118" s="86"/>
      <c r="L118" s="86"/>
      <c r="M118" s="86"/>
      <c r="N118" s="86"/>
    </row>
    <row r="119" spans="1:14" customFormat="1" x14ac:dyDescent="0.35">
      <c r="A119" s="86"/>
      <c r="B119" s="86"/>
      <c r="C119" s="86"/>
      <c r="D119" s="86"/>
      <c r="E119" s="86"/>
      <c r="F119" s="86"/>
      <c r="G119" s="86"/>
      <c r="H119" s="86"/>
      <c r="I119" s="86"/>
      <c r="J119" s="86"/>
      <c r="K119" s="86"/>
      <c r="L119" s="86"/>
      <c r="M119" s="86"/>
      <c r="N119" s="86"/>
    </row>
    <row r="120" spans="1:14" customFormat="1" x14ac:dyDescent="0.35">
      <c r="A120" s="86"/>
      <c r="B120" s="86"/>
      <c r="C120" s="86"/>
      <c r="D120" s="86"/>
      <c r="E120" s="86"/>
      <c r="F120" s="86"/>
      <c r="G120" s="86"/>
      <c r="H120" s="86"/>
      <c r="I120" s="86"/>
      <c r="J120" s="86"/>
      <c r="K120" s="86"/>
      <c r="L120" s="86"/>
      <c r="M120" s="86"/>
      <c r="N120" s="86"/>
    </row>
    <row r="121" spans="1:14" customFormat="1" x14ac:dyDescent="0.35">
      <c r="A121" s="86"/>
      <c r="B121" s="86"/>
      <c r="C121" s="86"/>
      <c r="D121" s="86"/>
      <c r="E121" s="86"/>
      <c r="F121" s="86"/>
      <c r="G121" s="86"/>
      <c r="H121" s="86"/>
      <c r="I121" s="86"/>
      <c r="J121" s="86"/>
      <c r="K121" s="86"/>
      <c r="L121" s="86"/>
      <c r="M121" s="86"/>
      <c r="N121" s="86"/>
    </row>
    <row r="122" spans="1:14" customFormat="1" x14ac:dyDescent="0.35">
      <c r="A122" s="86"/>
      <c r="B122" s="86"/>
      <c r="C122" s="86"/>
      <c r="D122" s="86"/>
      <c r="E122" s="86"/>
      <c r="F122" s="86"/>
      <c r="G122" s="86"/>
      <c r="H122" s="86"/>
      <c r="I122" s="86"/>
      <c r="J122" s="86"/>
      <c r="K122" s="86"/>
      <c r="L122" s="86"/>
      <c r="M122" s="86"/>
      <c r="N122" s="86"/>
    </row>
    <row r="123" spans="1:14" customFormat="1" x14ac:dyDescent="0.35">
      <c r="A123" s="86"/>
      <c r="B123" s="86"/>
      <c r="C123" s="86"/>
      <c r="D123" s="86"/>
      <c r="E123" s="86"/>
      <c r="F123" s="86"/>
      <c r="G123" s="86"/>
      <c r="H123" s="86"/>
      <c r="I123" s="86"/>
      <c r="J123" s="86"/>
      <c r="K123" s="86"/>
      <c r="L123" s="86"/>
      <c r="M123" s="86"/>
      <c r="N123" s="86"/>
    </row>
    <row r="124" spans="1:14" customFormat="1" x14ac:dyDescent="0.35">
      <c r="A124" s="86"/>
      <c r="B124" s="86"/>
      <c r="C124" s="86"/>
      <c r="D124" s="86"/>
      <c r="E124" s="86"/>
      <c r="F124" s="86"/>
      <c r="G124" s="86"/>
      <c r="H124" s="86"/>
      <c r="I124" s="86"/>
      <c r="J124" s="86"/>
      <c r="K124" s="86"/>
      <c r="L124" s="86"/>
      <c r="M124" s="86"/>
      <c r="N124" s="86"/>
    </row>
    <row r="125" spans="1:14" customFormat="1" x14ac:dyDescent="0.35">
      <c r="A125" s="86"/>
      <c r="B125" s="86"/>
      <c r="C125" s="86"/>
      <c r="D125" s="86"/>
      <c r="E125" s="86"/>
      <c r="F125" s="86"/>
      <c r="G125" s="86"/>
      <c r="H125" s="86"/>
      <c r="I125" s="86"/>
      <c r="J125" s="86"/>
      <c r="K125" s="86"/>
      <c r="L125" s="86"/>
      <c r="M125" s="86"/>
      <c r="N125" s="86"/>
    </row>
    <row r="126" spans="1:14" customFormat="1" x14ac:dyDescent="0.35">
      <c r="A126" s="86"/>
      <c r="B126" s="86"/>
      <c r="C126" s="86"/>
      <c r="D126" s="86"/>
      <c r="E126" s="86"/>
      <c r="F126" s="86"/>
      <c r="G126" s="86"/>
      <c r="H126" s="86"/>
      <c r="I126" s="86"/>
      <c r="J126" s="86"/>
      <c r="K126" s="86"/>
      <c r="L126" s="86"/>
      <c r="M126" s="86"/>
      <c r="N126" s="86"/>
    </row>
    <row r="127" spans="1:14" customFormat="1" x14ac:dyDescent="0.35">
      <c r="A127" s="86"/>
      <c r="B127" s="86"/>
      <c r="C127" s="86"/>
      <c r="D127" s="86"/>
      <c r="E127" s="86"/>
      <c r="F127" s="86"/>
      <c r="G127" s="86"/>
      <c r="H127" s="86"/>
      <c r="I127" s="86"/>
      <c r="J127" s="86"/>
      <c r="K127" s="86"/>
      <c r="L127" s="86"/>
      <c r="M127" s="86"/>
      <c r="N127" s="86"/>
    </row>
    <row r="128" spans="1:14" customFormat="1" x14ac:dyDescent="0.35">
      <c r="A128" s="86"/>
      <c r="B128" s="86"/>
      <c r="C128" s="86"/>
      <c r="D128" s="86"/>
      <c r="E128" s="86"/>
      <c r="F128" s="86"/>
      <c r="G128" s="86"/>
      <c r="H128" s="86"/>
      <c r="I128" s="86"/>
      <c r="J128" s="86"/>
      <c r="K128" s="86"/>
      <c r="L128" s="86"/>
      <c r="M128" s="86"/>
      <c r="N128" s="86"/>
    </row>
    <row r="129" spans="1:14" customFormat="1" x14ac:dyDescent="0.35">
      <c r="A129" s="86"/>
      <c r="B129" s="86"/>
      <c r="C129" s="86"/>
      <c r="D129" s="86"/>
      <c r="E129" s="86"/>
      <c r="F129" s="86"/>
      <c r="G129" s="86"/>
      <c r="H129" s="86"/>
      <c r="I129" s="86"/>
      <c r="J129" s="86"/>
      <c r="K129" s="86"/>
      <c r="L129" s="86"/>
      <c r="M129" s="86"/>
      <c r="N129" s="86"/>
    </row>
    <row r="130" spans="1:14" customFormat="1" x14ac:dyDescent="0.35">
      <c r="A130" s="86"/>
      <c r="B130" s="86"/>
      <c r="C130" s="86"/>
      <c r="D130" s="86"/>
      <c r="E130" s="86"/>
      <c r="F130" s="86"/>
      <c r="G130" s="86"/>
      <c r="H130" s="86"/>
      <c r="I130" s="86"/>
      <c r="J130" s="86"/>
      <c r="K130" s="86"/>
      <c r="L130" s="86"/>
      <c r="M130" s="86"/>
      <c r="N130" s="86"/>
    </row>
    <row r="131" spans="1:14" customFormat="1" x14ac:dyDescent="0.35">
      <c r="A131" s="86"/>
      <c r="B131" s="86"/>
      <c r="C131" s="86"/>
      <c r="D131" s="86"/>
      <c r="E131" s="86"/>
      <c r="F131" s="86"/>
      <c r="G131" s="86"/>
      <c r="H131" s="86"/>
      <c r="I131" s="86"/>
      <c r="J131" s="86"/>
      <c r="K131" s="86"/>
      <c r="L131" s="86"/>
      <c r="M131" s="86"/>
      <c r="N131" s="86"/>
    </row>
    <row r="132" spans="1:14" customFormat="1" x14ac:dyDescent="0.35">
      <c r="A132" s="86"/>
      <c r="B132" s="86"/>
      <c r="C132" s="86"/>
      <c r="D132" s="86"/>
      <c r="E132" s="86"/>
      <c r="F132" s="86"/>
      <c r="G132" s="86"/>
      <c r="H132" s="86"/>
      <c r="I132" s="86"/>
      <c r="J132" s="86"/>
      <c r="K132" s="86"/>
      <c r="L132" s="86"/>
      <c r="M132" s="86"/>
      <c r="N132" s="86"/>
    </row>
    <row r="133" spans="1:14" customFormat="1" x14ac:dyDescent="0.35">
      <c r="A133" s="86"/>
      <c r="B133" s="86"/>
      <c r="C133" s="86"/>
      <c r="D133" s="86"/>
      <c r="E133" s="86"/>
      <c r="F133" s="86"/>
      <c r="G133" s="86"/>
      <c r="H133" s="86"/>
      <c r="I133" s="86"/>
      <c r="J133" s="86"/>
      <c r="K133" s="86"/>
      <c r="L133" s="86"/>
      <c r="M133" s="86"/>
      <c r="N133" s="86"/>
    </row>
    <row r="134" spans="1:14" customFormat="1" x14ac:dyDescent="0.35">
      <c r="A134" s="86"/>
      <c r="B134" s="86"/>
      <c r="C134" s="86"/>
      <c r="D134" s="86"/>
      <c r="E134" s="86"/>
      <c r="F134" s="86"/>
      <c r="G134" s="86"/>
      <c r="H134" s="86"/>
      <c r="I134" s="86"/>
      <c r="J134" s="86"/>
      <c r="K134" s="86"/>
      <c r="L134" s="86"/>
      <c r="M134" s="86"/>
      <c r="N134" s="86"/>
    </row>
    <row r="135" spans="1:14" customFormat="1" x14ac:dyDescent="0.35">
      <c r="A135" s="86"/>
      <c r="B135" s="86"/>
      <c r="C135" s="86"/>
      <c r="D135" s="86"/>
      <c r="E135" s="86"/>
      <c r="F135" s="86"/>
      <c r="G135" s="86"/>
      <c r="H135" s="86"/>
      <c r="I135" s="86"/>
      <c r="J135" s="86"/>
      <c r="K135" s="86"/>
      <c r="L135" s="86"/>
      <c r="M135" s="86"/>
      <c r="N135" s="86"/>
    </row>
    <row r="136" spans="1:14" customFormat="1" x14ac:dyDescent="0.35">
      <c r="A136" s="86"/>
      <c r="B136" s="86"/>
      <c r="C136" s="86"/>
      <c r="D136" s="86"/>
      <c r="E136" s="86"/>
      <c r="F136" s="86"/>
      <c r="G136" s="86"/>
      <c r="H136" s="86"/>
      <c r="I136" s="86"/>
      <c r="J136" s="86"/>
      <c r="K136" s="86"/>
      <c r="L136" s="86"/>
      <c r="M136" s="86"/>
      <c r="N136" s="86"/>
    </row>
    <row r="137" spans="1:14" customFormat="1" x14ac:dyDescent="0.35">
      <c r="A137" s="86"/>
      <c r="B137" s="86"/>
      <c r="C137" s="86"/>
      <c r="D137" s="86"/>
      <c r="E137" s="86"/>
      <c r="F137" s="86"/>
      <c r="G137" s="86"/>
      <c r="H137" s="86"/>
      <c r="I137" s="86"/>
      <c r="J137" s="86"/>
      <c r="K137" s="86"/>
      <c r="L137" s="86"/>
      <c r="M137" s="86"/>
      <c r="N137" s="86"/>
    </row>
    <row r="138" spans="1:14" customFormat="1" x14ac:dyDescent="0.35">
      <c r="A138" s="86"/>
      <c r="B138" s="86"/>
      <c r="C138" s="86"/>
      <c r="D138" s="86"/>
      <c r="E138" s="86"/>
      <c r="F138" s="86"/>
      <c r="G138" s="86"/>
      <c r="H138" s="86"/>
      <c r="I138" s="86"/>
      <c r="J138" s="86"/>
      <c r="K138" s="86"/>
      <c r="L138" s="86"/>
      <c r="M138" s="86"/>
      <c r="N138" s="86"/>
    </row>
    <row r="139" spans="1:14" customFormat="1" x14ac:dyDescent="0.35">
      <c r="A139" s="86"/>
      <c r="B139" s="86"/>
      <c r="C139" s="86"/>
      <c r="D139" s="86"/>
      <c r="E139" s="86"/>
      <c r="F139" s="86"/>
      <c r="G139" s="86"/>
      <c r="H139" s="86"/>
      <c r="I139" s="86"/>
      <c r="J139" s="86"/>
      <c r="K139" s="86"/>
      <c r="L139" s="86"/>
      <c r="M139" s="86"/>
      <c r="N139" s="86"/>
    </row>
    <row r="140" spans="1:14" customFormat="1" x14ac:dyDescent="0.35">
      <c r="A140" s="86"/>
      <c r="B140" s="86"/>
      <c r="C140" s="86"/>
      <c r="D140" s="86"/>
      <c r="E140" s="86"/>
      <c r="F140" s="86"/>
      <c r="G140" s="86"/>
      <c r="H140" s="86"/>
      <c r="I140" s="86"/>
      <c r="J140" s="86"/>
      <c r="K140" s="86"/>
      <c r="L140" s="86"/>
      <c r="M140" s="86"/>
      <c r="N140" s="86"/>
    </row>
    <row r="141" spans="1:14" customFormat="1" x14ac:dyDescent="0.35">
      <c r="A141" s="86"/>
      <c r="B141" s="86"/>
      <c r="C141" s="86"/>
      <c r="D141" s="86"/>
      <c r="E141" s="86"/>
      <c r="F141" s="86"/>
      <c r="G141" s="86"/>
      <c r="H141" s="86"/>
      <c r="I141" s="86"/>
      <c r="J141" s="86"/>
      <c r="K141" s="86"/>
      <c r="L141" s="86"/>
      <c r="M141" s="86"/>
      <c r="N141" s="86"/>
    </row>
    <row r="142" spans="1:14" customFormat="1" x14ac:dyDescent="0.35">
      <c r="A142" s="86"/>
      <c r="B142" s="86"/>
      <c r="C142" s="86"/>
      <c r="D142" s="86"/>
      <c r="E142" s="86"/>
      <c r="F142" s="86"/>
      <c r="G142" s="86"/>
      <c r="H142" s="86"/>
      <c r="I142" s="86"/>
      <c r="J142" s="86"/>
      <c r="K142" s="86"/>
      <c r="L142" s="86"/>
      <c r="M142" s="86"/>
      <c r="N142" s="86"/>
    </row>
    <row r="143" spans="1:14" customFormat="1" x14ac:dyDescent="0.35">
      <c r="A143" s="86"/>
      <c r="B143" s="86"/>
      <c r="C143" s="86"/>
      <c r="D143" s="86"/>
      <c r="E143" s="86"/>
      <c r="F143" s="86"/>
      <c r="G143" s="86"/>
      <c r="H143" s="86"/>
      <c r="I143" s="86"/>
      <c r="J143" s="86"/>
      <c r="K143" s="86"/>
      <c r="L143" s="86"/>
      <c r="M143" s="86"/>
      <c r="N143" s="86"/>
    </row>
    <row r="144" spans="1:14" customFormat="1" x14ac:dyDescent="0.35">
      <c r="A144" s="86"/>
      <c r="B144" s="86"/>
      <c r="C144" s="86"/>
      <c r="D144" s="86"/>
      <c r="E144" s="86"/>
      <c r="F144" s="86"/>
      <c r="G144" s="86"/>
      <c r="H144" s="86"/>
      <c r="I144" s="86"/>
      <c r="J144" s="86"/>
      <c r="K144" s="86"/>
      <c r="L144" s="86"/>
      <c r="M144" s="86"/>
      <c r="N144" s="86"/>
    </row>
    <row r="145" spans="1:14" customFormat="1" x14ac:dyDescent="0.35">
      <c r="A145" s="86"/>
      <c r="B145" s="86"/>
      <c r="C145" s="86"/>
      <c r="D145" s="86"/>
      <c r="E145" s="86"/>
      <c r="F145" s="86"/>
      <c r="G145" s="86"/>
      <c r="H145" s="86"/>
      <c r="I145" s="86"/>
      <c r="J145" s="86"/>
      <c r="K145" s="86"/>
      <c r="L145" s="86"/>
      <c r="M145" s="86"/>
      <c r="N145" s="86"/>
    </row>
    <row r="146" spans="1:14" customFormat="1" x14ac:dyDescent="0.35">
      <c r="A146" s="86"/>
      <c r="B146" s="86"/>
      <c r="C146" s="86"/>
      <c r="D146" s="86"/>
      <c r="E146" s="86"/>
      <c r="F146" s="86"/>
      <c r="G146" s="86"/>
      <c r="H146" s="86"/>
      <c r="I146" s="86"/>
      <c r="J146" s="86"/>
      <c r="K146" s="86"/>
      <c r="L146" s="86"/>
      <c r="M146" s="86"/>
      <c r="N146" s="86"/>
    </row>
    <row r="147" spans="1:14" customFormat="1" x14ac:dyDescent="0.35">
      <c r="A147" s="86"/>
      <c r="B147" s="86"/>
      <c r="C147" s="86"/>
      <c r="D147" s="86"/>
      <c r="E147" s="86"/>
      <c r="F147" s="86"/>
      <c r="G147" s="86"/>
      <c r="H147" s="86"/>
      <c r="I147" s="86"/>
      <c r="J147" s="86"/>
      <c r="K147" s="86"/>
      <c r="L147" s="86"/>
      <c r="M147" s="86"/>
      <c r="N147" s="86"/>
    </row>
    <row r="148" spans="1:14" customFormat="1" x14ac:dyDescent="0.35">
      <c r="A148" s="86"/>
      <c r="B148" s="86"/>
      <c r="C148" s="86"/>
      <c r="D148" s="86"/>
      <c r="E148" s="86"/>
      <c r="F148" s="86"/>
      <c r="G148" s="86"/>
      <c r="H148" s="86"/>
      <c r="I148" s="86"/>
      <c r="J148" s="86"/>
      <c r="K148" s="86"/>
      <c r="L148" s="86"/>
      <c r="M148" s="86"/>
      <c r="N148" s="86"/>
    </row>
    <row r="149" spans="1:14" customFormat="1" x14ac:dyDescent="0.35">
      <c r="A149" s="86"/>
      <c r="B149" s="86"/>
      <c r="C149" s="86"/>
      <c r="D149" s="86"/>
      <c r="E149" s="86"/>
      <c r="F149" s="86"/>
      <c r="G149" s="86"/>
      <c r="H149" s="86"/>
      <c r="I149" s="86"/>
      <c r="J149" s="86"/>
      <c r="K149" s="86"/>
      <c r="L149" s="86"/>
      <c r="M149" s="86"/>
      <c r="N149" s="86"/>
    </row>
    <row r="150" spans="1:14" customFormat="1" x14ac:dyDescent="0.35">
      <c r="A150" s="86"/>
      <c r="B150" s="86"/>
      <c r="C150" s="86"/>
      <c r="D150" s="86"/>
      <c r="E150" s="86"/>
      <c r="F150" s="86"/>
      <c r="G150" s="86"/>
      <c r="H150" s="86"/>
      <c r="I150" s="86"/>
      <c r="J150" s="86"/>
      <c r="K150" s="86"/>
      <c r="L150" s="86"/>
      <c r="M150" s="86"/>
      <c r="N150" s="86"/>
    </row>
    <row r="151" spans="1:14" customFormat="1" x14ac:dyDescent="0.35">
      <c r="A151" s="86"/>
      <c r="B151" s="86"/>
      <c r="C151" s="86"/>
      <c r="D151" s="86"/>
      <c r="E151" s="86"/>
      <c r="F151" s="86"/>
      <c r="G151" s="86"/>
      <c r="H151" s="86"/>
      <c r="I151" s="86"/>
      <c r="J151" s="86"/>
      <c r="K151" s="86"/>
      <c r="L151" s="86"/>
      <c r="M151" s="86"/>
      <c r="N151" s="86"/>
    </row>
    <row r="152" spans="1:14" customFormat="1" x14ac:dyDescent="0.35">
      <c r="A152" s="86"/>
      <c r="B152" s="86"/>
      <c r="C152" s="86"/>
      <c r="D152" s="86"/>
      <c r="E152" s="86"/>
      <c r="F152" s="86"/>
      <c r="G152" s="86"/>
      <c r="H152" s="86"/>
      <c r="I152" s="86"/>
      <c r="J152" s="86"/>
      <c r="K152" s="86"/>
      <c r="L152" s="86"/>
      <c r="M152" s="86"/>
      <c r="N152" s="86"/>
    </row>
  </sheetData>
  <printOptions horizontalCentered="1"/>
  <pageMargins left="0.7" right="0.7" top="0.75" bottom="0.75" header="0.3" footer="0.3"/>
  <pageSetup scale="83" orientation="landscape" blackAndWhite="1" horizontalDpi="300" verticalDpi="300" r:id="rId1"/>
  <headerFooter>
    <oddFooter>&amp;L&amp;F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fitToPage="1"/>
  </sheetPr>
  <dimension ref="A1:O149"/>
  <sheetViews>
    <sheetView zoomScale="90" zoomScaleNormal="90" workbookViewId="0">
      <selection activeCell="C3" sqref="C3"/>
    </sheetView>
  </sheetViews>
  <sheetFormatPr defaultColWidth="8.7265625" defaultRowHeight="14.5" outlineLevelCol="1" x14ac:dyDescent="0.35"/>
  <cols>
    <col min="1" max="1" width="3.54296875" style="86" customWidth="1"/>
    <col min="2" max="2" width="2.54296875" style="86" customWidth="1"/>
    <col min="3" max="3" width="32.54296875" style="86" bestFit="1" customWidth="1"/>
    <col min="4" max="4" width="9.1796875" style="86" bestFit="1" customWidth="1"/>
    <col min="5" max="5" width="13.81640625" style="86" customWidth="1"/>
    <col min="6" max="6" width="11.81640625" style="86" bestFit="1" customWidth="1"/>
    <col min="7" max="12" width="12.7265625" style="86" customWidth="1"/>
    <col min="13" max="13" width="9.1796875" style="86"/>
    <col min="14" max="14" width="9.1796875" style="86" customWidth="1" outlineLevel="1"/>
    <col min="15" max="15" width="9.1796875" customWidth="1"/>
    <col min="16" max="16384" width="8.7265625" style="86"/>
  </cols>
  <sheetData>
    <row r="1" spans="1:15" x14ac:dyDescent="0.35">
      <c r="B1" s="296" t="s">
        <v>0</v>
      </c>
      <c r="C1" s="297"/>
      <c r="D1" s="297"/>
      <c r="E1" s="297"/>
      <c r="F1" s="297"/>
      <c r="G1" s="297"/>
      <c r="H1" s="297"/>
      <c r="I1" s="297"/>
      <c r="J1" s="297"/>
      <c r="K1" s="297"/>
      <c r="L1" s="297"/>
    </row>
    <row r="2" spans="1:15" customFormat="1" x14ac:dyDescent="0.35">
      <c r="A2" s="86"/>
      <c r="B2" s="295" t="str">
        <f>'CRM Rates'!A2</f>
        <v>2021 Gas Schedule 149 Cost Recovery Mechanism For Pipeline Replacement (CRM) Filing (Preliminary)</v>
      </c>
      <c r="C2" s="295"/>
      <c r="D2" s="295"/>
      <c r="E2" s="295"/>
      <c r="F2" s="295"/>
      <c r="G2" s="295"/>
      <c r="H2" s="295"/>
      <c r="I2" s="295"/>
      <c r="J2" s="295"/>
      <c r="K2" s="295"/>
      <c r="L2" s="295"/>
      <c r="M2" s="86"/>
      <c r="N2" s="86"/>
    </row>
    <row r="3" spans="1:15" customFormat="1" x14ac:dyDescent="0.35">
      <c r="A3" s="86"/>
      <c r="B3" s="502" t="s">
        <v>312</v>
      </c>
      <c r="C3" s="502"/>
      <c r="D3" s="502"/>
      <c r="E3" s="502"/>
      <c r="F3" s="502"/>
      <c r="G3" s="502"/>
      <c r="H3" s="502"/>
      <c r="I3" s="502"/>
      <c r="J3" s="502"/>
      <c r="K3" s="298"/>
      <c r="L3" s="298"/>
      <c r="M3" s="86"/>
      <c r="N3" s="86"/>
    </row>
    <row r="4" spans="1:15" customFormat="1" x14ac:dyDescent="0.35">
      <c r="A4" s="86"/>
      <c r="B4" s="87"/>
      <c r="C4" s="86"/>
      <c r="D4" s="86"/>
      <c r="E4" s="86"/>
      <c r="F4" s="86"/>
      <c r="G4" s="86"/>
      <c r="H4" s="86"/>
      <c r="I4" s="86"/>
      <c r="J4" s="86"/>
      <c r="K4" s="86"/>
      <c r="L4" s="86"/>
      <c r="M4" s="86"/>
      <c r="N4" s="86"/>
    </row>
    <row r="5" spans="1:15" customFormat="1" x14ac:dyDescent="0.35">
      <c r="A5" s="86"/>
      <c r="B5" s="86"/>
      <c r="C5" s="86"/>
      <c r="D5" s="86"/>
      <c r="E5" s="86"/>
      <c r="F5" s="88"/>
      <c r="G5" s="88" t="s">
        <v>116</v>
      </c>
      <c r="H5" s="88" t="s">
        <v>117</v>
      </c>
      <c r="I5" s="88"/>
      <c r="J5" s="88" t="s">
        <v>118</v>
      </c>
      <c r="K5" s="88" t="s">
        <v>119</v>
      </c>
      <c r="L5" s="88"/>
      <c r="M5" s="86"/>
      <c r="N5" s="86"/>
    </row>
    <row r="6" spans="1:15" customFormat="1" x14ac:dyDescent="0.35">
      <c r="A6" s="86"/>
      <c r="B6" s="86"/>
      <c r="C6" s="86"/>
      <c r="D6" s="88" t="s">
        <v>120</v>
      </c>
      <c r="E6" s="86"/>
      <c r="F6" s="88" t="s">
        <v>135</v>
      </c>
      <c r="G6" s="88" t="s">
        <v>122</v>
      </c>
      <c r="H6" s="88" t="s">
        <v>123</v>
      </c>
      <c r="I6" s="88" t="s">
        <v>124</v>
      </c>
      <c r="J6" s="88" t="s">
        <v>125</v>
      </c>
      <c r="K6" s="88" t="s">
        <v>126</v>
      </c>
      <c r="L6" s="88"/>
      <c r="M6" s="86"/>
      <c r="N6" s="86"/>
    </row>
    <row r="7" spans="1:15" customFormat="1" x14ac:dyDescent="0.35">
      <c r="A7" s="86"/>
      <c r="B7" s="86"/>
      <c r="C7" s="86"/>
      <c r="D7" s="89" t="s">
        <v>127</v>
      </c>
      <c r="E7" s="89" t="s">
        <v>90</v>
      </c>
      <c r="F7" s="89" t="s">
        <v>128</v>
      </c>
      <c r="G7" s="89" t="s">
        <v>129</v>
      </c>
      <c r="H7" s="89" t="s">
        <v>130</v>
      </c>
      <c r="I7" s="89" t="s">
        <v>131</v>
      </c>
      <c r="J7" s="89" t="s">
        <v>131</v>
      </c>
      <c r="K7" s="89" t="s">
        <v>131</v>
      </c>
      <c r="L7" s="89" t="s">
        <v>132</v>
      </c>
      <c r="M7" s="86"/>
      <c r="N7" s="186" t="s">
        <v>104</v>
      </c>
      <c r="O7" s="186" t="s">
        <v>260</v>
      </c>
    </row>
    <row r="8" spans="1:15" customFormat="1" x14ac:dyDescent="0.35">
      <c r="A8" s="86"/>
      <c r="B8" s="91" t="s">
        <v>136</v>
      </c>
      <c r="C8" s="86"/>
      <c r="D8" s="86"/>
      <c r="E8" s="97"/>
      <c r="F8" s="97"/>
      <c r="G8" s="97"/>
      <c r="H8" s="97"/>
      <c r="I8" s="97"/>
      <c r="J8" s="97"/>
      <c r="K8" s="97"/>
      <c r="L8" s="97"/>
      <c r="M8" s="86"/>
      <c r="N8" s="187"/>
    </row>
    <row r="9" spans="1:15" customFormat="1" x14ac:dyDescent="0.35">
      <c r="A9" s="86"/>
      <c r="B9" s="86"/>
      <c r="C9" s="178" t="s">
        <v>233</v>
      </c>
      <c r="D9" s="182">
        <v>376</v>
      </c>
      <c r="E9" s="117">
        <f>('2020TrueUp'!$F$14+'2020TrueUp'!$F$20)*'Summary 2020'!O15</f>
        <v>-20948.464628564881</v>
      </c>
      <c r="F9" s="98">
        <f>$E$9*'Allocation Factors'!E12</f>
        <v>-13781.408991061733</v>
      </c>
      <c r="G9" s="98">
        <f>$E$9*'Allocation Factors'!F12</f>
        <v>-5018.7260625182635</v>
      </c>
      <c r="H9" s="98">
        <f>$E$9*'Allocation Factors'!G12</f>
        <v>-1104.1379203340002</v>
      </c>
      <c r="I9" s="98">
        <f>$E$9*'Allocation Factors'!H12</f>
        <v>-537.79855730466102</v>
      </c>
      <c r="J9" s="98">
        <f>$E$9*'Allocation Factors'!I12</f>
        <v>-57.914189967133652</v>
      </c>
      <c r="K9" s="98">
        <f>$E$9*'Allocation Factors'!J12</f>
        <v>-420.70487316300125</v>
      </c>
      <c r="L9" s="98">
        <f>$E$9*'Allocation Factors'!K12</f>
        <v>-27.774034216086761</v>
      </c>
      <c r="M9" s="86"/>
      <c r="N9" s="187">
        <f t="shared" ref="N9:N16" si="0">SUM(F9:L9)-E9</f>
        <v>0</v>
      </c>
    </row>
    <row r="10" spans="1:15" customFormat="1" x14ac:dyDescent="0.35">
      <c r="A10" s="86"/>
      <c r="B10" s="86"/>
      <c r="C10" s="178" t="s">
        <v>234</v>
      </c>
      <c r="D10" s="182">
        <v>380</v>
      </c>
      <c r="E10" s="117">
        <f>('2020TrueUp'!F14+'2020TrueUp'!F20)*'Summary 2020'!O16</f>
        <v>-1554.4806521255618</v>
      </c>
      <c r="F10" s="98">
        <f>$E$10*'Allocation Factors'!E17</f>
        <v>-894.57410840674788</v>
      </c>
      <c r="G10" s="98">
        <f>$E$10*'Allocation Factors'!F17</f>
        <v>-632.1916334227634</v>
      </c>
      <c r="H10" s="224">
        <f>$E$10*'Allocation Factors'!G17</f>
        <v>-11.231205503153125</v>
      </c>
      <c r="I10" s="224">
        <f>$E$10*'Allocation Factors'!H17</f>
        <v>-11.274595423665232</v>
      </c>
      <c r="J10" s="224">
        <f>$E$10*'Allocation Factors'!I17</f>
        <v>-1.7770730409371087</v>
      </c>
      <c r="K10" s="224">
        <f>$E$10*'Allocation Factors'!J17</f>
        <v>-1.4509817297774004</v>
      </c>
      <c r="L10" s="224">
        <f>$E$10*'Allocation Factors'!K17</f>
        <v>-1.981054598518097</v>
      </c>
      <c r="M10" s="86"/>
      <c r="N10" s="187">
        <f t="shared" si="0"/>
        <v>0</v>
      </c>
    </row>
    <row r="11" spans="1:15" customFormat="1" x14ac:dyDescent="0.35">
      <c r="A11" s="86"/>
      <c r="B11" s="86"/>
      <c r="C11" s="86" t="s">
        <v>90</v>
      </c>
      <c r="D11" s="176"/>
      <c r="E11" s="99">
        <f>SUM(E9:E10)</f>
        <v>-22502.945280690445</v>
      </c>
      <c r="F11" s="99">
        <f t="shared" ref="F11:L11" si="1">SUM(F9:F10)</f>
        <v>-14675.983099468482</v>
      </c>
      <c r="G11" s="99">
        <f t="shared" si="1"/>
        <v>-5650.917695941027</v>
      </c>
      <c r="H11" s="99">
        <f t="shared" si="1"/>
        <v>-1115.3691258371534</v>
      </c>
      <c r="I11" s="99">
        <f t="shared" si="1"/>
        <v>-549.07315272832625</v>
      </c>
      <c r="J11" s="99">
        <f t="shared" si="1"/>
        <v>-59.691263008070763</v>
      </c>
      <c r="K11" s="99">
        <f t="shared" si="1"/>
        <v>-422.15585489277868</v>
      </c>
      <c r="L11" s="99">
        <f t="shared" si="1"/>
        <v>-29.755088814604857</v>
      </c>
      <c r="M11" s="86"/>
      <c r="N11" s="187">
        <f t="shared" si="0"/>
        <v>0</v>
      </c>
    </row>
    <row r="12" spans="1:15" customFormat="1" x14ac:dyDescent="0.35">
      <c r="A12" s="86"/>
      <c r="B12" s="86"/>
      <c r="C12" s="86"/>
      <c r="D12" s="176"/>
      <c r="E12" s="97"/>
      <c r="F12" s="97"/>
      <c r="G12" s="97"/>
      <c r="H12" s="97"/>
      <c r="I12" s="97"/>
      <c r="J12" s="97"/>
      <c r="K12" s="97"/>
      <c r="L12" s="97"/>
      <c r="M12" s="86"/>
      <c r="N12" s="187"/>
    </row>
    <row r="13" spans="1:15" s="91" customFormat="1" x14ac:dyDescent="0.35">
      <c r="B13" s="91" t="s">
        <v>53</v>
      </c>
      <c r="D13" s="182"/>
      <c r="E13" s="93"/>
      <c r="F13" s="93"/>
      <c r="G13" s="93"/>
      <c r="H13" s="93"/>
      <c r="I13" s="93"/>
      <c r="J13" s="93"/>
      <c r="K13" s="93"/>
      <c r="L13" s="93"/>
      <c r="N13" s="187"/>
    </row>
    <row r="14" spans="1:15" s="91" customFormat="1" x14ac:dyDescent="0.35">
      <c r="C14" s="178" t="s">
        <v>233</v>
      </c>
      <c r="D14" s="182">
        <v>376</v>
      </c>
      <c r="E14" s="503">
        <f>'2020TrueUp'!F12*'Summary 2020'!I26</f>
        <v>-4021.9767724516</v>
      </c>
      <c r="F14" s="100">
        <f>$E$14*'Allocation Factors'!E12</f>
        <v>-2645.9460316783693</v>
      </c>
      <c r="G14" s="100">
        <f>$E$14*'Allocation Factors'!F12</f>
        <v>-963.56463390743306</v>
      </c>
      <c r="H14" s="100">
        <f>$E$14*'Allocation Factors'!G12</f>
        <v>-211.98771117148894</v>
      </c>
      <c r="I14" s="100">
        <f>$E$14*'Allocation Factors'!H12</f>
        <v>-103.2540257288302</v>
      </c>
      <c r="J14" s="100">
        <f>$E$14*'Allocation Factors'!I12</f>
        <v>-11.1191693984839</v>
      </c>
      <c r="K14" s="100">
        <f>$E$14*'Allocation Factors'!J12</f>
        <v>-80.772756281695379</v>
      </c>
      <c r="L14" s="100">
        <f>$E$14*'Allocation Factors'!K12</f>
        <v>-5.3324442852988998</v>
      </c>
      <c r="N14" s="187">
        <f t="shared" si="0"/>
        <v>0</v>
      </c>
    </row>
    <row r="15" spans="1:15" s="91" customFormat="1" x14ac:dyDescent="0.35">
      <c r="C15" s="178" t="s">
        <v>234</v>
      </c>
      <c r="D15" s="182">
        <v>380</v>
      </c>
      <c r="E15" s="503">
        <f>'2020TrueUp'!F12*'Summary 2020'!I27</f>
        <v>-390.31205849273715</v>
      </c>
      <c r="F15" s="100">
        <f>$E$15*'Allocation Factors'!E17</f>
        <v>-224.61718082441556</v>
      </c>
      <c r="G15" s="100">
        <f>$E$15*'Allocation Factors'!F17</f>
        <v>-158.7359852087715</v>
      </c>
      <c r="H15" s="225">
        <f>$E$15*'Allocation Factors'!G17</f>
        <v>-2.8200254106067613</v>
      </c>
      <c r="I15" s="225">
        <f>$E$15*'Allocation Factors'!H17</f>
        <v>-2.8309201162885334</v>
      </c>
      <c r="J15" s="225">
        <f>$E$15*'Allocation Factors'!I17</f>
        <v>-0.44620242506825686</v>
      </c>
      <c r="K15" s="225">
        <f>$E$15*'Allocation Factors'!J17</f>
        <v>-0.36432467976386518</v>
      </c>
      <c r="L15" s="225">
        <f>$E$15*'Allocation Factors'!K17</f>
        <v>-0.49741982782275529</v>
      </c>
      <c r="N15" s="187">
        <f t="shared" si="0"/>
        <v>0</v>
      </c>
    </row>
    <row r="16" spans="1:15" s="91" customFormat="1" x14ac:dyDescent="0.35">
      <c r="C16" s="91" t="s">
        <v>90</v>
      </c>
      <c r="E16" s="94">
        <f>SUM(E14:E15)</f>
        <v>-4412.288830944337</v>
      </c>
      <c r="F16" s="94">
        <f t="shared" ref="F16:L16" si="2">SUM(F14:F15)</f>
        <v>-2870.5632125027851</v>
      </c>
      <c r="G16" s="94">
        <f t="shared" si="2"/>
        <v>-1122.3006191162046</v>
      </c>
      <c r="H16" s="94">
        <f t="shared" si="2"/>
        <v>-214.80773658209571</v>
      </c>
      <c r="I16" s="94">
        <f t="shared" si="2"/>
        <v>-106.08494584511874</v>
      </c>
      <c r="J16" s="94">
        <f t="shared" si="2"/>
        <v>-11.565371823552157</v>
      </c>
      <c r="K16" s="94">
        <f t="shared" si="2"/>
        <v>-81.137080961459247</v>
      </c>
      <c r="L16" s="94">
        <f t="shared" si="2"/>
        <v>-5.8298641131216549</v>
      </c>
      <c r="N16" s="187">
        <f t="shared" si="0"/>
        <v>0</v>
      </c>
    </row>
    <row r="17" spans="1:15" s="91" customFormat="1" x14ac:dyDescent="0.35">
      <c r="E17" s="96"/>
      <c r="F17" s="96"/>
      <c r="G17" s="96"/>
      <c r="H17" s="96"/>
      <c r="I17" s="96"/>
      <c r="J17" s="96"/>
      <c r="K17" s="96"/>
      <c r="L17" s="96"/>
      <c r="N17" s="78"/>
      <c r="O17" s="187">
        <f>(E11+E16)-'2020TrueUp'!F22</f>
        <v>2.3283064365386963E-10</v>
      </c>
    </row>
    <row r="18" spans="1:15" s="91" customFormat="1" x14ac:dyDescent="0.35">
      <c r="B18" s="179" t="s">
        <v>218</v>
      </c>
      <c r="E18" s="93"/>
      <c r="F18" s="93"/>
      <c r="G18" s="93"/>
      <c r="H18" s="93"/>
      <c r="I18" s="93"/>
      <c r="J18" s="93"/>
      <c r="K18" s="93"/>
      <c r="L18" s="93"/>
      <c r="N18" s="78"/>
    </row>
    <row r="19" spans="1:15" s="91" customFormat="1" x14ac:dyDescent="0.35">
      <c r="C19" s="179" t="s">
        <v>235</v>
      </c>
      <c r="D19" s="305">
        <f>'2021 C&amp;OM'!L13</f>
        <v>874</v>
      </c>
      <c r="E19" s="503">
        <f>'Summary 2020'!J6+'Summary 2020'!J8</f>
        <v>-28093.379999999888</v>
      </c>
      <c r="F19" s="100">
        <f>$E$19*'Allocation Factors'!E20</f>
        <v>-17620.822893314595</v>
      </c>
      <c r="G19" s="483">
        <f>$E$19*'Allocation Factors'!F20</f>
        <v>-8476.9017183466658</v>
      </c>
      <c r="H19" s="100">
        <f>$E$19*'Allocation Factors'!G20</f>
        <v>-1005.4154164916397</v>
      </c>
      <c r="I19" s="100">
        <f>$E$19*'Allocation Factors'!H20</f>
        <v>-528.73346785333899</v>
      </c>
      <c r="J19" s="100">
        <f>$E$19*'Allocation Factors'!I20</f>
        <v>-60.722533558126301</v>
      </c>
      <c r="K19" s="100">
        <f>$E$19*'Allocation Factors'!J20</f>
        <v>-364.0742862986649</v>
      </c>
      <c r="L19" s="100">
        <f>$E$19*'Allocation Factors'!K20</f>
        <v>-36.709684136850065</v>
      </c>
      <c r="N19" s="187">
        <f t="shared" ref="N19:N21" si="3">SUM(F19:L19)-E19</f>
        <v>0</v>
      </c>
    </row>
    <row r="20" spans="1:15" s="91" customFormat="1" x14ac:dyDescent="0.35">
      <c r="C20" s="179" t="str">
        <f>'Allocation Factors'!C25&amp;" (FERC "&amp;'Allocation Factors'!B25&amp;")"</f>
        <v>Maint Mains (FERC 887)</v>
      </c>
      <c r="D20" s="305">
        <f>'2021 C&amp;OM'!K13</f>
        <v>887</v>
      </c>
      <c r="E20" s="503">
        <f>'Summary 2020'!J7</f>
        <v>-49844.22</v>
      </c>
      <c r="F20" s="100">
        <f>$E$20*'Allocation Factors'!E26</f>
        <v>-32791.118291494487</v>
      </c>
      <c r="G20" s="100">
        <f>$E$20*'Allocation Factors'!F26</f>
        <v>-11941.423412902006</v>
      </c>
      <c r="H20" s="100">
        <f>$E$20*'Allocation Factors'!G26</f>
        <v>-2627.1564235035148</v>
      </c>
      <c r="I20" s="100">
        <f>$E$20*'Allocation Factors'!H26</f>
        <v>-1279.623594438699</v>
      </c>
      <c r="J20" s="100">
        <f>$E$20*'Allocation Factors'!I26</f>
        <v>-137.79948445039631</v>
      </c>
      <c r="K20" s="100">
        <f>$E$20*'Allocation Factors'!J26</f>
        <v>-1001.0139943342144</v>
      </c>
      <c r="L20" s="100">
        <f>$E$20*'Allocation Factors'!K26</f>
        <v>-66.084798876689604</v>
      </c>
      <c r="N20" s="187">
        <f t="shared" si="3"/>
        <v>0</v>
      </c>
    </row>
    <row r="21" spans="1:15" s="91" customFormat="1" x14ac:dyDescent="0.35">
      <c r="C21" s="179" t="s">
        <v>90</v>
      </c>
      <c r="E21" s="498">
        <f t="shared" ref="E21:L21" si="4">SUM(E19:E20)</f>
        <v>-77937.599999999889</v>
      </c>
      <c r="F21" s="94">
        <f t="shared" si="4"/>
        <v>-50411.941184809082</v>
      </c>
      <c r="G21" s="94">
        <f t="shared" si="4"/>
        <v>-20418.325131248672</v>
      </c>
      <c r="H21" s="94">
        <f t="shared" si="4"/>
        <v>-3632.5718399951547</v>
      </c>
      <c r="I21" s="94">
        <f t="shared" si="4"/>
        <v>-1808.3570622920379</v>
      </c>
      <c r="J21" s="94">
        <f t="shared" si="4"/>
        <v>-198.52201800852259</v>
      </c>
      <c r="K21" s="94">
        <f t="shared" si="4"/>
        <v>-1365.0882806328793</v>
      </c>
      <c r="L21" s="94">
        <f t="shared" si="4"/>
        <v>-102.79448301353966</v>
      </c>
      <c r="N21" s="187">
        <f t="shared" si="3"/>
        <v>0</v>
      </c>
      <c r="O21" s="187">
        <f>E21-'Summary 2020'!J9</f>
        <v>2.0372681319713593E-10</v>
      </c>
    </row>
    <row r="22" spans="1:15" s="91" customFormat="1" x14ac:dyDescent="0.35">
      <c r="E22" s="93"/>
      <c r="F22" s="93"/>
      <c r="G22" s="93"/>
      <c r="H22" s="93"/>
      <c r="I22" s="93"/>
      <c r="J22" s="93"/>
      <c r="K22" s="93"/>
      <c r="L22" s="93"/>
      <c r="N22" s="78"/>
    </row>
    <row r="23" spans="1:15" s="91" customFormat="1" x14ac:dyDescent="0.35">
      <c r="B23" s="91" t="s">
        <v>137</v>
      </c>
      <c r="E23" s="93">
        <f t="shared" ref="E23:L23" si="5">E11+E16+E21</f>
        <v>-104852.83411163467</v>
      </c>
      <c r="F23" s="93">
        <f t="shared" si="5"/>
        <v>-67958.487496780348</v>
      </c>
      <c r="G23" s="93">
        <f t="shared" si="5"/>
        <v>-27191.543446305903</v>
      </c>
      <c r="H23" s="93">
        <f t="shared" si="5"/>
        <v>-4962.7487024144039</v>
      </c>
      <c r="I23" s="93">
        <f t="shared" si="5"/>
        <v>-2463.5151608654828</v>
      </c>
      <c r="J23" s="93">
        <f t="shared" si="5"/>
        <v>-269.77865284014553</v>
      </c>
      <c r="K23" s="93">
        <f t="shared" si="5"/>
        <v>-1868.3812164871174</v>
      </c>
      <c r="L23" s="93">
        <f t="shared" si="5"/>
        <v>-138.37943594126617</v>
      </c>
      <c r="M23" s="93"/>
      <c r="N23" s="187">
        <f t="shared" ref="N23" si="6">SUM(F23:L23)-E23</f>
        <v>0</v>
      </c>
      <c r="O23" s="187"/>
    </row>
    <row r="24" spans="1:15" s="91" customFormat="1" x14ac:dyDescent="0.35">
      <c r="B24" s="91" t="s">
        <v>138</v>
      </c>
      <c r="E24" s="1">
        <f>'2019 GRC'!$J$18</f>
        <v>0.95455299999999998</v>
      </c>
      <c r="F24" s="93"/>
      <c r="G24" s="93"/>
      <c r="H24" s="93"/>
      <c r="I24" s="93"/>
      <c r="J24" s="93"/>
      <c r="K24" s="93"/>
      <c r="L24" s="93"/>
      <c r="N24" s="78"/>
    </row>
    <row r="25" spans="1:15" s="91" customFormat="1" x14ac:dyDescent="0.35">
      <c r="B25" s="92" t="s">
        <v>139</v>
      </c>
      <c r="C25" s="92"/>
      <c r="D25" s="92"/>
      <c r="E25" s="101">
        <f>E23/$E$24</f>
        <v>-109844.95791394995</v>
      </c>
      <c r="F25" s="101">
        <f t="shared" ref="F25:L25" si="7">F23/$E$24</f>
        <v>-71194.043177047628</v>
      </c>
      <c r="G25" s="101">
        <f t="shared" si="7"/>
        <v>-28486.153672248583</v>
      </c>
      <c r="H25" s="101">
        <f t="shared" si="7"/>
        <v>-5199.0289721098816</v>
      </c>
      <c r="I25" s="101">
        <f t="shared" si="7"/>
        <v>-2580.8050059718871</v>
      </c>
      <c r="J25" s="101">
        <f t="shared" si="7"/>
        <v>-282.62302128865082</v>
      </c>
      <c r="K25" s="101">
        <f t="shared" si="7"/>
        <v>-1957.3362783283039</v>
      </c>
      <c r="L25" s="101">
        <f t="shared" si="7"/>
        <v>-144.96778695501052</v>
      </c>
      <c r="N25" s="187">
        <f t="shared" ref="N25" si="8">SUM(F25:L25)-E25</f>
        <v>0</v>
      </c>
      <c r="O25" s="187">
        <f>E25-'2020TrueUp'!F6</f>
        <v>4.5110937207937241E-10</v>
      </c>
    </row>
    <row r="26" spans="1:15" s="91" customFormat="1" x14ac:dyDescent="0.35">
      <c r="F26" s="93"/>
      <c r="G26" s="93"/>
      <c r="H26" s="93"/>
      <c r="I26" s="93"/>
      <c r="J26" s="93"/>
      <c r="K26" s="93"/>
      <c r="L26" s="93"/>
    </row>
    <row r="27" spans="1:15" customFormat="1" x14ac:dyDescent="0.35">
      <c r="A27" s="86"/>
      <c r="B27" s="86" t="s">
        <v>140</v>
      </c>
      <c r="C27" s="86"/>
      <c r="D27" s="86"/>
      <c r="E27" s="102">
        <f>SUM(F27:L27)</f>
        <v>0.99999999999999989</v>
      </c>
      <c r="F27" s="102">
        <f>F25/$E25</f>
        <v>0.64813209936153304</v>
      </c>
      <c r="G27" s="102">
        <f t="shared" ref="G27:L27" si="9">G25/$E25</f>
        <v>0.25933055292864682</v>
      </c>
      <c r="H27" s="102">
        <f t="shared" si="9"/>
        <v>4.7330610988832851E-2</v>
      </c>
      <c r="I27" s="102">
        <f t="shared" si="9"/>
        <v>2.3494979241501745E-2</v>
      </c>
      <c r="J27" s="102">
        <f t="shared" si="9"/>
        <v>2.5729266655102299E-3</v>
      </c>
      <c r="K27" s="102">
        <f t="shared" si="9"/>
        <v>1.7819081690227754E-2</v>
      </c>
      <c r="L27" s="102">
        <f t="shared" si="9"/>
        <v>1.3197491237474459E-3</v>
      </c>
      <c r="M27" s="86"/>
      <c r="N27" s="86"/>
    </row>
    <row r="28" spans="1:15" customFormat="1" x14ac:dyDescent="0.35">
      <c r="A28" s="86"/>
      <c r="B28" s="86"/>
      <c r="C28" s="86"/>
      <c r="D28" s="86"/>
      <c r="E28" s="86"/>
      <c r="F28" s="90"/>
      <c r="G28" s="90"/>
      <c r="H28" s="90"/>
      <c r="I28" s="90"/>
      <c r="J28" s="90"/>
      <c r="K28" s="90"/>
      <c r="L28" s="90"/>
      <c r="M28" s="86"/>
      <c r="N28" s="86"/>
    </row>
    <row r="29" spans="1:15" customFormat="1" x14ac:dyDescent="0.35">
      <c r="A29" s="86"/>
      <c r="B29" s="86"/>
      <c r="C29" s="86"/>
      <c r="D29" s="86"/>
      <c r="E29" s="86"/>
      <c r="F29" s="86"/>
      <c r="G29" s="86"/>
      <c r="H29" s="86"/>
      <c r="I29" s="86"/>
      <c r="J29" s="86"/>
      <c r="K29" s="86"/>
      <c r="L29" s="86"/>
      <c r="M29" s="86"/>
      <c r="N29" s="86"/>
    </row>
    <row r="30" spans="1:15" customFormat="1" x14ac:dyDescent="0.35">
      <c r="A30" s="86"/>
      <c r="B30" s="86"/>
      <c r="C30" s="86"/>
      <c r="D30" s="86"/>
      <c r="E30" s="86"/>
      <c r="F30" s="86"/>
      <c r="G30" s="86"/>
      <c r="H30" s="86"/>
      <c r="I30" s="86"/>
      <c r="J30" s="86"/>
      <c r="K30" s="86"/>
      <c r="L30" s="86"/>
      <c r="M30" s="86"/>
      <c r="N30" s="86"/>
    </row>
    <row r="31" spans="1:15" customFormat="1" x14ac:dyDescent="0.35">
      <c r="A31" s="86"/>
      <c r="B31" s="86"/>
      <c r="C31" s="86"/>
      <c r="D31" s="86"/>
      <c r="E31" s="86"/>
      <c r="F31" s="86"/>
      <c r="G31" s="86"/>
      <c r="H31" s="86"/>
      <c r="I31" s="86"/>
      <c r="J31" s="86"/>
      <c r="K31" s="86"/>
      <c r="L31" s="86"/>
      <c r="M31" s="86"/>
      <c r="N31" s="86"/>
    </row>
    <row r="32" spans="1:15" customFormat="1" x14ac:dyDescent="0.35">
      <c r="A32" s="86"/>
      <c r="B32" s="86"/>
      <c r="C32" s="86"/>
      <c r="D32" s="86"/>
      <c r="E32" s="86"/>
      <c r="F32" s="86"/>
      <c r="G32" s="86"/>
      <c r="H32" s="86"/>
      <c r="I32" s="86"/>
      <c r="J32" s="86"/>
      <c r="K32" s="86"/>
      <c r="L32" s="86"/>
      <c r="M32" s="86"/>
      <c r="N32" s="86"/>
    </row>
    <row r="33" spans="1:14" customFormat="1" x14ac:dyDescent="0.35">
      <c r="A33" s="86"/>
      <c r="B33" s="86"/>
      <c r="C33" s="86"/>
      <c r="D33" s="86"/>
      <c r="E33" s="86"/>
      <c r="F33" s="86"/>
      <c r="G33" s="86"/>
      <c r="H33" s="86"/>
      <c r="I33" s="86"/>
      <c r="J33" s="86"/>
      <c r="K33" s="86"/>
      <c r="L33" s="86"/>
      <c r="M33" s="86"/>
      <c r="N33" s="86"/>
    </row>
    <row r="34" spans="1:14" customFormat="1" x14ac:dyDescent="0.35">
      <c r="A34" s="86"/>
      <c r="B34" s="86"/>
      <c r="C34" s="86"/>
      <c r="D34" s="86"/>
      <c r="E34" s="86"/>
      <c r="F34" s="86"/>
      <c r="G34" s="86"/>
      <c r="H34" s="86"/>
      <c r="I34" s="86"/>
      <c r="J34" s="86"/>
      <c r="K34" s="86"/>
      <c r="L34" s="86"/>
      <c r="M34" s="86"/>
      <c r="N34" s="86"/>
    </row>
    <row r="35" spans="1:14" customFormat="1" x14ac:dyDescent="0.35">
      <c r="A35" s="86"/>
      <c r="B35" s="86"/>
      <c r="C35" s="86"/>
      <c r="D35" s="86"/>
      <c r="E35" s="86"/>
      <c r="F35" s="86"/>
      <c r="G35" s="86"/>
      <c r="H35" s="86"/>
      <c r="I35" s="86"/>
      <c r="J35" s="86"/>
      <c r="K35" s="86"/>
      <c r="L35" s="86"/>
      <c r="M35" s="86"/>
      <c r="N35" s="86"/>
    </row>
    <row r="36" spans="1:14" customFormat="1" x14ac:dyDescent="0.35">
      <c r="A36" s="86"/>
      <c r="B36" s="86"/>
      <c r="C36" s="86"/>
      <c r="D36" s="86"/>
      <c r="E36" s="86"/>
      <c r="F36" s="86"/>
      <c r="G36" s="86"/>
      <c r="H36" s="86"/>
      <c r="I36" s="86"/>
      <c r="J36" s="86"/>
      <c r="K36" s="86"/>
      <c r="L36" s="86"/>
      <c r="M36" s="86"/>
      <c r="N36" s="86"/>
    </row>
    <row r="37" spans="1:14" customFormat="1" x14ac:dyDescent="0.35">
      <c r="A37" s="86"/>
      <c r="B37" s="86"/>
      <c r="C37" s="86"/>
      <c r="D37" s="86"/>
      <c r="E37" s="86"/>
      <c r="F37" s="86"/>
      <c r="G37" s="86"/>
      <c r="H37" s="86"/>
      <c r="I37" s="86"/>
      <c r="J37" s="86"/>
      <c r="K37" s="86"/>
      <c r="L37" s="86"/>
      <c r="M37" s="86"/>
      <c r="N37" s="86"/>
    </row>
    <row r="38" spans="1:14" customFormat="1" x14ac:dyDescent="0.35">
      <c r="A38" s="86"/>
      <c r="B38" s="86"/>
      <c r="C38" s="86"/>
      <c r="D38" s="86"/>
      <c r="E38" s="86"/>
      <c r="F38" s="86"/>
      <c r="G38" s="86"/>
      <c r="H38" s="86"/>
      <c r="I38" s="86"/>
      <c r="J38" s="86"/>
      <c r="K38" s="86"/>
      <c r="L38" s="86"/>
      <c r="M38" s="86"/>
      <c r="N38" s="86"/>
    </row>
    <row r="39" spans="1:14" customFormat="1" x14ac:dyDescent="0.35">
      <c r="A39" s="86"/>
      <c r="B39" s="86"/>
      <c r="C39" s="86"/>
      <c r="D39" s="86"/>
      <c r="E39" s="86"/>
      <c r="F39" s="86"/>
      <c r="G39" s="86"/>
      <c r="H39" s="86"/>
      <c r="I39" s="86"/>
      <c r="J39" s="86"/>
      <c r="K39" s="86"/>
      <c r="L39" s="86"/>
      <c r="M39" s="86"/>
      <c r="N39" s="86"/>
    </row>
    <row r="40" spans="1:14" customFormat="1" x14ac:dyDescent="0.35">
      <c r="A40" s="86"/>
      <c r="B40" s="86"/>
      <c r="C40" s="86"/>
      <c r="D40" s="86"/>
      <c r="E40" s="86"/>
      <c r="F40" s="86"/>
      <c r="G40" s="86"/>
      <c r="H40" s="86"/>
      <c r="I40" s="86"/>
      <c r="J40" s="86"/>
      <c r="K40" s="86"/>
      <c r="L40" s="86"/>
      <c r="M40" s="86"/>
      <c r="N40" s="86"/>
    </row>
    <row r="41" spans="1:14" customFormat="1" x14ac:dyDescent="0.35">
      <c r="A41" s="86"/>
      <c r="B41" s="86"/>
      <c r="C41" s="86"/>
      <c r="D41" s="86"/>
      <c r="E41" s="86"/>
      <c r="F41" s="86"/>
      <c r="G41" s="86"/>
      <c r="H41" s="86"/>
      <c r="I41" s="86"/>
      <c r="J41" s="86"/>
      <c r="K41" s="86"/>
      <c r="L41" s="86"/>
      <c r="M41" s="86"/>
      <c r="N41" s="86"/>
    </row>
    <row r="42" spans="1:14" customFormat="1" x14ac:dyDescent="0.35">
      <c r="A42" s="86"/>
      <c r="B42" s="86"/>
      <c r="C42" s="86"/>
      <c r="D42" s="86"/>
      <c r="E42" s="86"/>
      <c r="F42" s="86"/>
      <c r="G42" s="86"/>
      <c r="H42" s="86"/>
      <c r="I42" s="86"/>
      <c r="J42" s="86"/>
      <c r="K42" s="86"/>
      <c r="L42" s="86"/>
      <c r="M42" s="86"/>
      <c r="N42" s="86"/>
    </row>
    <row r="43" spans="1:14" customFormat="1" x14ac:dyDescent="0.35">
      <c r="A43" s="86"/>
      <c r="B43" s="86"/>
      <c r="C43" s="86"/>
      <c r="D43" s="86"/>
      <c r="E43" s="86"/>
      <c r="F43" s="86"/>
      <c r="G43" s="86"/>
      <c r="H43" s="86"/>
      <c r="I43" s="86"/>
      <c r="J43" s="86"/>
      <c r="K43" s="86"/>
      <c r="L43" s="86"/>
      <c r="M43" s="86"/>
      <c r="N43" s="86"/>
    </row>
    <row r="44" spans="1:14" customFormat="1" x14ac:dyDescent="0.35">
      <c r="A44" s="86"/>
      <c r="B44" s="86"/>
      <c r="C44" s="86"/>
      <c r="D44" s="86"/>
      <c r="E44" s="86"/>
      <c r="F44" s="86"/>
      <c r="G44" s="86"/>
      <c r="H44" s="86"/>
      <c r="I44" s="86"/>
      <c r="J44" s="86"/>
      <c r="K44" s="86"/>
      <c r="L44" s="86"/>
      <c r="M44" s="86"/>
      <c r="N44" s="86"/>
    </row>
    <row r="45" spans="1:14" customFormat="1" x14ac:dyDescent="0.35">
      <c r="A45" s="86"/>
      <c r="B45" s="86"/>
      <c r="C45" s="86"/>
      <c r="D45" s="86"/>
      <c r="E45" s="86"/>
      <c r="F45" s="86"/>
      <c r="G45" s="86"/>
      <c r="H45" s="86"/>
      <c r="I45" s="86"/>
      <c r="J45" s="86"/>
      <c r="K45" s="86"/>
      <c r="L45" s="86"/>
      <c r="M45" s="86"/>
      <c r="N45" s="86"/>
    </row>
    <row r="46" spans="1:14" customFormat="1" x14ac:dyDescent="0.35">
      <c r="A46" s="86"/>
      <c r="B46" s="86"/>
      <c r="C46" s="86"/>
      <c r="D46" s="86"/>
      <c r="E46" s="86"/>
      <c r="F46" s="86"/>
      <c r="G46" s="86"/>
      <c r="H46" s="86"/>
      <c r="I46" s="86"/>
      <c r="J46" s="86"/>
      <c r="K46" s="86"/>
      <c r="L46" s="86"/>
      <c r="M46" s="86"/>
      <c r="N46" s="86"/>
    </row>
    <row r="47" spans="1:14" customFormat="1" x14ac:dyDescent="0.35">
      <c r="A47" s="86"/>
      <c r="B47" s="86"/>
      <c r="C47" s="86"/>
      <c r="D47" s="86"/>
      <c r="E47" s="86"/>
      <c r="F47" s="86"/>
      <c r="G47" s="86"/>
      <c r="H47" s="86"/>
      <c r="I47" s="86"/>
      <c r="J47" s="86"/>
      <c r="K47" s="86"/>
      <c r="L47" s="86"/>
      <c r="M47" s="86"/>
      <c r="N47" s="86"/>
    </row>
    <row r="48" spans="1:14" customFormat="1" x14ac:dyDescent="0.35">
      <c r="A48" s="86"/>
      <c r="B48" s="86"/>
      <c r="C48" s="86"/>
      <c r="D48" s="86"/>
      <c r="E48" s="86"/>
      <c r="F48" s="86"/>
      <c r="G48" s="86"/>
      <c r="H48" s="86"/>
      <c r="I48" s="86"/>
      <c r="J48" s="86"/>
      <c r="K48" s="86"/>
      <c r="L48" s="86"/>
      <c r="M48" s="86"/>
      <c r="N48" s="86"/>
    </row>
    <row r="49" spans="1:14" customFormat="1" x14ac:dyDescent="0.35">
      <c r="A49" s="86"/>
      <c r="B49" s="86"/>
      <c r="C49" s="86"/>
      <c r="D49" s="86"/>
      <c r="E49" s="86"/>
      <c r="F49" s="86"/>
      <c r="G49" s="86"/>
      <c r="H49" s="86"/>
      <c r="I49" s="86"/>
      <c r="J49" s="86"/>
      <c r="K49" s="86"/>
      <c r="L49" s="86"/>
      <c r="M49" s="86"/>
      <c r="N49" s="86"/>
    </row>
    <row r="50" spans="1:14" customFormat="1" x14ac:dyDescent="0.35">
      <c r="A50" s="86"/>
      <c r="B50" s="86"/>
      <c r="C50" s="86"/>
      <c r="D50" s="86"/>
      <c r="E50" s="86"/>
      <c r="F50" s="86"/>
      <c r="G50" s="86"/>
      <c r="H50" s="86"/>
      <c r="I50" s="86"/>
      <c r="J50" s="86"/>
      <c r="K50" s="86"/>
      <c r="L50" s="86"/>
      <c r="M50" s="86"/>
      <c r="N50" s="86"/>
    </row>
    <row r="51" spans="1:14" customFormat="1" x14ac:dyDescent="0.35">
      <c r="A51" s="86"/>
      <c r="B51" s="86"/>
      <c r="C51" s="86"/>
      <c r="D51" s="86"/>
      <c r="E51" s="86"/>
      <c r="F51" s="86"/>
      <c r="G51" s="86"/>
      <c r="H51" s="86"/>
      <c r="I51" s="86"/>
      <c r="J51" s="86"/>
      <c r="K51" s="86"/>
      <c r="L51" s="86"/>
      <c r="M51" s="86"/>
      <c r="N51" s="86"/>
    </row>
    <row r="52" spans="1:14" customFormat="1" x14ac:dyDescent="0.35">
      <c r="A52" s="86"/>
      <c r="B52" s="86"/>
      <c r="C52" s="86"/>
      <c r="D52" s="86"/>
      <c r="E52" s="86"/>
      <c r="F52" s="86"/>
      <c r="G52" s="86"/>
      <c r="H52" s="86"/>
      <c r="I52" s="86"/>
      <c r="J52" s="86"/>
      <c r="K52" s="86"/>
      <c r="L52" s="86"/>
      <c r="M52" s="86"/>
      <c r="N52" s="86"/>
    </row>
    <row r="53" spans="1:14" customFormat="1" x14ac:dyDescent="0.35">
      <c r="A53" s="86"/>
      <c r="B53" s="86"/>
      <c r="C53" s="86"/>
      <c r="D53" s="86"/>
      <c r="E53" s="86"/>
      <c r="F53" s="86"/>
      <c r="G53" s="86"/>
      <c r="H53" s="86"/>
      <c r="I53" s="86"/>
      <c r="J53" s="86"/>
      <c r="K53" s="86"/>
      <c r="L53" s="86"/>
      <c r="M53" s="86"/>
      <c r="N53" s="86"/>
    </row>
    <row r="54" spans="1:14" customFormat="1" x14ac:dyDescent="0.35">
      <c r="A54" s="86"/>
      <c r="B54" s="86"/>
      <c r="C54" s="86"/>
      <c r="D54" s="86"/>
      <c r="E54" s="86"/>
      <c r="F54" s="86"/>
      <c r="G54" s="86"/>
      <c r="H54" s="86"/>
      <c r="I54" s="86"/>
      <c r="J54" s="86"/>
      <c r="K54" s="86"/>
      <c r="L54" s="86"/>
      <c r="M54" s="86"/>
      <c r="N54" s="86"/>
    </row>
    <row r="55" spans="1:14" customFormat="1" x14ac:dyDescent="0.35">
      <c r="A55" s="86"/>
      <c r="B55" s="86"/>
      <c r="C55" s="86"/>
      <c r="D55" s="86"/>
      <c r="E55" s="86"/>
      <c r="F55" s="86"/>
      <c r="G55" s="86"/>
      <c r="H55" s="86"/>
      <c r="I55" s="86"/>
      <c r="J55" s="86"/>
      <c r="K55" s="86"/>
      <c r="L55" s="86"/>
      <c r="M55" s="86"/>
      <c r="N55" s="86"/>
    </row>
    <row r="56" spans="1:14" customFormat="1" x14ac:dyDescent="0.35">
      <c r="A56" s="86"/>
      <c r="B56" s="86"/>
      <c r="C56" s="86"/>
      <c r="D56" s="86"/>
      <c r="E56" s="86"/>
      <c r="F56" s="86"/>
      <c r="G56" s="86"/>
      <c r="H56" s="86"/>
      <c r="I56" s="86"/>
      <c r="J56" s="86"/>
      <c r="K56" s="86"/>
      <c r="L56" s="86"/>
      <c r="M56" s="86"/>
      <c r="N56" s="86"/>
    </row>
    <row r="57" spans="1:14" customFormat="1" x14ac:dyDescent="0.35">
      <c r="A57" s="86"/>
      <c r="B57" s="86"/>
      <c r="C57" s="86"/>
      <c r="D57" s="86"/>
      <c r="E57" s="86"/>
      <c r="F57" s="86"/>
      <c r="G57" s="86"/>
      <c r="H57" s="86"/>
      <c r="I57" s="86"/>
      <c r="J57" s="86"/>
      <c r="K57" s="86"/>
      <c r="L57" s="86"/>
      <c r="M57" s="86"/>
      <c r="N57" s="86"/>
    </row>
    <row r="58" spans="1:14" customFormat="1" x14ac:dyDescent="0.35">
      <c r="A58" s="86"/>
      <c r="B58" s="86"/>
      <c r="C58" s="86"/>
      <c r="D58" s="86"/>
      <c r="E58" s="86"/>
      <c r="F58" s="86"/>
      <c r="G58" s="86"/>
      <c r="H58" s="86"/>
      <c r="I58" s="86"/>
      <c r="J58" s="86"/>
      <c r="K58" s="86"/>
      <c r="L58" s="86"/>
      <c r="M58" s="86"/>
      <c r="N58" s="86"/>
    </row>
    <row r="59" spans="1:14" customFormat="1" x14ac:dyDescent="0.35">
      <c r="A59" s="86"/>
      <c r="B59" s="86"/>
      <c r="C59" s="86"/>
      <c r="D59" s="86"/>
      <c r="E59" s="86"/>
      <c r="F59" s="86"/>
      <c r="G59" s="86"/>
      <c r="H59" s="86"/>
      <c r="I59" s="86"/>
      <c r="J59" s="86"/>
      <c r="K59" s="86"/>
      <c r="L59" s="86"/>
      <c r="M59" s="86"/>
      <c r="N59" s="86"/>
    </row>
    <row r="60" spans="1:14" customFormat="1" x14ac:dyDescent="0.35">
      <c r="A60" s="86"/>
      <c r="B60" s="86"/>
      <c r="C60" s="86"/>
      <c r="D60" s="86"/>
      <c r="E60" s="86"/>
      <c r="F60" s="86"/>
      <c r="G60" s="86"/>
      <c r="H60" s="86"/>
      <c r="I60" s="86"/>
      <c r="J60" s="86"/>
      <c r="K60" s="86"/>
      <c r="L60" s="86"/>
      <c r="M60" s="86"/>
      <c r="N60" s="86"/>
    </row>
    <row r="61" spans="1:14" customFormat="1" x14ac:dyDescent="0.35">
      <c r="A61" s="86"/>
      <c r="B61" s="86"/>
      <c r="C61" s="86"/>
      <c r="D61" s="86"/>
      <c r="E61" s="86"/>
      <c r="F61" s="86"/>
      <c r="G61" s="86"/>
      <c r="H61" s="86"/>
      <c r="I61" s="86"/>
      <c r="J61" s="86"/>
      <c r="K61" s="86"/>
      <c r="L61" s="86"/>
      <c r="M61" s="86"/>
      <c r="N61" s="86"/>
    </row>
    <row r="62" spans="1:14" customFormat="1" x14ac:dyDescent="0.35">
      <c r="A62" s="86"/>
      <c r="B62" s="86"/>
      <c r="C62" s="86"/>
      <c r="D62" s="86"/>
      <c r="E62" s="86"/>
      <c r="F62" s="86"/>
      <c r="G62" s="86"/>
      <c r="H62" s="86"/>
      <c r="I62" s="86"/>
      <c r="J62" s="86"/>
      <c r="K62" s="86"/>
      <c r="L62" s="86"/>
      <c r="M62" s="86"/>
      <c r="N62" s="86"/>
    </row>
    <row r="63" spans="1:14" customFormat="1" x14ac:dyDescent="0.35">
      <c r="A63" s="86"/>
      <c r="B63" s="86"/>
      <c r="C63" s="86"/>
      <c r="D63" s="86"/>
      <c r="E63" s="86"/>
      <c r="F63" s="86"/>
      <c r="G63" s="86"/>
      <c r="H63" s="86"/>
      <c r="I63" s="86"/>
      <c r="J63" s="86"/>
      <c r="K63" s="86"/>
      <c r="L63" s="86"/>
      <c r="M63" s="86"/>
      <c r="N63" s="86"/>
    </row>
    <row r="64" spans="1:14" customFormat="1" x14ac:dyDescent="0.35">
      <c r="A64" s="86"/>
      <c r="B64" s="86"/>
      <c r="C64" s="86"/>
      <c r="D64" s="86"/>
      <c r="E64" s="86"/>
      <c r="F64" s="86"/>
      <c r="G64" s="86"/>
      <c r="H64" s="86"/>
      <c r="I64" s="86"/>
      <c r="J64" s="86"/>
      <c r="K64" s="86"/>
      <c r="L64" s="86"/>
      <c r="M64" s="86"/>
      <c r="N64" s="86"/>
    </row>
    <row r="65" spans="1:14" customFormat="1" x14ac:dyDescent="0.35">
      <c r="A65" s="86"/>
      <c r="B65" s="86"/>
      <c r="C65" s="86"/>
      <c r="D65" s="86"/>
      <c r="E65" s="86"/>
      <c r="F65" s="86"/>
      <c r="G65" s="86"/>
      <c r="H65" s="86"/>
      <c r="I65" s="86"/>
      <c r="J65" s="86"/>
      <c r="K65" s="86"/>
      <c r="L65" s="86"/>
      <c r="M65" s="86"/>
      <c r="N65" s="86"/>
    </row>
    <row r="66" spans="1:14" customFormat="1" x14ac:dyDescent="0.35">
      <c r="A66" s="86"/>
      <c r="B66" s="86"/>
      <c r="C66" s="86"/>
      <c r="D66" s="86"/>
      <c r="E66" s="86"/>
      <c r="F66" s="86"/>
      <c r="G66" s="86"/>
      <c r="H66" s="86"/>
      <c r="I66" s="86"/>
      <c r="J66" s="86"/>
      <c r="K66" s="86"/>
      <c r="L66" s="86"/>
      <c r="M66" s="86"/>
      <c r="N66" s="86"/>
    </row>
    <row r="67" spans="1:14" customFormat="1" x14ac:dyDescent="0.35">
      <c r="A67" s="86"/>
      <c r="B67" s="86"/>
      <c r="C67" s="86"/>
      <c r="D67" s="86"/>
      <c r="E67" s="86"/>
      <c r="F67" s="86"/>
      <c r="G67" s="86"/>
      <c r="H67" s="86"/>
      <c r="I67" s="86"/>
      <c r="J67" s="86"/>
      <c r="K67" s="86"/>
      <c r="L67" s="86"/>
      <c r="M67" s="86"/>
      <c r="N67" s="86"/>
    </row>
    <row r="68" spans="1:14" customFormat="1" x14ac:dyDescent="0.35">
      <c r="A68" s="86"/>
      <c r="B68" s="86"/>
      <c r="C68" s="86"/>
      <c r="D68" s="86"/>
      <c r="E68" s="86"/>
      <c r="F68" s="86"/>
      <c r="G68" s="86"/>
      <c r="H68" s="86"/>
      <c r="I68" s="86"/>
      <c r="J68" s="86"/>
      <c r="K68" s="86"/>
      <c r="L68" s="86"/>
      <c r="M68" s="86"/>
      <c r="N68" s="86"/>
    </row>
    <row r="69" spans="1:14" customFormat="1" x14ac:dyDescent="0.35">
      <c r="A69" s="86"/>
      <c r="B69" s="86"/>
      <c r="C69" s="86"/>
      <c r="D69" s="86"/>
      <c r="E69" s="86"/>
      <c r="F69" s="86"/>
      <c r="G69" s="86"/>
      <c r="H69" s="86"/>
      <c r="I69" s="86"/>
      <c r="J69" s="86"/>
      <c r="K69" s="86"/>
      <c r="L69" s="86"/>
      <c r="M69" s="86"/>
      <c r="N69" s="86"/>
    </row>
    <row r="70" spans="1:14" customFormat="1" x14ac:dyDescent="0.35">
      <c r="A70" s="86"/>
      <c r="B70" s="86"/>
      <c r="C70" s="86"/>
      <c r="D70" s="86"/>
      <c r="E70" s="86"/>
      <c r="F70" s="86"/>
      <c r="G70" s="86"/>
      <c r="H70" s="86"/>
      <c r="I70" s="86"/>
      <c r="J70" s="86"/>
      <c r="K70" s="86"/>
      <c r="L70" s="86"/>
      <c r="M70" s="86"/>
      <c r="N70" s="86"/>
    </row>
    <row r="71" spans="1:14" customFormat="1" x14ac:dyDescent="0.35">
      <c r="A71" s="86"/>
      <c r="B71" s="86"/>
      <c r="C71" s="86"/>
      <c r="D71" s="86"/>
      <c r="E71" s="86"/>
      <c r="F71" s="86"/>
      <c r="G71" s="86"/>
      <c r="H71" s="86"/>
      <c r="I71" s="86"/>
      <c r="J71" s="86"/>
      <c r="K71" s="86"/>
      <c r="L71" s="86"/>
      <c r="M71" s="86"/>
      <c r="N71" s="86"/>
    </row>
    <row r="72" spans="1:14" customFormat="1" x14ac:dyDescent="0.35">
      <c r="A72" s="86"/>
      <c r="B72" s="86"/>
      <c r="C72" s="86"/>
      <c r="D72" s="86"/>
      <c r="E72" s="86"/>
      <c r="F72" s="86"/>
      <c r="G72" s="86"/>
      <c r="H72" s="86"/>
      <c r="I72" s="86"/>
      <c r="J72" s="86"/>
      <c r="K72" s="86"/>
      <c r="L72" s="86"/>
      <c r="M72" s="86"/>
      <c r="N72" s="86"/>
    </row>
    <row r="73" spans="1:14" customFormat="1" x14ac:dyDescent="0.35">
      <c r="A73" s="86"/>
      <c r="B73" s="86"/>
      <c r="C73" s="86"/>
      <c r="D73" s="86"/>
      <c r="E73" s="86"/>
      <c r="F73" s="86"/>
      <c r="G73" s="86"/>
      <c r="H73" s="86"/>
      <c r="I73" s="86"/>
      <c r="J73" s="86"/>
      <c r="K73" s="86"/>
      <c r="L73" s="86"/>
      <c r="M73" s="86"/>
      <c r="N73" s="86"/>
    </row>
    <row r="74" spans="1:14" customFormat="1" x14ac:dyDescent="0.35">
      <c r="A74" s="86"/>
      <c r="B74" s="86"/>
      <c r="C74" s="86"/>
      <c r="D74" s="86"/>
      <c r="E74" s="86"/>
      <c r="F74" s="86"/>
      <c r="G74" s="86"/>
      <c r="H74" s="86"/>
      <c r="I74" s="86"/>
      <c r="J74" s="86"/>
      <c r="K74" s="86"/>
      <c r="L74" s="86"/>
      <c r="M74" s="86"/>
      <c r="N74" s="86"/>
    </row>
    <row r="75" spans="1:14" customFormat="1" x14ac:dyDescent="0.35">
      <c r="A75" s="86"/>
      <c r="B75" s="86"/>
      <c r="C75" s="86"/>
      <c r="D75" s="86"/>
      <c r="E75" s="86"/>
      <c r="F75" s="86"/>
      <c r="G75" s="86"/>
      <c r="H75" s="86"/>
      <c r="I75" s="86"/>
      <c r="J75" s="86"/>
      <c r="K75" s="86"/>
      <c r="L75" s="86"/>
      <c r="M75" s="86"/>
      <c r="N75" s="86"/>
    </row>
    <row r="76" spans="1:14" customFormat="1" x14ac:dyDescent="0.35">
      <c r="A76" s="86"/>
      <c r="B76" s="86"/>
      <c r="C76" s="86"/>
      <c r="D76" s="86"/>
      <c r="E76" s="86"/>
      <c r="F76" s="86"/>
      <c r="G76" s="86"/>
      <c r="H76" s="86"/>
      <c r="I76" s="86"/>
      <c r="J76" s="86"/>
      <c r="K76" s="86"/>
      <c r="L76" s="86"/>
      <c r="M76" s="86"/>
      <c r="N76" s="86"/>
    </row>
    <row r="77" spans="1:14" customFormat="1" x14ac:dyDescent="0.35">
      <c r="A77" s="86"/>
      <c r="B77" s="86"/>
      <c r="C77" s="86"/>
      <c r="D77" s="86"/>
      <c r="E77" s="86"/>
      <c r="F77" s="86"/>
      <c r="G77" s="86"/>
      <c r="H77" s="86"/>
      <c r="I77" s="86"/>
      <c r="J77" s="86"/>
      <c r="K77" s="86"/>
      <c r="L77" s="86"/>
      <c r="M77" s="86"/>
      <c r="N77" s="86"/>
    </row>
    <row r="78" spans="1:14" customFormat="1" x14ac:dyDescent="0.35">
      <c r="A78" s="86"/>
      <c r="B78" s="86"/>
      <c r="C78" s="86"/>
      <c r="D78" s="86"/>
      <c r="E78" s="86"/>
      <c r="F78" s="86"/>
      <c r="G78" s="86"/>
      <c r="H78" s="86"/>
      <c r="I78" s="86"/>
      <c r="J78" s="86"/>
      <c r="K78" s="86"/>
      <c r="L78" s="86"/>
      <c r="M78" s="86"/>
      <c r="N78" s="86"/>
    </row>
    <row r="79" spans="1:14" customFormat="1" x14ac:dyDescent="0.35">
      <c r="A79" s="86"/>
      <c r="B79" s="86"/>
      <c r="C79" s="86"/>
      <c r="D79" s="86"/>
      <c r="E79" s="86"/>
      <c r="F79" s="86"/>
      <c r="G79" s="86"/>
      <c r="H79" s="86"/>
      <c r="I79" s="86"/>
      <c r="J79" s="86"/>
      <c r="K79" s="86"/>
      <c r="L79" s="86"/>
      <c r="M79" s="86"/>
      <c r="N79" s="86"/>
    </row>
    <row r="80" spans="1:14" customFormat="1" x14ac:dyDescent="0.35">
      <c r="A80" s="86"/>
      <c r="B80" s="86"/>
      <c r="C80" s="86"/>
      <c r="D80" s="86"/>
      <c r="E80" s="86"/>
      <c r="F80" s="86"/>
      <c r="G80" s="86"/>
      <c r="H80" s="86"/>
      <c r="I80" s="86"/>
      <c r="J80" s="86"/>
      <c r="K80" s="86"/>
      <c r="L80" s="86"/>
      <c r="M80" s="86"/>
      <c r="N80" s="86"/>
    </row>
    <row r="81" spans="1:14" customFormat="1" x14ac:dyDescent="0.35">
      <c r="A81" s="86"/>
      <c r="B81" s="86"/>
      <c r="C81" s="86"/>
      <c r="D81" s="86"/>
      <c r="E81" s="86"/>
      <c r="F81" s="86"/>
      <c r="G81" s="86"/>
      <c r="H81" s="86"/>
      <c r="I81" s="86"/>
      <c r="J81" s="86"/>
      <c r="K81" s="86"/>
      <c r="L81" s="86"/>
      <c r="M81" s="86"/>
      <c r="N81" s="86"/>
    </row>
    <row r="82" spans="1:14" customFormat="1" x14ac:dyDescent="0.35">
      <c r="A82" s="86"/>
      <c r="B82" s="86"/>
      <c r="C82" s="86"/>
      <c r="D82" s="86"/>
      <c r="E82" s="86"/>
      <c r="F82" s="86"/>
      <c r="G82" s="86"/>
      <c r="H82" s="86"/>
      <c r="I82" s="86"/>
      <c r="J82" s="86"/>
      <c r="K82" s="86"/>
      <c r="L82" s="86"/>
      <c r="M82" s="86"/>
      <c r="N82" s="86"/>
    </row>
    <row r="83" spans="1:14" customFormat="1" x14ac:dyDescent="0.35">
      <c r="A83" s="86"/>
      <c r="B83" s="86"/>
      <c r="C83" s="86"/>
      <c r="D83" s="86"/>
      <c r="E83" s="86"/>
      <c r="F83" s="86"/>
      <c r="G83" s="86"/>
      <c r="H83" s="86"/>
      <c r="I83" s="86"/>
      <c r="J83" s="86"/>
      <c r="K83" s="86"/>
      <c r="L83" s="86"/>
      <c r="M83" s="86"/>
      <c r="N83" s="86"/>
    </row>
    <row r="84" spans="1:14" customFormat="1" x14ac:dyDescent="0.35">
      <c r="A84" s="86"/>
      <c r="B84" s="86"/>
      <c r="C84" s="86"/>
      <c r="D84" s="86"/>
      <c r="E84" s="86"/>
      <c r="F84" s="86"/>
      <c r="G84" s="86"/>
      <c r="H84" s="86"/>
      <c r="I84" s="86"/>
      <c r="J84" s="86"/>
      <c r="K84" s="86"/>
      <c r="L84" s="86"/>
      <c r="M84" s="86"/>
      <c r="N84" s="86"/>
    </row>
    <row r="85" spans="1:14" customFormat="1" x14ac:dyDescent="0.35">
      <c r="A85" s="86"/>
      <c r="B85" s="86"/>
      <c r="C85" s="86"/>
      <c r="D85" s="86"/>
      <c r="E85" s="86"/>
      <c r="F85" s="86"/>
      <c r="G85" s="86"/>
      <c r="H85" s="86"/>
      <c r="I85" s="86"/>
      <c r="J85" s="86"/>
      <c r="K85" s="86"/>
      <c r="L85" s="86"/>
      <c r="M85" s="86"/>
      <c r="N85" s="86"/>
    </row>
    <row r="86" spans="1:14" customFormat="1" x14ac:dyDescent="0.35">
      <c r="A86" s="86"/>
      <c r="B86" s="86"/>
      <c r="C86" s="86"/>
      <c r="D86" s="86"/>
      <c r="E86" s="86"/>
      <c r="F86" s="86"/>
      <c r="G86" s="86"/>
      <c r="H86" s="86"/>
      <c r="I86" s="86"/>
      <c r="J86" s="86"/>
      <c r="K86" s="86"/>
      <c r="L86" s="86"/>
      <c r="M86" s="86"/>
      <c r="N86" s="86"/>
    </row>
    <row r="87" spans="1:14" customFormat="1" x14ac:dyDescent="0.35">
      <c r="A87" s="86"/>
      <c r="B87" s="86"/>
      <c r="C87" s="86"/>
      <c r="D87" s="86"/>
      <c r="E87" s="86"/>
      <c r="F87" s="86"/>
      <c r="G87" s="86"/>
      <c r="H87" s="86"/>
      <c r="I87" s="86"/>
      <c r="J87" s="86"/>
      <c r="K87" s="86"/>
      <c r="L87" s="86"/>
      <c r="M87" s="86"/>
      <c r="N87" s="86"/>
    </row>
    <row r="88" spans="1:14" customFormat="1" x14ac:dyDescent="0.35">
      <c r="A88" s="86"/>
      <c r="B88" s="86"/>
      <c r="C88" s="86"/>
      <c r="D88" s="86"/>
      <c r="E88" s="86"/>
      <c r="F88" s="86"/>
      <c r="G88" s="86"/>
      <c r="H88" s="86"/>
      <c r="I88" s="86"/>
      <c r="J88" s="86"/>
      <c r="K88" s="86"/>
      <c r="L88" s="86"/>
      <c r="M88" s="86"/>
      <c r="N88" s="86"/>
    </row>
    <row r="89" spans="1:14" customFormat="1" x14ac:dyDescent="0.35">
      <c r="A89" s="86"/>
      <c r="B89" s="86"/>
      <c r="C89" s="86"/>
      <c r="D89" s="86"/>
      <c r="E89" s="86"/>
      <c r="F89" s="86"/>
      <c r="G89" s="86"/>
      <c r="H89" s="86"/>
      <c r="I89" s="86"/>
      <c r="J89" s="86"/>
      <c r="K89" s="86"/>
      <c r="L89" s="86"/>
      <c r="M89" s="86"/>
      <c r="N89" s="86"/>
    </row>
    <row r="90" spans="1:14" customFormat="1" x14ac:dyDescent="0.35">
      <c r="A90" s="86"/>
      <c r="B90" s="86"/>
      <c r="C90" s="86"/>
      <c r="D90" s="86"/>
      <c r="E90" s="86"/>
      <c r="F90" s="86"/>
      <c r="G90" s="86"/>
      <c r="H90" s="86"/>
      <c r="I90" s="86"/>
      <c r="J90" s="86"/>
      <c r="K90" s="86"/>
      <c r="L90" s="86"/>
      <c r="M90" s="86"/>
      <c r="N90" s="86"/>
    </row>
    <row r="91" spans="1:14" customFormat="1" x14ac:dyDescent="0.35">
      <c r="A91" s="86"/>
      <c r="B91" s="86"/>
      <c r="C91" s="86"/>
      <c r="D91" s="86"/>
      <c r="E91" s="86"/>
      <c r="F91" s="86"/>
      <c r="G91" s="86"/>
      <c r="H91" s="86"/>
      <c r="I91" s="86"/>
      <c r="J91" s="86"/>
      <c r="K91" s="86"/>
      <c r="L91" s="86"/>
      <c r="M91" s="86"/>
      <c r="N91" s="86"/>
    </row>
    <row r="92" spans="1:14" customFormat="1" x14ac:dyDescent="0.35">
      <c r="A92" s="86"/>
      <c r="B92" s="86"/>
      <c r="C92" s="86"/>
      <c r="D92" s="86"/>
      <c r="E92" s="86"/>
      <c r="F92" s="86"/>
      <c r="G92" s="86"/>
      <c r="H92" s="86"/>
      <c r="I92" s="86"/>
      <c r="J92" s="86"/>
      <c r="K92" s="86"/>
      <c r="L92" s="86"/>
      <c r="M92" s="86"/>
      <c r="N92" s="86"/>
    </row>
    <row r="93" spans="1:14" customFormat="1" x14ac:dyDescent="0.35">
      <c r="A93" s="86"/>
      <c r="B93" s="86"/>
      <c r="C93" s="86"/>
      <c r="D93" s="86"/>
      <c r="E93" s="86"/>
      <c r="F93" s="86"/>
      <c r="G93" s="86"/>
      <c r="H93" s="86"/>
      <c r="I93" s="86"/>
      <c r="J93" s="86"/>
      <c r="K93" s="86"/>
      <c r="L93" s="86"/>
      <c r="M93" s="86"/>
      <c r="N93" s="86"/>
    </row>
    <row r="94" spans="1:14" customFormat="1" x14ac:dyDescent="0.35">
      <c r="A94" s="86"/>
      <c r="B94" s="86"/>
      <c r="C94" s="86"/>
      <c r="D94" s="86"/>
      <c r="E94" s="86"/>
      <c r="F94" s="86"/>
      <c r="G94" s="86"/>
      <c r="H94" s="86"/>
      <c r="I94" s="86"/>
      <c r="J94" s="86"/>
      <c r="K94" s="86"/>
      <c r="L94" s="86"/>
      <c r="M94" s="86"/>
      <c r="N94" s="86"/>
    </row>
    <row r="95" spans="1:14" customFormat="1" x14ac:dyDescent="0.35">
      <c r="A95" s="86"/>
      <c r="B95" s="86"/>
      <c r="C95" s="86"/>
      <c r="D95" s="86"/>
      <c r="E95" s="86"/>
      <c r="F95" s="86"/>
      <c r="G95" s="86"/>
      <c r="H95" s="86"/>
      <c r="I95" s="86"/>
      <c r="J95" s="86"/>
      <c r="K95" s="86"/>
      <c r="L95" s="86"/>
      <c r="M95" s="86"/>
      <c r="N95" s="86"/>
    </row>
    <row r="96" spans="1:14" customFormat="1" x14ac:dyDescent="0.35">
      <c r="A96" s="86"/>
      <c r="B96" s="86"/>
      <c r="C96" s="86"/>
      <c r="D96" s="86"/>
      <c r="E96" s="86"/>
      <c r="F96" s="86"/>
      <c r="G96" s="86"/>
      <c r="H96" s="86"/>
      <c r="I96" s="86"/>
      <c r="J96" s="86"/>
      <c r="K96" s="86"/>
      <c r="L96" s="86"/>
      <c r="M96" s="86"/>
      <c r="N96" s="86"/>
    </row>
    <row r="97" spans="1:14" customFormat="1" x14ac:dyDescent="0.35">
      <c r="A97" s="86"/>
      <c r="B97" s="86"/>
      <c r="C97" s="86"/>
      <c r="D97" s="86"/>
      <c r="E97" s="86"/>
      <c r="F97" s="86"/>
      <c r="G97" s="86"/>
      <c r="H97" s="86"/>
      <c r="I97" s="86"/>
      <c r="J97" s="86"/>
      <c r="K97" s="86"/>
      <c r="L97" s="86"/>
      <c r="M97" s="86"/>
      <c r="N97" s="86"/>
    </row>
    <row r="98" spans="1:14" customFormat="1" x14ac:dyDescent="0.35">
      <c r="A98" s="86"/>
      <c r="B98" s="86"/>
      <c r="C98" s="86"/>
      <c r="D98" s="86"/>
      <c r="E98" s="86"/>
      <c r="F98" s="86"/>
      <c r="G98" s="86"/>
      <c r="H98" s="86"/>
      <c r="I98" s="86"/>
      <c r="J98" s="86"/>
      <c r="K98" s="86"/>
      <c r="L98" s="86"/>
      <c r="M98" s="86"/>
      <c r="N98" s="86"/>
    </row>
    <row r="99" spans="1:14" customFormat="1" x14ac:dyDescent="0.35">
      <c r="A99" s="86"/>
      <c r="B99" s="86"/>
      <c r="C99" s="86"/>
      <c r="D99" s="86"/>
      <c r="E99" s="86"/>
      <c r="F99" s="86"/>
      <c r="G99" s="86"/>
      <c r="H99" s="86"/>
      <c r="I99" s="86"/>
      <c r="J99" s="86"/>
      <c r="K99" s="86"/>
      <c r="L99" s="86"/>
      <c r="M99" s="86"/>
      <c r="N99" s="86"/>
    </row>
    <row r="100" spans="1:14" customFormat="1" x14ac:dyDescent="0.35">
      <c r="A100" s="86"/>
      <c r="B100" s="86"/>
      <c r="C100" s="86"/>
      <c r="D100" s="86"/>
      <c r="E100" s="86"/>
      <c r="F100" s="86"/>
      <c r="G100" s="86"/>
      <c r="H100" s="86"/>
      <c r="I100" s="86"/>
      <c r="J100" s="86"/>
      <c r="K100" s="86"/>
      <c r="L100" s="86"/>
      <c r="M100" s="86"/>
      <c r="N100" s="86"/>
    </row>
    <row r="101" spans="1:14" customFormat="1" x14ac:dyDescent="0.35">
      <c r="A101" s="86"/>
      <c r="B101" s="86"/>
      <c r="C101" s="86"/>
      <c r="D101" s="86"/>
      <c r="E101" s="86"/>
      <c r="F101" s="86"/>
      <c r="G101" s="86"/>
      <c r="H101" s="86"/>
      <c r="I101" s="86"/>
      <c r="J101" s="86"/>
      <c r="K101" s="86"/>
      <c r="L101" s="86"/>
      <c r="M101" s="86"/>
      <c r="N101" s="86"/>
    </row>
    <row r="102" spans="1:14" customFormat="1" x14ac:dyDescent="0.35">
      <c r="A102" s="86"/>
      <c r="B102" s="86"/>
      <c r="C102" s="86"/>
      <c r="D102" s="86"/>
      <c r="E102" s="86"/>
      <c r="F102" s="86"/>
      <c r="G102" s="86"/>
      <c r="H102" s="86"/>
      <c r="I102" s="86"/>
      <c r="J102" s="86"/>
      <c r="K102" s="86"/>
      <c r="L102" s="86"/>
      <c r="M102" s="86"/>
      <c r="N102" s="86"/>
    </row>
    <row r="103" spans="1:14" customFormat="1" x14ac:dyDescent="0.35">
      <c r="A103" s="86"/>
      <c r="B103" s="86"/>
      <c r="C103" s="86"/>
      <c r="D103" s="86"/>
      <c r="E103" s="86"/>
      <c r="F103" s="86"/>
      <c r="G103" s="86"/>
      <c r="H103" s="86"/>
      <c r="I103" s="86"/>
      <c r="J103" s="86"/>
      <c r="K103" s="86"/>
      <c r="L103" s="86"/>
      <c r="M103" s="86"/>
      <c r="N103" s="86"/>
    </row>
    <row r="104" spans="1:14" customFormat="1" x14ac:dyDescent="0.35">
      <c r="A104" s="86"/>
      <c r="B104" s="86"/>
      <c r="C104" s="86"/>
      <c r="D104" s="86"/>
      <c r="E104" s="86"/>
      <c r="F104" s="86"/>
      <c r="G104" s="86"/>
      <c r="H104" s="86"/>
      <c r="I104" s="86"/>
      <c r="J104" s="86"/>
      <c r="K104" s="86"/>
      <c r="L104" s="86"/>
      <c r="M104" s="86"/>
      <c r="N104" s="86"/>
    </row>
    <row r="105" spans="1:14" customFormat="1" x14ac:dyDescent="0.35">
      <c r="A105" s="86"/>
      <c r="B105" s="86"/>
      <c r="C105" s="86"/>
      <c r="D105" s="86"/>
      <c r="E105" s="86"/>
      <c r="F105" s="86"/>
      <c r="G105" s="86"/>
      <c r="H105" s="86"/>
      <c r="I105" s="86"/>
      <c r="J105" s="86"/>
      <c r="K105" s="86"/>
      <c r="L105" s="86"/>
      <c r="M105" s="86"/>
      <c r="N105" s="86"/>
    </row>
    <row r="106" spans="1:14" customFormat="1" x14ac:dyDescent="0.35">
      <c r="A106" s="86"/>
      <c r="B106" s="86"/>
      <c r="C106" s="86"/>
      <c r="D106" s="86"/>
      <c r="E106" s="86"/>
      <c r="F106" s="86"/>
      <c r="G106" s="86"/>
      <c r="H106" s="86"/>
      <c r="I106" s="86"/>
      <c r="J106" s="86"/>
      <c r="K106" s="86"/>
      <c r="L106" s="86"/>
      <c r="M106" s="86"/>
      <c r="N106" s="86"/>
    </row>
    <row r="107" spans="1:14" customFormat="1" x14ac:dyDescent="0.35">
      <c r="A107" s="86"/>
      <c r="B107" s="86"/>
      <c r="C107" s="86"/>
      <c r="D107" s="86"/>
      <c r="E107" s="86"/>
      <c r="F107" s="86"/>
      <c r="G107" s="86"/>
      <c r="H107" s="86"/>
      <c r="I107" s="86"/>
      <c r="J107" s="86"/>
      <c r="K107" s="86"/>
      <c r="L107" s="86"/>
      <c r="M107" s="86"/>
      <c r="N107" s="86"/>
    </row>
    <row r="108" spans="1:14" customFormat="1" x14ac:dyDescent="0.35">
      <c r="A108" s="86"/>
      <c r="B108" s="86"/>
      <c r="C108" s="86"/>
      <c r="D108" s="86"/>
      <c r="E108" s="86"/>
      <c r="F108" s="86"/>
      <c r="G108" s="86"/>
      <c r="H108" s="86"/>
      <c r="I108" s="86"/>
      <c r="J108" s="86"/>
      <c r="K108" s="86"/>
      <c r="L108" s="86"/>
      <c r="M108" s="86"/>
      <c r="N108" s="86"/>
    </row>
    <row r="109" spans="1:14" customFormat="1" x14ac:dyDescent="0.35">
      <c r="A109" s="86"/>
      <c r="B109" s="86"/>
      <c r="C109" s="86"/>
      <c r="D109" s="86"/>
      <c r="E109" s="86"/>
      <c r="F109" s="86"/>
      <c r="G109" s="86"/>
      <c r="H109" s="86"/>
      <c r="I109" s="86"/>
      <c r="J109" s="86"/>
      <c r="K109" s="86"/>
      <c r="L109" s="86"/>
      <c r="M109" s="86"/>
      <c r="N109" s="86"/>
    </row>
    <row r="110" spans="1:14" customFormat="1" x14ac:dyDescent="0.35">
      <c r="A110" s="86"/>
      <c r="B110" s="86"/>
      <c r="C110" s="86"/>
      <c r="D110" s="86"/>
      <c r="E110" s="86"/>
      <c r="F110" s="86"/>
      <c r="G110" s="86"/>
      <c r="H110" s="86"/>
      <c r="I110" s="86"/>
      <c r="J110" s="86"/>
      <c r="K110" s="86"/>
      <c r="L110" s="86"/>
      <c r="M110" s="86"/>
      <c r="N110" s="86"/>
    </row>
    <row r="111" spans="1:14" customFormat="1" x14ac:dyDescent="0.35">
      <c r="A111" s="86"/>
      <c r="B111" s="86"/>
      <c r="C111" s="86"/>
      <c r="D111" s="86"/>
      <c r="E111" s="86"/>
      <c r="F111" s="86"/>
      <c r="G111" s="86"/>
      <c r="H111" s="86"/>
      <c r="I111" s="86"/>
      <c r="J111" s="86"/>
      <c r="K111" s="86"/>
      <c r="L111" s="86"/>
      <c r="M111" s="86"/>
      <c r="N111" s="86"/>
    </row>
    <row r="112" spans="1:14" customFormat="1" x14ac:dyDescent="0.35">
      <c r="A112" s="86"/>
      <c r="B112" s="86"/>
      <c r="C112" s="86"/>
      <c r="D112" s="86"/>
      <c r="E112" s="86"/>
      <c r="F112" s="86"/>
      <c r="G112" s="86"/>
      <c r="H112" s="86"/>
      <c r="I112" s="86"/>
      <c r="J112" s="86"/>
      <c r="K112" s="86"/>
      <c r="L112" s="86"/>
      <c r="M112" s="86"/>
      <c r="N112" s="86"/>
    </row>
    <row r="113" spans="1:14" customFormat="1" x14ac:dyDescent="0.35">
      <c r="A113" s="86"/>
      <c r="B113" s="86"/>
      <c r="C113" s="86"/>
      <c r="D113" s="86"/>
      <c r="E113" s="86"/>
      <c r="F113" s="86"/>
      <c r="G113" s="86"/>
      <c r="H113" s="86"/>
      <c r="I113" s="86"/>
      <c r="J113" s="86"/>
      <c r="K113" s="86"/>
      <c r="L113" s="86"/>
      <c r="M113" s="86"/>
      <c r="N113" s="86"/>
    </row>
    <row r="114" spans="1:14" customFormat="1" x14ac:dyDescent="0.35">
      <c r="A114" s="86"/>
      <c r="B114" s="86"/>
      <c r="C114" s="86"/>
      <c r="D114" s="86"/>
      <c r="E114" s="86"/>
      <c r="F114" s="86"/>
      <c r="G114" s="86"/>
      <c r="H114" s="86"/>
      <c r="I114" s="86"/>
      <c r="J114" s="86"/>
      <c r="K114" s="86"/>
      <c r="L114" s="86"/>
      <c r="M114" s="86"/>
      <c r="N114" s="86"/>
    </row>
    <row r="115" spans="1:14" customFormat="1" x14ac:dyDescent="0.35">
      <c r="A115" s="86"/>
      <c r="B115" s="86"/>
      <c r="C115" s="86"/>
      <c r="D115" s="86"/>
      <c r="E115" s="86"/>
      <c r="F115" s="86"/>
      <c r="G115" s="86"/>
      <c r="H115" s="86"/>
      <c r="I115" s="86"/>
      <c r="J115" s="86"/>
      <c r="K115" s="86"/>
      <c r="L115" s="86"/>
      <c r="M115" s="86"/>
      <c r="N115" s="86"/>
    </row>
    <row r="116" spans="1:14" customFormat="1" x14ac:dyDescent="0.35">
      <c r="A116" s="86"/>
      <c r="B116" s="86"/>
      <c r="C116" s="86"/>
      <c r="D116" s="86"/>
      <c r="E116" s="86"/>
      <c r="F116" s="86"/>
      <c r="G116" s="86"/>
      <c r="H116" s="86"/>
      <c r="I116" s="86"/>
      <c r="J116" s="86"/>
      <c r="K116" s="86"/>
      <c r="L116" s="86"/>
      <c r="M116" s="86"/>
      <c r="N116" s="86"/>
    </row>
    <row r="117" spans="1:14" customFormat="1" x14ac:dyDescent="0.35">
      <c r="A117" s="86"/>
      <c r="B117" s="86"/>
      <c r="C117" s="86"/>
      <c r="D117" s="86"/>
      <c r="E117" s="86"/>
      <c r="F117" s="86"/>
      <c r="G117" s="86"/>
      <c r="H117" s="86"/>
      <c r="I117" s="86"/>
      <c r="J117" s="86"/>
      <c r="K117" s="86"/>
      <c r="L117" s="86"/>
      <c r="M117" s="86"/>
      <c r="N117" s="86"/>
    </row>
    <row r="118" spans="1:14" customFormat="1" x14ac:dyDescent="0.35">
      <c r="A118" s="86"/>
      <c r="B118" s="86"/>
      <c r="C118" s="86"/>
      <c r="D118" s="86"/>
      <c r="E118" s="86"/>
      <c r="F118" s="86"/>
      <c r="G118" s="86"/>
      <c r="H118" s="86"/>
      <c r="I118" s="86"/>
      <c r="J118" s="86"/>
      <c r="K118" s="86"/>
      <c r="L118" s="86"/>
      <c r="M118" s="86"/>
      <c r="N118" s="86"/>
    </row>
    <row r="119" spans="1:14" customFormat="1" x14ac:dyDescent="0.35">
      <c r="A119" s="86"/>
      <c r="B119" s="86"/>
      <c r="C119" s="86"/>
      <c r="D119" s="86"/>
      <c r="E119" s="86"/>
      <c r="F119" s="86"/>
      <c r="G119" s="86"/>
      <c r="H119" s="86"/>
      <c r="I119" s="86"/>
      <c r="J119" s="86"/>
      <c r="K119" s="86"/>
      <c r="L119" s="86"/>
      <c r="M119" s="86"/>
      <c r="N119" s="86"/>
    </row>
    <row r="120" spans="1:14" customFormat="1" x14ac:dyDescent="0.35">
      <c r="A120" s="86"/>
      <c r="B120" s="86"/>
      <c r="C120" s="86"/>
      <c r="D120" s="86"/>
      <c r="E120" s="86"/>
      <c r="F120" s="86"/>
      <c r="G120" s="86"/>
      <c r="H120" s="86"/>
      <c r="I120" s="86"/>
      <c r="J120" s="86"/>
      <c r="K120" s="86"/>
      <c r="L120" s="86"/>
      <c r="M120" s="86"/>
      <c r="N120" s="86"/>
    </row>
    <row r="121" spans="1:14" customFormat="1" x14ac:dyDescent="0.35">
      <c r="A121" s="86"/>
      <c r="B121" s="86"/>
      <c r="C121" s="86"/>
      <c r="D121" s="86"/>
      <c r="E121" s="86"/>
      <c r="F121" s="86"/>
      <c r="G121" s="86"/>
      <c r="H121" s="86"/>
      <c r="I121" s="86"/>
      <c r="J121" s="86"/>
      <c r="K121" s="86"/>
      <c r="L121" s="86"/>
      <c r="M121" s="86"/>
      <c r="N121" s="86"/>
    </row>
    <row r="122" spans="1:14" customFormat="1" x14ac:dyDescent="0.35">
      <c r="A122" s="86"/>
      <c r="B122" s="86"/>
      <c r="C122" s="86"/>
      <c r="D122" s="86"/>
      <c r="E122" s="86"/>
      <c r="F122" s="86"/>
      <c r="G122" s="86"/>
      <c r="H122" s="86"/>
      <c r="I122" s="86"/>
      <c r="J122" s="86"/>
      <c r="K122" s="86"/>
      <c r="L122" s="86"/>
      <c r="M122" s="86"/>
      <c r="N122" s="86"/>
    </row>
    <row r="123" spans="1:14" customFormat="1" x14ac:dyDescent="0.35">
      <c r="A123" s="86"/>
      <c r="B123" s="86"/>
      <c r="C123" s="86"/>
      <c r="D123" s="86"/>
      <c r="E123" s="86"/>
      <c r="F123" s="86"/>
      <c r="G123" s="86"/>
      <c r="H123" s="86"/>
      <c r="I123" s="86"/>
      <c r="J123" s="86"/>
      <c r="K123" s="86"/>
      <c r="L123" s="86"/>
      <c r="M123" s="86"/>
      <c r="N123" s="86"/>
    </row>
    <row r="124" spans="1:14" customFormat="1" x14ac:dyDescent="0.35">
      <c r="A124" s="86"/>
      <c r="B124" s="86"/>
      <c r="C124" s="86"/>
      <c r="D124" s="86"/>
      <c r="E124" s="86"/>
      <c r="F124" s="86"/>
      <c r="G124" s="86"/>
      <c r="H124" s="86"/>
      <c r="I124" s="86"/>
      <c r="J124" s="86"/>
      <c r="K124" s="86"/>
      <c r="L124" s="86"/>
      <c r="M124" s="86"/>
      <c r="N124" s="86"/>
    </row>
    <row r="125" spans="1:14" customFormat="1" x14ac:dyDescent="0.35">
      <c r="A125" s="86"/>
      <c r="B125" s="86"/>
      <c r="C125" s="86"/>
      <c r="D125" s="86"/>
      <c r="E125" s="86"/>
      <c r="F125" s="86"/>
      <c r="G125" s="86"/>
      <c r="H125" s="86"/>
      <c r="I125" s="86"/>
      <c r="J125" s="86"/>
      <c r="K125" s="86"/>
      <c r="L125" s="86"/>
      <c r="M125" s="86"/>
      <c r="N125" s="86"/>
    </row>
    <row r="126" spans="1:14" customFormat="1" x14ac:dyDescent="0.35">
      <c r="A126" s="86"/>
      <c r="B126" s="86"/>
      <c r="C126" s="86"/>
      <c r="D126" s="86"/>
      <c r="E126" s="86"/>
      <c r="F126" s="86"/>
      <c r="G126" s="86"/>
      <c r="H126" s="86"/>
      <c r="I126" s="86"/>
      <c r="J126" s="86"/>
      <c r="K126" s="86"/>
      <c r="L126" s="86"/>
      <c r="M126" s="86"/>
      <c r="N126" s="86"/>
    </row>
    <row r="127" spans="1:14" customFormat="1" x14ac:dyDescent="0.35">
      <c r="A127" s="86"/>
      <c r="B127" s="86"/>
      <c r="C127" s="86"/>
      <c r="D127" s="86"/>
      <c r="E127" s="86"/>
      <c r="F127" s="86"/>
      <c r="G127" s="86"/>
      <c r="H127" s="86"/>
      <c r="I127" s="86"/>
      <c r="J127" s="86"/>
      <c r="K127" s="86"/>
      <c r="L127" s="86"/>
      <c r="M127" s="86"/>
      <c r="N127" s="86"/>
    </row>
    <row r="128" spans="1:14" customFormat="1" x14ac:dyDescent="0.35">
      <c r="A128" s="86"/>
      <c r="B128" s="86"/>
      <c r="C128" s="86"/>
      <c r="D128" s="86"/>
      <c r="E128" s="86"/>
      <c r="F128" s="86"/>
      <c r="G128" s="86"/>
      <c r="H128" s="86"/>
      <c r="I128" s="86"/>
      <c r="J128" s="86"/>
      <c r="K128" s="86"/>
      <c r="L128" s="86"/>
      <c r="M128" s="86"/>
      <c r="N128" s="86"/>
    </row>
    <row r="129" spans="1:14" customFormat="1" x14ac:dyDescent="0.35">
      <c r="A129" s="86"/>
      <c r="B129" s="86"/>
      <c r="C129" s="86"/>
      <c r="D129" s="86"/>
      <c r="E129" s="86"/>
      <c r="F129" s="86"/>
      <c r="G129" s="86"/>
      <c r="H129" s="86"/>
      <c r="I129" s="86"/>
      <c r="J129" s="86"/>
      <c r="K129" s="86"/>
      <c r="L129" s="86"/>
      <c r="M129" s="86"/>
      <c r="N129" s="86"/>
    </row>
    <row r="130" spans="1:14" customFormat="1" x14ac:dyDescent="0.35">
      <c r="A130" s="86"/>
      <c r="B130" s="86"/>
      <c r="C130" s="86"/>
      <c r="D130" s="86"/>
      <c r="E130" s="86"/>
      <c r="F130" s="86"/>
      <c r="G130" s="86"/>
      <c r="H130" s="86"/>
      <c r="I130" s="86"/>
      <c r="J130" s="86"/>
      <c r="K130" s="86"/>
      <c r="L130" s="86"/>
      <c r="M130" s="86"/>
      <c r="N130" s="86"/>
    </row>
    <row r="131" spans="1:14" customFormat="1" x14ac:dyDescent="0.35">
      <c r="A131" s="86"/>
      <c r="B131" s="86"/>
      <c r="C131" s="86"/>
      <c r="D131" s="86"/>
      <c r="E131" s="86"/>
      <c r="F131" s="86"/>
      <c r="G131" s="86"/>
      <c r="H131" s="86"/>
      <c r="I131" s="86"/>
      <c r="J131" s="86"/>
      <c r="K131" s="86"/>
      <c r="L131" s="86"/>
      <c r="M131" s="86"/>
      <c r="N131" s="86"/>
    </row>
    <row r="132" spans="1:14" customFormat="1" x14ac:dyDescent="0.35">
      <c r="A132" s="86"/>
      <c r="B132" s="86"/>
      <c r="C132" s="86"/>
      <c r="D132" s="86"/>
      <c r="E132" s="86"/>
      <c r="F132" s="86"/>
      <c r="G132" s="86"/>
      <c r="H132" s="86"/>
      <c r="I132" s="86"/>
      <c r="J132" s="86"/>
      <c r="K132" s="86"/>
      <c r="L132" s="86"/>
      <c r="M132" s="86"/>
      <c r="N132" s="86"/>
    </row>
    <row r="133" spans="1:14" customFormat="1" x14ac:dyDescent="0.35">
      <c r="A133" s="86"/>
      <c r="B133" s="86"/>
      <c r="C133" s="86"/>
      <c r="D133" s="86"/>
      <c r="E133" s="86"/>
      <c r="F133" s="86"/>
      <c r="G133" s="86"/>
      <c r="H133" s="86"/>
      <c r="I133" s="86"/>
      <c r="J133" s="86"/>
      <c r="K133" s="86"/>
      <c r="L133" s="86"/>
      <c r="M133" s="86"/>
      <c r="N133" s="86"/>
    </row>
    <row r="134" spans="1:14" customFormat="1" x14ac:dyDescent="0.35">
      <c r="A134" s="86"/>
      <c r="B134" s="86"/>
      <c r="C134" s="86"/>
      <c r="D134" s="86"/>
      <c r="E134" s="86"/>
      <c r="F134" s="86"/>
      <c r="G134" s="86"/>
      <c r="H134" s="86"/>
      <c r="I134" s="86"/>
      <c r="J134" s="86"/>
      <c r="K134" s="86"/>
      <c r="L134" s="86"/>
      <c r="M134" s="86"/>
      <c r="N134" s="86"/>
    </row>
    <row r="135" spans="1:14" customFormat="1" x14ac:dyDescent="0.35">
      <c r="A135" s="86"/>
      <c r="B135" s="86"/>
      <c r="C135" s="86"/>
      <c r="D135" s="86"/>
      <c r="E135" s="86"/>
      <c r="F135" s="86"/>
      <c r="G135" s="86"/>
      <c r="H135" s="86"/>
      <c r="I135" s="86"/>
      <c r="J135" s="86"/>
      <c r="K135" s="86"/>
      <c r="L135" s="86"/>
      <c r="M135" s="86"/>
      <c r="N135" s="86"/>
    </row>
    <row r="136" spans="1:14" customFormat="1" x14ac:dyDescent="0.35">
      <c r="A136" s="86"/>
      <c r="B136" s="86"/>
      <c r="C136" s="86"/>
      <c r="D136" s="86"/>
      <c r="E136" s="86"/>
      <c r="F136" s="86"/>
      <c r="G136" s="86"/>
      <c r="H136" s="86"/>
      <c r="I136" s="86"/>
      <c r="J136" s="86"/>
      <c r="K136" s="86"/>
      <c r="L136" s="86"/>
      <c r="M136" s="86"/>
      <c r="N136" s="86"/>
    </row>
    <row r="137" spans="1:14" customFormat="1" x14ac:dyDescent="0.35">
      <c r="A137" s="86"/>
      <c r="B137" s="86"/>
      <c r="C137" s="86"/>
      <c r="D137" s="86"/>
      <c r="E137" s="86"/>
      <c r="F137" s="86"/>
      <c r="G137" s="86"/>
      <c r="H137" s="86"/>
      <c r="I137" s="86"/>
      <c r="J137" s="86"/>
      <c r="K137" s="86"/>
      <c r="L137" s="86"/>
      <c r="M137" s="86"/>
      <c r="N137" s="86"/>
    </row>
    <row r="138" spans="1:14" customFormat="1" x14ac:dyDescent="0.35">
      <c r="A138" s="86"/>
      <c r="B138" s="86"/>
      <c r="C138" s="86"/>
      <c r="D138" s="86"/>
      <c r="E138" s="86"/>
      <c r="F138" s="86"/>
      <c r="G138" s="86"/>
      <c r="H138" s="86"/>
      <c r="I138" s="86"/>
      <c r="J138" s="86"/>
      <c r="K138" s="86"/>
      <c r="L138" s="86"/>
      <c r="M138" s="86"/>
      <c r="N138" s="86"/>
    </row>
    <row r="139" spans="1:14" customFormat="1" x14ac:dyDescent="0.35">
      <c r="A139" s="86"/>
      <c r="B139" s="86"/>
      <c r="C139" s="86"/>
      <c r="D139" s="86"/>
      <c r="E139" s="86"/>
      <c r="F139" s="86"/>
      <c r="G139" s="86"/>
      <c r="H139" s="86"/>
      <c r="I139" s="86"/>
      <c r="J139" s="86"/>
      <c r="K139" s="86"/>
      <c r="L139" s="86"/>
      <c r="M139" s="86"/>
      <c r="N139" s="86"/>
    </row>
    <row r="140" spans="1:14" customFormat="1" x14ac:dyDescent="0.35">
      <c r="A140" s="86"/>
      <c r="B140" s="86"/>
      <c r="C140" s="86"/>
      <c r="D140" s="86"/>
      <c r="E140" s="86"/>
      <c r="F140" s="86"/>
      <c r="G140" s="86"/>
      <c r="H140" s="86"/>
      <c r="I140" s="86"/>
      <c r="J140" s="86"/>
      <c r="K140" s="86"/>
      <c r="L140" s="86"/>
      <c r="M140" s="86"/>
      <c r="N140" s="86"/>
    </row>
    <row r="141" spans="1:14" customFormat="1" x14ac:dyDescent="0.35">
      <c r="A141" s="86"/>
      <c r="B141" s="86"/>
      <c r="C141" s="86"/>
      <c r="D141" s="86"/>
      <c r="E141" s="86"/>
      <c r="F141" s="86"/>
      <c r="G141" s="86"/>
      <c r="H141" s="86"/>
      <c r="I141" s="86"/>
      <c r="J141" s="86"/>
      <c r="K141" s="86"/>
      <c r="L141" s="86"/>
      <c r="M141" s="86"/>
      <c r="N141" s="86"/>
    </row>
    <row r="142" spans="1:14" customFormat="1" x14ac:dyDescent="0.35">
      <c r="A142" s="86"/>
      <c r="B142" s="86"/>
      <c r="C142" s="86"/>
      <c r="D142" s="86"/>
      <c r="E142" s="86"/>
      <c r="F142" s="86"/>
      <c r="G142" s="86"/>
      <c r="H142" s="86"/>
      <c r="I142" s="86"/>
      <c r="J142" s="86"/>
      <c r="K142" s="86"/>
      <c r="L142" s="86"/>
      <c r="M142" s="86"/>
      <c r="N142" s="86"/>
    </row>
    <row r="143" spans="1:14" customFormat="1" x14ac:dyDescent="0.35">
      <c r="A143" s="86"/>
      <c r="B143" s="86"/>
      <c r="C143" s="86"/>
      <c r="D143" s="86"/>
      <c r="E143" s="86"/>
      <c r="F143" s="86"/>
      <c r="G143" s="86"/>
      <c r="H143" s="86"/>
      <c r="I143" s="86"/>
      <c r="J143" s="86"/>
      <c r="K143" s="86"/>
      <c r="L143" s="86"/>
      <c r="M143" s="86"/>
      <c r="N143" s="86"/>
    </row>
    <row r="144" spans="1:14" customFormat="1" x14ac:dyDescent="0.35">
      <c r="A144" s="86"/>
      <c r="B144" s="86"/>
      <c r="C144" s="86"/>
      <c r="D144" s="86"/>
      <c r="E144" s="86"/>
      <c r="F144" s="86"/>
      <c r="G144" s="86"/>
      <c r="H144" s="86"/>
      <c r="I144" s="86"/>
      <c r="J144" s="86"/>
      <c r="K144" s="86"/>
      <c r="L144" s="86"/>
      <c r="M144" s="86"/>
      <c r="N144" s="86"/>
    </row>
    <row r="145" spans="1:14" customFormat="1" x14ac:dyDescent="0.35">
      <c r="A145" s="86"/>
      <c r="B145" s="86"/>
      <c r="C145" s="86"/>
      <c r="D145" s="86"/>
      <c r="E145" s="86"/>
      <c r="F145" s="86"/>
      <c r="G145" s="86"/>
      <c r="H145" s="86"/>
      <c r="I145" s="86"/>
      <c r="J145" s="86"/>
      <c r="K145" s="86"/>
      <c r="L145" s="86"/>
      <c r="M145" s="86"/>
      <c r="N145" s="86"/>
    </row>
    <row r="146" spans="1:14" customFormat="1" x14ac:dyDescent="0.35">
      <c r="A146" s="86"/>
      <c r="B146" s="86"/>
      <c r="C146" s="86"/>
      <c r="D146" s="86"/>
      <c r="E146" s="86"/>
      <c r="F146" s="86"/>
      <c r="G146" s="86"/>
      <c r="H146" s="86"/>
      <c r="I146" s="86"/>
      <c r="J146" s="86"/>
      <c r="K146" s="86"/>
      <c r="L146" s="86"/>
      <c r="M146" s="86"/>
      <c r="N146" s="86"/>
    </row>
    <row r="147" spans="1:14" customFormat="1" x14ac:dyDescent="0.35">
      <c r="A147" s="86"/>
      <c r="B147" s="86"/>
      <c r="C147" s="86"/>
      <c r="D147" s="86"/>
      <c r="E147" s="86"/>
      <c r="F147" s="86"/>
      <c r="G147" s="86"/>
      <c r="H147" s="86"/>
      <c r="I147" s="86"/>
      <c r="J147" s="86"/>
      <c r="K147" s="86"/>
      <c r="L147" s="86"/>
      <c r="M147" s="86"/>
      <c r="N147" s="86"/>
    </row>
    <row r="148" spans="1:14" customFormat="1" x14ac:dyDescent="0.35">
      <c r="A148" s="86"/>
      <c r="B148" s="86"/>
      <c r="C148" s="86"/>
      <c r="D148" s="86"/>
      <c r="E148" s="86"/>
      <c r="F148" s="86"/>
      <c r="G148" s="86"/>
      <c r="H148" s="86"/>
      <c r="I148" s="86"/>
      <c r="J148" s="86"/>
      <c r="K148" s="86"/>
      <c r="L148" s="86"/>
      <c r="M148" s="86"/>
      <c r="N148" s="86"/>
    </row>
    <row r="149" spans="1:14" customFormat="1" x14ac:dyDescent="0.35">
      <c r="A149" s="86"/>
      <c r="B149" s="86"/>
      <c r="C149" s="86"/>
      <c r="D149" s="86"/>
      <c r="E149" s="86"/>
      <c r="F149" s="86"/>
      <c r="G149" s="86"/>
      <c r="H149" s="86"/>
      <c r="I149" s="86"/>
      <c r="J149" s="86"/>
      <c r="K149" s="86"/>
      <c r="L149" s="86"/>
      <c r="M149" s="86"/>
      <c r="N149" s="86"/>
    </row>
  </sheetData>
  <printOptions horizontalCentered="1"/>
  <pageMargins left="0.7" right="0.7" top="0.75" bottom="0.75" header="0.3" footer="0.3"/>
  <pageSetup scale="85" orientation="landscape" blackAndWhite="1" horizontalDpi="300" verticalDpi="300" r:id="rId1"/>
  <headerFooter>
    <oddFooter>&amp;L&amp;F
&amp;A&amp;C&amp;P&amp;R&amp;D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9D59015D42AAE469D2BA8B2BC690981" ma:contentTypeVersion="44" ma:contentTypeDescription="" ma:contentTypeScope="" ma:versionID="212e360c22f1cfeff53a43c631330f2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2021-08-31T07:00:00+00:00</OpenedDate>
    <SignificantOrder xmlns="dc463f71-b30c-4ab2-9473-d307f9d35888">false</SignificantOrder>
    <Date1 xmlns="dc463f71-b30c-4ab2-9473-d307f9d35888">2021-08-31T07:00:00+00:00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210678</DocketNumber>
    <DelegatedOrder xmlns="dc463f71-b30c-4ab2-9473-d307f9d35888">false</DelegatedOrder>
  </documentManagement>
</p:properties>
</file>

<file path=customXml/itemProps1.xml><?xml version="1.0" encoding="utf-8"?>
<ds:datastoreItem xmlns:ds="http://schemas.openxmlformats.org/officeDocument/2006/customXml" ds:itemID="{67D33744-B641-4D16-8057-FB2115950E9E}">
  <ds:schemaRefs>
    <ds:schemaRef ds:uri="http://schemas.microsoft.com/PowerBIAddIn"/>
  </ds:schemaRefs>
</ds:datastoreItem>
</file>

<file path=customXml/itemProps2.xml><?xml version="1.0" encoding="utf-8"?>
<ds:datastoreItem xmlns:ds="http://schemas.openxmlformats.org/officeDocument/2006/customXml" ds:itemID="{65B63D12-5A19-419F-9664-A70CB33FFD8E}"/>
</file>

<file path=customXml/itemProps3.xml><?xml version="1.0" encoding="utf-8"?>
<ds:datastoreItem xmlns:ds="http://schemas.openxmlformats.org/officeDocument/2006/customXml" ds:itemID="{4455DD02-7948-4C4F-9EED-99533B46FE3B}"/>
</file>

<file path=customXml/itemProps4.xml><?xml version="1.0" encoding="utf-8"?>
<ds:datastoreItem xmlns:ds="http://schemas.openxmlformats.org/officeDocument/2006/customXml" ds:itemID="{62B9BBF5-A1BD-40B0-8900-CC03FC203B22}"/>
</file>

<file path=customXml/itemProps5.xml><?xml version="1.0" encoding="utf-8"?>
<ds:datastoreItem xmlns:ds="http://schemas.openxmlformats.org/officeDocument/2006/customXml" ds:itemID="{6D582759-F8FA-4A97-854C-F6F77CFAEF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9</vt:i4>
      </vt:variant>
    </vt:vector>
  </HeadingPairs>
  <TitlesOfParts>
    <vt:vector size="33" baseType="lpstr">
      <vt:lpstr>CRM Rates</vt:lpstr>
      <vt:lpstr>Summary - Revenue Requirement</vt:lpstr>
      <vt:lpstr>Rate Impacts--&gt;</vt:lpstr>
      <vt:lpstr>Rate Impacts Sch149</vt:lpstr>
      <vt:lpstr>Typical Res Bill Sch149</vt:lpstr>
      <vt:lpstr>Schedule 149</vt:lpstr>
      <vt:lpstr>Work Papers--&gt;</vt:lpstr>
      <vt:lpstr>CRM 2021 Rev Req Alloc</vt:lpstr>
      <vt:lpstr>CRM 2020 Rev Req Alloc TrueUp</vt:lpstr>
      <vt:lpstr>CRM 2020 Rev Req Alloc (YEAR 2)</vt:lpstr>
      <vt:lpstr>CRM 2019 Rev Req Alloc</vt:lpstr>
      <vt:lpstr>Allocation Factors</vt:lpstr>
      <vt:lpstr>Forecasted Volume</vt:lpstr>
      <vt:lpstr>RR workpapers--&gt;</vt:lpstr>
      <vt:lpstr>2021 CAP CRM</vt:lpstr>
      <vt:lpstr>2021 C&amp;OM</vt:lpstr>
      <vt:lpstr>2020TrueUp</vt:lpstr>
      <vt:lpstr>Summary 2020</vt:lpstr>
      <vt:lpstr>2020 + true up CAP</vt:lpstr>
      <vt:lpstr>2020 Filed Oct 16,20</vt:lpstr>
      <vt:lpstr>2019 CRM</vt:lpstr>
      <vt:lpstr>2019 CRM Final</vt:lpstr>
      <vt:lpstr>2019 GRC</vt:lpstr>
      <vt:lpstr>MACRS 20</vt:lpstr>
      <vt:lpstr>'Allocation Factors'!Print_Area</vt:lpstr>
      <vt:lpstr>'CRM 2019 Rev Req Alloc'!Print_Area</vt:lpstr>
      <vt:lpstr>'CRM 2020 Rev Req Alloc (YEAR 2)'!Print_Area</vt:lpstr>
      <vt:lpstr>'CRM 2020 Rev Req Alloc TrueUp'!Print_Area</vt:lpstr>
      <vt:lpstr>'CRM 2021 Rev Req Alloc'!Print_Area</vt:lpstr>
      <vt:lpstr>'CRM Rates'!Print_Area</vt:lpstr>
      <vt:lpstr>'Rate Impacts Sch149'!Print_Area</vt:lpstr>
      <vt:lpstr>'Schedule 149'!Print_Area</vt:lpstr>
      <vt:lpstr>'Typical Res Bill Sch149'!Print_Area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Energy;Birud.Jhaveri@pse.com;Paul.Schmidt@pse.com;Kelima.Yakupova@pse.com</dc:creator>
  <cp:lastModifiedBy>Yakupova, Kelima </cp:lastModifiedBy>
  <cp:lastPrinted>2020-10-13T23:05:23Z</cp:lastPrinted>
  <dcterms:created xsi:type="dcterms:W3CDTF">2017-05-26T23:01:59Z</dcterms:created>
  <dcterms:modified xsi:type="dcterms:W3CDTF">2021-08-26T18:58:55Z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0x0101006E56B4D1795A2E4DB2F0B01679ED314A0069D59015D42AAE469D2BA8B2BC690981</vt:lpwstr>
  </property>
  <property fmtid="{D5CDD505-2E9C-101B-9397-08002B2CF9AE}" pid="3" name="_docset_NoMedatataSyncRequired">
    <vt:lpwstr>False</vt:lpwstr>
  </property>
  <property fmtid="{D5CDD505-2E9C-101B-9397-08002B2CF9AE}" pid="4" name="IsEFSEC">
    <vt:bool>false</vt:bool>
  </property>
</Properties>
</file>