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M:\2021\2021 WA Sch 59 BPA Res Ex Tariff Filing\For Filing\"/>
    </mc:Choice>
  </mc:AlternateContent>
  <xr:revisionPtr revIDLastSave="0" documentId="13_ncr:1_{A74FD6ED-31A6-4E61-96AE-19DADC20B51C}" xr6:coauthVersionLast="45" xr6:coauthVersionMax="45" xr10:uidLastSave="{00000000-0000-0000-0000-000000000000}"/>
  <bookViews>
    <workbookView xWindow="22932" yWindow="-108" windowWidth="23256" windowHeight="13176" tabRatio="765" xr2:uid="{00000000-000D-0000-FFFF-FFFF00000000}"/>
  </bookViews>
  <sheets>
    <sheet name="Proposed ResEx Rate" sheetId="6" r:id="rId1"/>
    <sheet name="Table" sheetId="13" r:id="rId2"/>
    <sheet name="Washington ResX Balances" sheetId="5" r:id="rId3"/>
    <sheet name="Projected Benefits" sheetId="3" r:id="rId4"/>
    <sheet name="Projected kWhs" sheetId="1" r:id="rId5"/>
    <sheet name="Load Calculation" sheetId="11" r:id="rId6"/>
    <sheet name="July Unbilled" sheetId="12" r:id="rId7"/>
  </sheets>
  <definedNames>
    <definedName name="_xlnm.Print_Area" localSheetId="3">'Projected Benefits'!$A$1:$L$24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6" l="1"/>
  <c r="R19" i="1" l="1"/>
  <c r="K47" i="6" l="1"/>
  <c r="D23" i="1" l="1"/>
  <c r="C23" i="1"/>
  <c r="B23" i="1"/>
  <c r="C15" i="1"/>
  <c r="D15" i="1"/>
  <c r="E15" i="1"/>
  <c r="F15" i="1"/>
  <c r="G15" i="1"/>
  <c r="H15" i="1"/>
  <c r="I15" i="1"/>
  <c r="J15" i="1"/>
  <c r="K15" i="1"/>
  <c r="L15" i="1"/>
  <c r="M15" i="1"/>
  <c r="B15" i="1"/>
  <c r="B20" i="1"/>
  <c r="C20" i="1"/>
  <c r="D20" i="1"/>
  <c r="B21" i="1"/>
  <c r="C21" i="1"/>
  <c r="D21" i="1"/>
  <c r="B22" i="1"/>
  <c r="C22" i="1"/>
  <c r="D22" i="1"/>
  <c r="C19" i="1"/>
  <c r="D19" i="1"/>
  <c r="B19" i="1"/>
  <c r="C11" i="1"/>
  <c r="D11" i="1"/>
  <c r="E11" i="1"/>
  <c r="F11" i="1"/>
  <c r="G11" i="1"/>
  <c r="H11" i="1"/>
  <c r="I11" i="1"/>
  <c r="J11" i="1"/>
  <c r="K11" i="1"/>
  <c r="L11" i="1"/>
  <c r="M11" i="1"/>
  <c r="C12" i="1"/>
  <c r="D12" i="1"/>
  <c r="E12" i="1"/>
  <c r="F12" i="1"/>
  <c r="G12" i="1"/>
  <c r="H12" i="1"/>
  <c r="I12" i="1"/>
  <c r="J12" i="1"/>
  <c r="K12" i="1"/>
  <c r="L12" i="1"/>
  <c r="M12" i="1"/>
  <c r="C13" i="1"/>
  <c r="D13" i="1"/>
  <c r="E13" i="1"/>
  <c r="F13" i="1"/>
  <c r="G13" i="1"/>
  <c r="H13" i="1"/>
  <c r="I13" i="1"/>
  <c r="J13" i="1"/>
  <c r="K13" i="1"/>
  <c r="L13" i="1"/>
  <c r="M13" i="1"/>
  <c r="C14" i="1"/>
  <c r="D14" i="1"/>
  <c r="E14" i="1"/>
  <c r="F14" i="1"/>
  <c r="G14" i="1"/>
  <c r="H14" i="1"/>
  <c r="I14" i="1"/>
  <c r="J14" i="1"/>
  <c r="K14" i="1"/>
  <c r="L14" i="1"/>
  <c r="M14" i="1"/>
  <c r="B12" i="1"/>
  <c r="B13" i="1"/>
  <c r="B14" i="1"/>
  <c r="B11" i="1"/>
  <c r="C67" i="1"/>
  <c r="D67" i="1"/>
  <c r="B67" i="1"/>
  <c r="C46" i="1"/>
  <c r="D46" i="1"/>
  <c r="E46" i="1"/>
  <c r="F46" i="1"/>
  <c r="G46" i="1"/>
  <c r="H46" i="1"/>
  <c r="I46" i="1"/>
  <c r="J46" i="1"/>
  <c r="K46" i="1"/>
  <c r="L46" i="1"/>
  <c r="M46" i="1"/>
  <c r="B46" i="1"/>
  <c r="D64" i="1"/>
  <c r="C64" i="1"/>
  <c r="C16" i="1" l="1"/>
  <c r="G13" i="6" l="1"/>
  <c r="K7" i="11" l="1"/>
  <c r="F34" i="5" l="1"/>
  <c r="D82" i="1" l="1"/>
  <c r="C82" i="1"/>
  <c r="B82" i="1"/>
  <c r="D81" i="1"/>
  <c r="C81" i="1"/>
  <c r="B81" i="1"/>
  <c r="D80" i="1"/>
  <c r="C80" i="1"/>
  <c r="B80" i="1"/>
  <c r="D79" i="1"/>
  <c r="C79" i="1"/>
  <c r="B79" i="1"/>
  <c r="C59" i="1"/>
  <c r="D59" i="1"/>
  <c r="E59" i="1"/>
  <c r="F59" i="1"/>
  <c r="G59" i="1"/>
  <c r="H59" i="1"/>
  <c r="I59" i="1"/>
  <c r="J59" i="1"/>
  <c r="K59" i="1"/>
  <c r="L59" i="1"/>
  <c r="M59" i="1"/>
  <c r="C60" i="1"/>
  <c r="D60" i="1"/>
  <c r="E60" i="1"/>
  <c r="N60" i="1" s="1"/>
  <c r="F60" i="1"/>
  <c r="G60" i="1"/>
  <c r="H60" i="1"/>
  <c r="I60" i="1"/>
  <c r="J60" i="1"/>
  <c r="K60" i="1"/>
  <c r="L60" i="1"/>
  <c r="M60" i="1"/>
  <c r="C61" i="1"/>
  <c r="D61" i="1"/>
  <c r="E61" i="1"/>
  <c r="F61" i="1"/>
  <c r="G61" i="1"/>
  <c r="H61" i="1"/>
  <c r="I61" i="1"/>
  <c r="J61" i="1"/>
  <c r="K61" i="1"/>
  <c r="L61" i="1"/>
  <c r="M61" i="1"/>
  <c r="B61" i="1"/>
  <c r="B60" i="1"/>
  <c r="B59" i="1"/>
  <c r="C58" i="1"/>
  <c r="D58" i="1"/>
  <c r="E58" i="1"/>
  <c r="F58" i="1"/>
  <c r="G58" i="1"/>
  <c r="H58" i="1"/>
  <c r="I58" i="1"/>
  <c r="J58" i="1"/>
  <c r="K58" i="1"/>
  <c r="L58" i="1"/>
  <c r="M58" i="1"/>
  <c r="B58" i="1"/>
  <c r="N58" i="1" s="1"/>
  <c r="N61" i="1" l="1"/>
  <c r="N59" i="1"/>
  <c r="N55" i="1"/>
  <c r="N54" i="1"/>
  <c r="N53" i="1"/>
  <c r="N52" i="1"/>
  <c r="N51" i="1"/>
  <c r="N50" i="1"/>
  <c r="N49" i="1"/>
  <c r="N48" i="1"/>
  <c r="N47" i="1"/>
  <c r="N56" i="1" l="1"/>
  <c r="G32" i="6"/>
  <c r="G31" i="6" l="1"/>
  <c r="F33" i="5" l="1"/>
  <c r="C25" i="1" l="1"/>
  <c r="N14" i="1"/>
  <c r="C18" i="12" l="1"/>
  <c r="C17" i="12"/>
  <c r="C16" i="12"/>
  <c r="C15" i="12"/>
  <c r="B20" i="12" l="1"/>
  <c r="D18" i="12"/>
  <c r="D17" i="12"/>
  <c r="D16" i="12"/>
  <c r="D15" i="12"/>
  <c r="D14" i="12"/>
  <c r="D20" i="12" l="1"/>
  <c r="G26" i="6" l="1"/>
  <c r="F10" i="5"/>
  <c r="N12" i="1" l="1"/>
  <c r="N13" i="1"/>
  <c r="N15" i="1"/>
  <c r="D7" i="11"/>
  <c r="G7" i="11"/>
  <c r="L7" i="11"/>
  <c r="D8" i="11"/>
  <c r="G8" i="11"/>
  <c r="H8" i="11" s="1"/>
  <c r="J8" i="11" s="1"/>
  <c r="K8" i="11"/>
  <c r="L8" i="11"/>
  <c r="D9" i="11"/>
  <c r="G9" i="11"/>
  <c r="K9" i="11"/>
  <c r="L9" i="11"/>
  <c r="D10" i="11"/>
  <c r="G10" i="11"/>
  <c r="H10" i="11" s="1"/>
  <c r="J10" i="11" s="1"/>
  <c r="K10" i="11"/>
  <c r="L10" i="11"/>
  <c r="D11" i="11"/>
  <c r="K11" i="11"/>
  <c r="F19" i="11"/>
  <c r="D12" i="11"/>
  <c r="G12" i="11"/>
  <c r="K12" i="11"/>
  <c r="L12" i="11"/>
  <c r="D13" i="11"/>
  <c r="G13" i="11"/>
  <c r="H13" i="11" s="1"/>
  <c r="J13" i="11" s="1"/>
  <c r="K13" i="11"/>
  <c r="L13" i="11"/>
  <c r="D14" i="11"/>
  <c r="G14" i="11"/>
  <c r="K14" i="11"/>
  <c r="L14" i="11"/>
  <c r="D15" i="11"/>
  <c r="G15" i="11"/>
  <c r="K15" i="11"/>
  <c r="L15" i="11"/>
  <c r="D16" i="11"/>
  <c r="G16" i="11"/>
  <c r="K16" i="11"/>
  <c r="L16" i="11"/>
  <c r="D17" i="11"/>
  <c r="G17" i="11"/>
  <c r="K17" i="11"/>
  <c r="L17" i="11"/>
  <c r="C19" i="11"/>
  <c r="G18" i="11"/>
  <c r="H9" i="11" l="1"/>
  <c r="J9" i="11" s="1"/>
  <c r="M17" i="11"/>
  <c r="M13" i="11"/>
  <c r="M16" i="11"/>
  <c r="H12" i="11"/>
  <c r="J12" i="11" s="1"/>
  <c r="H17" i="11"/>
  <c r="J17" i="11" s="1"/>
  <c r="M9" i="11"/>
  <c r="M8" i="11"/>
  <c r="E19" i="11"/>
  <c r="D18" i="11"/>
  <c r="D19" i="11" s="1"/>
  <c r="M15" i="11"/>
  <c r="M14" i="11"/>
  <c r="H18" i="11"/>
  <c r="J18" i="11" s="1"/>
  <c r="L18" i="11"/>
  <c r="H16" i="11"/>
  <c r="J16" i="11" s="1"/>
  <c r="H15" i="11"/>
  <c r="J15" i="11" s="1"/>
  <c r="H14" i="11"/>
  <c r="J14" i="11" s="1"/>
  <c r="M12" i="11"/>
  <c r="M10" i="11"/>
  <c r="H7" i="11"/>
  <c r="F23" i="11"/>
  <c r="F24" i="11" s="1"/>
  <c r="D8" i="3" s="1"/>
  <c r="L11" i="11"/>
  <c r="M11" i="11" s="1"/>
  <c r="G11" i="11"/>
  <c r="H11" i="11" s="1"/>
  <c r="J11" i="11" s="1"/>
  <c r="B19" i="11"/>
  <c r="K18" i="11"/>
  <c r="M18" i="11" l="1"/>
  <c r="E23" i="11"/>
  <c r="E24" i="11" s="1"/>
  <c r="D7" i="3" s="1"/>
  <c r="G19" i="11"/>
  <c r="L19" i="11"/>
  <c r="K19" i="11"/>
  <c r="M7" i="11"/>
  <c r="J7" i="11"/>
  <c r="J19" i="11" s="1"/>
  <c r="H19" i="11"/>
  <c r="M19" i="11" l="1"/>
  <c r="L20" i="11"/>
  <c r="K20" i="11"/>
  <c r="M20" i="11" s="1"/>
  <c r="A19" i="1" l="1"/>
  <c r="A20" i="1"/>
  <c r="A21" i="1"/>
  <c r="A22" i="1"/>
  <c r="A23" i="1"/>
  <c r="A24" i="1"/>
  <c r="D25" i="1"/>
  <c r="D14" i="3" l="1"/>
  <c r="D17" i="3" s="1"/>
  <c r="D9" i="3" l="1"/>
  <c r="D16" i="3" s="1"/>
  <c r="F9" i="3" s="1"/>
  <c r="E8" i="3" l="1"/>
  <c r="E7" i="3"/>
  <c r="F8" i="3" l="1"/>
  <c r="E36" i="6"/>
  <c r="E9" i="3" l="1"/>
  <c r="G33" i="6" l="1"/>
  <c r="G34" i="6" s="1"/>
  <c r="F14" i="5"/>
  <c r="F18" i="5" s="1"/>
  <c r="F7" i="3" l="1"/>
  <c r="G7" i="6" l="1"/>
  <c r="F8" i="13"/>
  <c r="J8" i="13" s="1"/>
  <c r="H16" i="1"/>
  <c r="B16" i="1"/>
  <c r="K16" i="1"/>
  <c r="D16" i="1"/>
  <c r="M16" i="1"/>
  <c r="L16" i="1"/>
  <c r="J16" i="1"/>
  <c r="N11" i="1"/>
  <c r="N16" i="1" s="1"/>
  <c r="G17" i="6" s="1"/>
  <c r="G16" i="1"/>
  <c r="I16" i="1"/>
  <c r="F16" i="1"/>
  <c r="E16" i="1"/>
  <c r="D24" i="1" l="1"/>
  <c r="D26" i="1" s="1"/>
  <c r="B24" i="1"/>
  <c r="B26" i="1" s="1"/>
  <c r="C24" i="1"/>
  <c r="C26" i="1" s="1"/>
  <c r="D21" i="12" l="1"/>
  <c r="D22" i="12" s="1"/>
  <c r="F16" i="5" s="1"/>
  <c r="D27" i="1"/>
  <c r="D28" i="1" s="1"/>
  <c r="F25" i="5" s="1"/>
  <c r="F35" i="5" l="1"/>
  <c r="B28" i="1"/>
  <c r="F17" i="5" s="1"/>
  <c r="F19" i="5" s="1"/>
  <c r="C27" i="1"/>
  <c r="C28" i="1" s="1"/>
  <c r="F21" i="5" s="1"/>
  <c r="F36" i="5" l="1"/>
  <c r="F22" i="5"/>
  <c r="F23" i="5" s="1"/>
  <c r="F26" i="5" l="1"/>
  <c r="F27" i="5" s="1"/>
  <c r="F37" i="5" l="1"/>
  <c r="F38" i="5" s="1"/>
  <c r="G9" i="6" s="1"/>
  <c r="G11" i="6" l="1"/>
  <c r="G15" i="6" s="1"/>
  <c r="F9" i="13"/>
  <c r="J9" i="13" s="1"/>
  <c r="G19" i="6" l="1"/>
  <c r="G25" i="6" s="1"/>
  <c r="F11" i="13"/>
  <c r="F10" i="13" l="1"/>
  <c r="J10" i="13" s="1"/>
  <c r="J11" i="13"/>
  <c r="I25" i="6"/>
  <c r="G27" i="6"/>
  <c r="L41" i="6" l="1"/>
  <c r="M41" i="6" s="1"/>
  <c r="L47" i="6"/>
  <c r="M47" i="6" s="1"/>
  <c r="L46" i="6"/>
  <c r="M46" i="6" s="1"/>
  <c r="L45" i="6"/>
  <c r="M45" i="6" s="1"/>
  <c r="L42" i="6"/>
  <c r="M42" i="6" s="1"/>
  <c r="L43" i="6"/>
  <c r="M43" i="6" s="1"/>
  <c r="I27" i="6"/>
  <c r="I31" i="6" s="1"/>
  <c r="F36" i="6"/>
  <c r="G36" i="6" s="1"/>
  <c r="G38" i="6" s="1"/>
  <c r="P16" i="1"/>
  <c r="J14" i="13" l="1"/>
  <c r="R16" i="1"/>
  <c r="R21" i="1" s="1"/>
  <c r="R14" i="1"/>
  <c r="T14" i="1" s="1"/>
  <c r="R11" i="1"/>
  <c r="T11" i="1" s="1"/>
  <c r="R13" i="1"/>
  <c r="T13" i="1" s="1"/>
  <c r="R15" i="1"/>
  <c r="T15" i="1" s="1"/>
  <c r="R12" i="1"/>
  <c r="T12" i="1" s="1"/>
  <c r="C38" i="6"/>
  <c r="C3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Rff9457</author>
  </authors>
  <commentList>
    <comment ref="B27" authorId="0" shapeId="0" xr:uid="{00000000-0006-0000-0400-000001000000}">
      <text>
        <r>
          <rPr>
            <b/>
            <sz val="9"/>
            <color indexed="81"/>
            <rFont val="Tahoma"/>
            <family val="2"/>
          </rPr>
          <t>Rff9457:</t>
        </r>
        <r>
          <rPr>
            <sz val="9"/>
            <color indexed="81"/>
            <rFont val="Tahoma"/>
            <family val="2"/>
          </rPr>
          <t xml:space="preserve">
WA GRC UE-190334</t>
        </r>
      </text>
    </comment>
  </commentList>
</comments>
</file>

<file path=xl/sharedStrings.xml><?xml version="1.0" encoding="utf-8"?>
<sst xmlns="http://schemas.openxmlformats.org/spreadsheetml/2006/main" count="197" uniqueCount="133">
  <si>
    <t>Total</t>
  </si>
  <si>
    <t>November</t>
  </si>
  <si>
    <t>Avista Utilities</t>
  </si>
  <si>
    <t>Percent</t>
  </si>
  <si>
    <t>Rate</t>
  </si>
  <si>
    <t>Revenue</t>
  </si>
  <si>
    <t>CF</t>
  </si>
  <si>
    <t>Amort</t>
  </si>
  <si>
    <t>Projected Kilowatt-hours</t>
  </si>
  <si>
    <t>$ (000's)</t>
  </si>
  <si>
    <t>and Residential Exchange Amortization</t>
  </si>
  <si>
    <t>Purchase at ASC</t>
  </si>
  <si>
    <t>Sale at PF Exchange Rate</t>
  </si>
  <si>
    <t>WA Credit Amount</t>
  </si>
  <si>
    <t>ID Credit Amount</t>
  </si>
  <si>
    <t xml:space="preserve">   Total</t>
  </si>
  <si>
    <t>Avista Corporation</t>
  </si>
  <si>
    <t>Actual and Projected</t>
  </si>
  <si>
    <t>Balance</t>
  </si>
  <si>
    <t>May credit received in July</t>
  </si>
  <si>
    <t>Amortization</t>
  </si>
  <si>
    <t>Interest</t>
  </si>
  <si>
    <t>June credit received in August</t>
  </si>
  <si>
    <t>July credit received in September</t>
  </si>
  <si>
    <t>(Actual)</t>
  </si>
  <si>
    <t>(Projected)</t>
  </si>
  <si>
    <t>August credit received in October</t>
  </si>
  <si>
    <t>(1)</t>
  </si>
  <si>
    <t>(1) Amortization at existing rate.  Does not include amortization at</t>
  </si>
  <si>
    <t>Proposed Rate</t>
  </si>
  <si>
    <t>Check</t>
  </si>
  <si>
    <t>Credits to be received</t>
  </si>
  <si>
    <t>Net benefit for rate adjustment</t>
  </si>
  <si>
    <t>Revenue requirement</t>
  </si>
  <si>
    <t>Proposed rate</t>
  </si>
  <si>
    <t>Rate Impact</t>
  </si>
  <si>
    <t>Proposed rate credit above</t>
  </si>
  <si>
    <t>Existing rate credit</t>
  </si>
  <si>
    <t xml:space="preserve">   Difference</t>
  </si>
  <si>
    <t>Basic charge</t>
  </si>
  <si>
    <t xml:space="preserve">   Rounded</t>
  </si>
  <si>
    <t>April credit received in June</t>
  </si>
  <si>
    <t>Projected Residential Exchange Program Benefits</t>
  </si>
  <si>
    <t>October</t>
  </si>
  <si>
    <t>Credit</t>
  </si>
  <si>
    <t xml:space="preserve">Avista Corp. </t>
  </si>
  <si>
    <t>BPA Residential Exchange Load Calculation</t>
  </si>
  <si>
    <t>Average</t>
  </si>
  <si>
    <t xml:space="preserve">Total </t>
  </si>
  <si>
    <t>WA</t>
  </si>
  <si>
    <t>ID</t>
  </si>
  <si>
    <t>August</t>
  </si>
  <si>
    <t>September</t>
  </si>
  <si>
    <t>December</t>
  </si>
  <si>
    <t>Projected Loads</t>
  </si>
  <si>
    <t>Total Credit</t>
  </si>
  <si>
    <t>Conversion factor</t>
  </si>
  <si>
    <t>Residential Exchange - State of Washington</t>
  </si>
  <si>
    <t>Washington Residential Exchange Account</t>
  </si>
  <si>
    <t>WA001</t>
  </si>
  <si>
    <t>WA012</t>
  </si>
  <si>
    <t>WA022</t>
  </si>
  <si>
    <t>WA032</t>
  </si>
  <si>
    <t>WA048</t>
  </si>
  <si>
    <t>State of Washington</t>
  </si>
  <si>
    <t>KWH (1)</t>
  </si>
  <si>
    <t>First 800 kWh</t>
  </si>
  <si>
    <t>Over 800 kWh</t>
  </si>
  <si>
    <t>Accounting Adjustment</t>
  </si>
  <si>
    <t>CLEG ADJUSTMENTS</t>
  </si>
  <si>
    <t>July</t>
  </si>
  <si>
    <t>June</t>
  </si>
  <si>
    <t>May</t>
  </si>
  <si>
    <t>April</t>
  </si>
  <si>
    <t>March</t>
  </si>
  <si>
    <t>February</t>
  </si>
  <si>
    <t>January</t>
  </si>
  <si>
    <t>Immaterial Difference</t>
  </si>
  <si>
    <t>Percent rate</t>
  </si>
  <si>
    <t>AVISTA CORPORATION</t>
  </si>
  <si>
    <t>RESIDENTIAL &amp; FARM ENERGY RATE ADJUSTMENT CREDIT</t>
  </si>
  <si>
    <t>Credit Rate</t>
  </si>
  <si>
    <t>On/After</t>
  </si>
  <si>
    <t>Schedule</t>
  </si>
  <si>
    <t>kWh</t>
  </si>
  <si>
    <t>(a)</t>
  </si>
  <si>
    <t>(e)</t>
  </si>
  <si>
    <t>(g)</t>
  </si>
  <si>
    <t>a*c*e=g</t>
  </si>
  <si>
    <t>Schedule Totals</t>
  </si>
  <si>
    <t>kWh (000's)</t>
  </si>
  <si>
    <t>Amortization Adjustment - July Unbilled</t>
  </si>
  <si>
    <t>JULY UNBILLED</t>
  </si>
  <si>
    <t xml:space="preserve">Incremental </t>
  </si>
  <si>
    <t>Rate Change</t>
  </si>
  <si>
    <t>Present Billed Revenue</t>
  </si>
  <si>
    <t>Present</t>
  </si>
  <si>
    <t>Change</t>
  </si>
  <si>
    <t>Revenue Conversion factor</t>
  </si>
  <si>
    <t>Revenue Requirement</t>
  </si>
  <si>
    <t>Washington portion of benefit amount</t>
  </si>
  <si>
    <t>1/2</t>
  </si>
  <si>
    <t>Estimated over/(under)-refunded balance</t>
  </si>
  <si>
    <t>Projected</t>
  </si>
  <si>
    <t>new rate proposed to be effective November 1, 2019.</t>
  </si>
  <si>
    <t>Per Verification E-mail sent to BPA 2.19</t>
  </si>
  <si>
    <t>% Change</t>
  </si>
  <si>
    <t>Total Present Billed Revenue</t>
  </si>
  <si>
    <t>Total Oct-20 thru Sep-21</t>
  </si>
  <si>
    <t>WA011</t>
  </si>
  <si>
    <t>WA021</t>
  </si>
  <si>
    <t>WA025</t>
  </si>
  <si>
    <t>WA031</t>
  </si>
  <si>
    <t>WA04X</t>
  </si>
  <si>
    <t>Before 11/1/20</t>
  </si>
  <si>
    <t xml:space="preserve">JULY 2021 WASHINGTON ELECTRIC </t>
  </si>
  <si>
    <t>(1) Average of 2019 and 2020 qualifying kilowatt-hours by state.</t>
  </si>
  <si>
    <t>November 1, 2021 - October 31, 2022</t>
  </si>
  <si>
    <t>Washington portion of 2021 fiscal year benefit amount</t>
  </si>
  <si>
    <t>Projected kWh 11/1/21 - 10/31/22</t>
  </si>
  <si>
    <t>Balance 5/31/21 (Actual)</t>
  </si>
  <si>
    <t>Estimated over-refunded balance at end of existing rate</t>
  </si>
  <si>
    <t>Bill for 914 kWh at present rates with all adders</t>
  </si>
  <si>
    <t>Residential</t>
  </si>
  <si>
    <t>General Service</t>
  </si>
  <si>
    <t>11/12/13</t>
  </si>
  <si>
    <t>Large General Service</t>
  </si>
  <si>
    <t>21/22/23</t>
  </si>
  <si>
    <t>Extra Large General Service</t>
  </si>
  <si>
    <t>Pumping Service</t>
  </si>
  <si>
    <t>30/31/32</t>
  </si>
  <si>
    <t>Street &amp; Area Lights</t>
  </si>
  <si>
    <t>41-48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</si>
</sst>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7">
    <numFmt numFmtId="5" formatCode="&quot;$&quot;#,##0_);\(&quot;$&quot;#,##0\)"/>
    <numFmt numFmtId="44" formatCode="_(&quot;$&quot;* #,##0.00_);_(&quot;$&quot;* \(#,##0.00\);_(&quot;$&quot;* &quot;-&quot;??_);_(@_)"/>
    <numFmt numFmtId="43" formatCode="_(* #,##0.00_);_(* \(#,##0.00\);_(* &quot;-&quot;??_);_(@_)"/>
    <numFmt numFmtId="164" formatCode="[$-409]mmm\-yy;@"/>
    <numFmt numFmtId="165" formatCode="&quot;$&quot;#,##0.00000"/>
    <numFmt numFmtId="166" formatCode="#,##0.000000"/>
    <numFmt numFmtId="167" formatCode="&quot;$&quot;#,##0"/>
    <numFmt numFmtId="168" formatCode="&quot;$&quot;#,##0.00"/>
    <numFmt numFmtId="169" formatCode="&quot;$&quot;#,##0.00000_);\(&quot;$&quot;#,##0.00000\)"/>
    <numFmt numFmtId="170" formatCode="_(* #,##0_);_(* \(#,##0\);_(* &quot;-&quot;??_);_(@_)"/>
    <numFmt numFmtId="171" formatCode="_(* #,##0.00000_);_(* \(#,##0.00000\);_(* &quot;-&quot;??_);_(@_)"/>
    <numFmt numFmtId="172" formatCode="#,##0.0000"/>
    <numFmt numFmtId="173" formatCode="0.0%"/>
    <numFmt numFmtId="174" formatCode="0.0000000%"/>
    <numFmt numFmtId="175" formatCode="&quot;$&quot;#,##0.0000"/>
    <numFmt numFmtId="176" formatCode="mmm\ yy"/>
    <numFmt numFmtId="177" formatCode="#,##0,;\-#,##0,"/>
    <numFmt numFmtId="178" formatCode="0.000000"/>
    <numFmt numFmtId="179" formatCode="0.00_)"/>
    <numFmt numFmtId="180" formatCode="0.0000%"/>
    <numFmt numFmtId="181" formatCode="d/mmm/yy"/>
    <numFmt numFmtId="182" formatCode="#,##0.000\¢\ ;\(#,##0.000\¢\)"/>
    <numFmt numFmtId="183" formatCode="#,##0\ ;\(#,##0\)"/>
    <numFmt numFmtId="184" formatCode="_(&quot;$&quot;* #,##0.00000_);_(&quot;$&quot;* \(#,##0.00000\);_(&quot;$&quot;* &quot;-&quot;??_);_(@_)"/>
    <numFmt numFmtId="185" formatCode="_(&quot;$&quot;* #,##0_);_(&quot;$&quot;* \(#,##0\);_(&quot;$&quot;* &quot;-&quot;??_);_(@_)"/>
    <numFmt numFmtId="186" formatCode="#,##0.000"/>
    <numFmt numFmtId="187" formatCode="0.00000%"/>
  </numFmts>
  <fonts count="33">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theme="1"/>
      <name val="Arial"/>
      <family val="2"/>
    </font>
    <font>
      <sz val="10"/>
      <color theme="1"/>
      <name val="Arial"/>
      <family val="2"/>
    </font>
    <font>
      <sz val="10"/>
      <name val="Arial"/>
      <family val="2"/>
    </font>
    <font>
      <sz val="10"/>
      <color theme="1"/>
      <name val="Tahoma"/>
      <family val="2"/>
    </font>
    <font>
      <b/>
      <sz val="10"/>
      <color theme="1"/>
      <name val="Tahoma"/>
      <family val="2"/>
    </font>
    <font>
      <sz val="10"/>
      <name val="MS Sans Serif"/>
      <family val="2"/>
    </font>
    <font>
      <sz val="10"/>
      <name val="Arial"/>
      <family val="2"/>
    </font>
    <font>
      <b/>
      <sz val="10"/>
      <name val="Arial"/>
      <family val="2"/>
    </font>
    <font>
      <u/>
      <sz val="10"/>
      <name val="Arial"/>
      <family val="2"/>
    </font>
    <font>
      <sz val="10"/>
      <name val="Arial"/>
      <family val="2"/>
    </font>
    <font>
      <sz val="10"/>
      <color rgb="FF0000FF"/>
      <name val="Arial"/>
      <family val="2"/>
    </font>
    <font>
      <b/>
      <sz val="11"/>
      <color theme="1"/>
      <name val="Calibri"/>
      <family val="2"/>
      <scheme val="minor"/>
    </font>
    <font>
      <b/>
      <sz val="10"/>
      <name val="Helv"/>
    </font>
    <font>
      <sz val="10"/>
      <name val="Tahoma"/>
      <family val="2"/>
    </font>
    <font>
      <sz val="8"/>
      <name val="Arial"/>
      <family val="2"/>
    </font>
    <font>
      <b/>
      <sz val="12"/>
      <name val="Helv"/>
    </font>
    <font>
      <b/>
      <sz val="11"/>
      <name val="Helv"/>
    </font>
    <font>
      <b/>
      <i/>
      <sz val="16"/>
      <name val="Helv"/>
    </font>
    <font>
      <sz val="10"/>
      <name val="Geneva"/>
    </font>
    <font>
      <sz val="10"/>
      <name val="Helv"/>
    </font>
    <font>
      <u/>
      <sz val="10"/>
      <name val="Helv"/>
    </font>
    <font>
      <sz val="10"/>
      <color rgb="FF1015D2"/>
      <name val="Helv"/>
    </font>
    <font>
      <sz val="10"/>
      <name val="Times New Roman"/>
      <family val="1"/>
    </font>
    <font>
      <b/>
      <sz val="9"/>
      <color indexed="81"/>
      <name val="Tahoma"/>
      <family val="2"/>
    </font>
    <font>
      <sz val="9"/>
      <color indexed="81"/>
      <name val="Tahoma"/>
      <family val="2"/>
    </font>
    <font>
      <sz val="12"/>
      <color theme="1"/>
      <name val="Times New Roman"/>
      <family val="1"/>
    </font>
    <font>
      <sz val="10"/>
      <color rgb="FF3333FF"/>
      <name val="Arial"/>
      <family val="2"/>
    </font>
  </fonts>
  <fills count="5">
    <fill>
      <patternFill patternType="none"/>
    </fill>
    <fill>
      <patternFill patternType="gray125"/>
    </fill>
    <fill>
      <patternFill patternType="solid">
        <fgColor theme="3" tint="0.79998168889431442"/>
        <bgColor indexed="64"/>
      </patternFill>
    </fill>
    <fill>
      <patternFill patternType="solid">
        <fgColor indexed="22"/>
        <bgColor indexed="64"/>
      </patternFill>
    </fill>
    <fill>
      <patternFill patternType="solid">
        <fgColor indexed="26"/>
        <bgColor indexed="64"/>
      </patternFill>
    </fill>
  </fills>
  <borders count="7">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125">
    <xf numFmtId="0" fontId="0" fillId="0" borderId="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5" fillId="0" borderId="0"/>
    <xf numFmtId="43" fontId="5" fillId="0" borderId="0" applyFont="0" applyFill="0" applyBorder="0" applyAlignment="0" applyProtection="0"/>
    <xf numFmtId="0" fontId="8" fillId="0" borderId="0">
      <alignment readingOrder="1"/>
    </xf>
    <xf numFmtId="43" fontId="8" fillId="0" borderId="0" applyFont="0" applyFill="0" applyBorder="0" applyAlignment="0" applyProtection="0"/>
    <xf numFmtId="9" fontId="8" fillId="0" borderId="0" applyFont="0" applyFill="0" applyBorder="0" applyAlignment="0" applyProtection="0"/>
    <xf numFmtId="0" fontId="5" fillId="0" borderId="0"/>
    <xf numFmtId="3" fontId="7" fillId="0" borderId="0"/>
    <xf numFmtId="3" fontId="7" fillId="0" borderId="0"/>
    <xf numFmtId="0" fontId="4" fillId="0" borderId="0"/>
    <xf numFmtId="43" fontId="4" fillId="0" borderId="0" applyFont="0" applyFill="0" applyBorder="0" applyAlignment="0" applyProtection="0"/>
    <xf numFmtId="0" fontId="8" fillId="0" borderId="0"/>
    <xf numFmtId="0" fontId="9" fillId="0" borderId="0"/>
    <xf numFmtId="0" fontId="8" fillId="0" borderId="0"/>
    <xf numFmtId="43" fontId="9" fillId="0" borderId="0" applyFont="0" applyFill="0" applyBorder="0" applyAlignment="0" applyProtection="0"/>
    <xf numFmtId="9" fontId="9" fillId="0" borderId="0" applyFont="0" applyFill="0" applyBorder="0" applyAlignment="0" applyProtection="0"/>
    <xf numFmtId="0" fontId="11" fillId="0" borderId="0" applyNumberFormat="0" applyFont="0" applyFill="0" applyBorder="0" applyAlignment="0" applyProtection="0">
      <alignment horizontal="left"/>
    </xf>
    <xf numFmtId="0" fontId="12" fillId="0" borderId="0"/>
    <xf numFmtId="43" fontId="12" fillId="0" borderId="0" applyFont="0" applyFill="0" applyBorder="0" applyAlignment="0" applyProtection="0"/>
    <xf numFmtId="44" fontId="12" fillId="0" borderId="0" applyFont="0" applyFill="0" applyBorder="0" applyAlignment="0" applyProtection="0"/>
    <xf numFmtId="0" fontId="15" fillId="0" borderId="0">
      <alignment readingOrder="1"/>
    </xf>
    <xf numFmtId="0" fontId="3" fillId="0" borderId="0"/>
    <xf numFmtId="0" fontId="7" fillId="0" borderId="0"/>
    <xf numFmtId="43" fontId="7" fillId="0" borderId="0" applyFont="0" applyFill="0" applyBorder="0" applyAlignment="0" applyProtection="0"/>
    <xf numFmtId="0" fontId="18" fillId="0" borderId="0"/>
    <xf numFmtId="43" fontId="1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38" fontId="20" fillId="3" borderId="0" applyNumberFormat="0" applyBorder="0" applyAlignment="0" applyProtection="0"/>
    <xf numFmtId="0" fontId="21" fillId="0" borderId="0">
      <alignment horizontal="left"/>
    </xf>
    <xf numFmtId="10" fontId="20" fillId="4" borderId="5" applyNumberFormat="0" applyBorder="0" applyAlignment="0" applyProtection="0"/>
    <xf numFmtId="0" fontId="22" fillId="0" borderId="6"/>
    <xf numFmtId="179" fontId="23" fillId="0" borderId="0"/>
    <xf numFmtId="0" fontId="2" fillId="0" borderId="0"/>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alignment readingOrder="1"/>
    </xf>
    <xf numFmtId="0" fontId="15" fillId="0" borderId="0"/>
    <xf numFmtId="3" fontId="7" fillId="0" borderId="0"/>
    <xf numFmtId="3" fontId="7" fillId="0" borderId="0"/>
    <xf numFmtId="3" fontId="7" fillId="0" borderId="0"/>
    <xf numFmtId="0" fontId="8" fillId="0" borderId="0">
      <alignment readingOrder="1"/>
    </xf>
    <xf numFmtId="0" fontId="2" fillId="0" borderId="0"/>
    <xf numFmtId="0" fontId="8" fillId="0" borderId="0"/>
    <xf numFmtId="0" fontId="2" fillId="0" borderId="0"/>
    <xf numFmtId="0" fontId="7" fillId="0" borderId="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2" fillId="0" borderId="0"/>
    <xf numFmtId="0" fontId="15" fillId="0" borderId="0">
      <alignment readingOrder="1"/>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 fillId="0" borderId="0"/>
    <xf numFmtId="9" fontId="8" fillId="0" borderId="0" applyFont="0" applyFill="0" applyBorder="0" applyAlignment="0" applyProtection="0"/>
    <xf numFmtId="0" fontId="15" fillId="0" borderId="0">
      <alignment readingOrder="1"/>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5" fillId="0" borderId="0">
      <alignment readingOrder="1"/>
    </xf>
    <xf numFmtId="9" fontId="8" fillId="0" borderId="0" applyFont="0" applyFill="0" applyBorder="0" applyAlignment="0" applyProtection="0"/>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24"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43" fontId="7" fillId="0" borderId="0" applyFont="0" applyFill="0" applyBorder="0" applyAlignment="0" applyProtection="0"/>
    <xf numFmtId="43" fontId="9" fillId="0" borderId="0" applyFont="0" applyFill="0" applyBorder="0" applyAlignment="0" applyProtection="0"/>
  </cellStyleXfs>
  <cellXfs count="198">
    <xf numFmtId="0" fontId="0" fillId="0" borderId="0" xfId="0"/>
    <xf numFmtId="0" fontId="6" fillId="0" borderId="0" xfId="0" applyFont="1"/>
    <xf numFmtId="4" fontId="0" fillId="0" borderId="0" xfId="0" applyNumberFormat="1"/>
    <xf numFmtId="14" fontId="0" fillId="0" borderId="0" xfId="0" applyNumberFormat="1"/>
    <xf numFmtId="168" fontId="0" fillId="0" borderId="0" xfId="0" applyNumberFormat="1"/>
    <xf numFmtId="0" fontId="0" fillId="0" borderId="0" xfId="0" applyFill="1"/>
    <xf numFmtId="3" fontId="8" fillId="0" borderId="0" xfId="0" applyNumberFormat="1" applyFont="1"/>
    <xf numFmtId="3" fontId="8" fillId="0" borderId="1" xfId="0" applyNumberFormat="1" applyFont="1" applyBorder="1"/>
    <xf numFmtId="0" fontId="0" fillId="0" borderId="0" xfId="0" quotePrefix="1" applyFill="1"/>
    <xf numFmtId="43" fontId="0" fillId="0" borderId="0" xfId="2" applyFont="1" applyFill="1"/>
    <xf numFmtId="0" fontId="10" fillId="0" borderId="0" xfId="15" applyFont="1"/>
    <xf numFmtId="0" fontId="9" fillId="0" borderId="0" xfId="15"/>
    <xf numFmtId="0" fontId="9" fillId="0" borderId="0" xfId="15" applyAlignment="1">
      <alignment horizontal="center"/>
    </xf>
    <xf numFmtId="0" fontId="10" fillId="0" borderId="0" xfId="15" applyFont="1" applyFill="1" applyAlignment="1">
      <alignment horizontal="center"/>
    </xf>
    <xf numFmtId="0" fontId="10" fillId="0" borderId="0" xfId="15" applyFont="1" applyAlignment="1">
      <alignment horizontal="center"/>
    </xf>
    <xf numFmtId="0" fontId="10" fillId="0" borderId="1" xfId="15" applyFont="1" applyFill="1" applyBorder="1" applyAlignment="1">
      <alignment horizontal="center"/>
    </xf>
    <xf numFmtId="170" fontId="9" fillId="0" borderId="0" xfId="15" applyNumberFormat="1"/>
    <xf numFmtId="170" fontId="9" fillId="0" borderId="0" xfId="15" applyNumberFormat="1" applyFill="1"/>
    <xf numFmtId="170" fontId="10" fillId="0" borderId="4" xfId="17" applyNumberFormat="1" applyFont="1" applyBorder="1"/>
    <xf numFmtId="170" fontId="10" fillId="0" borderId="4" xfId="17" applyNumberFormat="1" applyFont="1" applyFill="1" applyBorder="1"/>
    <xf numFmtId="9" fontId="9" fillId="0" borderId="0" xfId="15" applyNumberFormat="1"/>
    <xf numFmtId="170" fontId="10" fillId="0" borderId="0" xfId="15" applyNumberFormat="1" applyFont="1"/>
    <xf numFmtId="43" fontId="0" fillId="0" borderId="0" xfId="2" applyFont="1"/>
    <xf numFmtId="170" fontId="0" fillId="0" borderId="0" xfId="0" applyNumberFormat="1"/>
    <xf numFmtId="174" fontId="0" fillId="0" borderId="0" xfId="3" applyNumberFormat="1" applyFont="1"/>
    <xf numFmtId="0" fontId="8" fillId="0" borderId="0" xfId="0" applyFont="1" applyBorder="1" applyAlignment="1"/>
    <xf numFmtId="0" fontId="8" fillId="0" borderId="0" xfId="0" applyFont="1"/>
    <xf numFmtId="167" fontId="8" fillId="0" borderId="0" xfId="0" applyNumberFormat="1" applyFont="1"/>
    <xf numFmtId="0" fontId="8" fillId="0" borderId="1" xfId="0" applyFont="1" applyFill="1" applyBorder="1"/>
    <xf numFmtId="175" fontId="8" fillId="0" borderId="0" xfId="0" applyNumberFormat="1" applyFont="1"/>
    <xf numFmtId="3" fontId="8" fillId="0" borderId="1" xfId="0" applyNumberFormat="1" applyFont="1" applyFill="1" applyBorder="1"/>
    <xf numFmtId="165" fontId="8" fillId="0" borderId="0" xfId="0" applyNumberFormat="1" applyFont="1"/>
    <xf numFmtId="0" fontId="14" fillId="0" borderId="0" xfId="0" applyFont="1"/>
    <xf numFmtId="165" fontId="8" fillId="0" borderId="1" xfId="0" applyNumberFormat="1" applyFont="1" applyBorder="1"/>
    <xf numFmtId="165" fontId="8" fillId="0" borderId="3" xfId="0" applyNumberFormat="1" applyFont="1" applyBorder="1"/>
    <xf numFmtId="0" fontId="8" fillId="0" borderId="0" xfId="0" applyFont="1" applyFill="1"/>
    <xf numFmtId="168" fontId="8" fillId="0" borderId="0" xfId="0" applyNumberFormat="1" applyFont="1" applyFill="1"/>
    <xf numFmtId="168" fontId="8" fillId="0" borderId="0" xfId="0" applyNumberFormat="1" applyFont="1"/>
    <xf numFmtId="169" fontId="8" fillId="0" borderId="0" xfId="1" applyNumberFormat="1" applyFont="1" applyFill="1"/>
    <xf numFmtId="165" fontId="8" fillId="0" borderId="0" xfId="0" applyNumberFormat="1" applyFont="1" applyFill="1"/>
    <xf numFmtId="173" fontId="8" fillId="0" borderId="0" xfId="3" applyNumberFormat="1" applyFont="1"/>
    <xf numFmtId="0" fontId="8" fillId="0" borderId="0" xfId="0" applyFont="1" applyBorder="1"/>
    <xf numFmtId="0" fontId="8" fillId="0" borderId="0" xfId="0" applyFont="1" applyBorder="1" applyAlignment="1">
      <alignment horizontal="center"/>
    </xf>
    <xf numFmtId="0" fontId="14" fillId="0" borderId="0" xfId="0" applyFont="1" applyAlignment="1">
      <alignment horizontal="center"/>
    </xf>
    <xf numFmtId="3" fontId="8" fillId="0" borderId="0" xfId="0" applyNumberFormat="1" applyFont="1" applyFill="1"/>
    <xf numFmtId="10" fontId="8" fillId="0" borderId="0" xfId="0" applyNumberFormat="1" applyFont="1"/>
    <xf numFmtId="10" fontId="8" fillId="0" borderId="1" xfId="0" applyNumberFormat="1" applyFont="1" applyBorder="1"/>
    <xf numFmtId="167" fontId="8" fillId="0" borderId="0" xfId="0" applyNumberFormat="1" applyFont="1" applyFill="1"/>
    <xf numFmtId="0" fontId="8" fillId="0" borderId="0" xfId="0" applyFont="1" applyFill="1" applyBorder="1"/>
    <xf numFmtId="172" fontId="8" fillId="0" borderId="0" xfId="0" applyNumberFormat="1" applyFont="1" applyFill="1"/>
    <xf numFmtId="167" fontId="8" fillId="0" borderId="0" xfId="0" applyNumberFormat="1" applyFont="1" applyFill="1" applyBorder="1"/>
    <xf numFmtId="3" fontId="8" fillId="0" borderId="0" xfId="2" applyNumberFormat="1" applyFont="1" applyFill="1"/>
    <xf numFmtId="170" fontId="8" fillId="0" borderId="0" xfId="0" applyNumberFormat="1" applyFont="1" applyFill="1" applyBorder="1"/>
    <xf numFmtId="164" fontId="8" fillId="0" borderId="0" xfId="0" applyNumberFormat="1" applyFont="1" applyAlignment="1">
      <alignment horizontal="center"/>
    </xf>
    <xf numFmtId="0" fontId="8" fillId="0" borderId="0" xfId="0" applyFont="1" applyAlignment="1">
      <alignment horizontal="center"/>
    </xf>
    <xf numFmtId="164" fontId="14" fillId="0" borderId="0" xfId="0" applyNumberFormat="1" applyFont="1" applyAlignment="1">
      <alignment horizontal="center"/>
    </xf>
    <xf numFmtId="0" fontId="8" fillId="0" borderId="0" xfId="0" applyFont="1" applyAlignment="1">
      <alignment horizontal="left"/>
    </xf>
    <xf numFmtId="164" fontId="8" fillId="0" borderId="0" xfId="0" applyNumberFormat="1" applyFont="1"/>
    <xf numFmtId="0" fontId="8" fillId="0" borderId="0" xfId="0" applyFont="1" applyBorder="1" applyAlignment="1">
      <alignment readingOrder="1"/>
    </xf>
    <xf numFmtId="0" fontId="8" fillId="0" borderId="0" xfId="0" applyFont="1" applyAlignment="1">
      <alignment readingOrder="1"/>
    </xf>
    <xf numFmtId="3" fontId="8" fillId="0" borderId="0" xfId="0" applyNumberFormat="1" applyFont="1" applyBorder="1"/>
    <xf numFmtId="176" fontId="13" fillId="0" borderId="0" xfId="0" applyNumberFormat="1" applyFont="1" applyBorder="1" applyAlignment="1">
      <alignment readingOrder="1"/>
    </xf>
    <xf numFmtId="176" fontId="13" fillId="0" borderId="0" xfId="23" applyNumberFormat="1" applyFont="1" applyBorder="1">
      <alignment readingOrder="1"/>
    </xf>
    <xf numFmtId="43" fontId="8" fillId="0" borderId="0" xfId="2" applyFont="1" applyFill="1"/>
    <xf numFmtId="43" fontId="0" fillId="0" borderId="1" xfId="2" applyFont="1" applyFill="1" applyBorder="1"/>
    <xf numFmtId="0" fontId="14" fillId="0" borderId="0" xfId="0" applyFont="1" applyFill="1"/>
    <xf numFmtId="0" fontId="0" fillId="0" borderId="0" xfId="0" applyBorder="1" applyAlignment="1">
      <alignment readingOrder="1"/>
    </xf>
    <xf numFmtId="165" fontId="8" fillId="0" borderId="0" xfId="0" applyNumberFormat="1" applyFont="1" applyFill="1" applyBorder="1"/>
    <xf numFmtId="0" fontId="8" fillId="0" borderId="0" xfId="0" applyFont="1" applyAlignment="1"/>
    <xf numFmtId="166" fontId="8" fillId="0" borderId="1" xfId="0" applyNumberFormat="1" applyFont="1" applyFill="1" applyBorder="1"/>
    <xf numFmtId="0" fontId="10" fillId="0" borderId="1" xfId="15" applyFont="1" applyBorder="1" applyAlignment="1">
      <alignment horizontal="center"/>
    </xf>
    <xf numFmtId="0" fontId="10" fillId="0" borderId="1" xfId="15" applyFont="1" applyFill="1" applyBorder="1" applyAlignment="1">
      <alignment horizontal="center" wrapText="1"/>
    </xf>
    <xf numFmtId="0" fontId="7" fillId="0" borderId="0" xfId="25"/>
    <xf numFmtId="0" fontId="17" fillId="0" borderId="0" xfId="0" applyFont="1" applyBorder="1" applyAlignment="1">
      <alignment horizontal="center"/>
    </xf>
    <xf numFmtId="171" fontId="9" fillId="0" borderId="0" xfId="26" applyNumberFormat="1" applyFont="1"/>
    <xf numFmtId="171" fontId="7" fillId="0" borderId="0" xfId="17" applyNumberFormat="1" applyFont="1"/>
    <xf numFmtId="171" fontId="7" fillId="0" borderId="0" xfId="17" applyNumberFormat="1" applyFont="1" applyAlignment="1">
      <alignment horizontal="center"/>
    </xf>
    <xf numFmtId="170" fontId="17" fillId="0" borderId="0" xfId="0" applyNumberFormat="1" applyFont="1" applyBorder="1" applyAlignment="1">
      <alignment horizontal="center"/>
    </xf>
    <xf numFmtId="170" fontId="17" fillId="0" borderId="4" xfId="2" applyNumberFormat="1" applyFont="1" applyBorder="1" applyAlignment="1">
      <alignment horizontal="center"/>
    </xf>
    <xf numFmtId="170" fontId="7" fillId="0" borderId="0" xfId="17" applyNumberFormat="1" applyFont="1"/>
    <xf numFmtId="170" fontId="7" fillId="0" borderId="0" xfId="17" applyNumberFormat="1" applyFont="1" applyFill="1" applyAlignment="1">
      <alignment horizontal="center"/>
    </xf>
    <xf numFmtId="170" fontId="7" fillId="0" borderId="0" xfId="17" applyNumberFormat="1" applyFont="1" applyFill="1"/>
    <xf numFmtId="170" fontId="17" fillId="0" borderId="0" xfId="2" applyNumberFormat="1" applyFont="1" applyBorder="1" applyAlignment="1">
      <alignment horizontal="center"/>
    </xf>
    <xf numFmtId="170" fontId="17" fillId="0" borderId="1" xfId="2" applyNumberFormat="1" applyFont="1" applyFill="1" applyBorder="1" applyAlignment="1">
      <alignment horizontal="center"/>
    </xf>
    <xf numFmtId="0" fontId="17" fillId="0" borderId="1" xfId="0" applyFont="1" applyBorder="1" applyAlignment="1">
      <alignment horizontal="center"/>
    </xf>
    <xf numFmtId="167" fontId="8" fillId="0" borderId="0" xfId="0" applyNumberFormat="1" applyFont="1" applyBorder="1"/>
    <xf numFmtId="166" fontId="8" fillId="0" borderId="0" xfId="0" applyNumberFormat="1" applyFont="1" applyFill="1" applyBorder="1"/>
    <xf numFmtId="0" fontId="13" fillId="0" borderId="0" xfId="0" applyFont="1" applyAlignment="1">
      <alignment horizontal="right"/>
    </xf>
    <xf numFmtId="177" fontId="15" fillId="0" borderId="0" xfId="80" applyNumberFormat="1" applyFill="1">
      <alignment readingOrder="1"/>
    </xf>
    <xf numFmtId="177" fontId="15" fillId="0" borderId="0" xfId="86" applyNumberFormat="1" applyFill="1">
      <alignment readingOrder="1"/>
    </xf>
    <xf numFmtId="0" fontId="16" fillId="0" borderId="0" xfId="0" applyFont="1" applyFill="1" applyBorder="1" applyAlignment="1">
      <alignment horizontal="left" indent="1" readingOrder="1"/>
    </xf>
    <xf numFmtId="177" fontId="15" fillId="0" borderId="0" xfId="90" applyNumberFormat="1" applyFill="1">
      <alignment readingOrder="1"/>
    </xf>
    <xf numFmtId="170" fontId="8" fillId="0" borderId="0" xfId="2" applyNumberFormat="1" applyFont="1" applyFill="1"/>
    <xf numFmtId="177" fontId="15" fillId="0" borderId="0" xfId="92" applyNumberFormat="1" applyFill="1">
      <alignment readingOrder="1"/>
    </xf>
    <xf numFmtId="177" fontId="15" fillId="0" borderId="0" xfId="93" applyNumberFormat="1" applyFill="1">
      <alignment readingOrder="1"/>
    </xf>
    <xf numFmtId="177" fontId="15" fillId="0" borderId="0" xfId="94" applyNumberFormat="1" applyFill="1">
      <alignment readingOrder="1"/>
    </xf>
    <xf numFmtId="177" fontId="0" fillId="0" borderId="0" xfId="0" applyNumberFormat="1" applyFill="1" applyBorder="1" applyAlignment="1">
      <alignment readingOrder="1"/>
    </xf>
    <xf numFmtId="177" fontId="15" fillId="0" borderId="0" xfId="95" applyNumberFormat="1" applyFill="1">
      <alignment readingOrder="1"/>
    </xf>
    <xf numFmtId="170" fontId="8" fillId="0" borderId="0" xfId="2" applyNumberFormat="1" applyFont="1"/>
    <xf numFmtId="177" fontId="15" fillId="0" borderId="0" xfId="96" applyNumberFormat="1" applyFill="1">
      <alignment readingOrder="1"/>
    </xf>
    <xf numFmtId="0" fontId="8" fillId="0" borderId="0" xfId="0" applyFont="1" applyAlignment="1">
      <alignment horizontal="right"/>
    </xf>
    <xf numFmtId="0" fontId="0" fillId="0" borderId="0" xfId="0"/>
    <xf numFmtId="0" fontId="8" fillId="0" borderId="0" xfId="122"/>
    <xf numFmtId="0" fontId="25" fillId="0" borderId="0" xfId="122" applyFont="1" applyAlignment="1" applyProtection="1">
      <alignment horizontal="center"/>
    </xf>
    <xf numFmtId="0" fontId="25" fillId="0" borderId="0" xfId="122" applyFont="1" applyAlignment="1" applyProtection="1">
      <alignment horizontal="center"/>
      <protection locked="0"/>
    </xf>
    <xf numFmtId="0" fontId="26" fillId="0" borderId="0" xfId="122" applyFont="1" applyAlignment="1" applyProtection="1">
      <alignment horizontal="centerContinuous"/>
    </xf>
    <xf numFmtId="0" fontId="25" fillId="0" borderId="0" xfId="122" applyFont="1" applyAlignment="1" applyProtection="1">
      <alignment horizontal="centerContinuous"/>
    </xf>
    <xf numFmtId="0" fontId="26" fillId="0" borderId="0" xfId="122" applyFont="1" applyAlignment="1" applyProtection="1">
      <alignment horizontal="left"/>
    </xf>
    <xf numFmtId="0" fontId="26" fillId="0" borderId="0" xfId="122" applyFont="1" applyBorder="1" applyAlignment="1" applyProtection="1">
      <alignment horizontal="center"/>
    </xf>
    <xf numFmtId="181" fontId="26" fillId="0" borderId="0" xfId="122" applyNumberFormat="1" applyFont="1" applyAlignment="1" applyProtection="1">
      <alignment horizontal="center"/>
    </xf>
    <xf numFmtId="0" fontId="26" fillId="0" borderId="0" xfId="122" applyFont="1" applyAlignment="1" applyProtection="1">
      <alignment horizontal="center"/>
    </xf>
    <xf numFmtId="0" fontId="25" fillId="0" borderId="0" xfId="122" applyFont="1" applyBorder="1" applyAlignment="1" applyProtection="1">
      <alignment horizontal="center"/>
    </xf>
    <xf numFmtId="43" fontId="25" fillId="0" borderId="0" xfId="2" applyFont="1" applyProtection="1"/>
    <xf numFmtId="4" fontId="25" fillId="0" borderId="0" xfId="122" applyNumberFormat="1" applyFont="1" applyProtection="1"/>
    <xf numFmtId="43" fontId="25" fillId="0" borderId="1" xfId="2" applyFont="1" applyBorder="1" applyProtection="1"/>
    <xf numFmtId="3" fontId="25" fillId="0" borderId="0" xfId="122" applyNumberFormat="1" applyFont="1" applyFill="1" applyProtection="1"/>
    <xf numFmtId="10" fontId="25" fillId="0" borderId="0" xfId="122" applyNumberFormat="1" applyFont="1" applyProtection="1"/>
    <xf numFmtId="43" fontId="25" fillId="0" borderId="0" xfId="122" applyNumberFormat="1" applyFont="1" applyProtection="1"/>
    <xf numFmtId="167" fontId="25" fillId="0" borderId="0" xfId="122" applyNumberFormat="1" applyFont="1" applyProtection="1"/>
    <xf numFmtId="0" fontId="25" fillId="0" borderId="0" xfId="122" applyFont="1" applyProtection="1"/>
    <xf numFmtId="183" fontId="25" fillId="0" borderId="0" xfId="122" applyNumberFormat="1" applyFont="1" applyProtection="1"/>
    <xf numFmtId="0" fontId="26" fillId="0" borderId="0" xfId="122" applyFont="1" applyBorder="1" applyProtection="1"/>
    <xf numFmtId="3" fontId="25" fillId="0" borderId="0" xfId="122" applyNumberFormat="1" applyFont="1" applyFill="1" applyBorder="1" applyProtection="1"/>
    <xf numFmtId="5" fontId="25" fillId="0" borderId="0" xfId="122" applyNumberFormat="1" applyFont="1" applyProtection="1"/>
    <xf numFmtId="0" fontId="25" fillId="0" borderId="0" xfId="122" applyFont="1" applyBorder="1" applyProtection="1"/>
    <xf numFmtId="170" fontId="25" fillId="0" borderId="0" xfId="122" applyNumberFormat="1" applyFont="1" applyBorder="1" applyProtection="1"/>
    <xf numFmtId="43" fontId="8" fillId="0" borderId="0" xfId="122" applyNumberFormat="1"/>
    <xf numFmtId="3" fontId="25" fillId="0" borderId="0" xfId="122" applyNumberFormat="1" applyFont="1" applyBorder="1" applyProtection="1"/>
    <xf numFmtId="3" fontId="25" fillId="0" borderId="0" xfId="122" applyNumberFormat="1" applyFont="1" applyProtection="1"/>
    <xf numFmtId="0" fontId="8" fillId="0" borderId="0" xfId="122" applyBorder="1"/>
    <xf numFmtId="0" fontId="28" fillId="0" borderId="0" xfId="122" applyFont="1" applyProtection="1"/>
    <xf numFmtId="0" fontId="28" fillId="0" borderId="0" xfId="122" applyFont="1"/>
    <xf numFmtId="182" fontId="25" fillId="0" borderId="0" xfId="0" applyNumberFormat="1" applyFont="1" applyProtection="1"/>
    <xf numFmtId="172" fontId="16" fillId="0" borderId="0" xfId="0" applyNumberFormat="1" applyFont="1" applyFill="1"/>
    <xf numFmtId="172" fontId="16" fillId="0" borderId="1" xfId="0" applyNumberFormat="1" applyFont="1" applyFill="1" applyBorder="1"/>
    <xf numFmtId="10" fontId="7" fillId="0" borderId="0" xfId="18" applyNumberFormat="1" applyFont="1"/>
    <xf numFmtId="165" fontId="16" fillId="0" borderId="1" xfId="0" applyNumberFormat="1" applyFont="1" applyFill="1" applyBorder="1"/>
    <xf numFmtId="3" fontId="8" fillId="0" borderId="0" xfId="0" applyNumberFormat="1" applyFont="1" applyFill="1" applyBorder="1"/>
    <xf numFmtId="0" fontId="0" fillId="0" borderId="0" xfId="0" applyNumberFormat="1" applyFill="1" applyBorder="1" applyAlignment="1">
      <alignment readingOrder="1"/>
    </xf>
    <xf numFmtId="177" fontId="15" fillId="0" borderId="0" xfId="93" applyNumberFormat="1" applyFill="1" applyBorder="1">
      <alignment readingOrder="1"/>
    </xf>
    <xf numFmtId="177" fontId="15" fillId="0" borderId="0" xfId="95" applyNumberFormat="1" applyFill="1" applyBorder="1">
      <alignment readingOrder="1"/>
    </xf>
    <xf numFmtId="177" fontId="15" fillId="0" borderId="0" xfId="94" applyNumberFormat="1" applyFill="1" applyBorder="1">
      <alignment readingOrder="1"/>
    </xf>
    <xf numFmtId="177" fontId="15" fillId="0" borderId="0" xfId="96" applyNumberFormat="1" applyFill="1" applyBorder="1">
      <alignment readingOrder="1"/>
    </xf>
    <xf numFmtId="178" fontId="25" fillId="0" borderId="1" xfId="0" applyNumberFormat="1" applyFont="1" applyFill="1" applyBorder="1" applyProtection="1"/>
    <xf numFmtId="177" fontId="0" fillId="0" borderId="0" xfId="0" applyNumberFormat="1" applyFill="1" applyAlignment="1">
      <alignment readingOrder="1"/>
    </xf>
    <xf numFmtId="43" fontId="0" fillId="0" borderId="1" xfId="2" applyFont="1" applyBorder="1"/>
    <xf numFmtId="44" fontId="0" fillId="0" borderId="0" xfId="1" applyFont="1"/>
    <xf numFmtId="44" fontId="8" fillId="0" borderId="0" xfId="1" applyFont="1" applyFill="1"/>
    <xf numFmtId="170" fontId="1" fillId="0" borderId="0" xfId="2" applyNumberFormat="1" applyFont="1" applyBorder="1" applyAlignment="1">
      <alignment horizontal="center"/>
    </xf>
    <xf numFmtId="170" fontId="1" fillId="0" borderId="1" xfId="2" applyNumberFormat="1" applyFont="1" applyFill="1" applyBorder="1" applyAlignment="1">
      <alignment horizontal="center"/>
    </xf>
    <xf numFmtId="170" fontId="1" fillId="0" borderId="0" xfId="2" applyNumberFormat="1" applyFont="1" applyFill="1" applyBorder="1" applyAlignment="1">
      <alignment horizontal="center"/>
    </xf>
    <xf numFmtId="170" fontId="1" fillId="0" borderId="1" xfId="2" applyNumberFormat="1" applyFont="1" applyBorder="1" applyAlignment="1">
      <alignment horizontal="center"/>
    </xf>
    <xf numFmtId="184" fontId="8" fillId="0" borderId="0" xfId="1" applyNumberFormat="1" applyFont="1"/>
    <xf numFmtId="0" fontId="31" fillId="0" borderId="0" xfId="0" applyFont="1"/>
    <xf numFmtId="0" fontId="31" fillId="0" borderId="0" xfId="0" applyFont="1" applyAlignment="1">
      <alignment horizontal="center"/>
    </xf>
    <xf numFmtId="185" fontId="31" fillId="0" borderId="0" xfId="1" applyNumberFormat="1" applyFont="1"/>
    <xf numFmtId="185" fontId="31" fillId="0" borderId="0" xfId="0" applyNumberFormat="1" applyFont="1"/>
    <xf numFmtId="185" fontId="31" fillId="0" borderId="1" xfId="0" applyNumberFormat="1" applyFont="1" applyBorder="1"/>
    <xf numFmtId="185" fontId="31" fillId="0" borderId="1" xfId="1" applyNumberFormat="1" applyFont="1" applyBorder="1"/>
    <xf numFmtId="0" fontId="31" fillId="0" borderId="0" xfId="0" applyFont="1" applyFill="1"/>
    <xf numFmtId="165" fontId="8" fillId="0" borderId="1" xfId="0" applyNumberFormat="1" applyFont="1" applyFill="1" applyBorder="1"/>
    <xf numFmtId="185" fontId="8" fillId="0" borderId="0" xfId="1" applyNumberFormat="1" applyFont="1" applyFill="1"/>
    <xf numFmtId="0" fontId="25" fillId="0" borderId="0" xfId="122" quotePrefix="1" applyFont="1" applyAlignment="1" applyProtection="1">
      <alignment horizontal="center"/>
    </xf>
    <xf numFmtId="186" fontId="8" fillId="0" borderId="0" xfId="0" applyNumberFormat="1" applyFont="1" applyFill="1" applyBorder="1"/>
    <xf numFmtId="186" fontId="0" fillId="0" borderId="0" xfId="0" applyNumberFormat="1" applyFill="1" applyBorder="1" applyAlignment="1">
      <alignment readingOrder="1"/>
    </xf>
    <xf numFmtId="0" fontId="13" fillId="0" borderId="0" xfId="0" applyFont="1"/>
    <xf numFmtId="165" fontId="13" fillId="0" borderId="2" xfId="0" applyNumberFormat="1" applyFont="1" applyBorder="1"/>
    <xf numFmtId="187" fontId="8" fillId="0" borderId="0" xfId="3" applyNumberFormat="1" applyFont="1" applyFill="1" applyBorder="1"/>
    <xf numFmtId="185" fontId="8" fillId="0" borderId="0" xfId="1" applyNumberFormat="1" applyFont="1"/>
    <xf numFmtId="3" fontId="27" fillId="0" borderId="0" xfId="122" applyNumberFormat="1" applyFont="1" applyFill="1" applyBorder="1" applyProtection="1">
      <protection locked="0"/>
    </xf>
    <xf numFmtId="3" fontId="27" fillId="0" borderId="1" xfId="122" applyNumberFormat="1" applyFont="1" applyFill="1" applyBorder="1" applyProtection="1">
      <protection locked="0"/>
    </xf>
    <xf numFmtId="176" fontId="13" fillId="0" borderId="0" xfId="0" applyNumberFormat="1" applyFont="1" applyAlignment="1">
      <alignment readingOrder="1"/>
    </xf>
    <xf numFmtId="170" fontId="0" fillId="0" borderId="0" xfId="7" applyNumberFormat="1" applyFont="1"/>
    <xf numFmtId="10" fontId="0" fillId="0" borderId="0" xfId="3" applyNumberFormat="1" applyFont="1"/>
    <xf numFmtId="178" fontId="32" fillId="0" borderId="1" xfId="0" applyNumberFormat="1" applyFont="1" applyFill="1" applyBorder="1"/>
    <xf numFmtId="180" fontId="32" fillId="0" borderId="0" xfId="3" applyNumberFormat="1" applyFont="1" applyFill="1"/>
    <xf numFmtId="44" fontId="32" fillId="0" borderId="0" xfId="1" applyFont="1" applyFill="1"/>
    <xf numFmtId="43" fontId="32" fillId="0" borderId="0" xfId="2" applyFont="1" applyFill="1"/>
    <xf numFmtId="43" fontId="32" fillId="0" borderId="1" xfId="2" applyFont="1" applyFill="1" applyBorder="1"/>
    <xf numFmtId="43" fontId="8" fillId="0" borderId="0" xfId="2" applyFont="1"/>
    <xf numFmtId="170" fontId="0" fillId="0" borderId="0" xfId="2" applyNumberFormat="1" applyFont="1" applyAlignment="1">
      <alignment readingOrder="1"/>
    </xf>
    <xf numFmtId="170" fontId="0" fillId="0" borderId="1" xfId="2" applyNumberFormat="1" applyFont="1" applyBorder="1" applyAlignment="1">
      <alignment readingOrder="1"/>
    </xf>
    <xf numFmtId="170" fontId="8" fillId="0" borderId="1" xfId="2" applyNumberFormat="1" applyFont="1" applyBorder="1"/>
    <xf numFmtId="178" fontId="8" fillId="0" borderId="1" xfId="0" applyNumberFormat="1" applyFont="1" applyFill="1" applyBorder="1"/>
    <xf numFmtId="0" fontId="8" fillId="0" borderId="0" xfId="0" applyFont="1" applyAlignment="1">
      <alignment horizontal="center"/>
    </xf>
    <xf numFmtId="16" fontId="8" fillId="0" borderId="0" xfId="0" quotePrefix="1" applyNumberFormat="1" applyFont="1" applyAlignment="1">
      <alignment horizontal="center"/>
    </xf>
    <xf numFmtId="0" fontId="8" fillId="0" borderId="0" xfId="0" quotePrefix="1" applyFont="1" applyAlignment="1">
      <alignment horizontal="center"/>
    </xf>
    <xf numFmtId="0" fontId="8" fillId="0" borderId="0" xfId="0" applyFont="1" applyAlignment="1">
      <alignment horizontal="left" indent="3"/>
    </xf>
    <xf numFmtId="185" fontId="0" fillId="0" borderId="0" xfId="1" applyNumberFormat="1" applyFont="1" applyFill="1"/>
    <xf numFmtId="185" fontId="0" fillId="0" borderId="0" xfId="0" applyNumberFormat="1"/>
    <xf numFmtId="173" fontId="8" fillId="0" borderId="0" xfId="0" applyNumberFormat="1" applyFont="1" applyFill="1"/>
    <xf numFmtId="0" fontId="8" fillId="0" borderId="0" xfId="0" applyFont="1" applyAlignment="1">
      <alignment horizontal="center"/>
    </xf>
    <xf numFmtId="0" fontId="14" fillId="0" borderId="0" xfId="0" applyFont="1" applyAlignment="1">
      <alignment horizontal="center"/>
    </xf>
    <xf numFmtId="0" fontId="0" fillId="0" borderId="0" xfId="0" applyAlignment="1">
      <alignment horizontal="center"/>
    </xf>
    <xf numFmtId="0" fontId="10" fillId="0" borderId="0" xfId="15" applyFont="1" applyFill="1" applyAlignment="1">
      <alignment horizontal="center" wrapText="1"/>
    </xf>
    <xf numFmtId="0" fontId="10" fillId="0" borderId="1" xfId="15" applyFont="1" applyFill="1" applyBorder="1" applyAlignment="1">
      <alignment horizontal="center" wrapText="1"/>
    </xf>
    <xf numFmtId="0" fontId="10" fillId="0" borderId="1" xfId="15" applyFont="1" applyBorder="1" applyAlignment="1">
      <alignment horizontal="center"/>
    </xf>
    <xf numFmtId="0" fontId="17" fillId="2" borderId="0" xfId="0" applyFont="1" applyFill="1" applyBorder="1" applyAlignment="1">
      <alignment horizontal="center"/>
    </xf>
  </cellXfs>
  <cellStyles count="125">
    <cellStyle name="category" xfId="27" xr:uid="{00000000-0005-0000-0000-000000000000}"/>
    <cellStyle name="Comma" xfId="2" builtinId="3"/>
    <cellStyle name="Comma 2" xfId="7" xr:uid="{00000000-0005-0000-0000-000002000000}"/>
    <cellStyle name="Comma 2 2" xfId="28" xr:uid="{00000000-0005-0000-0000-000003000000}"/>
    <cellStyle name="Comma 3" xfId="5" xr:uid="{00000000-0005-0000-0000-000004000000}"/>
    <cellStyle name="Comma 3 2" xfId="29" xr:uid="{00000000-0005-0000-0000-000005000000}"/>
    <cellStyle name="Comma 3 2 2" xfId="101" xr:uid="{00000000-0005-0000-0000-000006000000}"/>
    <cellStyle name="Comma 3 3" xfId="26" xr:uid="{00000000-0005-0000-0000-000007000000}"/>
    <cellStyle name="Comma 3 4" xfId="30" xr:uid="{00000000-0005-0000-0000-000008000000}"/>
    <cellStyle name="Comma 3 5" xfId="98" xr:uid="{00000000-0005-0000-0000-000009000000}"/>
    <cellStyle name="Comma 4" xfId="13" xr:uid="{00000000-0005-0000-0000-00000A000000}"/>
    <cellStyle name="Comma 4 2" xfId="31" xr:uid="{00000000-0005-0000-0000-00000B000000}"/>
    <cellStyle name="Comma 4 2 2" xfId="102" xr:uid="{00000000-0005-0000-0000-00000C000000}"/>
    <cellStyle name="Comma 4 3" xfId="100" xr:uid="{00000000-0005-0000-0000-00000D000000}"/>
    <cellStyle name="Comma 5" xfId="17" xr:uid="{00000000-0005-0000-0000-00000E000000}"/>
    <cellStyle name="Comma 5 2" xfId="124" xr:uid="{14D6FDA6-AF4F-43C2-887D-A4893E2CF4A6}"/>
    <cellStyle name="Comma 6" xfId="21" xr:uid="{00000000-0005-0000-0000-00000F000000}"/>
    <cellStyle name="Comma 6 2" xfId="108" xr:uid="{00000000-0005-0000-0000-000010000000}"/>
    <cellStyle name="Comma 62" xfId="123" xr:uid="{390AF808-5DBF-4A23-8A52-07AE760793FB}"/>
    <cellStyle name="Comma 7" xfId="32" xr:uid="{00000000-0005-0000-0000-000011000000}"/>
    <cellStyle name="Comma 7 2" xfId="114" xr:uid="{00000000-0005-0000-0000-000012000000}"/>
    <cellStyle name="Currency" xfId="1" builtinId="4"/>
    <cellStyle name="Currency 2" xfId="22" xr:uid="{00000000-0005-0000-0000-000014000000}"/>
    <cellStyle name="Currency 2 2" xfId="109" xr:uid="{00000000-0005-0000-0000-000015000000}"/>
    <cellStyle name="Currency 3" xfId="33" xr:uid="{00000000-0005-0000-0000-000016000000}"/>
    <cellStyle name="Currency 3 2" xfId="115" xr:uid="{00000000-0005-0000-0000-000017000000}"/>
    <cellStyle name="Grey" xfId="34" xr:uid="{00000000-0005-0000-0000-000018000000}"/>
    <cellStyle name="HEADER" xfId="35" xr:uid="{00000000-0005-0000-0000-000019000000}"/>
    <cellStyle name="Input [yellow]" xfId="36" xr:uid="{00000000-0005-0000-0000-00001A000000}"/>
    <cellStyle name="Model" xfId="37" xr:uid="{00000000-0005-0000-0000-00001B000000}"/>
    <cellStyle name="Normal" xfId="0" builtinId="0"/>
    <cellStyle name="Normal - Style1" xfId="38" xr:uid="{00000000-0005-0000-0000-00001D000000}"/>
    <cellStyle name="Normal 10" xfId="23" xr:uid="{00000000-0005-0000-0000-00001E000000}"/>
    <cellStyle name="Normal 10 2" xfId="107" xr:uid="{00000000-0005-0000-0000-00001F000000}"/>
    <cellStyle name="Normal 11" xfId="39" xr:uid="{00000000-0005-0000-0000-000020000000}"/>
    <cellStyle name="Normal 11 2" xfId="113" xr:uid="{00000000-0005-0000-0000-000021000000}"/>
    <cellStyle name="Normal 12" xfId="40" xr:uid="{00000000-0005-0000-0000-000022000000}"/>
    <cellStyle name="Normal 13" xfId="41" xr:uid="{00000000-0005-0000-0000-000023000000}"/>
    <cellStyle name="Normal 14" xfId="42" xr:uid="{00000000-0005-0000-0000-000024000000}"/>
    <cellStyle name="Normal 15" xfId="43" xr:uid="{00000000-0005-0000-0000-000025000000}"/>
    <cellStyle name="Normal 16" xfId="25" xr:uid="{00000000-0005-0000-0000-000026000000}"/>
    <cellStyle name="Normal 17" xfId="44" xr:uid="{00000000-0005-0000-0000-000027000000}"/>
    <cellStyle name="Normal 18" xfId="45" xr:uid="{00000000-0005-0000-0000-000028000000}"/>
    <cellStyle name="Normal 19" xfId="46" xr:uid="{00000000-0005-0000-0000-000029000000}"/>
    <cellStyle name="Normal 2" xfId="9" xr:uid="{00000000-0005-0000-0000-00002A000000}"/>
    <cellStyle name="Normal 2 2" xfId="14" xr:uid="{00000000-0005-0000-0000-00002B000000}"/>
    <cellStyle name="Normal 2 2 2" xfId="47" xr:uid="{00000000-0005-0000-0000-00002C000000}"/>
    <cellStyle name="Normal 2 2 3" xfId="48" xr:uid="{00000000-0005-0000-0000-00002D000000}"/>
    <cellStyle name="Normal 2 2 4" xfId="49" xr:uid="{00000000-0005-0000-0000-00002E000000}"/>
    <cellStyle name="Normal 2 2 5" xfId="50" xr:uid="{00000000-0005-0000-0000-00002F000000}"/>
    <cellStyle name="Normal 2 2 5 2" xfId="110" xr:uid="{00000000-0005-0000-0000-000030000000}"/>
    <cellStyle name="Normal 2 2 6" xfId="51" xr:uid="{00000000-0005-0000-0000-000031000000}"/>
    <cellStyle name="Normal 2 2 6 2" xfId="116" xr:uid="{00000000-0005-0000-0000-000032000000}"/>
    <cellStyle name="Normal 2 3" xfId="24" xr:uid="{00000000-0005-0000-0000-000033000000}"/>
    <cellStyle name="Normal 2 3 2" xfId="52" xr:uid="{00000000-0005-0000-0000-000034000000}"/>
    <cellStyle name="Normal 2 3 2 2" xfId="111" xr:uid="{00000000-0005-0000-0000-000035000000}"/>
    <cellStyle name="Normal 2 3 3" xfId="53" xr:uid="{00000000-0005-0000-0000-000036000000}"/>
    <cellStyle name="Normal 2 3 3 2" xfId="117" xr:uid="{00000000-0005-0000-0000-000037000000}"/>
    <cellStyle name="Normal 2 3 4" xfId="103" xr:uid="{00000000-0005-0000-0000-000038000000}"/>
    <cellStyle name="Normal 2 4" xfId="54" xr:uid="{00000000-0005-0000-0000-000039000000}"/>
    <cellStyle name="Normal 2 4 2" xfId="55" xr:uid="{00000000-0005-0000-0000-00003A000000}"/>
    <cellStyle name="Normal 2 4 2 2" xfId="118" xr:uid="{00000000-0005-0000-0000-00003B000000}"/>
    <cellStyle name="Normal 2 4 3" xfId="112" xr:uid="{00000000-0005-0000-0000-00003C000000}"/>
    <cellStyle name="Normal 2 5" xfId="56" xr:uid="{00000000-0005-0000-0000-00003D000000}"/>
    <cellStyle name="Normal 2 5 2" xfId="119" xr:uid="{00000000-0005-0000-0000-00003E000000}"/>
    <cellStyle name="Normal 2 6" xfId="57" xr:uid="{00000000-0005-0000-0000-00003F000000}"/>
    <cellStyle name="Normal 2 6 2" xfId="120" xr:uid="{00000000-0005-0000-0000-000040000000}"/>
    <cellStyle name="Normal 2 7" xfId="58" xr:uid="{00000000-0005-0000-0000-000041000000}"/>
    <cellStyle name="Normal 2 7 2" xfId="121" xr:uid="{00000000-0005-0000-0000-000042000000}"/>
    <cellStyle name="Normal 2 8" xfId="84" xr:uid="{00000000-0005-0000-0000-000043000000}"/>
    <cellStyle name="Normal 20" xfId="59" xr:uid="{00000000-0005-0000-0000-000044000000}"/>
    <cellStyle name="Normal 21" xfId="60" xr:uid="{00000000-0005-0000-0000-000045000000}"/>
    <cellStyle name="Normal 21 2" xfId="122" xr:uid="{00000000-0005-0000-0000-000046000000}"/>
    <cellStyle name="Normal 22" xfId="80" xr:uid="{00000000-0005-0000-0000-000047000000}"/>
    <cellStyle name="Normal 23" xfId="86" xr:uid="{00000000-0005-0000-0000-000048000000}"/>
    <cellStyle name="Normal 24" xfId="90" xr:uid="{00000000-0005-0000-0000-000049000000}"/>
    <cellStyle name="Normal 25" xfId="92" xr:uid="{00000000-0005-0000-0000-00004A000000}"/>
    <cellStyle name="Normal 26" xfId="93" xr:uid="{00000000-0005-0000-0000-00004B000000}"/>
    <cellStyle name="Normal 27" xfId="94" xr:uid="{00000000-0005-0000-0000-00004C000000}"/>
    <cellStyle name="Normal 28" xfId="95" xr:uid="{00000000-0005-0000-0000-00004D000000}"/>
    <cellStyle name="Normal 29" xfId="96" xr:uid="{00000000-0005-0000-0000-00004E000000}"/>
    <cellStyle name="Normal 3" xfId="10" xr:uid="{00000000-0005-0000-0000-00004F000000}"/>
    <cellStyle name="Normal 3 2" xfId="16" xr:uid="{00000000-0005-0000-0000-000050000000}"/>
    <cellStyle name="Normal 3 2 2" xfId="61" xr:uid="{00000000-0005-0000-0000-000051000000}"/>
    <cellStyle name="Normal 3 3" xfId="62" xr:uid="{00000000-0005-0000-0000-000052000000}"/>
    <cellStyle name="Normal 3 4" xfId="63" xr:uid="{00000000-0005-0000-0000-000053000000}"/>
    <cellStyle name="Normal 3 5" xfId="64" xr:uid="{00000000-0005-0000-0000-000054000000}"/>
    <cellStyle name="Normal 4" xfId="6" xr:uid="{00000000-0005-0000-0000-000055000000}"/>
    <cellStyle name="Normal 5" xfId="4" xr:uid="{00000000-0005-0000-0000-000056000000}"/>
    <cellStyle name="Normal 5 2" xfId="65" xr:uid="{00000000-0005-0000-0000-000057000000}"/>
    <cellStyle name="Normal 5 2 2" xfId="104" xr:uid="{00000000-0005-0000-0000-000058000000}"/>
    <cellStyle name="Normal 5 3" xfId="66" xr:uid="{00000000-0005-0000-0000-000059000000}"/>
    <cellStyle name="Normal 5 4" xfId="97" xr:uid="{00000000-0005-0000-0000-00005A000000}"/>
    <cellStyle name="Normal 6" xfId="11" xr:uid="{00000000-0005-0000-0000-00005B000000}"/>
    <cellStyle name="Normal 7" xfId="12" xr:uid="{00000000-0005-0000-0000-00005C000000}"/>
    <cellStyle name="Normal 7 2" xfId="67" xr:uid="{00000000-0005-0000-0000-00005D000000}"/>
    <cellStyle name="Normal 7 2 2" xfId="105" xr:uid="{00000000-0005-0000-0000-00005E000000}"/>
    <cellStyle name="Normal 7 3" xfId="68" xr:uid="{00000000-0005-0000-0000-00005F000000}"/>
    <cellStyle name="Normal 7 4" xfId="99" xr:uid="{00000000-0005-0000-0000-000060000000}"/>
    <cellStyle name="Normal 8" xfId="15" xr:uid="{00000000-0005-0000-0000-000061000000}"/>
    <cellStyle name="Normal 9" xfId="20" xr:uid="{00000000-0005-0000-0000-000062000000}"/>
    <cellStyle name="Normal 9 2" xfId="106" xr:uid="{00000000-0005-0000-0000-000063000000}"/>
    <cellStyle name="Percent" xfId="3" builtinId="5"/>
    <cellStyle name="Percent [2]" xfId="69" xr:uid="{00000000-0005-0000-0000-000065000000}"/>
    <cellStyle name="Percent 10" xfId="70" xr:uid="{00000000-0005-0000-0000-000066000000}"/>
    <cellStyle name="Percent 11" xfId="71" xr:uid="{00000000-0005-0000-0000-000067000000}"/>
    <cellStyle name="Percent 12" xfId="72" xr:uid="{00000000-0005-0000-0000-000068000000}"/>
    <cellStyle name="Percent 13" xfId="82" xr:uid="{00000000-0005-0000-0000-000069000000}"/>
    <cellStyle name="Percent 14" xfId="81" xr:uid="{00000000-0005-0000-0000-00006A000000}"/>
    <cellStyle name="Percent 15" xfId="88" xr:uid="{00000000-0005-0000-0000-00006B000000}"/>
    <cellStyle name="Percent 16" xfId="85" xr:uid="{00000000-0005-0000-0000-00006C000000}"/>
    <cellStyle name="Percent 17" xfId="89" xr:uid="{00000000-0005-0000-0000-00006D000000}"/>
    <cellStyle name="Percent 18" xfId="83" xr:uid="{00000000-0005-0000-0000-00006E000000}"/>
    <cellStyle name="Percent 19" xfId="87" xr:uid="{00000000-0005-0000-0000-00006F000000}"/>
    <cellStyle name="Percent 2" xfId="8" xr:uid="{00000000-0005-0000-0000-000070000000}"/>
    <cellStyle name="Percent 20" xfId="91" xr:uid="{00000000-0005-0000-0000-000071000000}"/>
    <cellStyle name="Percent 3" xfId="18" xr:uid="{00000000-0005-0000-0000-000072000000}"/>
    <cellStyle name="Percent 4" xfId="73" xr:uid="{00000000-0005-0000-0000-000073000000}"/>
    <cellStyle name="Percent 5" xfId="74" xr:uid="{00000000-0005-0000-0000-000074000000}"/>
    <cellStyle name="Percent 6" xfId="75" xr:uid="{00000000-0005-0000-0000-000075000000}"/>
    <cellStyle name="Percent 7" xfId="76" xr:uid="{00000000-0005-0000-0000-000076000000}"/>
    <cellStyle name="Percent 8" xfId="77" xr:uid="{00000000-0005-0000-0000-000077000000}"/>
    <cellStyle name="Percent 9" xfId="78" xr:uid="{00000000-0005-0000-0000-000078000000}"/>
    <cellStyle name="PSChar" xfId="19" xr:uid="{00000000-0005-0000-0000-000079000000}"/>
    <cellStyle name="subhead" xfId="79" xr:uid="{00000000-0005-0000-0000-00007A000000}"/>
  </cellStyles>
  <dxfs count="2">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1" defaultTableStyle="TableStyleMedium2" defaultPivotStyle="PivotStyleLight16">
    <tableStyle name="Table Style 1" pivot="0" count="2" xr9:uid="{00000000-0011-0000-FFFF-FFFF00000000}">
      <tableStyleElement type="wholeTable" dxfId="1"/>
      <tableStyleElement type="headerRow" dxfId="0"/>
    </tableStyle>
  </tableStyles>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57150</xdr:colOff>
      <xdr:row>46</xdr:row>
      <xdr:rowOff>76199</xdr:rowOff>
    </xdr:from>
    <xdr:to>
      <xdr:col>7</xdr:col>
      <xdr:colOff>695739</xdr:colOff>
      <xdr:row>50</xdr:row>
      <xdr:rowOff>140804</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7150" y="7696199"/>
          <a:ext cx="5384524" cy="727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0" i="0">
              <a:solidFill>
                <a:schemeClr val="dk1"/>
              </a:solidFill>
              <a:latin typeface="Arial" pitchFamily="34" charset="0"/>
              <a:ea typeface="+mn-ea"/>
              <a:cs typeface="Arial" pitchFamily="34" charset="0"/>
            </a:rPr>
            <a:t>Note 1: The</a:t>
          </a:r>
          <a:r>
            <a:rPr lang="en-US" sz="1000" b="0" i="0" baseline="0">
              <a:solidFill>
                <a:schemeClr val="dk1"/>
              </a:solidFill>
              <a:latin typeface="Arial" pitchFamily="34" charset="0"/>
              <a:ea typeface="+mn-ea"/>
              <a:cs typeface="Arial" pitchFamily="34" charset="0"/>
            </a:rPr>
            <a:t> July activity recorded above was calculated using only the billed portion of loads and the unbilled portion is recorded in August in order to adjust to a calandar year basis.</a:t>
          </a:r>
        </a:p>
        <a:p>
          <a:pPr marL="0" marR="0" indent="0" defTabSz="914400" eaLnBrk="1" fontAlgn="auto" latinLnBrk="0" hangingPunct="1">
            <a:lnSpc>
              <a:spcPct val="100000"/>
            </a:lnSpc>
            <a:spcBef>
              <a:spcPts val="0"/>
            </a:spcBef>
            <a:spcAft>
              <a:spcPts val="0"/>
            </a:spcAft>
            <a:buClrTx/>
            <a:buSzTx/>
            <a:buFontTx/>
            <a:buNone/>
            <a:tabLst/>
            <a:defRPr/>
          </a:pPr>
          <a:endParaRPr lang="en-US" sz="1000" b="0" i="0" baseline="0">
            <a:solidFill>
              <a:schemeClr val="dk1"/>
            </a:solidFill>
            <a:latin typeface="Arial" pitchFamily="34" charset="0"/>
            <a:ea typeface="+mn-ea"/>
            <a:cs typeface="Arial" pitchFamily="34"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35</xdr:row>
      <xdr:rowOff>123825</xdr:rowOff>
    </xdr:from>
    <xdr:to>
      <xdr:col>13</xdr:col>
      <xdr:colOff>209550</xdr:colOff>
      <xdr:row>42</xdr:row>
      <xdr:rowOff>9525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71475" y="5791200"/>
          <a:ext cx="9991725" cy="101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The projected kilowatt-hours Included</a:t>
          </a:r>
          <a:r>
            <a:rPr lang="en-US" sz="1100" baseline="0"/>
            <a:t> above contain </a:t>
          </a:r>
          <a:r>
            <a:rPr lang="en-US" sz="1100"/>
            <a:t>both billed and unbilled customer loads. In past filings, prorations had been included for October and November to capture the unbilled loads in the following month when they are billed to customers.  Because both billed and unbilled are included above, no proration is needed.</a:t>
          </a:r>
          <a:r>
            <a:rPr lang="en-US" sz="1100" baseline="0"/>
            <a:t> </a:t>
          </a:r>
        </a:p>
        <a:p>
          <a:endParaRPr lang="en-US" sz="1100" baseline="0"/>
        </a:p>
        <a:p>
          <a:r>
            <a:rPr lang="en-US" sz="1100"/>
            <a:t>Note that either </a:t>
          </a:r>
          <a:r>
            <a:rPr lang="en-US" sz="1100" baseline="0"/>
            <a:t>method would inlcude one calandar year's worth of loads.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tabSelected="1" zoomScale="120" zoomScaleNormal="120" workbookViewId="0">
      <selection activeCell="I13" sqref="I13"/>
    </sheetView>
  </sheetViews>
  <sheetFormatPr defaultRowHeight="12.75"/>
  <cols>
    <col min="1" max="1" width="9.140625" style="26"/>
    <col min="2" max="2" width="3.140625" style="26" customWidth="1"/>
    <col min="3" max="5" width="9.140625" style="26"/>
    <col min="6" max="6" width="9.5703125" style="26" bestFit="1" customWidth="1"/>
    <col min="7" max="7" width="13.28515625" style="26" bestFit="1" customWidth="1"/>
    <col min="8" max="8" width="24.85546875" style="26" bestFit="1" customWidth="1"/>
    <col min="9" max="9" width="16" style="26" bestFit="1" customWidth="1"/>
    <col min="10" max="10" width="14.85546875" style="26" customWidth="1"/>
    <col min="11" max="11" width="14.140625" style="26" bestFit="1" customWidth="1"/>
    <col min="12" max="12" width="12.42578125" style="26" bestFit="1" customWidth="1"/>
    <col min="13" max="16384" width="9.140625" style="26"/>
  </cols>
  <sheetData>
    <row r="1" spans="1:8">
      <c r="A1" s="191" t="s">
        <v>16</v>
      </c>
      <c r="B1" s="191"/>
      <c r="C1" s="191"/>
      <c r="D1" s="191"/>
      <c r="E1" s="191"/>
      <c r="F1" s="191"/>
      <c r="G1" s="191"/>
      <c r="H1" s="191"/>
    </row>
    <row r="2" spans="1:8">
      <c r="A2" s="191" t="s">
        <v>57</v>
      </c>
      <c r="B2" s="191"/>
      <c r="C2" s="191"/>
      <c r="D2" s="191"/>
      <c r="E2" s="191"/>
      <c r="F2" s="191"/>
      <c r="G2" s="191"/>
      <c r="H2" s="191"/>
    </row>
    <row r="3" spans="1:8">
      <c r="A3" s="191" t="s">
        <v>29</v>
      </c>
      <c r="B3" s="191"/>
      <c r="C3" s="191"/>
      <c r="D3" s="191"/>
      <c r="E3" s="191"/>
      <c r="F3" s="191"/>
      <c r="G3" s="191"/>
      <c r="H3" s="191"/>
    </row>
    <row r="4" spans="1:8">
      <c r="A4" s="192" t="s">
        <v>117</v>
      </c>
      <c r="B4" s="192"/>
      <c r="C4" s="192"/>
      <c r="D4" s="192"/>
      <c r="E4" s="192"/>
      <c r="F4" s="192"/>
      <c r="G4" s="192"/>
      <c r="H4" s="192"/>
    </row>
    <row r="7" spans="1:8">
      <c r="A7" s="26" t="s">
        <v>118</v>
      </c>
      <c r="G7" s="27">
        <f>-'Projected Benefits'!F7</f>
        <v>-10720307.939297913</v>
      </c>
      <c r="H7" s="27"/>
    </row>
    <row r="8" spans="1:8">
      <c r="H8" s="27"/>
    </row>
    <row r="9" spans="1:8">
      <c r="A9" s="35" t="s">
        <v>121</v>
      </c>
      <c r="G9" s="7">
        <f>'Washington ResX Balances'!F38</f>
        <v>482850.54891653074</v>
      </c>
      <c r="H9" s="27"/>
    </row>
    <row r="10" spans="1:8">
      <c r="G10" s="35"/>
      <c r="H10" s="27"/>
    </row>
    <row r="11" spans="1:8">
      <c r="A11" s="26" t="s">
        <v>32</v>
      </c>
      <c r="G11" s="47">
        <f>G7+G9</f>
        <v>-10237457.390381383</v>
      </c>
      <c r="H11" s="27"/>
    </row>
    <row r="12" spans="1:8">
      <c r="G12" s="35"/>
      <c r="H12" s="27"/>
    </row>
    <row r="13" spans="1:8">
      <c r="A13" s="26" t="s">
        <v>56</v>
      </c>
      <c r="G13" s="183">
        <f>'Projected kWhs'!B27</f>
        <v>0.95563100000000001</v>
      </c>
      <c r="H13" s="29"/>
    </row>
    <row r="14" spans="1:8">
      <c r="G14" s="35"/>
      <c r="H14" s="27"/>
    </row>
    <row r="15" spans="1:8">
      <c r="A15" s="26" t="s">
        <v>33</v>
      </c>
      <c r="G15" s="47">
        <f>G11/G13</f>
        <v>-10712772.388486123</v>
      </c>
      <c r="H15" s="27"/>
    </row>
    <row r="16" spans="1:8">
      <c r="G16" s="35"/>
      <c r="H16" s="27"/>
    </row>
    <row r="17" spans="1:10">
      <c r="A17" s="26" t="s">
        <v>119</v>
      </c>
      <c r="G17" s="30">
        <f>'Projected kWhs'!N16*1000</f>
        <v>2566781896.8835588</v>
      </c>
      <c r="H17" s="27"/>
    </row>
    <row r="18" spans="1:10">
      <c r="H18" s="27"/>
    </row>
    <row r="19" spans="1:10" ht="13.5" thickBot="1">
      <c r="A19" s="165" t="s">
        <v>34</v>
      </c>
      <c r="B19" s="165"/>
      <c r="C19" s="165"/>
      <c r="D19" s="165"/>
      <c r="E19" s="165"/>
      <c r="F19" s="165"/>
      <c r="G19" s="166">
        <f>ROUND(G15/G17,5)</f>
        <v>-4.1700000000000001E-3</v>
      </c>
      <c r="H19" s="31"/>
    </row>
    <row r="20" spans="1:10" ht="13.5" thickTop="1">
      <c r="H20" s="27"/>
    </row>
    <row r="21" spans="1:10">
      <c r="H21" s="27"/>
    </row>
    <row r="22" spans="1:10">
      <c r="H22" s="27"/>
    </row>
    <row r="23" spans="1:10">
      <c r="H23" s="27"/>
    </row>
    <row r="24" spans="1:10">
      <c r="A24" s="32" t="s">
        <v>35</v>
      </c>
      <c r="H24" s="27"/>
    </row>
    <row r="25" spans="1:10">
      <c r="A25" s="26" t="s">
        <v>36</v>
      </c>
      <c r="G25" s="39">
        <f>ROUND(G19,5)</f>
        <v>-4.1700000000000001E-3</v>
      </c>
      <c r="H25" s="31"/>
      <c r="I25" s="27">
        <f>G17*G25</f>
        <v>-10703480.51000444</v>
      </c>
    </row>
    <row r="26" spans="1:10">
      <c r="A26" s="26" t="s">
        <v>37</v>
      </c>
      <c r="G26" s="33">
        <f>'Projected kWhs'!C25</f>
        <v>-3.8600000000000001E-3</v>
      </c>
      <c r="H26" s="31"/>
      <c r="I26" s="27">
        <f>G17*G26</f>
        <v>-9907778.121970538</v>
      </c>
    </row>
    <row r="27" spans="1:10" ht="13.5" thickBot="1">
      <c r="A27" s="26" t="s">
        <v>38</v>
      </c>
      <c r="G27" s="34">
        <f>G25-G26</f>
        <v>-3.0999999999999995E-4</v>
      </c>
      <c r="H27" s="31"/>
      <c r="I27" s="27">
        <f>G17*G27</f>
        <v>-795702.38803390309</v>
      </c>
    </row>
    <row r="28" spans="1:10" ht="13.5" thickTop="1">
      <c r="H28" s="27"/>
    </row>
    <row r="29" spans="1:10">
      <c r="A29" s="35" t="s">
        <v>122</v>
      </c>
      <c r="E29" s="35"/>
      <c r="F29" s="35"/>
      <c r="G29" s="35"/>
      <c r="H29" s="27"/>
    </row>
    <row r="30" spans="1:10">
      <c r="A30" s="26" t="s">
        <v>39</v>
      </c>
      <c r="E30" s="35"/>
      <c r="F30" s="35"/>
      <c r="G30" s="36">
        <v>9</v>
      </c>
      <c r="H30" s="37"/>
      <c r="I30" s="168">
        <v>541159000</v>
      </c>
      <c r="J30" s="26" t="s">
        <v>107</v>
      </c>
    </row>
    <row r="31" spans="1:10">
      <c r="A31" s="26" t="s">
        <v>66</v>
      </c>
      <c r="E31" s="35">
        <v>800</v>
      </c>
      <c r="F31" s="38">
        <v>7.7359999999999998E-2</v>
      </c>
      <c r="G31" s="36">
        <f>ROUND(E31*F31,2)</f>
        <v>61.89</v>
      </c>
      <c r="H31" s="31"/>
      <c r="I31" s="40">
        <f>I27/I30</f>
        <v>-1.4703670973482896E-3</v>
      </c>
      <c r="J31" s="26" t="s">
        <v>106</v>
      </c>
    </row>
    <row r="32" spans="1:10">
      <c r="A32" s="26" t="s">
        <v>67</v>
      </c>
      <c r="E32" s="35">
        <v>114</v>
      </c>
      <c r="F32" s="38">
        <v>9.06E-2</v>
      </c>
      <c r="G32" s="36">
        <f>ROUND(E32*F32,2)</f>
        <v>10.33</v>
      </c>
      <c r="H32" s="31"/>
    </row>
    <row r="33" spans="1:13">
      <c r="A33" s="26" t="s">
        <v>15</v>
      </c>
      <c r="E33" s="35"/>
      <c r="F33" s="38"/>
      <c r="G33" s="36">
        <f>SUM(G30:G32)</f>
        <v>81.22</v>
      </c>
      <c r="H33" s="31"/>
    </row>
    <row r="34" spans="1:13">
      <c r="A34" s="26" t="s">
        <v>40</v>
      </c>
      <c r="E34" s="35"/>
      <c r="F34" s="35"/>
      <c r="G34" s="36">
        <f>ROUND(G33,2)</f>
        <v>81.22</v>
      </c>
    </row>
    <row r="35" spans="1:13">
      <c r="E35" s="28"/>
      <c r="F35" s="35"/>
      <c r="H35" s="37"/>
    </row>
    <row r="36" spans="1:13">
      <c r="A36" s="26" t="s">
        <v>34</v>
      </c>
      <c r="C36" s="101" t="str">
        <f>IF(F36&lt;0,"Decrease","Increase")</f>
        <v>Decrease</v>
      </c>
      <c r="E36" s="35">
        <f>SUM(E31:E35)</f>
        <v>914</v>
      </c>
      <c r="F36" s="39">
        <f>G27</f>
        <v>-3.0999999999999995E-4</v>
      </c>
      <c r="G36" s="37">
        <f>E36*F36</f>
        <v>-0.28333999999999993</v>
      </c>
      <c r="H36" s="37"/>
    </row>
    <row r="37" spans="1:13">
      <c r="E37" s="35"/>
      <c r="F37" s="35"/>
      <c r="H37" s="37"/>
    </row>
    <row r="38" spans="1:13">
      <c r="B38" s="100" t="s">
        <v>78</v>
      </c>
      <c r="C38" s="101" t="str">
        <f>IF(F36&lt;0,"Decrease","Increase")</f>
        <v>Decrease</v>
      </c>
      <c r="E38" s="35"/>
      <c r="F38" s="35"/>
      <c r="G38" s="190">
        <f>G36/G33</f>
        <v>-3.4885496183206096E-3</v>
      </c>
      <c r="H38" s="40"/>
    </row>
    <row r="39" spans="1:13">
      <c r="E39" s="35"/>
      <c r="F39" s="35"/>
    </row>
    <row r="40" spans="1:13">
      <c r="E40" s="35"/>
      <c r="F40" s="35"/>
      <c r="G40" s="37"/>
    </row>
    <row r="41" spans="1:13">
      <c r="I41" s="26" t="s">
        <v>123</v>
      </c>
      <c r="J41" s="185" t="s">
        <v>101</v>
      </c>
      <c r="K41" s="188">
        <v>232176000</v>
      </c>
      <c r="L41" s="168">
        <f>('Projected kWhs'!N11*1000)*'Proposed ResEx Rate'!$G$27</f>
        <v>-762734.97954714857</v>
      </c>
      <c r="M41" s="40">
        <f>L41/K41</f>
        <v>-3.2851585846390176E-3</v>
      </c>
    </row>
    <row r="42" spans="1:13">
      <c r="I42" s="26" t="s">
        <v>124</v>
      </c>
      <c r="J42" s="185" t="s">
        <v>125</v>
      </c>
      <c r="K42" s="188">
        <v>81708000</v>
      </c>
      <c r="L42" s="168">
        <f>('Projected kWhs'!N12*1000)*'Proposed ResEx Rate'!$G$27</f>
        <v>-19565.760288057219</v>
      </c>
      <c r="M42" s="40">
        <f>L42/K42</f>
        <v>-2.3945954237109243E-4</v>
      </c>
    </row>
    <row r="43" spans="1:13">
      <c r="I43" s="26" t="s">
        <v>126</v>
      </c>
      <c r="J43" s="186" t="s">
        <v>127</v>
      </c>
      <c r="K43" s="188">
        <v>140027000</v>
      </c>
      <c r="L43" s="168">
        <f>('Projected kWhs'!N13*1000)*'Proposed ResEx Rate'!$G$27</f>
        <v>-9970.1639992213513</v>
      </c>
      <c r="M43" s="40">
        <f>L43/K43</f>
        <v>-7.1201725375972855E-5</v>
      </c>
    </row>
    <row r="44" spans="1:13">
      <c r="I44" s="26" t="s">
        <v>128</v>
      </c>
      <c r="J44" s="184">
        <v>25</v>
      </c>
      <c r="K44" s="188">
        <v>67545000</v>
      </c>
    </row>
    <row r="45" spans="1:13">
      <c r="I45" s="26" t="s">
        <v>129</v>
      </c>
      <c r="J45" s="186" t="s">
        <v>130</v>
      </c>
      <c r="K45" s="188">
        <v>12836000</v>
      </c>
      <c r="L45" s="168">
        <f>('Projected kWhs'!N14*1000)*'Proposed ResEx Rate'!$G$27</f>
        <v>-2719.6615794759805</v>
      </c>
      <c r="M45" s="40">
        <f>L45/K45</f>
        <v>-2.1187765499189627E-4</v>
      </c>
    </row>
    <row r="46" spans="1:13">
      <c r="I46" s="26" t="s">
        <v>131</v>
      </c>
      <c r="J46" s="184" t="s">
        <v>132</v>
      </c>
      <c r="K46" s="188">
        <v>6867000</v>
      </c>
      <c r="L46" s="168">
        <f>('Projected kWhs'!N15*1000)*'Proposed ResEx Rate'!$G$27</f>
        <v>-711.82261999999992</v>
      </c>
      <c r="M46" s="40">
        <f>L46/K46</f>
        <v>-1.0365845638561234E-4</v>
      </c>
    </row>
    <row r="47" spans="1:13">
      <c r="I47" s="187" t="s">
        <v>0</v>
      </c>
      <c r="J47" s="184"/>
      <c r="K47" s="189">
        <f>SUM(K41:K46)</f>
        <v>541159000</v>
      </c>
      <c r="L47" s="168">
        <f>('Projected kWhs'!N16*1000)*'Proposed ResEx Rate'!$G$27</f>
        <v>-795702.38803390309</v>
      </c>
      <c r="M47" s="40">
        <f>L47/K47</f>
        <v>-1.4703670973482896E-3</v>
      </c>
    </row>
  </sheetData>
  <mergeCells count="4">
    <mergeCell ref="A2:H2"/>
    <mergeCell ref="A1:H1"/>
    <mergeCell ref="A3:H3"/>
    <mergeCell ref="A4:H4"/>
  </mergeCells>
  <pageMargins left="1.01" right="0.7" top="0.75" bottom="0.75" header="0.3" footer="0.3"/>
  <pageSetup orientation="portrait" r:id="rId1"/>
  <headerFooter>
    <oddFooter>&amp;L&amp;A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J14"/>
  <sheetViews>
    <sheetView showGridLines="0" zoomScale="110" zoomScaleNormal="110" workbookViewId="0">
      <selection activeCell="F18" sqref="F18"/>
    </sheetView>
  </sheetViews>
  <sheetFormatPr defaultRowHeight="15.75"/>
  <cols>
    <col min="1" max="4" width="9.140625" style="153"/>
    <col min="5" max="5" width="2.7109375" style="153" customWidth="1"/>
    <col min="6" max="6" width="15.5703125" style="153" customWidth="1"/>
    <col min="7" max="7" width="3.140625" style="153" customWidth="1"/>
    <col min="8" max="8" width="15.140625" style="153" customWidth="1"/>
    <col min="9" max="9" width="3.140625" style="153" customWidth="1"/>
    <col min="10" max="10" width="14.42578125" style="153" customWidth="1"/>
    <col min="11" max="16384" width="9.140625" style="153"/>
  </cols>
  <sheetData>
    <row r="6" spans="1:10">
      <c r="F6" s="154">
        <v>2022</v>
      </c>
      <c r="G6" s="154"/>
      <c r="H6" s="154">
        <v>2021</v>
      </c>
    </row>
    <row r="7" spans="1:10">
      <c r="F7" s="154" t="s">
        <v>103</v>
      </c>
      <c r="G7" s="154"/>
      <c r="H7" s="154" t="s">
        <v>96</v>
      </c>
      <c r="I7" s="154"/>
      <c r="J7" s="154" t="s">
        <v>97</v>
      </c>
    </row>
    <row r="8" spans="1:10">
      <c r="A8" s="153" t="s">
        <v>100</v>
      </c>
      <c r="F8" s="155">
        <f>-'Projected Benefits'!F7</f>
        <v>-10720307.939297913</v>
      </c>
      <c r="G8" s="155"/>
      <c r="H8" s="155">
        <v>-9838101</v>
      </c>
      <c r="J8" s="156">
        <f>F8-H8</f>
        <v>-882206.93929791264</v>
      </c>
    </row>
    <row r="9" spans="1:10">
      <c r="A9" s="153" t="s">
        <v>102</v>
      </c>
      <c r="F9" s="155">
        <f>'Proposed ResEx Rate'!G9</f>
        <v>482850.54891653074</v>
      </c>
      <c r="G9" s="155"/>
      <c r="H9" s="155">
        <v>549471</v>
      </c>
      <c r="J9" s="156">
        <f>F9-H9</f>
        <v>-66620.451083469263</v>
      </c>
    </row>
    <row r="10" spans="1:10">
      <c r="A10" s="153" t="s">
        <v>98</v>
      </c>
      <c r="F10" s="157">
        <f>F11-F9-F8</f>
        <v>-475314.99810473993</v>
      </c>
      <c r="G10" s="156"/>
      <c r="H10" s="158">
        <v>-431262</v>
      </c>
      <c r="J10" s="157">
        <f>F10-H10</f>
        <v>-44052.998104739934</v>
      </c>
    </row>
    <row r="11" spans="1:10">
      <c r="A11" s="159" t="s">
        <v>99</v>
      </c>
      <c r="F11" s="155">
        <f>'Proposed ResEx Rate'!G15</f>
        <v>-10712772.388486123</v>
      </c>
      <c r="G11" s="155"/>
      <c r="H11" s="155">
        <v>-9719892</v>
      </c>
      <c r="J11" s="156">
        <f>F11-H11</f>
        <v>-992880.38848612271</v>
      </c>
    </row>
    <row r="13" spans="1:10">
      <c r="J13" s="156"/>
    </row>
    <row r="14" spans="1:10">
      <c r="J14" s="156">
        <f>J11-'Proposed ResEx Rate'!I27</f>
        <v>-197178.00045221963</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3"/>
  <sheetViews>
    <sheetView zoomScale="115" zoomScaleNormal="115" workbookViewId="0">
      <selection activeCell="C32" sqref="C32"/>
    </sheetView>
  </sheetViews>
  <sheetFormatPr defaultRowHeight="12.75"/>
  <cols>
    <col min="1" max="1" width="7.7109375" customWidth="1"/>
    <col min="2" max="2" width="10.140625" bestFit="1" customWidth="1"/>
    <col min="6" max="6" width="16.5703125" bestFit="1" customWidth="1"/>
    <col min="8" max="8" width="11.28515625" bestFit="1" customWidth="1"/>
    <col min="11" max="11" width="11.7109375" bestFit="1" customWidth="1"/>
    <col min="12" max="12" width="10.7109375" bestFit="1" customWidth="1"/>
    <col min="14" max="14" width="11.140625" bestFit="1" customWidth="1"/>
  </cols>
  <sheetData>
    <row r="1" spans="1:8">
      <c r="A1" s="193" t="s">
        <v>16</v>
      </c>
      <c r="B1" s="193"/>
      <c r="C1" s="193"/>
      <c r="D1" s="193"/>
      <c r="E1" s="193"/>
      <c r="F1" s="193"/>
      <c r="G1" s="193"/>
      <c r="H1" s="193"/>
    </row>
    <row r="2" spans="1:8">
      <c r="A2" s="193" t="s">
        <v>58</v>
      </c>
      <c r="B2" s="193"/>
      <c r="C2" s="193"/>
      <c r="D2" s="193"/>
      <c r="E2" s="193"/>
      <c r="F2" s="193"/>
      <c r="G2" s="193"/>
      <c r="H2" s="193"/>
    </row>
    <row r="3" spans="1:8">
      <c r="A3" s="193" t="s">
        <v>17</v>
      </c>
      <c r="B3" s="193"/>
      <c r="C3" s="193"/>
      <c r="D3" s="193"/>
      <c r="E3" s="193"/>
      <c r="F3" s="193"/>
      <c r="G3" s="193"/>
      <c r="H3" s="193"/>
    </row>
    <row r="5" spans="1:8">
      <c r="F5" s="9"/>
    </row>
    <row r="6" spans="1:8">
      <c r="A6" t="s">
        <v>18</v>
      </c>
      <c r="B6" s="3">
        <v>44347</v>
      </c>
      <c r="C6" t="s">
        <v>24</v>
      </c>
      <c r="F6" s="176">
        <v>-35022.01</v>
      </c>
      <c r="H6" s="175">
        <v>1E-4</v>
      </c>
    </row>
    <row r="7" spans="1:8">
      <c r="B7" t="s">
        <v>41</v>
      </c>
      <c r="F7" s="177">
        <v>-789090.18</v>
      </c>
      <c r="H7" s="173"/>
    </row>
    <row r="8" spans="1:8">
      <c r="B8" t="s">
        <v>20</v>
      </c>
      <c r="F8" s="177">
        <v>653345.81999999995</v>
      </c>
    </row>
    <row r="9" spans="1:8">
      <c r="B9" t="s">
        <v>21</v>
      </c>
      <c r="F9" s="178">
        <v>-0.88</v>
      </c>
    </row>
    <row r="10" spans="1:8">
      <c r="A10" t="s">
        <v>18</v>
      </c>
      <c r="B10" s="3">
        <v>44377</v>
      </c>
      <c r="C10" t="s">
        <v>24</v>
      </c>
      <c r="F10" s="9">
        <f>SUM(F6:F9)</f>
        <v>-170767.25000000012</v>
      </c>
    </row>
    <row r="11" spans="1:8">
      <c r="B11" t="s">
        <v>19</v>
      </c>
      <c r="F11" s="177">
        <v>-657158.40000000002</v>
      </c>
    </row>
    <row r="12" spans="1:8">
      <c r="B12" t="s">
        <v>20</v>
      </c>
      <c r="F12" s="177">
        <v>905101.85</v>
      </c>
      <c r="G12" s="5"/>
    </row>
    <row r="13" spans="1:8">
      <c r="B13" t="s">
        <v>21</v>
      </c>
      <c r="F13" s="178">
        <v>-1.42</v>
      </c>
      <c r="G13" s="5"/>
      <c r="H13" s="24"/>
    </row>
    <row r="14" spans="1:8">
      <c r="A14" t="s">
        <v>18</v>
      </c>
      <c r="B14" s="3">
        <v>44408</v>
      </c>
      <c r="C14" s="5" t="s">
        <v>24</v>
      </c>
      <c r="F14" s="9">
        <f>SUM(F10:F13)</f>
        <v>77174.779999999839</v>
      </c>
      <c r="G14" s="5"/>
    </row>
    <row r="15" spans="1:8">
      <c r="B15" t="s">
        <v>22</v>
      </c>
      <c r="F15" s="177">
        <v>-614280.37</v>
      </c>
      <c r="G15" s="5"/>
      <c r="H15" s="22"/>
    </row>
    <row r="16" spans="1:8" s="101" customFormat="1">
      <c r="B16" s="101" t="s">
        <v>91</v>
      </c>
      <c r="F16" s="9">
        <f>-'July Unbilled'!D22</f>
        <v>469943.9305274181</v>
      </c>
      <c r="G16" s="5"/>
      <c r="H16" s="22"/>
    </row>
    <row r="17" spans="1:17">
      <c r="B17" t="s">
        <v>20</v>
      </c>
      <c r="F17" s="63">
        <f>-'Projected kWhs'!B28*1000</f>
        <v>742143.95984108432</v>
      </c>
      <c r="G17" s="5"/>
      <c r="H17" s="9"/>
      <c r="I17" s="5"/>
      <c r="K17" s="4"/>
      <c r="N17" s="4"/>
      <c r="P17" s="4"/>
      <c r="Q17" s="4"/>
    </row>
    <row r="18" spans="1:17">
      <c r="B18" t="s">
        <v>21</v>
      </c>
      <c r="F18" s="64">
        <f>(F14*H6)/12</f>
        <v>0.64312316666666536</v>
      </c>
      <c r="G18" s="5"/>
      <c r="H18" s="9"/>
    </row>
    <row r="19" spans="1:17">
      <c r="A19" t="s">
        <v>18</v>
      </c>
      <c r="B19" s="3">
        <v>44439</v>
      </c>
      <c r="C19" s="101" t="s">
        <v>25</v>
      </c>
      <c r="F19" s="9">
        <f>SUM(F14:F18)</f>
        <v>674982.94349166891</v>
      </c>
      <c r="G19" s="5"/>
      <c r="H19" s="22"/>
    </row>
    <row r="20" spans="1:17">
      <c r="B20" t="s">
        <v>23</v>
      </c>
      <c r="F20" s="177">
        <v>-688391.25</v>
      </c>
      <c r="G20" s="5"/>
      <c r="H20" s="22"/>
    </row>
    <row r="21" spans="1:17">
      <c r="B21" t="s">
        <v>20</v>
      </c>
      <c r="F21" s="63">
        <f>-'Projected kWhs'!C28*1000</f>
        <v>598809.26353595557</v>
      </c>
      <c r="G21" s="8" t="s">
        <v>27</v>
      </c>
      <c r="H21" s="22"/>
    </row>
    <row r="22" spans="1:17">
      <c r="B22" t="s">
        <v>21</v>
      </c>
      <c r="F22" s="64">
        <f>(F19*H6)/12</f>
        <v>5.6248578624305745</v>
      </c>
      <c r="G22" s="5"/>
      <c r="H22" s="22"/>
    </row>
    <row r="23" spans="1:17">
      <c r="A23" t="s">
        <v>18</v>
      </c>
      <c r="B23" s="3">
        <v>44469</v>
      </c>
      <c r="C23" t="s">
        <v>25</v>
      </c>
      <c r="F23" s="9">
        <f>SUM(F19:F22)</f>
        <v>585406.58188548696</v>
      </c>
      <c r="G23" s="5"/>
      <c r="H23" s="22"/>
    </row>
    <row r="24" spans="1:17">
      <c r="B24" t="s">
        <v>26</v>
      </c>
      <c r="F24" s="177">
        <v>-808596.33</v>
      </c>
      <c r="G24" s="5"/>
      <c r="H24" s="22"/>
    </row>
    <row r="25" spans="1:17">
      <c r="B25" t="s">
        <v>20</v>
      </c>
      <c r="F25" s="63">
        <f>-'Projected kWhs'!D28*1000</f>
        <v>706035.41864286142</v>
      </c>
      <c r="G25" s="8" t="s">
        <v>27</v>
      </c>
      <c r="H25" s="22"/>
    </row>
    <row r="26" spans="1:17">
      <c r="B26" t="s">
        <v>21</v>
      </c>
      <c r="F26" s="64">
        <f>(F23*H6)/12</f>
        <v>4.8783881823790578</v>
      </c>
      <c r="G26" s="5"/>
      <c r="H26" s="22"/>
    </row>
    <row r="27" spans="1:17">
      <c r="A27" s="101" t="s">
        <v>18</v>
      </c>
      <c r="B27" s="3">
        <v>44500</v>
      </c>
      <c r="C27" s="101" t="s">
        <v>25</v>
      </c>
      <c r="F27" s="147">
        <f>SUM(F23:F26)</f>
        <v>482850.5489165308</v>
      </c>
      <c r="G27" s="8"/>
      <c r="H27" s="22"/>
    </row>
    <row r="28" spans="1:17">
      <c r="F28" s="4"/>
      <c r="H28" s="22"/>
    </row>
    <row r="29" spans="1:17">
      <c r="A29" t="s">
        <v>28</v>
      </c>
      <c r="F29" s="4"/>
      <c r="H29" s="22"/>
    </row>
    <row r="30" spans="1:17">
      <c r="A30" t="s">
        <v>104</v>
      </c>
      <c r="F30" s="4"/>
      <c r="H30" s="22"/>
    </row>
    <row r="31" spans="1:17">
      <c r="F31" s="4"/>
    </row>
    <row r="32" spans="1:17">
      <c r="A32" s="1" t="s">
        <v>30</v>
      </c>
      <c r="F32" s="4"/>
    </row>
    <row r="33" spans="1:6">
      <c r="A33" t="s">
        <v>120</v>
      </c>
      <c r="F33" s="146">
        <f>F6</f>
        <v>-35022.01</v>
      </c>
    </row>
    <row r="34" spans="1:6">
      <c r="A34" t="s">
        <v>31</v>
      </c>
      <c r="F34" s="22">
        <f>F20+F24+F15+F11+F7</f>
        <v>-3557516.5300000003</v>
      </c>
    </row>
    <row r="35" spans="1:6">
      <c r="A35" t="s">
        <v>68</v>
      </c>
      <c r="F35" s="2">
        <f>F16</f>
        <v>469943.9305274181</v>
      </c>
    </row>
    <row r="36" spans="1:6">
      <c r="A36" t="s">
        <v>20</v>
      </c>
      <c r="F36" s="2">
        <f>F21+F25+F17+F12+F8</f>
        <v>3605436.3120199014</v>
      </c>
    </row>
    <row r="37" spans="1:6">
      <c r="A37" t="s">
        <v>21</v>
      </c>
      <c r="F37" s="145">
        <f>F22+F26+F18+F13+F9</f>
        <v>8.8463692114762971</v>
      </c>
    </row>
    <row r="38" spans="1:6">
      <c r="A38" t="s">
        <v>18</v>
      </c>
      <c r="F38" s="146">
        <f>SUM(F33:F37)</f>
        <v>482850.54891653074</v>
      </c>
    </row>
    <row r="39" spans="1:6">
      <c r="F39" s="4"/>
    </row>
    <row r="43" spans="1:6">
      <c r="A43" s="101"/>
    </row>
  </sheetData>
  <mergeCells count="3">
    <mergeCell ref="A1:H1"/>
    <mergeCell ref="A2:H2"/>
    <mergeCell ref="A3:H3"/>
  </mergeCells>
  <pageMargins left="1.01" right="0.7" top="0.75" bottom="0.75" header="0.3" footer="0.3"/>
  <pageSetup orientation="portrait" r:id="rId1"/>
  <headerFooter>
    <oddFooter>&amp;L&amp;A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29"/>
  <sheetViews>
    <sheetView view="pageLayout" zoomScaleNormal="100" workbookViewId="0">
      <selection activeCell="D13" sqref="D13"/>
    </sheetView>
  </sheetViews>
  <sheetFormatPr defaultRowHeight="12.75"/>
  <cols>
    <col min="1" max="2" width="9.140625" style="26"/>
    <col min="3" max="3" width="6.85546875" style="26" customWidth="1"/>
    <col min="4" max="4" width="14" style="26" bestFit="1" customWidth="1"/>
    <col min="5" max="5" width="8.28515625" style="26" bestFit="1" customWidth="1"/>
    <col min="6" max="6" width="12.28515625" style="26" customWidth="1"/>
    <col min="7" max="7" width="12.7109375" style="26" bestFit="1" customWidth="1"/>
    <col min="8" max="8" width="8.28515625" style="26" bestFit="1" customWidth="1"/>
    <col min="9" max="9" width="10.140625" style="26" bestFit="1" customWidth="1"/>
    <col min="10" max="10" width="12.7109375" style="26" bestFit="1" customWidth="1"/>
    <col min="11" max="11" width="5.7109375" style="26" bestFit="1" customWidth="1"/>
    <col min="12" max="12" width="12.28515625" style="26" customWidth="1"/>
    <col min="13" max="16384" width="9.140625" style="26"/>
  </cols>
  <sheetData>
    <row r="1" spans="1:14">
      <c r="A1" s="191" t="s">
        <v>16</v>
      </c>
      <c r="B1" s="191"/>
      <c r="C1" s="191"/>
      <c r="D1" s="191"/>
      <c r="E1" s="191"/>
      <c r="F1" s="191"/>
      <c r="G1" s="191"/>
      <c r="H1" s="191"/>
      <c r="I1" s="191"/>
      <c r="J1" s="191"/>
      <c r="K1" s="191"/>
      <c r="L1" s="68"/>
      <c r="M1" s="68"/>
      <c r="N1" s="68"/>
    </row>
    <row r="2" spans="1:14" ht="14.25" customHeight="1">
      <c r="A2" s="191" t="s">
        <v>42</v>
      </c>
      <c r="B2" s="191"/>
      <c r="C2" s="191"/>
      <c r="D2" s="191"/>
      <c r="E2" s="191"/>
      <c r="F2" s="191"/>
      <c r="G2" s="191"/>
      <c r="H2" s="191"/>
      <c r="I2" s="191"/>
      <c r="J2" s="191"/>
      <c r="K2" s="191"/>
      <c r="L2" s="68"/>
      <c r="M2" s="68"/>
      <c r="N2" s="68"/>
    </row>
    <row r="4" spans="1:14">
      <c r="G4" s="25"/>
      <c r="H4" s="41"/>
      <c r="I4" s="42"/>
      <c r="J4" s="41"/>
      <c r="K4" s="41"/>
      <c r="L4" s="41"/>
    </row>
    <row r="5" spans="1:14">
      <c r="G5" s="41"/>
      <c r="H5" s="41"/>
      <c r="I5" s="41"/>
      <c r="J5" s="41"/>
      <c r="K5" s="41"/>
    </row>
    <row r="6" spans="1:14">
      <c r="A6" s="65" t="s">
        <v>108</v>
      </c>
      <c r="D6" s="43" t="s">
        <v>65</v>
      </c>
      <c r="E6" s="43" t="s">
        <v>3</v>
      </c>
      <c r="F6" s="43" t="s">
        <v>44</v>
      </c>
      <c r="J6" s="41"/>
      <c r="K6" s="41"/>
    </row>
    <row r="7" spans="1:14">
      <c r="A7" s="26" t="s">
        <v>13</v>
      </c>
      <c r="D7" s="44">
        <f>'Load Calculation'!E24</f>
        <v>2673393501.0718002</v>
      </c>
      <c r="E7" s="45">
        <f>D7/D9</f>
        <v>0.67315165856176395</v>
      </c>
      <c r="F7" s="27">
        <f>F9*E7</f>
        <v>10720307.939297913</v>
      </c>
    </row>
    <row r="8" spans="1:14">
      <c r="A8" s="26" t="s">
        <v>14</v>
      </c>
      <c r="D8" s="30">
        <f>'Load Calculation'!F24</f>
        <v>1298064441.6802001</v>
      </c>
      <c r="E8" s="46">
        <f>D8/D9</f>
        <v>0.32684834143823599</v>
      </c>
      <c r="F8" s="7">
        <f>F9*E8</f>
        <v>5205238.4111375995</v>
      </c>
    </row>
    <row r="9" spans="1:14">
      <c r="A9" s="26" t="s">
        <v>15</v>
      </c>
      <c r="D9" s="6">
        <f>D7+D8</f>
        <v>3971457942.7520003</v>
      </c>
      <c r="E9" s="45">
        <f>E7+E8</f>
        <v>1</v>
      </c>
      <c r="F9" s="47">
        <f>D17</f>
        <v>15925546.350435512</v>
      </c>
    </row>
    <row r="12" spans="1:14">
      <c r="A12" s="26" t="s">
        <v>11</v>
      </c>
      <c r="C12" s="48"/>
      <c r="D12" s="133">
        <v>62.93</v>
      </c>
    </row>
    <row r="13" spans="1:14">
      <c r="A13" s="35" t="s">
        <v>12</v>
      </c>
      <c r="C13" s="50"/>
      <c r="D13" s="134">
        <v>58.92</v>
      </c>
      <c r="E13" s="35"/>
    </row>
    <row r="14" spans="1:14">
      <c r="C14" s="50"/>
      <c r="D14" s="49">
        <f>D12-D13</f>
        <v>4.009999999999998</v>
      </c>
      <c r="E14" s="35"/>
    </row>
    <row r="15" spans="1:14">
      <c r="C15" s="50"/>
      <c r="D15" s="49"/>
      <c r="E15" s="35"/>
    </row>
    <row r="16" spans="1:14">
      <c r="A16" s="26" t="s">
        <v>54</v>
      </c>
      <c r="C16" s="50"/>
      <c r="D16" s="51">
        <f>D9</f>
        <v>3971457942.7520003</v>
      </c>
      <c r="E16" s="35"/>
    </row>
    <row r="17" spans="1:18">
      <c r="A17" s="26" t="s">
        <v>55</v>
      </c>
      <c r="C17" s="52"/>
      <c r="D17" s="51">
        <f>D14*D16/1000</f>
        <v>15925546.350435512</v>
      </c>
      <c r="E17" s="35"/>
      <c r="P17" s="53"/>
      <c r="Q17" s="53"/>
      <c r="R17" s="53"/>
    </row>
    <row r="18" spans="1:18">
      <c r="E18" s="35"/>
      <c r="P18" s="54"/>
      <c r="Q18" s="54"/>
      <c r="R18" s="54"/>
    </row>
    <row r="19" spans="1:18">
      <c r="E19" s="35"/>
      <c r="P19" s="54"/>
      <c r="Q19" s="54"/>
      <c r="R19" s="54"/>
    </row>
    <row r="20" spans="1:18">
      <c r="A20" s="26" t="s">
        <v>116</v>
      </c>
      <c r="C20" s="48"/>
      <c r="D20" s="35"/>
      <c r="E20" s="35"/>
      <c r="P20" s="54"/>
      <c r="Q20" s="54"/>
      <c r="R20" s="54"/>
    </row>
    <row r="21" spans="1:18">
      <c r="C21" s="50"/>
      <c r="D21" s="35"/>
      <c r="E21" s="35"/>
      <c r="P21" s="55"/>
      <c r="Q21" s="55"/>
      <c r="R21" s="55"/>
    </row>
    <row r="22" spans="1:18">
      <c r="C22" s="50"/>
      <c r="D22" s="35"/>
      <c r="E22" s="35"/>
    </row>
    <row r="23" spans="1:18">
      <c r="C23" s="48"/>
      <c r="D23" s="35"/>
      <c r="E23" s="35"/>
    </row>
    <row r="24" spans="1:18">
      <c r="C24" s="50"/>
      <c r="D24" s="35"/>
      <c r="E24" s="35"/>
    </row>
    <row r="25" spans="1:18">
      <c r="C25" s="52"/>
      <c r="D25" s="35"/>
      <c r="E25" s="35"/>
    </row>
    <row r="26" spans="1:18">
      <c r="C26" s="52"/>
      <c r="D26" s="35"/>
      <c r="E26" s="35"/>
    </row>
    <row r="27" spans="1:18">
      <c r="C27" s="48"/>
      <c r="D27" s="35"/>
      <c r="E27" s="35"/>
    </row>
    <row r="28" spans="1:18">
      <c r="C28" s="48"/>
      <c r="D28" s="35"/>
      <c r="E28" s="35"/>
    </row>
    <row r="29" spans="1:18">
      <c r="C29" s="35"/>
      <c r="D29" s="35"/>
      <c r="E29" s="35"/>
    </row>
  </sheetData>
  <mergeCells count="2">
    <mergeCell ref="A1:K1"/>
    <mergeCell ref="A2:K2"/>
  </mergeCells>
  <pageMargins left="1.01" right="0.7" top="0.75" bottom="0.75" header="0.3" footer="0.3"/>
  <pageSetup orientation="landscape" r:id="rId1"/>
  <headerFooter>
    <oddFooter>&amp;L&amp;A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82"/>
  <sheetViews>
    <sheetView zoomScaleNormal="100" workbookViewId="0">
      <selection activeCell="Q31" sqref="Q31"/>
    </sheetView>
  </sheetViews>
  <sheetFormatPr defaultRowHeight="12.75"/>
  <cols>
    <col min="1" max="1" width="13.140625" style="26" bestFit="1" customWidth="1"/>
    <col min="2" max="2" width="12.85546875" style="26" bestFit="1" customWidth="1"/>
    <col min="3" max="3" width="12.42578125" style="26" bestFit="1" customWidth="1"/>
    <col min="4" max="13" width="12.28515625" style="26" bestFit="1" customWidth="1"/>
    <col min="14" max="14" width="14" style="26" bestFit="1" customWidth="1"/>
    <col min="15" max="16" width="11.28515625" style="26" bestFit="1" customWidth="1"/>
    <col min="17" max="17" width="9.140625" style="26"/>
    <col min="18" max="19" width="16" style="26" bestFit="1" customWidth="1"/>
    <col min="20" max="20" width="14" style="26" bestFit="1" customWidth="1"/>
    <col min="21" max="16384" width="9.140625" style="26"/>
  </cols>
  <sheetData>
    <row r="1" spans="1:20">
      <c r="A1" s="191" t="s">
        <v>2</v>
      </c>
      <c r="B1" s="191"/>
      <c r="C1" s="191"/>
      <c r="D1" s="191"/>
      <c r="E1" s="191"/>
      <c r="F1" s="191"/>
      <c r="G1" s="191"/>
      <c r="H1" s="191"/>
      <c r="I1" s="191"/>
      <c r="J1" s="191"/>
      <c r="K1" s="191"/>
      <c r="L1" s="191"/>
      <c r="M1" s="191"/>
      <c r="N1" s="191"/>
      <c r="O1" s="191"/>
      <c r="P1" s="191"/>
    </row>
    <row r="2" spans="1:20">
      <c r="A2" s="191" t="s">
        <v>8</v>
      </c>
      <c r="B2" s="191"/>
      <c r="C2" s="191"/>
      <c r="D2" s="191"/>
      <c r="E2" s="191"/>
      <c r="F2" s="191"/>
      <c r="G2" s="191"/>
      <c r="H2" s="191"/>
      <c r="I2" s="191"/>
      <c r="J2" s="191"/>
      <c r="K2" s="191"/>
      <c r="L2" s="191"/>
      <c r="M2" s="191"/>
      <c r="N2" s="191"/>
      <c r="O2" s="191"/>
      <c r="P2" s="191"/>
    </row>
    <row r="3" spans="1:20">
      <c r="A3" s="191" t="s">
        <v>10</v>
      </c>
      <c r="B3" s="191"/>
      <c r="C3" s="191"/>
      <c r="D3" s="191"/>
      <c r="E3" s="191"/>
      <c r="F3" s="191"/>
      <c r="G3" s="191"/>
      <c r="H3" s="191"/>
      <c r="I3" s="191"/>
      <c r="J3" s="191"/>
      <c r="K3" s="191"/>
      <c r="L3" s="191"/>
      <c r="M3" s="191"/>
      <c r="N3" s="191"/>
      <c r="O3" s="191"/>
      <c r="P3" s="191"/>
    </row>
    <row r="4" spans="1:20">
      <c r="A4" s="192" t="s">
        <v>64</v>
      </c>
      <c r="B4" s="192"/>
      <c r="C4" s="192"/>
      <c r="D4" s="192"/>
      <c r="E4" s="192"/>
      <c r="F4" s="192"/>
      <c r="G4" s="192"/>
      <c r="H4" s="192"/>
      <c r="I4" s="192"/>
      <c r="J4" s="192"/>
      <c r="K4" s="192"/>
      <c r="L4" s="192"/>
      <c r="M4" s="192"/>
      <c r="N4" s="192"/>
      <c r="O4" s="192"/>
      <c r="P4" s="192"/>
    </row>
    <row r="6" spans="1:20">
      <c r="A6" s="56" t="s">
        <v>90</v>
      </c>
    </row>
    <row r="7" spans="1:20">
      <c r="A7" s="56" t="s">
        <v>9</v>
      </c>
    </row>
    <row r="8" spans="1:20">
      <c r="P8" s="26" t="s">
        <v>93</v>
      </c>
    </row>
    <row r="9" spans="1:20">
      <c r="A9" s="57"/>
      <c r="B9" s="62">
        <v>44501</v>
      </c>
      <c r="C9" s="62">
        <v>44531</v>
      </c>
      <c r="D9" s="62">
        <v>44562</v>
      </c>
      <c r="E9" s="62">
        <v>44593</v>
      </c>
      <c r="F9" s="62">
        <v>44621</v>
      </c>
      <c r="G9" s="62">
        <v>44652</v>
      </c>
      <c r="H9" s="62">
        <v>44682</v>
      </c>
      <c r="I9" s="62">
        <v>44713</v>
      </c>
      <c r="J9" s="62">
        <v>44743</v>
      </c>
      <c r="K9" s="62">
        <v>44774</v>
      </c>
      <c r="L9" s="62">
        <v>44805</v>
      </c>
      <c r="M9" s="62">
        <v>44835</v>
      </c>
      <c r="N9" s="87" t="s">
        <v>0</v>
      </c>
      <c r="P9" s="26" t="s">
        <v>94</v>
      </c>
    </row>
    <row r="10" spans="1:20">
      <c r="A10" s="32" t="s">
        <v>0</v>
      </c>
    </row>
    <row r="11" spans="1:20">
      <c r="A11" s="58" t="s">
        <v>59</v>
      </c>
      <c r="B11" s="180">
        <f>B58</f>
        <v>232532.2245975415</v>
      </c>
      <c r="C11" s="180">
        <f t="shared" ref="C11:M11" si="0">C58</f>
        <v>290200.68529307924</v>
      </c>
      <c r="D11" s="180">
        <f t="shared" si="0"/>
        <v>288202.39814236609</v>
      </c>
      <c r="E11" s="180">
        <f t="shared" si="0"/>
        <v>235069.39529273001</v>
      </c>
      <c r="F11" s="180">
        <f t="shared" si="0"/>
        <v>219757.32181876476</v>
      </c>
      <c r="G11" s="180">
        <f t="shared" si="0"/>
        <v>172565.28817797516</v>
      </c>
      <c r="H11" s="180">
        <f t="shared" si="0"/>
        <v>156667.09009012481</v>
      </c>
      <c r="I11" s="180">
        <f t="shared" si="0"/>
        <v>154369.43368188172</v>
      </c>
      <c r="J11" s="180">
        <f t="shared" si="0"/>
        <v>189699.71433550137</v>
      </c>
      <c r="K11" s="180">
        <f t="shared" si="0"/>
        <v>186517.18857027471</v>
      </c>
      <c r="L11" s="180">
        <f t="shared" si="0"/>
        <v>155100.20069955211</v>
      </c>
      <c r="M11" s="180">
        <f t="shared" si="0"/>
        <v>179754.47719423653</v>
      </c>
      <c r="N11" s="98">
        <f>SUM(B11:M11)</f>
        <v>2460435.4178940281</v>
      </c>
      <c r="R11" s="6">
        <f>N11*$P$16*1000</f>
        <v>-762734.97954714869</v>
      </c>
      <c r="S11" s="168">
        <v>227266000</v>
      </c>
      <c r="T11" s="40">
        <f>R11/S11</f>
        <v>-3.3561332515517003E-3</v>
      </c>
    </row>
    <row r="12" spans="1:20">
      <c r="A12" s="59" t="s">
        <v>60</v>
      </c>
      <c r="B12" s="180">
        <f t="shared" ref="B12:M14" si="1">B59</f>
        <v>5881.0534752801814</v>
      </c>
      <c r="C12" s="180">
        <f t="shared" si="1"/>
        <v>7209.2359126298261</v>
      </c>
      <c r="D12" s="180">
        <f t="shared" si="1"/>
        <v>7442.0512549719379</v>
      </c>
      <c r="E12" s="180">
        <f t="shared" si="1"/>
        <v>6346.4843616777644</v>
      </c>
      <c r="F12" s="180">
        <f t="shared" si="1"/>
        <v>6006.9365581081902</v>
      </c>
      <c r="G12" s="180">
        <f t="shared" si="1"/>
        <v>4641.9841721653511</v>
      </c>
      <c r="H12" s="180">
        <f t="shared" si="1"/>
        <v>4168.4905917830347</v>
      </c>
      <c r="I12" s="180">
        <f t="shared" si="1"/>
        <v>3940.1814678205437</v>
      </c>
      <c r="J12" s="180">
        <f t="shared" si="1"/>
        <v>4373.1575250546593</v>
      </c>
      <c r="K12" s="180">
        <f t="shared" si="1"/>
        <v>4349.9215730771348</v>
      </c>
      <c r="L12" s="180">
        <f t="shared" si="1"/>
        <v>4018.8856513697547</v>
      </c>
      <c r="M12" s="180">
        <f t="shared" si="1"/>
        <v>4736.9732239881532</v>
      </c>
      <c r="N12" s="98">
        <f>SUM(B12:M12)</f>
        <v>63115.355767926529</v>
      </c>
      <c r="R12" s="6">
        <f>N12*$P$16*1000</f>
        <v>-19565.760288057223</v>
      </c>
      <c r="S12" s="168">
        <v>80143000</v>
      </c>
      <c r="T12" s="40">
        <f>R12/S12</f>
        <v>-2.4413561119570297E-4</v>
      </c>
    </row>
    <row r="13" spans="1:20">
      <c r="A13" s="59" t="s">
        <v>61</v>
      </c>
      <c r="B13" s="180">
        <f t="shared" si="1"/>
        <v>2857.8478216594149</v>
      </c>
      <c r="C13" s="180">
        <f t="shared" si="1"/>
        <v>3413.5210583498729</v>
      </c>
      <c r="D13" s="180">
        <f t="shared" si="1"/>
        <v>3477.7225570643086</v>
      </c>
      <c r="E13" s="180">
        <f t="shared" si="1"/>
        <v>2948.086922846117</v>
      </c>
      <c r="F13" s="180">
        <f t="shared" si="1"/>
        <v>2838.4524314242885</v>
      </c>
      <c r="G13" s="180">
        <f t="shared" si="1"/>
        <v>2355.5037788990021</v>
      </c>
      <c r="H13" s="180">
        <f t="shared" si="1"/>
        <v>2254.0016523526879</v>
      </c>
      <c r="I13" s="180">
        <f t="shared" si="1"/>
        <v>2199.1859208002634</v>
      </c>
      <c r="J13" s="180">
        <f t="shared" si="1"/>
        <v>2560.0400474321286</v>
      </c>
      <c r="K13" s="180">
        <f t="shared" si="1"/>
        <v>2545.2297132833819</v>
      </c>
      <c r="L13" s="180">
        <f t="shared" si="1"/>
        <v>2243.9547424779689</v>
      </c>
      <c r="M13" s="180">
        <f t="shared" si="1"/>
        <v>2468.2727057375164</v>
      </c>
      <c r="N13" s="98">
        <f>SUM(B13:M13)</f>
        <v>32161.819352326947</v>
      </c>
      <c r="R13" s="6">
        <f>N13*$P$16*1000</f>
        <v>-9970.1639992213532</v>
      </c>
      <c r="S13" s="168">
        <v>137101000</v>
      </c>
      <c r="T13" s="40">
        <f>R13/S13</f>
        <v>-7.2721307643426031E-5</v>
      </c>
    </row>
    <row r="14" spans="1:20">
      <c r="A14" s="59" t="s">
        <v>62</v>
      </c>
      <c r="B14" s="180">
        <f t="shared" si="1"/>
        <v>298.96145075004404</v>
      </c>
      <c r="C14" s="180">
        <f t="shared" si="1"/>
        <v>313.78332500916906</v>
      </c>
      <c r="D14" s="180">
        <f t="shared" si="1"/>
        <v>325.20298507869381</v>
      </c>
      <c r="E14" s="180">
        <f t="shared" si="1"/>
        <v>283.2856207108826</v>
      </c>
      <c r="F14" s="180">
        <f t="shared" si="1"/>
        <v>293.12656889904741</v>
      </c>
      <c r="G14" s="180">
        <f t="shared" si="1"/>
        <v>453.08032528992305</v>
      </c>
      <c r="H14" s="180">
        <f t="shared" si="1"/>
        <v>755.05491917988888</v>
      </c>
      <c r="I14" s="180">
        <f t="shared" si="1"/>
        <v>1219.7001839856441</v>
      </c>
      <c r="J14" s="180">
        <f t="shared" si="1"/>
        <v>1772.3669114723452</v>
      </c>
      <c r="K14" s="180">
        <f t="shared" si="1"/>
        <v>1603.2124139528316</v>
      </c>
      <c r="L14" s="180">
        <f t="shared" si="1"/>
        <v>951.01813224415628</v>
      </c>
      <c r="M14" s="180">
        <f t="shared" si="1"/>
        <v>504.30903270473249</v>
      </c>
      <c r="N14" s="98">
        <f>SUM(B14:M14)</f>
        <v>8773.1018692773578</v>
      </c>
      <c r="R14" s="6">
        <f>N14*$P$16*1000</f>
        <v>-2719.6615794759809</v>
      </c>
      <c r="S14" s="168">
        <v>12559000</v>
      </c>
      <c r="T14" s="40">
        <f>R14/S14</f>
        <v>-2.16550806551157E-4</v>
      </c>
    </row>
    <row r="15" spans="1:20">
      <c r="A15" s="58" t="s">
        <v>63</v>
      </c>
      <c r="B15" s="181">
        <f>+$D$64</f>
        <v>191.35016666666667</v>
      </c>
      <c r="C15" s="181">
        <f t="shared" ref="C15:M15" si="2">+$D$64</f>
        <v>191.35016666666667</v>
      </c>
      <c r="D15" s="181">
        <f t="shared" si="2"/>
        <v>191.35016666666667</v>
      </c>
      <c r="E15" s="181">
        <f t="shared" si="2"/>
        <v>191.35016666666667</v>
      </c>
      <c r="F15" s="181">
        <f t="shared" si="2"/>
        <v>191.35016666666667</v>
      </c>
      <c r="G15" s="181">
        <f t="shared" si="2"/>
        <v>191.35016666666667</v>
      </c>
      <c r="H15" s="181">
        <f t="shared" si="2"/>
        <v>191.35016666666667</v>
      </c>
      <c r="I15" s="181">
        <f t="shared" si="2"/>
        <v>191.35016666666667</v>
      </c>
      <c r="J15" s="181">
        <f t="shared" si="2"/>
        <v>191.35016666666667</v>
      </c>
      <c r="K15" s="181">
        <f t="shared" si="2"/>
        <v>191.35016666666667</v>
      </c>
      <c r="L15" s="181">
        <f t="shared" si="2"/>
        <v>191.35016666666667</v>
      </c>
      <c r="M15" s="181">
        <f t="shared" si="2"/>
        <v>191.35016666666667</v>
      </c>
      <c r="N15" s="182">
        <f>SUM(B15:M15)</f>
        <v>2296.2019999999998</v>
      </c>
      <c r="R15" s="6">
        <f>N15*$P$16*1000</f>
        <v>-711.82261999999992</v>
      </c>
      <c r="S15" s="168">
        <v>6758000</v>
      </c>
      <c r="T15" s="40">
        <f>R15/S15</f>
        <v>-1.0533036697247705E-4</v>
      </c>
    </row>
    <row r="16" spans="1:20">
      <c r="A16" s="26" t="s">
        <v>0</v>
      </c>
      <c r="B16" s="180">
        <f t="shared" ref="B16:N16" si="3">SUM(B11:B15)</f>
        <v>241761.43751189779</v>
      </c>
      <c r="C16" s="180">
        <f t="shared" si="3"/>
        <v>301328.57575573475</v>
      </c>
      <c r="D16" s="180">
        <f t="shared" si="3"/>
        <v>299638.7251061477</v>
      </c>
      <c r="E16" s="180">
        <f t="shared" si="3"/>
        <v>244838.60236463143</v>
      </c>
      <c r="F16" s="180">
        <f t="shared" si="3"/>
        <v>229087.18754386296</v>
      </c>
      <c r="G16" s="180">
        <f t="shared" si="3"/>
        <v>180207.20662099612</v>
      </c>
      <c r="H16" s="180">
        <f t="shared" si="3"/>
        <v>164035.98742010709</v>
      </c>
      <c r="I16" s="180">
        <f t="shared" si="3"/>
        <v>161919.85142115483</v>
      </c>
      <c r="J16" s="180">
        <f t="shared" si="3"/>
        <v>198596.62898612715</v>
      </c>
      <c r="K16" s="180">
        <f t="shared" si="3"/>
        <v>195206.90243725473</v>
      </c>
      <c r="L16" s="180">
        <f t="shared" si="3"/>
        <v>162505.40939231066</v>
      </c>
      <c r="M16" s="180">
        <f t="shared" si="3"/>
        <v>187655.38232333362</v>
      </c>
      <c r="N16" s="98">
        <f t="shared" si="3"/>
        <v>2566781.8968835589</v>
      </c>
      <c r="P16" s="152">
        <f>ROUND('Proposed ResEx Rate'!$G$27,5)</f>
        <v>-3.1E-4</v>
      </c>
      <c r="R16" s="6">
        <f>(N16*1000)*P16</f>
        <v>-795702.3880339032</v>
      </c>
      <c r="S16" s="168"/>
    </row>
    <row r="18" spans="1:25">
      <c r="A18" s="32" t="s">
        <v>114</v>
      </c>
      <c r="B18" s="62">
        <v>44409</v>
      </c>
      <c r="C18" s="62">
        <v>44440</v>
      </c>
      <c r="D18" s="62">
        <v>44470</v>
      </c>
      <c r="E18" s="45"/>
    </row>
    <row r="19" spans="1:25">
      <c r="A19" s="26" t="str">
        <f t="shared" ref="A19:A24" si="4">A11</f>
        <v>WA001</v>
      </c>
      <c r="B19" s="180">
        <f t="shared" ref="B19:D22" si="5">B79</f>
        <v>192533.85892231757</v>
      </c>
      <c r="C19" s="180">
        <f t="shared" si="5"/>
        <v>155089.59544269819</v>
      </c>
      <c r="D19" s="180">
        <f t="shared" si="5"/>
        <v>183503.26228010684</v>
      </c>
      <c r="E19" s="6"/>
      <c r="F19" s="6"/>
      <c r="G19" s="6"/>
      <c r="H19" s="6"/>
      <c r="I19" s="6"/>
      <c r="J19" s="6"/>
      <c r="K19" s="6"/>
      <c r="L19" s="6"/>
      <c r="M19" s="6"/>
      <c r="N19" s="6"/>
      <c r="O19" s="6"/>
      <c r="P19" s="6" t="s">
        <v>95</v>
      </c>
      <c r="R19" s="161">
        <f>'Proposed ResEx Rate'!I30</f>
        <v>541159000</v>
      </c>
    </row>
    <row r="20" spans="1:25">
      <c r="A20" s="26" t="str">
        <f t="shared" si="4"/>
        <v>WA012</v>
      </c>
      <c r="B20" s="180">
        <f t="shared" si="5"/>
        <v>4285.8820945731886</v>
      </c>
      <c r="C20" s="180">
        <f t="shared" si="5"/>
        <v>3903.2553272328064</v>
      </c>
      <c r="D20" s="180">
        <f t="shared" si="5"/>
        <v>4739.8505090423505</v>
      </c>
      <c r="E20" s="6"/>
      <c r="F20" s="6"/>
      <c r="G20" s="6"/>
      <c r="H20" s="44"/>
      <c r="I20" s="44"/>
      <c r="J20" s="44"/>
      <c r="K20" s="44"/>
      <c r="L20" s="44"/>
      <c r="M20" s="44"/>
      <c r="N20" s="44"/>
      <c r="O20" s="44"/>
      <c r="P20" s="44"/>
      <c r="Q20" s="35"/>
      <c r="R20" s="35"/>
      <c r="S20" s="35"/>
      <c r="T20" s="35"/>
      <c r="U20" s="35"/>
      <c r="V20" s="35"/>
    </row>
    <row r="21" spans="1:25">
      <c r="A21" s="26" t="str">
        <f t="shared" si="4"/>
        <v>WA022</v>
      </c>
      <c r="B21" s="180">
        <f t="shared" si="5"/>
        <v>2562.4014205845624</v>
      </c>
      <c r="C21" s="180">
        <f t="shared" si="5"/>
        <v>2213.7071554909239</v>
      </c>
      <c r="D21" s="180">
        <f t="shared" si="5"/>
        <v>2467.2097382456036</v>
      </c>
      <c r="E21" s="60"/>
      <c r="F21" s="60"/>
      <c r="G21" s="60"/>
      <c r="H21" s="137"/>
      <c r="I21" s="137"/>
      <c r="J21" s="137"/>
      <c r="K21" s="137"/>
      <c r="L21" s="137"/>
      <c r="M21" s="137"/>
      <c r="N21" s="137"/>
      <c r="O21" s="137"/>
      <c r="P21" s="137"/>
      <c r="Q21" s="48"/>
      <c r="R21" s="167">
        <f>R16/R19</f>
        <v>-1.4703670973482898E-3</v>
      </c>
      <c r="S21" s="35"/>
      <c r="T21" s="35"/>
      <c r="U21" s="35"/>
      <c r="V21" s="35"/>
    </row>
    <row r="22" spans="1:25">
      <c r="A22" s="26" t="str">
        <f t="shared" si="4"/>
        <v>WA032</v>
      </c>
      <c r="B22" s="180">
        <f t="shared" si="5"/>
        <v>1618.4680692027284</v>
      </c>
      <c r="C22" s="180">
        <f t="shared" si="5"/>
        <v>936.64735717760334</v>
      </c>
      <c r="D22" s="180">
        <f t="shared" si="5"/>
        <v>501.42140644161248</v>
      </c>
      <c r="E22" s="41"/>
      <c r="F22" s="60"/>
      <c r="G22" s="60"/>
      <c r="H22" s="144"/>
      <c r="I22" s="144"/>
      <c r="J22" s="144"/>
      <c r="K22" s="144"/>
      <c r="L22" s="144"/>
      <c r="M22" s="144"/>
      <c r="N22" s="144"/>
      <c r="O22" s="144"/>
      <c r="P22" s="144"/>
      <c r="Q22" s="144"/>
      <c r="R22" s="144"/>
      <c r="S22" s="144"/>
      <c r="T22" s="48"/>
      <c r="U22" s="48"/>
      <c r="V22" s="48"/>
      <c r="W22" s="48"/>
      <c r="X22" s="48"/>
      <c r="Y22" s="48"/>
    </row>
    <row r="23" spans="1:25">
      <c r="A23" s="26" t="str">
        <f t="shared" si="4"/>
        <v>WA048</v>
      </c>
      <c r="B23" s="181">
        <f>+$D$64</f>
        <v>191.35016666666667</v>
      </c>
      <c r="C23" s="181">
        <f>+$D$64</f>
        <v>191.35016666666667</v>
      </c>
      <c r="D23" s="181">
        <f>+$D$64</f>
        <v>191.35016666666667</v>
      </c>
      <c r="E23" s="60"/>
      <c r="F23" s="60"/>
      <c r="G23" s="60"/>
      <c r="H23" s="137"/>
      <c r="I23" s="137"/>
      <c r="J23" s="137"/>
      <c r="K23" s="137"/>
      <c r="L23" s="137"/>
      <c r="M23" s="137"/>
      <c r="N23" s="163"/>
      <c r="O23" s="137"/>
      <c r="P23" s="137"/>
      <c r="Q23" s="137"/>
      <c r="R23" s="137"/>
      <c r="S23" s="137"/>
      <c r="T23" s="48"/>
      <c r="U23" s="48"/>
      <c r="V23" s="48"/>
      <c r="W23" s="48"/>
      <c r="X23" s="48"/>
      <c r="Y23" s="48"/>
    </row>
    <row r="24" spans="1:25">
      <c r="A24" s="26" t="str">
        <f t="shared" si="4"/>
        <v>Total</v>
      </c>
      <c r="B24" s="180">
        <f>SUM(B19:B23)</f>
        <v>201191.96067334473</v>
      </c>
      <c r="C24" s="180">
        <f>SUM(C19:C23)</f>
        <v>162334.55544926619</v>
      </c>
      <c r="D24" s="180">
        <f>SUM(D19:D23)</f>
        <v>191403.09410050308</v>
      </c>
      <c r="E24" s="60"/>
      <c r="F24" s="60"/>
      <c r="G24" s="60"/>
      <c r="H24" s="137"/>
      <c r="I24" s="137"/>
      <c r="J24" s="137"/>
      <c r="K24" s="137"/>
      <c r="L24" s="137"/>
      <c r="M24" s="137"/>
      <c r="N24" s="163"/>
      <c r="O24" s="137"/>
      <c r="P24" s="137"/>
      <c r="Q24" s="48"/>
      <c r="R24" s="48"/>
      <c r="S24" s="48"/>
      <c r="T24" s="48"/>
      <c r="U24" s="48"/>
      <c r="V24" s="48"/>
      <c r="W24" s="48"/>
      <c r="X24" s="48"/>
      <c r="Y24" s="48"/>
    </row>
    <row r="25" spans="1:25">
      <c r="A25" s="26" t="s">
        <v>4</v>
      </c>
      <c r="B25" s="136">
        <v>-3.8600000000000001E-3</v>
      </c>
      <c r="C25" s="160">
        <f>B25</f>
        <v>-3.8600000000000001E-3</v>
      </c>
      <c r="D25" s="160">
        <f>C25</f>
        <v>-3.8600000000000001E-3</v>
      </c>
      <c r="E25" s="60"/>
      <c r="F25" s="60"/>
      <c r="G25" s="60"/>
      <c r="H25" s="90"/>
      <c r="I25" s="138"/>
      <c r="J25" s="138"/>
      <c r="K25" s="138"/>
      <c r="L25" s="138"/>
      <c r="M25" s="138"/>
      <c r="N25" s="164"/>
      <c r="O25" s="138"/>
      <c r="P25" s="138"/>
      <c r="Q25" s="138"/>
      <c r="R25" s="138"/>
      <c r="S25" s="138"/>
      <c r="T25" s="138"/>
      <c r="U25" s="138"/>
      <c r="V25" s="138"/>
      <c r="W25" s="138"/>
      <c r="X25" s="138"/>
      <c r="Y25" s="48"/>
    </row>
    <row r="26" spans="1:25">
      <c r="A26" s="26" t="s">
        <v>5</v>
      </c>
      <c r="B26" s="27">
        <f>B24*B25</f>
        <v>-776.60096819911064</v>
      </c>
      <c r="C26" s="27">
        <f>C24*C25</f>
        <v>-626.61138403416749</v>
      </c>
      <c r="D26" s="27">
        <f>D24*D25</f>
        <v>-738.81594322794194</v>
      </c>
      <c r="E26" s="67"/>
      <c r="F26" s="60"/>
      <c r="G26" s="60"/>
      <c r="H26" s="90"/>
      <c r="I26" s="138"/>
      <c r="J26" s="138"/>
      <c r="K26" s="138"/>
      <c r="L26" s="138"/>
      <c r="M26" s="138"/>
      <c r="N26" s="164"/>
      <c r="O26" s="138"/>
      <c r="P26" s="138"/>
      <c r="Q26" s="138"/>
      <c r="R26" s="138"/>
      <c r="S26" s="138"/>
      <c r="T26" s="138"/>
      <c r="U26" s="138"/>
      <c r="V26" s="138"/>
      <c r="W26" s="138"/>
      <c r="X26" s="138"/>
      <c r="Y26" s="48"/>
    </row>
    <row r="27" spans="1:25">
      <c r="A27" s="26" t="s">
        <v>6</v>
      </c>
      <c r="B27" s="174">
        <v>0.95563100000000001</v>
      </c>
      <c r="C27" s="69">
        <f>B27</f>
        <v>0.95563100000000001</v>
      </c>
      <c r="D27" s="69">
        <f>B27</f>
        <v>0.95563100000000001</v>
      </c>
      <c r="E27" s="85"/>
      <c r="F27" s="60"/>
      <c r="G27" s="60"/>
      <c r="H27" s="90"/>
      <c r="I27" s="138"/>
      <c r="J27" s="138"/>
      <c r="K27" s="138"/>
      <c r="L27" s="138"/>
      <c r="M27" s="138"/>
      <c r="N27" s="164"/>
      <c r="O27" s="138"/>
      <c r="P27" s="138"/>
      <c r="Q27" s="138"/>
      <c r="R27" s="138"/>
      <c r="S27" s="138"/>
      <c r="T27" s="138"/>
      <c r="U27" s="138"/>
      <c r="V27" s="138"/>
      <c r="W27" s="138"/>
      <c r="X27" s="138"/>
      <c r="Y27" s="48"/>
    </row>
    <row r="28" spans="1:25">
      <c r="A28" s="26" t="s">
        <v>7</v>
      </c>
      <c r="B28" s="27">
        <f>B26*B27</f>
        <v>-742.14395984108432</v>
      </c>
      <c r="C28" s="27">
        <f>C26*C27</f>
        <v>-598.80926353595555</v>
      </c>
      <c r="D28" s="27">
        <f>D26*D27</f>
        <v>-706.03541864286137</v>
      </c>
      <c r="E28" s="86"/>
      <c r="F28" s="60"/>
      <c r="G28" s="60"/>
      <c r="H28" s="90"/>
      <c r="I28" s="138"/>
      <c r="J28" s="138"/>
      <c r="K28" s="138"/>
      <c r="L28" s="138"/>
      <c r="M28" s="138"/>
      <c r="N28" s="138"/>
      <c r="O28" s="138"/>
      <c r="P28" s="138"/>
      <c r="Q28" s="138"/>
      <c r="R28" s="138"/>
      <c r="S28" s="138"/>
      <c r="T28" s="138"/>
      <c r="U28" s="138"/>
      <c r="V28" s="138"/>
      <c r="W28" s="138"/>
      <c r="X28" s="138"/>
      <c r="Y28" s="48"/>
    </row>
    <row r="29" spans="1:25">
      <c r="C29" s="6"/>
      <c r="D29" s="85"/>
      <c r="E29" s="85"/>
      <c r="F29" s="60"/>
      <c r="G29" s="60"/>
      <c r="H29" s="90"/>
      <c r="I29" s="138"/>
      <c r="J29" s="138"/>
      <c r="K29" s="138"/>
      <c r="L29" s="138"/>
      <c r="M29" s="138"/>
      <c r="N29" s="138"/>
      <c r="O29" s="138"/>
      <c r="P29" s="138"/>
      <c r="Q29" s="138"/>
      <c r="R29" s="138"/>
      <c r="S29" s="138"/>
      <c r="T29" s="138"/>
      <c r="U29" s="138"/>
      <c r="V29" s="138"/>
      <c r="W29" s="138"/>
      <c r="X29" s="138"/>
      <c r="Y29" s="48"/>
    </row>
    <row r="30" spans="1:25">
      <c r="D30" s="41"/>
      <c r="E30" s="41"/>
      <c r="F30" s="41"/>
      <c r="G30" s="41"/>
      <c r="H30" s="90"/>
      <c r="I30" s="138"/>
      <c r="J30" s="138"/>
      <c r="K30" s="138"/>
      <c r="L30" s="138"/>
      <c r="M30" s="138"/>
      <c r="N30" s="138"/>
      <c r="O30" s="138"/>
      <c r="P30" s="138"/>
      <c r="Q30" s="138"/>
      <c r="R30" s="138"/>
      <c r="S30" s="138"/>
      <c r="T30" s="138"/>
      <c r="U30" s="138"/>
      <c r="V30" s="138"/>
      <c r="W30" s="138"/>
      <c r="X30" s="138"/>
      <c r="Y30" s="48"/>
    </row>
    <row r="31" spans="1:25">
      <c r="D31" s="41"/>
      <c r="E31" s="41"/>
      <c r="F31" s="25"/>
      <c r="G31" s="41"/>
      <c r="H31" s="139"/>
      <c r="I31" s="139"/>
      <c r="J31" s="139"/>
      <c r="K31" s="139"/>
      <c r="L31" s="139"/>
      <c r="M31" s="139"/>
      <c r="N31" s="139"/>
      <c r="O31" s="48"/>
      <c r="P31" s="48"/>
      <c r="Q31" s="48"/>
      <c r="R31" s="48"/>
      <c r="S31" s="48"/>
      <c r="T31" s="48"/>
      <c r="U31" s="48"/>
      <c r="V31" s="48"/>
      <c r="W31" s="48"/>
      <c r="X31" s="48"/>
      <c r="Y31" s="48"/>
    </row>
    <row r="32" spans="1:25">
      <c r="D32" s="66"/>
      <c r="E32" s="61"/>
      <c r="F32" s="61"/>
      <c r="G32" s="41"/>
      <c r="H32" s="140"/>
      <c r="I32" s="140"/>
      <c r="J32" s="140"/>
      <c r="K32" s="140"/>
      <c r="L32" s="140"/>
      <c r="M32" s="140"/>
      <c r="N32" s="140"/>
      <c r="O32" s="48"/>
      <c r="P32" s="48"/>
      <c r="Q32" s="48"/>
      <c r="R32" s="48"/>
      <c r="S32" s="48"/>
      <c r="T32" s="48"/>
      <c r="U32" s="48"/>
      <c r="V32" s="48"/>
      <c r="W32" s="48"/>
      <c r="X32" s="48"/>
      <c r="Y32" s="48"/>
    </row>
    <row r="33" spans="1:25">
      <c r="A33" s="35"/>
      <c r="B33" s="35"/>
      <c r="C33" s="35"/>
      <c r="D33" s="48"/>
      <c r="E33" s="90"/>
      <c r="F33" s="96"/>
      <c r="G33" s="48"/>
      <c r="H33" s="141"/>
      <c r="I33" s="141"/>
      <c r="J33" s="141"/>
      <c r="K33" s="141"/>
      <c r="L33" s="141"/>
      <c r="M33" s="141"/>
      <c r="N33" s="141"/>
      <c r="O33" s="48"/>
      <c r="P33" s="48"/>
      <c r="Q33" s="48"/>
      <c r="R33" s="48"/>
      <c r="S33" s="48"/>
      <c r="T33" s="48"/>
      <c r="U33" s="48"/>
      <c r="V33" s="48"/>
      <c r="W33" s="48"/>
      <c r="X33" s="48"/>
      <c r="Y33" s="48"/>
    </row>
    <row r="34" spans="1:25">
      <c r="A34" s="35"/>
      <c r="B34" s="35"/>
      <c r="C34" s="35"/>
      <c r="D34" s="48"/>
      <c r="E34" s="90"/>
      <c r="F34" s="96"/>
      <c r="G34" s="48"/>
      <c r="H34" s="142"/>
      <c r="I34" s="142"/>
      <c r="J34" s="142"/>
      <c r="K34" s="142"/>
      <c r="L34" s="142"/>
      <c r="M34" s="142"/>
      <c r="N34" s="142"/>
      <c r="O34" s="48"/>
      <c r="P34" s="48"/>
      <c r="Q34" s="48"/>
      <c r="R34" s="48"/>
      <c r="S34" s="48"/>
      <c r="T34" s="48"/>
      <c r="U34" s="48"/>
      <c r="V34" s="48"/>
      <c r="W34" s="48"/>
      <c r="X34" s="48"/>
      <c r="Y34" s="48"/>
    </row>
    <row r="35" spans="1:25">
      <c r="A35" s="88"/>
      <c r="B35" s="88"/>
      <c r="C35" s="94"/>
      <c r="D35" s="94"/>
      <c r="E35" s="94"/>
      <c r="F35" s="94"/>
      <c r="G35" s="94"/>
      <c r="H35" s="35"/>
      <c r="I35" s="35"/>
      <c r="J35" s="35"/>
      <c r="K35" s="35"/>
      <c r="L35" s="35"/>
      <c r="M35" s="35"/>
      <c r="N35" s="35"/>
      <c r="O35" s="35"/>
    </row>
    <row r="36" spans="1:25">
      <c r="A36" s="89"/>
      <c r="B36" s="89"/>
      <c r="C36" s="97"/>
      <c r="D36" s="97"/>
      <c r="E36" s="97"/>
      <c r="F36" s="97"/>
      <c r="G36" s="97"/>
      <c r="H36" s="92"/>
      <c r="I36" s="92"/>
      <c r="J36" s="92"/>
      <c r="K36" s="92"/>
      <c r="L36" s="92"/>
      <c r="M36" s="92"/>
      <c r="N36" s="92"/>
      <c r="O36" s="35"/>
    </row>
    <row r="37" spans="1:25">
      <c r="A37" s="91"/>
      <c r="B37" s="91"/>
      <c r="C37" s="95"/>
      <c r="D37" s="95"/>
      <c r="E37" s="95"/>
      <c r="F37" s="95"/>
      <c r="G37" s="95"/>
      <c r="H37" s="92"/>
      <c r="I37" s="92"/>
      <c r="J37" s="92"/>
      <c r="K37" s="92"/>
      <c r="L37" s="92"/>
      <c r="M37" s="92"/>
      <c r="N37" s="92"/>
      <c r="O37" s="35"/>
    </row>
    <row r="38" spans="1:25">
      <c r="A38" s="93"/>
      <c r="B38" s="93"/>
      <c r="C38" s="99"/>
      <c r="D38" s="99"/>
      <c r="E38" s="99"/>
      <c r="F38" s="99"/>
      <c r="G38" s="99"/>
      <c r="H38" s="92"/>
      <c r="I38" s="92"/>
      <c r="J38" s="92"/>
      <c r="K38" s="92"/>
      <c r="L38" s="92"/>
      <c r="M38" s="92"/>
      <c r="N38" s="92"/>
      <c r="O38" s="35"/>
    </row>
    <row r="39" spans="1:25">
      <c r="A39" s="35"/>
      <c r="B39" s="35"/>
      <c r="C39" s="35"/>
      <c r="D39" s="48"/>
      <c r="E39" s="67"/>
      <c r="F39" s="67"/>
      <c r="G39" s="48"/>
      <c r="H39" s="92"/>
      <c r="I39" s="92"/>
      <c r="J39" s="92"/>
      <c r="K39" s="92"/>
      <c r="L39" s="92"/>
      <c r="M39" s="92"/>
      <c r="N39" s="92"/>
      <c r="O39" s="35"/>
    </row>
    <row r="40" spans="1:25">
      <c r="A40" s="92"/>
      <c r="B40" s="92"/>
      <c r="C40" s="92"/>
      <c r="D40" s="92"/>
      <c r="E40" s="92"/>
      <c r="F40" s="92"/>
      <c r="G40" s="92"/>
      <c r="H40" s="35"/>
      <c r="I40" s="35"/>
      <c r="J40" s="35"/>
      <c r="K40" s="35"/>
      <c r="L40" s="35"/>
      <c r="M40" s="35"/>
      <c r="N40" s="35"/>
      <c r="O40" s="35"/>
    </row>
    <row r="41" spans="1:25">
      <c r="A41" s="92"/>
      <c r="B41" s="92"/>
      <c r="C41" s="92"/>
      <c r="D41" s="92"/>
      <c r="E41" s="92"/>
      <c r="F41" s="92"/>
      <c r="G41" s="92"/>
    </row>
    <row r="42" spans="1:25">
      <c r="A42" s="92"/>
      <c r="B42" s="92"/>
      <c r="C42" s="92"/>
      <c r="D42" s="92"/>
      <c r="E42" s="92"/>
      <c r="F42" s="92"/>
      <c r="G42" s="92"/>
    </row>
    <row r="43" spans="1:25">
      <c r="A43" s="92"/>
      <c r="B43" s="92"/>
      <c r="C43" s="92"/>
      <c r="D43" s="92"/>
      <c r="E43" s="92"/>
      <c r="F43" s="92"/>
      <c r="G43" s="92"/>
    </row>
    <row r="44" spans="1:25">
      <c r="A44" s="35"/>
      <c r="B44" s="35"/>
      <c r="C44" s="35"/>
      <c r="D44" s="48"/>
      <c r="E44" s="48"/>
      <c r="F44" s="48"/>
      <c r="G44" s="48"/>
    </row>
    <row r="46" spans="1:25">
      <c r="A46" s="101"/>
      <c r="B46" s="171">
        <f>B9</f>
        <v>44501</v>
      </c>
      <c r="C46" s="171">
        <f t="shared" ref="C46:M46" si="6">C9</f>
        <v>44531</v>
      </c>
      <c r="D46" s="171">
        <f t="shared" si="6"/>
        <v>44562</v>
      </c>
      <c r="E46" s="171">
        <f t="shared" si="6"/>
        <v>44593</v>
      </c>
      <c r="F46" s="171">
        <f t="shared" si="6"/>
        <v>44621</v>
      </c>
      <c r="G46" s="171">
        <f t="shared" si="6"/>
        <v>44652</v>
      </c>
      <c r="H46" s="171">
        <f t="shared" si="6"/>
        <v>44682</v>
      </c>
      <c r="I46" s="171">
        <f t="shared" si="6"/>
        <v>44713</v>
      </c>
      <c r="J46" s="171">
        <f t="shared" si="6"/>
        <v>44743</v>
      </c>
      <c r="K46" s="171">
        <f t="shared" si="6"/>
        <v>44774</v>
      </c>
      <c r="L46" s="171">
        <f t="shared" si="6"/>
        <v>44805</v>
      </c>
      <c r="M46" s="171">
        <f t="shared" si="6"/>
        <v>44835</v>
      </c>
      <c r="N46" s="101" t="s">
        <v>0</v>
      </c>
    </row>
    <row r="47" spans="1:25">
      <c r="A47" s="101" t="s">
        <v>59</v>
      </c>
      <c r="B47" s="172">
        <v>232532224.59754151</v>
      </c>
      <c r="C47" s="172">
        <v>290200685.29307926</v>
      </c>
      <c r="D47" s="172">
        <v>288202398.14236611</v>
      </c>
      <c r="E47" s="172">
        <v>235069395.29273</v>
      </c>
      <c r="F47" s="172">
        <v>219757321.81876475</v>
      </c>
      <c r="G47" s="172">
        <v>172565288.17797515</v>
      </c>
      <c r="H47" s="172">
        <v>156667090.09012482</v>
      </c>
      <c r="I47" s="172">
        <v>154369433.68188173</v>
      </c>
      <c r="J47" s="172">
        <v>189699714.33550137</v>
      </c>
      <c r="K47" s="172">
        <v>186517188.57027471</v>
      </c>
      <c r="L47" s="172">
        <v>155100200.69955212</v>
      </c>
      <c r="M47" s="172">
        <v>179754477.19423655</v>
      </c>
      <c r="N47" s="23">
        <f>SUM(B47:M47)</f>
        <v>2460435417.8940282</v>
      </c>
    </row>
    <row r="48" spans="1:25">
      <c r="A48" s="101" t="s">
        <v>109</v>
      </c>
      <c r="B48" s="172">
        <v>50621264.246431686</v>
      </c>
      <c r="C48" s="172">
        <v>58145391.178336032</v>
      </c>
      <c r="D48" s="172">
        <v>58225455.320598416</v>
      </c>
      <c r="E48" s="172">
        <v>50415972.837243214</v>
      </c>
      <c r="F48" s="172">
        <v>50792642.679866351</v>
      </c>
      <c r="G48" s="172">
        <v>43873741.722563922</v>
      </c>
      <c r="H48" s="172">
        <v>43584731.539179176</v>
      </c>
      <c r="I48" s="172">
        <v>44439725.650326945</v>
      </c>
      <c r="J48" s="172">
        <v>52646238.638579525</v>
      </c>
      <c r="K48" s="172">
        <v>52180183.729605511</v>
      </c>
      <c r="L48" s="172">
        <v>43456229.680899709</v>
      </c>
      <c r="M48" s="172">
        <v>46079910.378495537</v>
      </c>
      <c r="N48" s="23">
        <f t="shared" ref="N48:N55" si="7">SUM(B48:M48)</f>
        <v>594461487.60212612</v>
      </c>
    </row>
    <row r="49" spans="1:14">
      <c r="A49" s="101" t="s">
        <v>60</v>
      </c>
      <c r="B49" s="172">
        <v>5881053.4752801815</v>
      </c>
      <c r="C49" s="172">
        <v>7209235.912629826</v>
      </c>
      <c r="D49" s="172">
        <v>7442051.2549719382</v>
      </c>
      <c r="E49" s="172">
        <v>6346484.361677764</v>
      </c>
      <c r="F49" s="172">
        <v>6006936.5581081901</v>
      </c>
      <c r="G49" s="172">
        <v>4641984.172165351</v>
      </c>
      <c r="H49" s="172">
        <v>4168490.5917830351</v>
      </c>
      <c r="I49" s="172">
        <v>3940181.4678205438</v>
      </c>
      <c r="J49" s="172">
        <v>4373157.5250546597</v>
      </c>
      <c r="K49" s="172">
        <v>4349921.5730771348</v>
      </c>
      <c r="L49" s="172">
        <v>4018885.6513697547</v>
      </c>
      <c r="M49" s="172">
        <v>4736973.223988153</v>
      </c>
      <c r="N49" s="23">
        <f t="shared" si="7"/>
        <v>63115355.767926537</v>
      </c>
    </row>
    <row r="50" spans="1:14">
      <c r="A50" s="101" t="s">
        <v>110</v>
      </c>
      <c r="B50" s="172">
        <v>104958722.99627259</v>
      </c>
      <c r="C50" s="172">
        <v>112991404.62932023</v>
      </c>
      <c r="D50" s="172">
        <v>114307617.09693782</v>
      </c>
      <c r="E50" s="172">
        <v>101994598.32423529</v>
      </c>
      <c r="F50" s="172">
        <v>107733702.08743471</v>
      </c>
      <c r="G50" s="172">
        <v>100013023.79559323</v>
      </c>
      <c r="H50" s="172">
        <v>103949637.64452495</v>
      </c>
      <c r="I50" s="172">
        <v>104587270.54256752</v>
      </c>
      <c r="J50" s="172">
        <v>118497204.3848069</v>
      </c>
      <c r="K50" s="172">
        <v>117005002.48093504</v>
      </c>
      <c r="L50" s="172">
        <v>103877671.69798146</v>
      </c>
      <c r="M50" s="172">
        <v>108994806.62045316</v>
      </c>
      <c r="N50" s="23">
        <f t="shared" si="7"/>
        <v>1298910662.3010626</v>
      </c>
    </row>
    <row r="51" spans="1:14">
      <c r="A51" s="101" t="s">
        <v>61</v>
      </c>
      <c r="B51" s="172">
        <v>2857847.821659415</v>
      </c>
      <c r="C51" s="172">
        <v>3413521.0583498729</v>
      </c>
      <c r="D51" s="172">
        <v>3477722.5570643088</v>
      </c>
      <c r="E51" s="172">
        <v>2948086.9228461171</v>
      </c>
      <c r="F51" s="172">
        <v>2838452.4314242885</v>
      </c>
      <c r="G51" s="172">
        <v>2355503.7788990019</v>
      </c>
      <c r="H51" s="172">
        <v>2254001.6523526879</v>
      </c>
      <c r="I51" s="172">
        <v>2199185.9208002635</v>
      </c>
      <c r="J51" s="172">
        <v>2560040.0474321288</v>
      </c>
      <c r="K51" s="172">
        <v>2545229.7132833819</v>
      </c>
      <c r="L51" s="172">
        <v>2243954.7424779688</v>
      </c>
      <c r="M51" s="172">
        <v>2468272.7057375163</v>
      </c>
      <c r="N51" s="23">
        <f t="shared" si="7"/>
        <v>32161819.352326948</v>
      </c>
    </row>
    <row r="52" spans="1:14">
      <c r="A52" s="101" t="s">
        <v>111</v>
      </c>
      <c r="B52" s="172">
        <v>88324209</v>
      </c>
      <c r="C52" s="172">
        <v>88354717</v>
      </c>
      <c r="D52" s="172">
        <v>90713084</v>
      </c>
      <c r="E52" s="172">
        <v>86407808</v>
      </c>
      <c r="F52" s="172">
        <v>87419411</v>
      </c>
      <c r="G52" s="172">
        <v>88393436</v>
      </c>
      <c r="H52" s="172">
        <v>88297376</v>
      </c>
      <c r="I52" s="172">
        <v>89354648</v>
      </c>
      <c r="J52" s="172">
        <v>88340940</v>
      </c>
      <c r="K52" s="172">
        <v>93333673</v>
      </c>
      <c r="L52" s="172">
        <v>90644957</v>
      </c>
      <c r="M52" s="172">
        <v>90594062</v>
      </c>
      <c r="N52" s="23">
        <f t="shared" si="7"/>
        <v>1070178321</v>
      </c>
    </row>
    <row r="53" spans="1:14">
      <c r="A53" s="101" t="s">
        <v>112</v>
      </c>
      <c r="B53" s="172">
        <v>4262742.1011484787</v>
      </c>
      <c r="C53" s="172">
        <v>3985766.1955087697</v>
      </c>
      <c r="D53" s="172">
        <v>4157745.6340267863</v>
      </c>
      <c r="E53" s="172">
        <v>3871307.7492418909</v>
      </c>
      <c r="F53" s="172">
        <v>4708509.3812632021</v>
      </c>
      <c r="G53" s="172">
        <v>8061371.9340565279</v>
      </c>
      <c r="H53" s="172">
        <v>14568214.051099934</v>
      </c>
      <c r="I53" s="172">
        <v>19056045.177802272</v>
      </c>
      <c r="J53" s="172">
        <v>25352704.599454775</v>
      </c>
      <c r="K53" s="172">
        <v>25607640.980927628</v>
      </c>
      <c r="L53" s="172">
        <v>16549670.597280625</v>
      </c>
      <c r="M53" s="172">
        <v>8881104.0702105258</v>
      </c>
      <c r="N53" s="23">
        <f t="shared" si="7"/>
        <v>139062822.47202143</v>
      </c>
    </row>
    <row r="54" spans="1:14">
      <c r="A54" s="101" t="s">
        <v>62</v>
      </c>
      <c r="B54" s="172">
        <v>298961.45075004402</v>
      </c>
      <c r="C54" s="172">
        <v>313783.32500916906</v>
      </c>
      <c r="D54" s="172">
        <v>325202.98507869383</v>
      </c>
      <c r="E54" s="172">
        <v>283285.62071088259</v>
      </c>
      <c r="F54" s="172">
        <v>293126.56889904739</v>
      </c>
      <c r="G54" s="172">
        <v>453080.32528992306</v>
      </c>
      <c r="H54" s="172">
        <v>755054.91917988891</v>
      </c>
      <c r="I54" s="172">
        <v>1219700.183985644</v>
      </c>
      <c r="J54" s="172">
        <v>1772366.9114723452</v>
      </c>
      <c r="K54" s="172">
        <v>1603212.4139528316</v>
      </c>
      <c r="L54" s="172">
        <v>951018.13224415632</v>
      </c>
      <c r="M54" s="172">
        <v>504309.0327047325</v>
      </c>
      <c r="N54" s="23">
        <f t="shared" si="7"/>
        <v>8773101.8692773599</v>
      </c>
    </row>
    <row r="55" spans="1:14">
      <c r="A55" s="101" t="s">
        <v>113</v>
      </c>
      <c r="B55" s="172">
        <v>1339576.2936307886</v>
      </c>
      <c r="C55" s="172">
        <v>1404381.0722308541</v>
      </c>
      <c r="D55" s="172">
        <v>1357849.7795550921</v>
      </c>
      <c r="E55" s="172">
        <v>1289943.8207213499</v>
      </c>
      <c r="F55" s="172">
        <v>1347343.0766535457</v>
      </c>
      <c r="G55" s="172">
        <v>1320419.3019775909</v>
      </c>
      <c r="H55" s="172">
        <v>1329472.1398669735</v>
      </c>
      <c r="I55" s="172">
        <v>1326189.3874514436</v>
      </c>
      <c r="J55" s="172">
        <v>1341916.2510249089</v>
      </c>
      <c r="K55" s="172">
        <v>1334885.3667213374</v>
      </c>
      <c r="L55" s="172">
        <v>1350013.7204433866</v>
      </c>
      <c r="M55" s="172">
        <v>1324290.5457581985</v>
      </c>
      <c r="N55" s="23">
        <f t="shared" si="7"/>
        <v>16066280.756035471</v>
      </c>
    </row>
    <row r="56" spans="1:14">
      <c r="A56" s="101"/>
      <c r="B56" s="101"/>
      <c r="C56" s="101"/>
      <c r="D56" s="101"/>
      <c r="E56" s="101"/>
      <c r="F56" s="101"/>
      <c r="G56" s="101"/>
      <c r="H56" s="101"/>
      <c r="I56" s="101"/>
      <c r="J56" s="101"/>
      <c r="K56" s="101"/>
      <c r="L56" s="101"/>
      <c r="M56" s="101"/>
      <c r="N56" s="23">
        <f>SUM(N47:N55)</f>
        <v>5683165269.0148048</v>
      </c>
    </row>
    <row r="58" spans="1:14">
      <c r="A58" s="101" t="s">
        <v>59</v>
      </c>
      <c r="B58" s="98">
        <f>B47/1000</f>
        <v>232532.2245975415</v>
      </c>
      <c r="C58" s="98">
        <f t="shared" ref="C58:M58" si="8">C47/1000</f>
        <v>290200.68529307924</v>
      </c>
      <c r="D58" s="98">
        <f t="shared" si="8"/>
        <v>288202.39814236609</v>
      </c>
      <c r="E58" s="98">
        <f t="shared" si="8"/>
        <v>235069.39529273001</v>
      </c>
      <c r="F58" s="98">
        <f t="shared" si="8"/>
        <v>219757.32181876476</v>
      </c>
      <c r="G58" s="98">
        <f t="shared" si="8"/>
        <v>172565.28817797516</v>
      </c>
      <c r="H58" s="98">
        <f t="shared" si="8"/>
        <v>156667.09009012481</v>
      </c>
      <c r="I58" s="98">
        <f t="shared" si="8"/>
        <v>154369.43368188172</v>
      </c>
      <c r="J58" s="98">
        <f t="shared" si="8"/>
        <v>189699.71433550137</v>
      </c>
      <c r="K58" s="98">
        <f t="shared" si="8"/>
        <v>186517.18857027471</v>
      </c>
      <c r="L58" s="98">
        <f t="shared" si="8"/>
        <v>155100.20069955211</v>
      </c>
      <c r="M58" s="98">
        <f t="shared" si="8"/>
        <v>179754.47719423653</v>
      </c>
      <c r="N58" s="98">
        <f>SUM(B58:M58)</f>
        <v>2460435.4178940281</v>
      </c>
    </row>
    <row r="59" spans="1:14">
      <c r="A59" s="101" t="s">
        <v>60</v>
      </c>
      <c r="B59" s="98">
        <f>B49/1000</f>
        <v>5881.0534752801814</v>
      </c>
      <c r="C59" s="98">
        <f t="shared" ref="C59:M59" si="9">C49/1000</f>
        <v>7209.2359126298261</v>
      </c>
      <c r="D59" s="98">
        <f t="shared" si="9"/>
        <v>7442.0512549719379</v>
      </c>
      <c r="E59" s="98">
        <f t="shared" si="9"/>
        <v>6346.4843616777644</v>
      </c>
      <c r="F59" s="98">
        <f t="shared" si="9"/>
        <v>6006.9365581081902</v>
      </c>
      <c r="G59" s="98">
        <f t="shared" si="9"/>
        <v>4641.9841721653511</v>
      </c>
      <c r="H59" s="98">
        <f t="shared" si="9"/>
        <v>4168.4905917830347</v>
      </c>
      <c r="I59" s="98">
        <f t="shared" si="9"/>
        <v>3940.1814678205437</v>
      </c>
      <c r="J59" s="98">
        <f t="shared" si="9"/>
        <v>4373.1575250546593</v>
      </c>
      <c r="K59" s="98">
        <f t="shared" si="9"/>
        <v>4349.9215730771348</v>
      </c>
      <c r="L59" s="98">
        <f t="shared" si="9"/>
        <v>4018.8856513697547</v>
      </c>
      <c r="M59" s="98">
        <f t="shared" si="9"/>
        <v>4736.9732239881532</v>
      </c>
      <c r="N59" s="98">
        <f>SUM(B59:M59)</f>
        <v>63115.355767926529</v>
      </c>
    </row>
    <row r="60" spans="1:14">
      <c r="A60" s="101" t="s">
        <v>61</v>
      </c>
      <c r="B60" s="98">
        <f>B51/1000</f>
        <v>2857.8478216594149</v>
      </c>
      <c r="C60" s="98">
        <f t="shared" ref="C60:M60" si="10">C51/1000</f>
        <v>3413.5210583498729</v>
      </c>
      <c r="D60" s="98">
        <f t="shared" si="10"/>
        <v>3477.7225570643086</v>
      </c>
      <c r="E60" s="98">
        <f t="shared" si="10"/>
        <v>2948.086922846117</v>
      </c>
      <c r="F60" s="98">
        <f t="shared" si="10"/>
        <v>2838.4524314242885</v>
      </c>
      <c r="G60" s="98">
        <f t="shared" si="10"/>
        <v>2355.5037788990021</v>
      </c>
      <c r="H60" s="98">
        <f t="shared" si="10"/>
        <v>2254.0016523526879</v>
      </c>
      <c r="I60" s="98">
        <f t="shared" si="10"/>
        <v>2199.1859208002634</v>
      </c>
      <c r="J60" s="98">
        <f t="shared" si="10"/>
        <v>2560.0400474321286</v>
      </c>
      <c r="K60" s="98">
        <f t="shared" si="10"/>
        <v>2545.2297132833819</v>
      </c>
      <c r="L60" s="98">
        <f t="shared" si="10"/>
        <v>2243.9547424779689</v>
      </c>
      <c r="M60" s="98">
        <f t="shared" si="10"/>
        <v>2468.2727057375164</v>
      </c>
      <c r="N60" s="98">
        <f>SUM(B60:M60)</f>
        <v>32161.819352326947</v>
      </c>
    </row>
    <row r="61" spans="1:14">
      <c r="A61" s="101" t="s">
        <v>62</v>
      </c>
      <c r="B61" s="98">
        <f>B54/1000</f>
        <v>298.96145075004404</v>
      </c>
      <c r="C61" s="98">
        <f t="shared" ref="C61:M61" si="11">C54/1000</f>
        <v>313.78332500916906</v>
      </c>
      <c r="D61" s="98">
        <f t="shared" si="11"/>
        <v>325.20298507869381</v>
      </c>
      <c r="E61" s="98">
        <f t="shared" si="11"/>
        <v>283.2856207108826</v>
      </c>
      <c r="F61" s="98">
        <f t="shared" si="11"/>
        <v>293.12656889904741</v>
      </c>
      <c r="G61" s="98">
        <f t="shared" si="11"/>
        <v>453.08032528992305</v>
      </c>
      <c r="H61" s="98">
        <f t="shared" si="11"/>
        <v>755.05491917988888</v>
      </c>
      <c r="I61" s="98">
        <f t="shared" si="11"/>
        <v>1219.7001839856441</v>
      </c>
      <c r="J61" s="98">
        <f t="shared" si="11"/>
        <v>1772.3669114723452</v>
      </c>
      <c r="K61" s="98">
        <f t="shared" si="11"/>
        <v>1603.2124139528316</v>
      </c>
      <c r="L61" s="98">
        <f t="shared" si="11"/>
        <v>951.01813224415628</v>
      </c>
      <c r="M61" s="98">
        <f t="shared" si="11"/>
        <v>504.30903270473249</v>
      </c>
      <c r="N61" s="98">
        <f>SUM(B61:M61)</f>
        <v>8773.1018692773578</v>
      </c>
    </row>
    <row r="62" spans="1:14">
      <c r="B62" s="98"/>
    </row>
    <row r="64" spans="1:14">
      <c r="A64" s="26" t="s">
        <v>63</v>
      </c>
      <c r="B64" s="98">
        <v>2296202</v>
      </c>
      <c r="C64" s="98">
        <f>+B64/12</f>
        <v>191350.16666666666</v>
      </c>
      <c r="D64" s="179">
        <f>+C64/1000</f>
        <v>191.35016666666667</v>
      </c>
    </row>
    <row r="67" spans="1:4">
      <c r="A67" s="101"/>
      <c r="B67" s="171">
        <f>B18</f>
        <v>44409</v>
      </c>
      <c r="C67" s="171">
        <f>C18</f>
        <v>44440</v>
      </c>
      <c r="D67" s="171">
        <f>D18</f>
        <v>44470</v>
      </c>
    </row>
    <row r="68" spans="1:4">
      <c r="A68" s="101" t="s">
        <v>59</v>
      </c>
      <c r="B68" s="172">
        <v>192533858.92231756</v>
      </c>
      <c r="C68" s="172">
        <v>155089595.44269818</v>
      </c>
      <c r="D68" s="172">
        <v>183503262.28010684</v>
      </c>
    </row>
    <row r="69" spans="1:4">
      <c r="A69" s="101" t="s">
        <v>109</v>
      </c>
      <c r="B69" s="172">
        <v>52600120.872909248</v>
      </c>
      <c r="C69" s="172">
        <v>43781435.04040996</v>
      </c>
      <c r="D69" s="172">
        <v>46774592.952837728</v>
      </c>
    </row>
    <row r="70" spans="1:4">
      <c r="A70" s="101" t="s">
        <v>60</v>
      </c>
      <c r="B70" s="172">
        <v>4285882.0945731886</v>
      </c>
      <c r="C70" s="172">
        <v>3903255.3272328065</v>
      </c>
      <c r="D70" s="172">
        <v>4739850.5090423506</v>
      </c>
    </row>
    <row r="71" spans="1:4">
      <c r="A71" s="101" t="s">
        <v>110</v>
      </c>
      <c r="B71" s="172">
        <v>117130227.38966496</v>
      </c>
      <c r="C71" s="172">
        <v>103480237.13246156</v>
      </c>
      <c r="D71" s="172">
        <v>107662755.92526814</v>
      </c>
    </row>
    <row r="72" spans="1:4">
      <c r="A72" s="101" t="s">
        <v>61</v>
      </c>
      <c r="B72" s="172">
        <v>2562401.4205845622</v>
      </c>
      <c r="C72" s="172">
        <v>2213707.1554909241</v>
      </c>
      <c r="D72" s="172">
        <v>2467209.7382456036</v>
      </c>
    </row>
    <row r="73" spans="1:4">
      <c r="A73" s="101" t="s">
        <v>111</v>
      </c>
      <c r="B73" s="172">
        <v>89967555</v>
      </c>
      <c r="C73" s="172">
        <v>87018266</v>
      </c>
      <c r="D73" s="172">
        <v>89251888</v>
      </c>
    </row>
    <row r="74" spans="1:4">
      <c r="A74" s="101" t="s">
        <v>112</v>
      </c>
      <c r="B74" s="172">
        <v>25728577.204071045</v>
      </c>
      <c r="C74" s="172">
        <v>16195334.203772381</v>
      </c>
      <c r="D74" s="172">
        <v>8667933.4448812027</v>
      </c>
    </row>
    <row r="75" spans="1:4">
      <c r="A75" s="101" t="s">
        <v>62</v>
      </c>
      <c r="B75" s="172">
        <v>1618468.0692027283</v>
      </c>
      <c r="C75" s="172">
        <v>936647.35717760329</v>
      </c>
      <c r="D75" s="172">
        <v>501421.40644161246</v>
      </c>
    </row>
    <row r="76" spans="1:4">
      <c r="A76" s="101" t="s">
        <v>113</v>
      </c>
      <c r="B76" s="172">
        <v>1368769.9848067467</v>
      </c>
      <c r="C76" s="172">
        <v>1382585.6124156422</v>
      </c>
      <c r="D76" s="172">
        <v>1348656.2775461124</v>
      </c>
    </row>
    <row r="77" spans="1:4">
      <c r="A77" s="101"/>
      <c r="B77" s="101"/>
      <c r="C77" s="101"/>
      <c r="D77" s="101"/>
    </row>
    <row r="79" spans="1:4">
      <c r="A79" s="101" t="s">
        <v>59</v>
      </c>
      <c r="B79" s="98">
        <f>B68/1000</f>
        <v>192533.85892231757</v>
      </c>
      <c r="C79" s="98">
        <f>C68/1000</f>
        <v>155089.59544269819</v>
      </c>
      <c r="D79" s="98">
        <f>D68/1000</f>
        <v>183503.26228010684</v>
      </c>
    </row>
    <row r="80" spans="1:4">
      <c r="A80" s="101" t="s">
        <v>60</v>
      </c>
      <c r="B80" s="98">
        <f>B70/1000</f>
        <v>4285.8820945731886</v>
      </c>
      <c r="C80" s="98">
        <f>C70/1000</f>
        <v>3903.2553272328064</v>
      </c>
      <c r="D80" s="98">
        <f>D70/1000</f>
        <v>4739.8505090423505</v>
      </c>
    </row>
    <row r="81" spans="1:4">
      <c r="A81" s="101" t="s">
        <v>61</v>
      </c>
      <c r="B81" s="98">
        <f>B72/1000</f>
        <v>2562.4014205845624</v>
      </c>
      <c r="C81" s="98">
        <f>C72/1000</f>
        <v>2213.7071554909239</v>
      </c>
      <c r="D81" s="98">
        <f>D72/1000</f>
        <v>2467.2097382456036</v>
      </c>
    </row>
    <row r="82" spans="1:4">
      <c r="A82" s="101" t="s">
        <v>62</v>
      </c>
      <c r="B82" s="98">
        <f>B75/1000</f>
        <v>1618.4680692027284</v>
      </c>
      <c r="C82" s="98">
        <f>C75/1000</f>
        <v>936.64735717760334</v>
      </c>
      <c r="D82" s="98">
        <f>D75/1000</f>
        <v>501.42140644161248</v>
      </c>
    </row>
  </sheetData>
  <mergeCells count="4">
    <mergeCell ref="A1:P1"/>
    <mergeCell ref="A2:P2"/>
    <mergeCell ref="A4:P4"/>
    <mergeCell ref="A3:P3"/>
  </mergeCells>
  <pageMargins left="1.01" right="0.7" top="0.75" bottom="0.75" header="0.3" footer="0.3"/>
  <pageSetup scale="48" orientation="landscape" r:id="rId1"/>
  <headerFooter>
    <oddFooter>&amp;L&amp;A</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33"/>
  <sheetViews>
    <sheetView zoomScaleNormal="100" workbookViewId="0">
      <selection activeCell="K7" sqref="K7"/>
    </sheetView>
  </sheetViews>
  <sheetFormatPr defaultRowHeight="12.75"/>
  <cols>
    <col min="1" max="1" width="10" style="11" bestFit="1" customWidth="1"/>
    <col min="2" max="6" width="17.140625" style="11" customWidth="1"/>
    <col min="7" max="7" width="16.85546875" style="11" bestFit="1" customWidth="1"/>
    <col min="8" max="8" width="17.140625" style="11" customWidth="1"/>
    <col min="9" max="9" width="17.7109375" style="11" customWidth="1"/>
    <col min="10" max="10" width="17.140625" style="12" customWidth="1"/>
    <col min="11" max="13" width="17.140625" style="11" customWidth="1"/>
    <col min="14" max="16384" width="9.140625" style="11"/>
  </cols>
  <sheetData>
    <row r="1" spans="1:13" ht="15">
      <c r="A1" s="10" t="s">
        <v>45</v>
      </c>
      <c r="B1" s="73"/>
      <c r="C1" s="73"/>
      <c r="D1" s="73"/>
      <c r="E1" s="73"/>
      <c r="F1" s="73"/>
      <c r="G1" s="73"/>
      <c r="H1"/>
      <c r="I1" s="72"/>
      <c r="J1" s="72"/>
      <c r="K1" s="72"/>
      <c r="L1" s="72"/>
      <c r="M1" s="72"/>
    </row>
    <row r="2" spans="1:13" ht="15">
      <c r="A2" s="10" t="s">
        <v>46</v>
      </c>
      <c r="B2" s="73"/>
      <c r="C2" s="73"/>
      <c r="D2" s="73"/>
      <c r="E2" s="73"/>
      <c r="F2" s="73"/>
      <c r="G2" s="73"/>
      <c r="H2"/>
      <c r="I2" s="72"/>
      <c r="J2" s="72"/>
      <c r="K2" s="72"/>
      <c r="L2" s="72"/>
      <c r="M2" s="72"/>
    </row>
    <row r="3" spans="1:13" ht="15">
      <c r="A3"/>
      <c r="B3" s="73"/>
      <c r="C3" s="73"/>
      <c r="D3" s="73"/>
      <c r="E3" s="73"/>
      <c r="F3" s="73"/>
      <c r="G3" s="73"/>
      <c r="H3"/>
      <c r="I3"/>
      <c r="J3"/>
      <c r="K3"/>
      <c r="L3"/>
      <c r="M3"/>
    </row>
    <row r="4" spans="1:13" ht="12.75" customHeight="1">
      <c r="A4"/>
      <c r="B4" s="73"/>
      <c r="C4" s="73"/>
      <c r="D4" s="73"/>
      <c r="E4" s="73"/>
      <c r="F4" s="73"/>
      <c r="G4" s="73"/>
      <c r="H4"/>
      <c r="I4" s="194" t="s">
        <v>105</v>
      </c>
      <c r="J4" s="13"/>
      <c r="K4" s="72"/>
      <c r="L4" s="72"/>
      <c r="M4" s="72"/>
    </row>
    <row r="5" spans="1:13" ht="15">
      <c r="A5"/>
      <c r="B5" s="196">
        <v>2019</v>
      </c>
      <c r="C5" s="196"/>
      <c r="D5" s="14"/>
      <c r="E5" s="196">
        <v>2020</v>
      </c>
      <c r="F5" s="196"/>
      <c r="G5" s="73"/>
      <c r="H5"/>
      <c r="I5" s="194"/>
      <c r="J5" s="13"/>
      <c r="K5" s="196" t="s">
        <v>47</v>
      </c>
      <c r="L5" s="196"/>
      <c r="M5" s="196"/>
    </row>
    <row r="6" spans="1:13" ht="34.5" customHeight="1">
      <c r="A6"/>
      <c r="B6" s="84" t="s">
        <v>49</v>
      </c>
      <c r="C6" s="84" t="s">
        <v>50</v>
      </c>
      <c r="D6" s="84" t="s">
        <v>0</v>
      </c>
      <c r="E6" s="84" t="s">
        <v>49</v>
      </c>
      <c r="F6" s="84" t="s">
        <v>50</v>
      </c>
      <c r="G6" s="84" t="s">
        <v>0</v>
      </c>
      <c r="H6" s="15" t="s">
        <v>47</v>
      </c>
      <c r="I6" s="195"/>
      <c r="J6" s="71" t="s">
        <v>77</v>
      </c>
      <c r="K6" s="70" t="s">
        <v>49</v>
      </c>
      <c r="L6" s="70" t="s">
        <v>50</v>
      </c>
      <c r="M6" s="15" t="s">
        <v>48</v>
      </c>
    </row>
    <row r="7" spans="1:13" ht="15">
      <c r="A7" t="s">
        <v>76</v>
      </c>
      <c r="B7" s="148">
        <v>292200027</v>
      </c>
      <c r="C7" s="148">
        <v>142396845</v>
      </c>
      <c r="D7" s="82">
        <f t="shared" ref="D7:D18" si="0">SUM(B7:C7)</f>
        <v>434596872</v>
      </c>
      <c r="E7" s="150">
        <v>283345163.53920001</v>
      </c>
      <c r="F7" s="150">
        <v>142473808.27180001</v>
      </c>
      <c r="G7" s="82">
        <f t="shared" ref="G7:G18" si="1">SUM(E7:F7)</f>
        <v>425818971.81099999</v>
      </c>
      <c r="H7" s="23">
        <f t="shared" ref="H7:H18" si="2">AVERAGE(G7,D7)</f>
        <v>430207921.90549999</v>
      </c>
      <c r="I7" s="81">
        <v>430207922</v>
      </c>
      <c r="J7" s="80">
        <f t="shared" ref="J7:J18" si="3">H7-I7</f>
        <v>-9.450000524520874E-2</v>
      </c>
      <c r="K7" s="79">
        <f>AVERAGE(E7,B7)</f>
        <v>287772595.26960003</v>
      </c>
      <c r="L7" s="79">
        <f t="shared" ref="L7:L18" si="4">AVERAGE(F7,C7)</f>
        <v>142435326.63590002</v>
      </c>
      <c r="M7" s="16">
        <f t="shared" ref="M7:M18" si="5">K7+L7</f>
        <v>430207921.90550005</v>
      </c>
    </row>
    <row r="8" spans="1:13" ht="15">
      <c r="A8" t="s">
        <v>75</v>
      </c>
      <c r="B8" s="148">
        <v>270725478</v>
      </c>
      <c r="C8" s="148">
        <v>137517180</v>
      </c>
      <c r="D8" s="82">
        <f t="shared" si="0"/>
        <v>408242658</v>
      </c>
      <c r="E8" s="148">
        <v>256535453.1688</v>
      </c>
      <c r="F8" s="148">
        <v>127679241.89300001</v>
      </c>
      <c r="G8" s="82">
        <f t="shared" si="1"/>
        <v>384214695.0618</v>
      </c>
      <c r="H8" s="23">
        <f t="shared" si="2"/>
        <v>396228676.5309</v>
      </c>
      <c r="I8" s="81">
        <v>396228676</v>
      </c>
      <c r="J8" s="80">
        <f t="shared" si="3"/>
        <v>0.53090000152587891</v>
      </c>
      <c r="K8" s="79">
        <f t="shared" ref="K8:K18" si="6">AVERAGE(E8,B8)</f>
        <v>263630465.5844</v>
      </c>
      <c r="L8" s="79">
        <f t="shared" si="4"/>
        <v>132598210.9465</v>
      </c>
      <c r="M8" s="16">
        <f t="shared" si="5"/>
        <v>396228676.5309</v>
      </c>
    </row>
    <row r="9" spans="1:13" ht="15">
      <c r="A9" t="s">
        <v>74</v>
      </c>
      <c r="B9" s="148">
        <v>296547407</v>
      </c>
      <c r="C9" s="148">
        <v>140354251</v>
      </c>
      <c r="D9" s="82">
        <f t="shared" si="0"/>
        <v>436901658</v>
      </c>
      <c r="E9" s="148">
        <v>288754145.3836</v>
      </c>
      <c r="F9" s="148">
        <v>118947586.88420001</v>
      </c>
      <c r="G9" s="82">
        <f t="shared" si="1"/>
        <v>407701732.26779997</v>
      </c>
      <c r="H9" s="23">
        <f t="shared" si="2"/>
        <v>422301695.13389999</v>
      </c>
      <c r="I9" s="81">
        <v>422301695</v>
      </c>
      <c r="J9" s="80">
        <f t="shared" si="3"/>
        <v>0.133899986743927</v>
      </c>
      <c r="K9" s="79">
        <f t="shared" si="6"/>
        <v>292650776.1918</v>
      </c>
      <c r="L9" s="79">
        <f t="shared" si="4"/>
        <v>129650918.9421</v>
      </c>
      <c r="M9" s="16">
        <f t="shared" si="5"/>
        <v>422301695.13389999</v>
      </c>
    </row>
    <row r="10" spans="1:13" ht="15">
      <c r="A10" t="s">
        <v>73</v>
      </c>
      <c r="B10" s="148">
        <v>206665795</v>
      </c>
      <c r="C10" s="148">
        <v>103565399</v>
      </c>
      <c r="D10" s="82">
        <f t="shared" si="0"/>
        <v>310231194</v>
      </c>
      <c r="E10" s="148">
        <v>219879138.84439999</v>
      </c>
      <c r="F10" s="148">
        <v>112151903.6064</v>
      </c>
      <c r="G10" s="82">
        <f t="shared" si="1"/>
        <v>332031042.4508</v>
      </c>
      <c r="H10" s="23">
        <f t="shared" si="2"/>
        <v>321131118.22539997</v>
      </c>
      <c r="I10" s="81">
        <v>321131118</v>
      </c>
      <c r="J10" s="80">
        <f t="shared" si="3"/>
        <v>0.22539997100830078</v>
      </c>
      <c r="K10" s="79">
        <f t="shared" si="6"/>
        <v>213272466.92219999</v>
      </c>
      <c r="L10" s="79">
        <f t="shared" si="4"/>
        <v>107858651.30320001</v>
      </c>
      <c r="M10" s="16">
        <f t="shared" si="5"/>
        <v>321131118.22539997</v>
      </c>
    </row>
    <row r="11" spans="1:13" ht="15">
      <c r="A11" t="s">
        <v>72</v>
      </c>
      <c r="B11" s="148">
        <v>173945756</v>
      </c>
      <c r="C11" s="148">
        <v>83949765</v>
      </c>
      <c r="D11" s="82">
        <f t="shared" si="0"/>
        <v>257895521</v>
      </c>
      <c r="E11" s="148">
        <v>176000553.31259999</v>
      </c>
      <c r="F11" s="148">
        <v>88073974.109200001</v>
      </c>
      <c r="G11" s="82">
        <f t="shared" si="1"/>
        <v>264074527.42179999</v>
      </c>
      <c r="H11" s="23">
        <f t="shared" si="2"/>
        <v>260985024.21090001</v>
      </c>
      <c r="I11" s="81">
        <v>260985024</v>
      </c>
      <c r="J11" s="80">
        <f t="shared" si="3"/>
        <v>0.21090000867843628</v>
      </c>
      <c r="K11" s="79">
        <f t="shared" si="6"/>
        <v>174973154.65630001</v>
      </c>
      <c r="L11" s="79">
        <f t="shared" si="4"/>
        <v>86011869.5546</v>
      </c>
      <c r="M11" s="16">
        <f t="shared" si="5"/>
        <v>260985024.21090001</v>
      </c>
    </row>
    <row r="12" spans="1:13" ht="15">
      <c r="A12" t="s">
        <v>71</v>
      </c>
      <c r="B12" s="148">
        <v>164841943</v>
      </c>
      <c r="C12" s="148">
        <v>81420466</v>
      </c>
      <c r="D12" s="82">
        <f t="shared" si="0"/>
        <v>246262409</v>
      </c>
      <c r="E12" s="148">
        <v>171333518.5086</v>
      </c>
      <c r="F12" s="148">
        <v>85585928.596799999</v>
      </c>
      <c r="G12" s="82">
        <f t="shared" si="1"/>
        <v>256919447.1054</v>
      </c>
      <c r="H12" s="23">
        <f t="shared" si="2"/>
        <v>251590928.05269998</v>
      </c>
      <c r="I12" s="81">
        <v>251590928</v>
      </c>
      <c r="J12" s="80">
        <f t="shared" si="3"/>
        <v>5.26999831199646E-2</v>
      </c>
      <c r="K12" s="79">
        <f t="shared" si="6"/>
        <v>168087730.7543</v>
      </c>
      <c r="L12" s="79">
        <f t="shared" si="4"/>
        <v>83503197.2984</v>
      </c>
      <c r="M12" s="16">
        <f t="shared" si="5"/>
        <v>251590928.05269998</v>
      </c>
    </row>
    <row r="13" spans="1:13" ht="15">
      <c r="A13" t="s">
        <v>70</v>
      </c>
      <c r="B13" s="148">
        <v>182985412</v>
      </c>
      <c r="C13" s="148">
        <v>86448805</v>
      </c>
      <c r="D13" s="82">
        <f t="shared" si="0"/>
        <v>269434217</v>
      </c>
      <c r="E13" s="148">
        <v>184919401.02899998</v>
      </c>
      <c r="F13" s="148">
        <v>90572379.2808</v>
      </c>
      <c r="G13" s="82">
        <f t="shared" si="1"/>
        <v>275491780.30979997</v>
      </c>
      <c r="H13" s="23">
        <f t="shared" si="2"/>
        <v>272462998.65489995</v>
      </c>
      <c r="I13" s="81">
        <v>272462999</v>
      </c>
      <c r="J13" s="80">
        <f t="shared" si="3"/>
        <v>-0.3451000452041626</v>
      </c>
      <c r="K13" s="79">
        <f t="shared" si="6"/>
        <v>183952406.51449999</v>
      </c>
      <c r="L13" s="79">
        <f t="shared" si="4"/>
        <v>88510592.140399992</v>
      </c>
      <c r="M13" s="16">
        <f t="shared" si="5"/>
        <v>272462998.65489995</v>
      </c>
    </row>
    <row r="14" spans="1:13" ht="15">
      <c r="A14" t="s">
        <v>51</v>
      </c>
      <c r="B14" s="148">
        <v>199981017</v>
      </c>
      <c r="C14" s="148">
        <v>96087463</v>
      </c>
      <c r="D14" s="82">
        <f t="shared" si="0"/>
        <v>296068480</v>
      </c>
      <c r="E14" s="148">
        <v>223139889.50040001</v>
      </c>
      <c r="F14" s="148">
        <v>104760011.73199999</v>
      </c>
      <c r="G14" s="82">
        <f t="shared" si="1"/>
        <v>327899901.2324</v>
      </c>
      <c r="H14" s="23">
        <f t="shared" si="2"/>
        <v>311984190.61619997</v>
      </c>
      <c r="I14" s="81">
        <v>311984191</v>
      </c>
      <c r="J14" s="80">
        <f t="shared" si="3"/>
        <v>-0.38380002975463867</v>
      </c>
      <c r="K14" s="79">
        <f t="shared" si="6"/>
        <v>211560453.2502</v>
      </c>
      <c r="L14" s="79">
        <f t="shared" si="4"/>
        <v>100423737.366</v>
      </c>
      <c r="M14" s="16">
        <f t="shared" si="5"/>
        <v>311984190.61619997</v>
      </c>
    </row>
    <row r="15" spans="1:13" ht="15">
      <c r="A15" t="s">
        <v>52</v>
      </c>
      <c r="B15" s="148">
        <v>191794794</v>
      </c>
      <c r="C15" s="148">
        <v>88132860</v>
      </c>
      <c r="D15" s="82">
        <f t="shared" si="0"/>
        <v>279927654</v>
      </c>
      <c r="E15" s="148">
        <v>208358682.123</v>
      </c>
      <c r="F15" s="148">
        <v>93375655.762600005</v>
      </c>
      <c r="G15" s="82">
        <f t="shared" si="1"/>
        <v>301734337.88559997</v>
      </c>
      <c r="H15" s="23">
        <f t="shared" si="2"/>
        <v>290830995.94279999</v>
      </c>
      <c r="I15" s="81">
        <v>290830996</v>
      </c>
      <c r="J15" s="80">
        <f t="shared" si="3"/>
        <v>-5.7200014591217041E-2</v>
      </c>
      <c r="K15" s="79">
        <f t="shared" si="6"/>
        <v>200076738.06150001</v>
      </c>
      <c r="L15" s="79">
        <f t="shared" si="4"/>
        <v>90754257.881300002</v>
      </c>
      <c r="M15" s="16">
        <f t="shared" si="5"/>
        <v>290830995.94280005</v>
      </c>
    </row>
    <row r="16" spans="1:13" ht="15">
      <c r="A16" t="s">
        <v>43</v>
      </c>
      <c r="B16" s="148">
        <v>181725689.16119999</v>
      </c>
      <c r="C16" s="148">
        <v>85447523.383200005</v>
      </c>
      <c r="D16" s="82">
        <f t="shared" si="0"/>
        <v>267173212.54439998</v>
      </c>
      <c r="E16" s="148">
        <v>170905272.0334</v>
      </c>
      <c r="F16" s="148">
        <v>82666885.215399995</v>
      </c>
      <c r="G16" s="82">
        <f t="shared" si="1"/>
        <v>253572157.24879998</v>
      </c>
      <c r="H16" s="23">
        <f t="shared" si="2"/>
        <v>260372684.89659998</v>
      </c>
      <c r="I16" s="17">
        <v>260372685</v>
      </c>
      <c r="J16" s="80">
        <f t="shared" si="3"/>
        <v>-0.10340002179145813</v>
      </c>
      <c r="K16" s="79">
        <f t="shared" si="6"/>
        <v>176315480.59729999</v>
      </c>
      <c r="L16" s="79">
        <f t="shared" si="4"/>
        <v>84057204.2993</v>
      </c>
      <c r="M16" s="16">
        <f t="shared" si="5"/>
        <v>260372684.89660001</v>
      </c>
    </row>
    <row r="17" spans="1:13" ht="15">
      <c r="A17" t="s">
        <v>1</v>
      </c>
      <c r="B17" s="148">
        <v>213802782.0036</v>
      </c>
      <c r="C17" s="148">
        <v>109160545.7616</v>
      </c>
      <c r="D17" s="82">
        <f t="shared" si="0"/>
        <v>322963327.76520002</v>
      </c>
      <c r="E17" s="148">
        <v>219575055.13499999</v>
      </c>
      <c r="F17" s="148">
        <v>111387906.869</v>
      </c>
      <c r="G17" s="82">
        <f t="shared" si="1"/>
        <v>330962962.00400001</v>
      </c>
      <c r="H17" s="23">
        <f t="shared" si="2"/>
        <v>326963144.88460004</v>
      </c>
      <c r="I17" s="81">
        <v>326963145</v>
      </c>
      <c r="J17" s="80">
        <f t="shared" si="3"/>
        <v>-0.11539995670318604</v>
      </c>
      <c r="K17" s="79">
        <f t="shared" si="6"/>
        <v>216688918.5693</v>
      </c>
      <c r="L17" s="79">
        <f t="shared" si="4"/>
        <v>110274226.3153</v>
      </c>
      <c r="M17" s="16">
        <f t="shared" si="5"/>
        <v>326963144.88459998</v>
      </c>
    </row>
    <row r="18" spans="1:13" ht="15">
      <c r="A18" t="s">
        <v>53</v>
      </c>
      <c r="B18" s="149">
        <v>280506260.62279999</v>
      </c>
      <c r="C18" s="149">
        <v>138739261.56099999</v>
      </c>
      <c r="D18" s="83">
        <f t="shared" si="0"/>
        <v>419245522.18379998</v>
      </c>
      <c r="E18" s="151">
        <v>288318368.778</v>
      </c>
      <c r="F18" s="151">
        <v>145233236.43340001</v>
      </c>
      <c r="G18" s="82">
        <f t="shared" si="1"/>
        <v>433551605.21140003</v>
      </c>
      <c r="H18" s="23">
        <f t="shared" si="2"/>
        <v>426398563.69760001</v>
      </c>
      <c r="I18" s="81">
        <v>426398563</v>
      </c>
      <c r="J18" s="80">
        <f t="shared" si="3"/>
        <v>0.69760000705718994</v>
      </c>
      <c r="K18" s="79">
        <f t="shared" si="6"/>
        <v>284412314.70039999</v>
      </c>
      <c r="L18" s="79">
        <f t="shared" si="4"/>
        <v>141986248.99720001</v>
      </c>
      <c r="M18" s="16">
        <f t="shared" si="5"/>
        <v>426398563.69760001</v>
      </c>
    </row>
    <row r="19" spans="1:13" ht="15">
      <c r="A19"/>
      <c r="B19" s="78">
        <f t="shared" ref="B19:H19" si="7">SUM(B7:B18)</f>
        <v>2655722360.7876</v>
      </c>
      <c r="C19" s="78">
        <f t="shared" si="7"/>
        <v>1293220364.7058001</v>
      </c>
      <c r="D19" s="78">
        <f t="shared" si="7"/>
        <v>3948942725.4934006</v>
      </c>
      <c r="E19" s="78">
        <f t="shared" si="7"/>
        <v>2691064641.3559999</v>
      </c>
      <c r="F19" s="78">
        <f t="shared" si="7"/>
        <v>1302908518.6545999</v>
      </c>
      <c r="G19" s="78">
        <f t="shared" si="7"/>
        <v>3993973160.0106001</v>
      </c>
      <c r="H19" s="78">
        <f t="shared" si="7"/>
        <v>3971457942.7519999</v>
      </c>
      <c r="I19" s="19">
        <v>3867544659</v>
      </c>
      <c r="J19" s="19">
        <f>SUM(J7:J18)</f>
        <v>0.75199988484382629</v>
      </c>
      <c r="K19" s="18">
        <f>SUM(K7:K18)</f>
        <v>2673393501.0718002</v>
      </c>
      <c r="L19" s="18">
        <f>SUM(L7:L18)</f>
        <v>1298064441.6801999</v>
      </c>
      <c r="M19" s="18">
        <f>SUM(M7:M18)</f>
        <v>3971457942.7519999</v>
      </c>
    </row>
    <row r="20" spans="1:13" ht="15">
      <c r="A20"/>
      <c r="B20" s="73"/>
      <c r="C20" s="73"/>
      <c r="D20" s="73"/>
      <c r="E20" s="73"/>
      <c r="F20" s="73"/>
      <c r="G20" s="73"/>
      <c r="H20"/>
      <c r="I20" s="72"/>
      <c r="J20" s="72"/>
      <c r="K20" s="135">
        <f>K19/M19</f>
        <v>0.67315165856176407</v>
      </c>
      <c r="L20" s="135">
        <f>L19/M19</f>
        <v>0.32684834143823599</v>
      </c>
      <c r="M20" s="20">
        <f>SUM(K20:L20)</f>
        <v>1</v>
      </c>
    </row>
    <row r="21" spans="1:13" ht="15">
      <c r="A21"/>
      <c r="B21" s="73"/>
      <c r="C21" s="73"/>
      <c r="D21" s="73"/>
      <c r="E21" s="73"/>
      <c r="F21" s="73"/>
      <c r="G21" s="73"/>
      <c r="H21"/>
      <c r="I21" s="16"/>
      <c r="J21" s="72"/>
      <c r="K21" s="72"/>
      <c r="L21" s="72"/>
      <c r="M21" s="72"/>
    </row>
    <row r="22" spans="1:13" ht="15">
      <c r="A22"/>
      <c r="B22" s="73"/>
      <c r="C22" s="73"/>
      <c r="D22" s="73"/>
      <c r="E22" s="70" t="s">
        <v>49</v>
      </c>
      <c r="F22" s="70" t="s">
        <v>50</v>
      </c>
      <c r="G22" s="73"/>
      <c r="H22"/>
      <c r="I22" s="72"/>
      <c r="J22" s="72"/>
      <c r="K22" s="72"/>
      <c r="L22" s="72"/>
      <c r="M22" s="72"/>
    </row>
    <row r="23" spans="1:13" ht="15">
      <c r="A23"/>
      <c r="B23" s="73"/>
      <c r="C23" s="73"/>
      <c r="D23" s="73"/>
      <c r="E23" s="16">
        <f>B19+E19</f>
        <v>5346787002.1436005</v>
      </c>
      <c r="F23" s="16">
        <f>C19+F19</f>
        <v>2596128883.3604002</v>
      </c>
      <c r="G23" s="73"/>
      <c r="H23"/>
      <c r="I23" s="72"/>
      <c r="J23" s="72"/>
      <c r="K23" s="72"/>
      <c r="L23" s="72"/>
      <c r="M23" s="72"/>
    </row>
    <row r="24" spans="1:13" ht="15">
      <c r="A24"/>
      <c r="B24" s="73"/>
      <c r="C24" s="73"/>
      <c r="D24" s="73"/>
      <c r="E24" s="21">
        <f>E23/2</f>
        <v>2673393501.0718002</v>
      </c>
      <c r="F24" s="21">
        <f>F23/2</f>
        <v>1298064441.6802001</v>
      </c>
      <c r="G24" s="73"/>
      <c r="H24"/>
      <c r="I24" s="72"/>
      <c r="J24" s="72"/>
      <c r="K24" s="72"/>
      <c r="L24" s="72"/>
      <c r="M24" s="72"/>
    </row>
    <row r="25" spans="1:13" ht="15">
      <c r="A25"/>
      <c r="B25" s="73"/>
      <c r="C25" s="77"/>
      <c r="D25" s="73"/>
      <c r="E25" s="73"/>
      <c r="F25" s="73"/>
      <c r="G25" s="73"/>
      <c r="H25"/>
      <c r="I25" s="75"/>
      <c r="J25" s="76"/>
      <c r="K25" s="75"/>
      <c r="L25" s="74"/>
      <c r="M25" s="72"/>
    </row>
    <row r="26" spans="1:13" ht="15">
      <c r="A26"/>
      <c r="B26" s="197" t="s">
        <v>69</v>
      </c>
      <c r="C26" s="197"/>
      <c r="D26" s="73"/>
      <c r="E26" s="73"/>
      <c r="F26" s="73"/>
      <c r="G26" s="73"/>
      <c r="H26"/>
      <c r="I26" s="72"/>
      <c r="J26" s="72"/>
      <c r="K26" s="72"/>
      <c r="L26" s="72"/>
      <c r="M26" s="72"/>
    </row>
    <row r="33" spans="1:1" s="11" customFormat="1">
      <c r="A33" s="10"/>
    </row>
  </sheetData>
  <mergeCells count="5">
    <mergeCell ref="I4:I6"/>
    <mergeCell ref="B5:C5"/>
    <mergeCell ref="E5:F5"/>
    <mergeCell ref="K5:M5"/>
    <mergeCell ref="B26:C26"/>
  </mergeCells>
  <pageMargins left="1.01" right="0.7" top="0.75" bottom="0.75" header="0.3" footer="0.3"/>
  <pageSetup scale="54" orientation="landscape" r:id="rId1"/>
  <headerFooter>
    <oddFooter>&amp;L&amp;A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1"/>
  <sheetViews>
    <sheetView workbookViewId="0">
      <selection activeCell="D11" sqref="D11"/>
    </sheetView>
  </sheetViews>
  <sheetFormatPr defaultRowHeight="12.75"/>
  <cols>
    <col min="1" max="1" width="24.140625" style="101" customWidth="1"/>
    <col min="2" max="2" width="13.7109375" style="101" customWidth="1"/>
    <col min="3" max="3" width="16" style="101" bestFit="1" customWidth="1"/>
    <col min="4" max="4" width="14.85546875" style="101" customWidth="1"/>
    <col min="5" max="5" width="12.85546875" style="101" bestFit="1" customWidth="1"/>
    <col min="6" max="16384" width="9.140625" style="101"/>
  </cols>
  <sheetData>
    <row r="1" spans="1:7">
      <c r="A1" s="102"/>
      <c r="B1" s="103" t="s">
        <v>79</v>
      </c>
      <c r="C1" s="102"/>
      <c r="D1" s="102"/>
      <c r="E1" s="102"/>
      <c r="F1" s="102"/>
      <c r="G1" s="102"/>
    </row>
    <row r="2" spans="1:7">
      <c r="A2" s="103"/>
      <c r="B2" s="103" t="s">
        <v>115</v>
      </c>
      <c r="C2" s="103"/>
      <c r="D2" s="103"/>
      <c r="E2" s="103"/>
      <c r="F2" s="103"/>
      <c r="G2" s="103"/>
    </row>
    <row r="3" spans="1:7">
      <c r="A3" s="103"/>
      <c r="B3" s="104" t="s">
        <v>80</v>
      </c>
      <c r="C3" s="103"/>
      <c r="D3" s="103"/>
      <c r="E3" s="103"/>
      <c r="F3" s="103"/>
      <c r="G3" s="103"/>
    </row>
    <row r="4" spans="1:7">
      <c r="A4" s="103"/>
      <c r="B4" s="103" t="s">
        <v>92</v>
      </c>
      <c r="C4" s="103"/>
      <c r="D4" s="103"/>
      <c r="E4" s="103"/>
      <c r="F4" s="103"/>
      <c r="G4" s="103"/>
    </row>
    <row r="5" spans="1:7">
      <c r="A5" s="103"/>
      <c r="B5" s="103"/>
      <c r="C5" s="103"/>
      <c r="D5" s="103"/>
      <c r="E5" s="103"/>
      <c r="F5" s="103"/>
      <c r="G5" s="103"/>
    </row>
    <row r="6" spans="1:7">
      <c r="A6" s="103"/>
      <c r="B6" s="103"/>
      <c r="C6" s="103"/>
      <c r="D6" s="103"/>
      <c r="E6" s="103"/>
      <c r="F6" s="103"/>
      <c r="G6" s="103"/>
    </row>
    <row r="7" spans="1:7">
      <c r="A7" s="103"/>
      <c r="B7" s="103"/>
      <c r="C7" s="103"/>
      <c r="D7" s="103"/>
      <c r="E7" s="103"/>
      <c r="F7" s="103"/>
      <c r="G7" s="103"/>
    </row>
    <row r="8" spans="1:7">
      <c r="A8" s="103"/>
      <c r="B8" s="102"/>
      <c r="C8" s="105" t="s">
        <v>81</v>
      </c>
      <c r="D8" s="106"/>
      <c r="E8" s="103"/>
      <c r="F8" s="103"/>
      <c r="G8" s="103"/>
    </row>
    <row r="9" spans="1:7">
      <c r="A9" s="103"/>
      <c r="B9" s="103"/>
      <c r="C9" s="103" t="s">
        <v>82</v>
      </c>
      <c r="D9" s="103" t="s">
        <v>82</v>
      </c>
      <c r="E9" s="103"/>
      <c r="F9" s="103"/>
      <c r="G9" s="103"/>
    </row>
    <row r="10" spans="1:7">
      <c r="A10" s="107" t="s">
        <v>83</v>
      </c>
      <c r="B10" s="108" t="s">
        <v>84</v>
      </c>
      <c r="C10" s="109">
        <v>44105</v>
      </c>
      <c r="D10" s="109">
        <v>44105</v>
      </c>
      <c r="E10" s="110"/>
      <c r="F10" s="110"/>
      <c r="G10" s="110"/>
    </row>
    <row r="11" spans="1:7">
      <c r="A11" s="107"/>
      <c r="B11" s="111" t="s">
        <v>85</v>
      </c>
      <c r="C11" s="111" t="s">
        <v>86</v>
      </c>
      <c r="D11" s="111" t="s">
        <v>87</v>
      </c>
      <c r="E11" s="110"/>
      <c r="F11" s="110"/>
      <c r="G11" s="110"/>
    </row>
    <row r="12" spans="1:7">
      <c r="A12" s="102"/>
      <c r="B12" s="102"/>
      <c r="C12" s="102"/>
      <c r="D12" s="103" t="s">
        <v>88</v>
      </c>
      <c r="E12" s="102"/>
      <c r="F12" s="102"/>
      <c r="G12" s="102"/>
    </row>
    <row r="13" spans="1:7">
      <c r="A13" s="102"/>
      <c r="B13" s="102"/>
      <c r="C13" s="102"/>
      <c r="D13" s="103"/>
      <c r="E13" s="102"/>
      <c r="F13" s="102"/>
      <c r="G13" s="102"/>
    </row>
    <row r="14" spans="1:7">
      <c r="A14" s="162" t="s">
        <v>101</v>
      </c>
      <c r="B14" s="169">
        <v>114578243</v>
      </c>
      <c r="C14" s="132">
        <v>-0.41399999999999998</v>
      </c>
      <c r="D14" s="112">
        <f>(B14*C14)/100</f>
        <v>-474353.92601999996</v>
      </c>
      <c r="F14" s="102"/>
      <c r="G14" s="113"/>
    </row>
    <row r="15" spans="1:7">
      <c r="A15" s="103">
        <v>12</v>
      </c>
      <c r="B15" s="169">
        <v>2152958</v>
      </c>
      <c r="C15" s="132">
        <f>C14</f>
        <v>-0.41399999999999998</v>
      </c>
      <c r="D15" s="112">
        <f>(B15*C15)/100</f>
        <v>-8913.2461199999998</v>
      </c>
      <c r="E15" s="113"/>
      <c r="F15" s="102"/>
      <c r="G15" s="102"/>
    </row>
    <row r="16" spans="1:7">
      <c r="A16" s="103">
        <v>22</v>
      </c>
      <c r="B16" s="169">
        <v>1247914</v>
      </c>
      <c r="C16" s="132">
        <f>C14</f>
        <v>-0.41399999999999998</v>
      </c>
      <c r="D16" s="112">
        <f>(B16*C16)/100</f>
        <v>-5166.3639599999997</v>
      </c>
      <c r="E16" s="113"/>
      <c r="F16" s="102"/>
      <c r="G16" s="102"/>
    </row>
    <row r="17" spans="1:10">
      <c r="A17" s="103">
        <v>32</v>
      </c>
      <c r="B17" s="169">
        <v>804209</v>
      </c>
      <c r="C17" s="132">
        <f>C14</f>
        <v>-0.41399999999999998</v>
      </c>
      <c r="D17" s="112">
        <f>(B17*C17)/100</f>
        <v>-3329.4252599999995</v>
      </c>
      <c r="E17" s="113"/>
      <c r="F17" s="102"/>
      <c r="G17" s="102"/>
      <c r="H17" s="102"/>
      <c r="I17" s="102"/>
      <c r="J17" s="102"/>
    </row>
    <row r="18" spans="1:10">
      <c r="A18" s="103">
        <v>48</v>
      </c>
      <c r="B18" s="170">
        <v>0</v>
      </c>
      <c r="C18" s="132">
        <f>C14</f>
        <v>-0.41399999999999998</v>
      </c>
      <c r="D18" s="114">
        <f>(B18*C18)/100</f>
        <v>0</v>
      </c>
      <c r="E18" s="113"/>
      <c r="F18" s="102"/>
      <c r="G18" s="102"/>
      <c r="H18" s="102"/>
      <c r="I18" s="102"/>
      <c r="J18" s="102"/>
    </row>
    <row r="19" spans="1:10">
      <c r="A19" s="102"/>
      <c r="B19" s="115"/>
      <c r="C19" s="116"/>
      <c r="D19" s="117"/>
      <c r="E19" s="102"/>
      <c r="F19" s="118"/>
      <c r="G19" s="102"/>
      <c r="H19" s="102"/>
      <c r="I19" s="102"/>
      <c r="J19" s="102"/>
    </row>
    <row r="20" spans="1:10">
      <c r="A20" s="119" t="s">
        <v>89</v>
      </c>
      <c r="B20" s="115">
        <f>SUM(B14:B19)</f>
        <v>118783324</v>
      </c>
      <c r="C20" s="113"/>
      <c r="D20" s="117">
        <f>SUM(D14:D19)</f>
        <v>-491762.96135999996</v>
      </c>
      <c r="E20" s="102"/>
      <c r="F20" s="102"/>
      <c r="G20" s="102"/>
      <c r="H20" s="102"/>
      <c r="I20" s="102"/>
      <c r="J20" s="117"/>
    </row>
    <row r="21" spans="1:10">
      <c r="A21" s="102"/>
      <c r="B21" s="115"/>
      <c r="C21" s="120" t="s">
        <v>56</v>
      </c>
      <c r="D21" s="143">
        <f>'Proposed ResEx Rate'!G13</f>
        <v>0.95563100000000001</v>
      </c>
      <c r="E21" s="102"/>
      <c r="F21" s="102"/>
      <c r="G21" s="102"/>
      <c r="H21" s="102"/>
      <c r="I21" s="102"/>
      <c r="J21" s="102"/>
    </row>
    <row r="22" spans="1:10">
      <c r="A22" s="121"/>
      <c r="B22" s="122"/>
      <c r="C22" s="123" t="s">
        <v>20</v>
      </c>
      <c r="D22" s="117">
        <f>D20*D21</f>
        <v>-469943.9305274181</v>
      </c>
      <c r="E22" s="102"/>
      <c r="F22" s="102"/>
      <c r="G22" s="102"/>
      <c r="H22" s="102"/>
      <c r="I22" s="102"/>
      <c r="J22" s="102"/>
    </row>
    <row r="23" spans="1:10">
      <c r="A23" s="124"/>
      <c r="B23" s="125"/>
      <c r="C23" s="102"/>
      <c r="D23" s="126"/>
      <c r="E23" s="102"/>
      <c r="F23" s="102"/>
      <c r="G23" s="102"/>
      <c r="H23" s="102"/>
      <c r="I23" s="102"/>
      <c r="J23" s="102"/>
    </row>
    <row r="24" spans="1:10">
      <c r="A24" s="124"/>
      <c r="B24" s="127"/>
      <c r="C24" s="128"/>
      <c r="D24" s="128"/>
      <c r="E24" s="102"/>
      <c r="F24" s="102"/>
      <c r="G24" s="102"/>
      <c r="H24" s="102"/>
      <c r="I24" s="102"/>
      <c r="J24" s="102"/>
    </row>
    <row r="25" spans="1:10">
      <c r="A25" s="129"/>
      <c r="B25" s="125"/>
      <c r="C25" s="128"/>
      <c r="D25" s="128"/>
      <c r="E25" s="102"/>
      <c r="F25" s="102"/>
      <c r="G25" s="102"/>
      <c r="H25" s="102"/>
      <c r="I25" s="102"/>
      <c r="J25" s="102"/>
    </row>
    <row r="26" spans="1:10">
      <c r="A26" s="130"/>
      <c r="B26" s="128"/>
      <c r="C26" s="102"/>
      <c r="D26" s="102"/>
      <c r="E26" s="102"/>
      <c r="F26" s="102"/>
      <c r="G26" s="102"/>
      <c r="H26" s="102"/>
      <c r="I26" s="102"/>
      <c r="J26" s="102"/>
    </row>
    <row r="27" spans="1:10">
      <c r="A27" s="102"/>
      <c r="B27" s="128"/>
      <c r="C27" s="102"/>
      <c r="D27" s="102"/>
      <c r="E27" s="102"/>
      <c r="F27" s="102"/>
      <c r="G27" s="102"/>
      <c r="H27" s="102"/>
      <c r="I27" s="102"/>
      <c r="J27" s="102"/>
    </row>
    <row r="28" spans="1:10">
      <c r="A28" s="102"/>
      <c r="B28" s="102"/>
      <c r="C28" s="102"/>
      <c r="D28" s="102"/>
      <c r="E28" s="102"/>
      <c r="F28" s="102"/>
      <c r="G28" s="102"/>
      <c r="H28" s="102"/>
      <c r="I28" s="102"/>
      <c r="J28" s="102"/>
    </row>
    <row r="29" spans="1:10">
      <c r="A29" s="131"/>
      <c r="B29" s="102"/>
      <c r="C29" s="102"/>
      <c r="D29" s="102"/>
      <c r="E29" s="102"/>
      <c r="F29" s="102"/>
      <c r="G29" s="102"/>
      <c r="H29" s="102"/>
      <c r="I29" s="102"/>
      <c r="J29" s="102"/>
    </row>
    <row r="30" spans="1:10">
      <c r="A30" s="102"/>
      <c r="B30" s="102"/>
      <c r="C30" s="102"/>
      <c r="D30" s="102"/>
      <c r="E30" s="102"/>
      <c r="F30" s="102"/>
      <c r="G30" s="102"/>
      <c r="H30" s="102"/>
      <c r="I30" s="102"/>
      <c r="J30" s="102"/>
    </row>
    <row r="31" spans="1:10">
      <c r="A31" s="102"/>
      <c r="B31" s="102"/>
      <c r="C31" s="102"/>
      <c r="D31" s="102"/>
      <c r="E31" s="102"/>
      <c r="F31" s="102"/>
      <c r="G31" s="102"/>
      <c r="H31" s="102"/>
      <c r="I31" s="102"/>
      <c r="J31" s="10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AFCE58E9360D94BA84C8B68515AA122" ma:contentTypeVersion="36" ma:contentTypeDescription="" ma:contentTypeScope="" ma:versionID="78d6cc8706e3ab61d4097fd3bde6c90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2021-08-31T07:00:00+00:00</OpenedDate>
    <SignificantOrder xmlns="dc463f71-b30c-4ab2-9473-d307f9d35888">false</SignificantOrder>
    <Date1 xmlns="dc463f71-b30c-4ab2-9473-d307f9d35888">2021-08-31T07:00:00+00:00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210669</DocketNumber>
    <DelegatedOrder xmlns="dc463f71-b30c-4ab2-9473-d307f9d35888">false</DelegatedOrder>
  </documentManagement>
</p:properties>
</file>

<file path=customXml/itemProps1.xml><?xml version="1.0" encoding="utf-8"?>
<ds:datastoreItem xmlns:ds="http://schemas.openxmlformats.org/officeDocument/2006/customXml" ds:itemID="{7EF119A0-D9E2-46C0-8827-C9157E064734}"/>
</file>

<file path=customXml/itemProps2.xml><?xml version="1.0" encoding="utf-8"?>
<ds:datastoreItem xmlns:ds="http://schemas.openxmlformats.org/officeDocument/2006/customXml" ds:itemID="{2EBBCB5A-D126-485F-BF68-E0C83950139E}"/>
</file>

<file path=customXml/itemProps3.xml><?xml version="1.0" encoding="utf-8"?>
<ds:datastoreItem xmlns:ds="http://schemas.openxmlformats.org/officeDocument/2006/customXml" ds:itemID="{6A1ACCB5-F5BF-4DE0-8DF6-98F80583204E}"/>
</file>

<file path=customXml/itemProps4.xml><?xml version="1.0" encoding="utf-8"?>
<ds:datastoreItem xmlns:ds="http://schemas.openxmlformats.org/officeDocument/2006/customXml" ds:itemID="{27AC92B1-2114-4F5B-98B0-1EE8C202E1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Proposed ResEx Rate</vt:lpstr>
      <vt:lpstr>Table</vt:lpstr>
      <vt:lpstr>Washington ResX Balances</vt:lpstr>
      <vt:lpstr>Projected Benefits</vt:lpstr>
      <vt:lpstr>Projected kWhs</vt:lpstr>
      <vt:lpstr>Load Calculation</vt:lpstr>
      <vt:lpstr>July Unbilled</vt:lpstr>
      <vt:lpstr>'Projected Benefits'!Print_Area</vt:lpstr>
    </vt:vector>
  </TitlesOfParts>
  <Company>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McKenzie</dc:creator>
  <cp:lastModifiedBy>Miller, Joe</cp:lastModifiedBy>
  <cp:lastPrinted>2021-08-30T22:01:12Z</cp:lastPrinted>
  <dcterms:created xsi:type="dcterms:W3CDTF">2010-06-18T20:31:54Z</dcterms:created>
  <dcterms:modified xsi:type="dcterms:W3CDTF">2021-08-31T13:33:20Z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0x0101006E56B4D1795A2E4DB2F0B01679ED314A002AFCE58E9360D94BA84C8B68515AA122</vt:lpwstr>
  </property>
  <property fmtid="{D5CDD505-2E9C-101B-9397-08002B2CF9AE}" pid="3" name="_docset_NoMedatataSyncRequired">
    <vt:lpwstr>False</vt:lpwstr>
  </property>
  <property fmtid="{D5CDD505-2E9C-101B-9397-08002B2CF9AE}" pid="4" name="IsEFSEC">
    <vt:bool>false</vt:bool>
  </property>
</Properties>
</file>