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WM Spokane\Commodity Credit\2021\"/>
    </mc:Choice>
  </mc:AlternateContent>
  <xr:revisionPtr revIDLastSave="0" documentId="13_ncr:1_{E020C2D7-4DC8-415A-8B16-1AD1CF568A65}" xr6:coauthVersionLast="45" xr6:coauthVersionMax="45" xr10:uidLastSave="{00000000-0000-0000-0000-000000000000}"/>
  <bookViews>
    <workbookView xWindow="34485" yWindow="1890" windowWidth="19185" windowHeight="10185" xr2:uid="{00000000-000D-0000-FFFF-FFFF00000000}"/>
  </bookViews>
  <sheets>
    <sheet name="Rebate Calculation" sheetId="35" r:id="rId1"/>
    <sheet name="24 Month Rev &amp; Ton summary" sheetId="42" r:id="rId2"/>
    <sheet name="Tons &amp; Revenue" sheetId="33" r:id="rId3"/>
    <sheet name="Composition" sheetId="36" r:id="rId4"/>
    <sheet name="Prices" sheetId="37" r:id="rId5"/>
    <sheet name="Res'l &amp; MF Customers" sheetId="40" r:id="rId6"/>
    <sheet name="2020-2022 Budget" sheetId="45" r:id="rId7"/>
    <sheet name="Revised Budget" sheetId="46" r:id="rId8"/>
  </sheets>
  <definedNames>
    <definedName name="_xlnm.Print_Area" localSheetId="3">Composition!$A$1:$AA$20</definedName>
    <definedName name="_xlnm.Print_Area" localSheetId="4">Prices!#REF!</definedName>
    <definedName name="_xlnm.Print_Area" localSheetId="0">'Rebate Calculation'!$A$251:$G$311</definedName>
    <definedName name="_xlnm.Print_Area" localSheetId="5">'Res''l &amp; MF Customers'!$A$1:$P$26</definedName>
    <definedName name="_xlnm.Print_Area" localSheetId="2">'Tons &amp; Revenue'!$A$1:$M$141</definedName>
    <definedName name="_xlnm.Print_Titles" localSheetId="2">'Tons &amp; Revenue'!$1:$3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46" l="1"/>
  <c r="D29" i="46"/>
  <c r="D42" i="46"/>
  <c r="D40" i="46"/>
  <c r="D44" i="46" s="1"/>
  <c r="D33" i="46"/>
  <c r="D25" i="46"/>
  <c r="D27" i="46" s="1"/>
  <c r="D12" i="46"/>
  <c r="D15" i="46" s="1"/>
  <c r="D16" i="46" l="1"/>
  <c r="D35" i="46"/>
  <c r="N12" i="40"/>
  <c r="D17" i="46" l="1"/>
  <c r="J10" i="33"/>
  <c r="J11" i="33"/>
  <c r="J12" i="33"/>
  <c r="J13" i="33"/>
  <c r="J14" i="33"/>
  <c r="J15" i="33"/>
  <c r="J16" i="33"/>
  <c r="J17" i="33"/>
  <c r="J18" i="33"/>
  <c r="J19" i="33"/>
  <c r="J9" i="33"/>
  <c r="X37" i="36"/>
  <c r="D31" i="46" l="1"/>
  <c r="F8" i="42"/>
  <c r="E43" i="35"/>
  <c r="C43" i="35"/>
  <c r="C42" i="35"/>
  <c r="E42" i="35"/>
  <c r="N29" i="40"/>
  <c r="N30" i="40"/>
  <c r="N31" i="40"/>
  <c r="N32" i="40"/>
  <c r="N28" i="40"/>
  <c r="C16" i="37"/>
  <c r="G16" i="37"/>
  <c r="K16" i="37"/>
  <c r="X26" i="36"/>
  <c r="X34" i="36"/>
  <c r="C10" i="35"/>
  <c r="C9" i="35"/>
  <c r="E10" i="35"/>
  <c r="C70" i="33" l="1"/>
  <c r="D70" i="33"/>
  <c r="E70" i="33"/>
  <c r="F70" i="33"/>
  <c r="G70" i="33"/>
  <c r="H70" i="33"/>
  <c r="I70" i="33"/>
  <c r="J70" i="33"/>
  <c r="K70" i="33"/>
  <c r="L70" i="33"/>
  <c r="L38" i="33"/>
  <c r="K38" i="33"/>
  <c r="J38" i="33"/>
  <c r="I38" i="33"/>
  <c r="H38" i="33"/>
  <c r="G38" i="33"/>
  <c r="F38" i="33"/>
  <c r="E38" i="33"/>
  <c r="D38" i="33"/>
  <c r="C38" i="33"/>
  <c r="M38" i="33"/>
  <c r="F19" i="33"/>
  <c r="V37" i="36"/>
  <c r="M12" i="40" l="1"/>
  <c r="C69" i="33" l="1"/>
  <c r="D69" i="33"/>
  <c r="E69" i="33"/>
  <c r="F69" i="33"/>
  <c r="G69" i="33"/>
  <c r="H69" i="33"/>
  <c r="I69" i="33"/>
  <c r="J69" i="33"/>
  <c r="K69" i="33"/>
  <c r="L69" i="33"/>
  <c r="L37" i="33" l="1"/>
  <c r="K37" i="33"/>
  <c r="J37" i="33"/>
  <c r="I37" i="33"/>
  <c r="H37" i="33"/>
  <c r="G37" i="33"/>
  <c r="F37" i="33"/>
  <c r="E37" i="33"/>
  <c r="D37" i="33"/>
  <c r="C37" i="33"/>
  <c r="M37" i="33"/>
  <c r="F18" i="33"/>
  <c r="L12" i="40"/>
  <c r="T37" i="36"/>
  <c r="C68" i="33" l="1"/>
  <c r="D68" i="33"/>
  <c r="E68" i="33"/>
  <c r="F68" i="33"/>
  <c r="G68" i="33"/>
  <c r="H68" i="33"/>
  <c r="I68" i="33"/>
  <c r="J68" i="33"/>
  <c r="K68" i="33"/>
  <c r="L68" i="33"/>
  <c r="M68" i="33"/>
  <c r="L36" i="33"/>
  <c r="K36" i="33"/>
  <c r="J36" i="33"/>
  <c r="I36" i="33"/>
  <c r="H36" i="33"/>
  <c r="G36" i="33"/>
  <c r="F36" i="33"/>
  <c r="E36" i="33"/>
  <c r="M36" i="33" s="1"/>
  <c r="D36" i="33"/>
  <c r="C36" i="33"/>
  <c r="F17" i="33"/>
  <c r="F16" i="33"/>
  <c r="K12" i="40"/>
  <c r="C44" i="35"/>
  <c r="F62" i="35" s="1"/>
  <c r="F43" i="35"/>
  <c r="F42" i="35"/>
  <c r="C11" i="35"/>
  <c r="F31" i="35" s="1"/>
  <c r="F10" i="35"/>
  <c r="E9" i="35"/>
  <c r="F9" i="35" s="1"/>
  <c r="F44" i="35" l="1"/>
  <c r="F11" i="35"/>
  <c r="F52" i="35"/>
  <c r="F21" i="35"/>
  <c r="R37" i="36"/>
  <c r="L35" i="33" l="1"/>
  <c r="K35" i="33"/>
  <c r="J35" i="33"/>
  <c r="I35" i="33"/>
  <c r="H35" i="33"/>
  <c r="G35" i="33"/>
  <c r="F35" i="33"/>
  <c r="E35" i="33"/>
  <c r="D35" i="33"/>
  <c r="C35" i="33"/>
  <c r="M35" i="33"/>
  <c r="J12" i="40" l="1"/>
  <c r="P37" i="36"/>
  <c r="D12" i="42" l="1"/>
  <c r="D10" i="42"/>
  <c r="C12" i="42"/>
  <c r="C10" i="42"/>
  <c r="C8" i="42"/>
  <c r="D8" i="42" s="1"/>
  <c r="D14" i="42" l="1"/>
  <c r="G8" i="42"/>
  <c r="C21" i="40" l="1"/>
  <c r="D21" i="40"/>
  <c r="E21" i="40"/>
  <c r="F21" i="40"/>
  <c r="G21" i="40"/>
  <c r="H21" i="40"/>
  <c r="I21" i="40"/>
  <c r="J21" i="40"/>
  <c r="K21" i="40"/>
  <c r="L21" i="40"/>
  <c r="M21" i="40"/>
  <c r="N21" i="40"/>
  <c r="I12" i="40" l="1"/>
  <c r="H12" i="40"/>
  <c r="G12" i="40"/>
  <c r="F12" i="40"/>
  <c r="E12" i="40"/>
  <c r="D12" i="40"/>
  <c r="C12" i="40"/>
  <c r="N37" i="36"/>
  <c r="L37" i="36" l="1"/>
  <c r="J37" i="36" l="1"/>
  <c r="H37" i="36" l="1"/>
  <c r="F37" i="36" l="1"/>
  <c r="D37" i="36" l="1"/>
  <c r="B37" i="36" l="1"/>
  <c r="B46" i="45" l="1"/>
  <c r="D45" i="45"/>
  <c r="D44" i="45"/>
  <c r="D43" i="45"/>
  <c r="D42" i="45"/>
  <c r="D26" i="45"/>
  <c r="D46" i="45" l="1"/>
  <c r="D19" i="45" s="1"/>
  <c r="D28" i="45" s="1"/>
  <c r="D30" i="45" s="1"/>
  <c r="D32" i="45" s="1"/>
  <c r="C14" i="42"/>
  <c r="D16" i="45" l="1"/>
  <c r="F177" i="35" l="1"/>
  <c r="F148" i="35"/>
  <c r="E109" i="35" l="1"/>
  <c r="E76" i="35" l="1"/>
  <c r="D17" i="33" l="1"/>
  <c r="D16" i="33"/>
  <c r="D15" i="33" l="1"/>
  <c r="D14" i="33" l="1"/>
  <c r="H25" i="40" l="1"/>
  <c r="I25" i="40"/>
  <c r="J25" i="40"/>
  <c r="K25" i="40"/>
  <c r="L25" i="40"/>
  <c r="M25" i="40"/>
  <c r="N25" i="40"/>
  <c r="D25" i="40"/>
  <c r="E25" i="40"/>
  <c r="F25" i="40"/>
  <c r="G25" i="40"/>
  <c r="D13" i="33" l="1"/>
  <c r="D12" i="33" l="1"/>
  <c r="C43" i="33" l="1"/>
  <c r="D43" i="33"/>
  <c r="E43" i="33"/>
  <c r="F43" i="33"/>
  <c r="G43" i="33"/>
  <c r="H43" i="33"/>
  <c r="I43" i="33"/>
  <c r="J43" i="33"/>
  <c r="K43" i="33"/>
  <c r="L43" i="33"/>
  <c r="C44" i="33"/>
  <c r="D44" i="33"/>
  <c r="E44" i="33"/>
  <c r="F44" i="33"/>
  <c r="G44" i="33"/>
  <c r="H44" i="33"/>
  <c r="I44" i="33"/>
  <c r="J44" i="33"/>
  <c r="K44" i="33"/>
  <c r="L44" i="33"/>
  <c r="C45" i="33"/>
  <c r="D45" i="33"/>
  <c r="E45" i="33"/>
  <c r="F45" i="33"/>
  <c r="G45" i="33"/>
  <c r="H45" i="33"/>
  <c r="I45" i="33"/>
  <c r="J45" i="33"/>
  <c r="K45" i="33"/>
  <c r="L45" i="33"/>
  <c r="C46" i="33"/>
  <c r="D46" i="33"/>
  <c r="E46" i="33"/>
  <c r="F46" i="33"/>
  <c r="G46" i="33"/>
  <c r="H46" i="33"/>
  <c r="I46" i="33"/>
  <c r="J46" i="33"/>
  <c r="K46" i="33"/>
  <c r="L46" i="33"/>
  <c r="C47" i="33"/>
  <c r="D47" i="33"/>
  <c r="E47" i="33"/>
  <c r="F47" i="33"/>
  <c r="G47" i="33"/>
  <c r="H47" i="33"/>
  <c r="I47" i="33"/>
  <c r="J47" i="33"/>
  <c r="K47" i="33"/>
  <c r="L47" i="33"/>
  <c r="C48" i="33"/>
  <c r="D48" i="33"/>
  <c r="E48" i="33"/>
  <c r="F48" i="33"/>
  <c r="G48" i="33"/>
  <c r="H48" i="33"/>
  <c r="I48" i="33"/>
  <c r="J48" i="33"/>
  <c r="K48" i="33"/>
  <c r="L48" i="33"/>
  <c r="C49" i="33"/>
  <c r="D49" i="33"/>
  <c r="E49" i="33"/>
  <c r="F49" i="33"/>
  <c r="G49" i="33"/>
  <c r="H49" i="33"/>
  <c r="I49" i="33"/>
  <c r="J49" i="33"/>
  <c r="K49" i="33"/>
  <c r="L49" i="33"/>
  <c r="C50" i="33"/>
  <c r="D50" i="33"/>
  <c r="E50" i="33"/>
  <c r="F50" i="33"/>
  <c r="G50" i="33"/>
  <c r="H50" i="33"/>
  <c r="I50" i="33"/>
  <c r="J50" i="33"/>
  <c r="K50" i="33"/>
  <c r="L50" i="33"/>
  <c r="C51" i="33"/>
  <c r="D51" i="33"/>
  <c r="E51" i="33"/>
  <c r="F51" i="33"/>
  <c r="G51" i="33"/>
  <c r="H51" i="33"/>
  <c r="I51" i="33"/>
  <c r="J51" i="33"/>
  <c r="K51" i="33"/>
  <c r="L51" i="33"/>
  <c r="C52" i="33"/>
  <c r="D52" i="33"/>
  <c r="E52" i="33"/>
  <c r="F52" i="33"/>
  <c r="G52" i="33"/>
  <c r="H52" i="33"/>
  <c r="I52" i="33"/>
  <c r="J52" i="33"/>
  <c r="K52" i="33"/>
  <c r="L52" i="33"/>
  <c r="C53" i="33"/>
  <c r="D53" i="33"/>
  <c r="E53" i="33"/>
  <c r="F53" i="33"/>
  <c r="G53" i="33"/>
  <c r="H53" i="33"/>
  <c r="I53" i="33"/>
  <c r="J53" i="33"/>
  <c r="K53" i="33"/>
  <c r="L53" i="33"/>
  <c r="I20" i="33"/>
  <c r="I19" i="33"/>
  <c r="I18" i="33"/>
  <c r="I17" i="33"/>
  <c r="I16" i="33"/>
  <c r="I15" i="33"/>
  <c r="I14" i="33"/>
  <c r="I13" i="33"/>
  <c r="I12" i="33"/>
  <c r="D20" i="33"/>
  <c r="D19" i="33"/>
  <c r="D18" i="33"/>
  <c r="P12" i="40" l="1"/>
  <c r="G10" i="40" l="1"/>
  <c r="G14" i="40" s="1"/>
  <c r="G16" i="40" s="1"/>
  <c r="G18" i="40" s="1"/>
  <c r="F13" i="33" s="1"/>
  <c r="H10" i="40"/>
  <c r="H14" i="40" s="1"/>
  <c r="H16" i="40" s="1"/>
  <c r="H18" i="40" s="1"/>
  <c r="F14" i="33" s="1"/>
  <c r="I10" i="40"/>
  <c r="I14" i="40" s="1"/>
  <c r="I16" i="40" s="1"/>
  <c r="I18" i="40" s="1"/>
  <c r="F15" i="33" s="1"/>
  <c r="J10" i="40"/>
  <c r="J14" i="40" s="1"/>
  <c r="J16" i="40" s="1"/>
  <c r="J18" i="40" s="1"/>
  <c r="K10" i="40"/>
  <c r="K14" i="40" s="1"/>
  <c r="K16" i="40" s="1"/>
  <c r="K18" i="40" s="1"/>
  <c r="L10" i="40"/>
  <c r="L14" i="40" s="1"/>
  <c r="L16" i="40" s="1"/>
  <c r="L18" i="40" s="1"/>
  <c r="M10" i="40"/>
  <c r="M14" i="40" s="1"/>
  <c r="M16" i="40" s="1"/>
  <c r="M18" i="40" s="1"/>
  <c r="N10" i="40"/>
  <c r="N14" i="40" s="1"/>
  <c r="N16" i="40" s="1"/>
  <c r="N18" i="40" s="1"/>
  <c r="F20" i="33" s="1"/>
  <c r="Z37" i="36"/>
  <c r="X35" i="36"/>
  <c r="Y33" i="36" s="1"/>
  <c r="K39" i="33" s="1"/>
  <c r="V35" i="36"/>
  <c r="W34" i="36" s="1"/>
  <c r="T35" i="36"/>
  <c r="U33" i="36" s="1"/>
  <c r="R35" i="36"/>
  <c r="S34" i="36" s="1"/>
  <c r="P35" i="36"/>
  <c r="P39" i="36" s="1"/>
  <c r="C16" i="33" s="1"/>
  <c r="E16" i="33" s="1"/>
  <c r="N35" i="36"/>
  <c r="O34" i="36" s="1"/>
  <c r="L34" i="33" s="1"/>
  <c r="Z26" i="36"/>
  <c r="Z27" i="36"/>
  <c r="Z28" i="36"/>
  <c r="Z29" i="36"/>
  <c r="Z30" i="36"/>
  <c r="Z31" i="36"/>
  <c r="Z32" i="36"/>
  <c r="Z33" i="36"/>
  <c r="Z34" i="36"/>
  <c r="Z25" i="36"/>
  <c r="F76" i="35"/>
  <c r="Y34" i="36" l="1"/>
  <c r="L39" i="33" s="1"/>
  <c r="X39" i="36"/>
  <c r="C20" i="33" s="1"/>
  <c r="E20" i="33" s="1"/>
  <c r="G20" i="33" s="1"/>
  <c r="H20" i="33" s="1"/>
  <c r="J20" i="33" s="1"/>
  <c r="Y26" i="36"/>
  <c r="D39" i="33" s="1"/>
  <c r="Y27" i="36"/>
  <c r="E39" i="33" s="1"/>
  <c r="Y30" i="36"/>
  <c r="G39" i="33" s="1"/>
  <c r="Y31" i="36"/>
  <c r="I39" i="33" s="1"/>
  <c r="Y28" i="36"/>
  <c r="F39" i="33" s="1"/>
  <c r="Y32" i="36"/>
  <c r="J39" i="33" s="1"/>
  <c r="Y25" i="36"/>
  <c r="C39" i="33" s="1"/>
  <c r="Y29" i="36"/>
  <c r="H39" i="33" s="1"/>
  <c r="V39" i="36"/>
  <c r="C19" i="33" s="1"/>
  <c r="E19" i="33" s="1"/>
  <c r="G19" i="33" s="1"/>
  <c r="H19" i="33" s="1"/>
  <c r="W27" i="36"/>
  <c r="W31" i="36"/>
  <c r="U27" i="36"/>
  <c r="U30" i="36"/>
  <c r="U31" i="36"/>
  <c r="U26" i="36"/>
  <c r="U34" i="36"/>
  <c r="T39" i="36"/>
  <c r="C18" i="33" s="1"/>
  <c r="E18" i="33" s="1"/>
  <c r="G18" i="33" s="1"/>
  <c r="H18" i="33" s="1"/>
  <c r="U28" i="36"/>
  <c r="U32" i="36"/>
  <c r="U25" i="36"/>
  <c r="U29" i="36"/>
  <c r="S27" i="36"/>
  <c r="R39" i="36"/>
  <c r="C17" i="33" s="1"/>
  <c r="E17" i="33" s="1"/>
  <c r="G17" i="33" s="1"/>
  <c r="H17" i="33" s="1"/>
  <c r="S31" i="36"/>
  <c r="G16" i="33"/>
  <c r="H16" i="33" s="1"/>
  <c r="Q34" i="36"/>
  <c r="Q25" i="36"/>
  <c r="Q26" i="36"/>
  <c r="Q28" i="36"/>
  <c r="Q27" i="36"/>
  <c r="Q29" i="36"/>
  <c r="Q30" i="36"/>
  <c r="Q31" i="36"/>
  <c r="Q32" i="36"/>
  <c r="Q33" i="36"/>
  <c r="O27" i="36"/>
  <c r="E34" i="33" s="1"/>
  <c r="O31" i="36"/>
  <c r="I34" i="33" s="1"/>
  <c r="N39" i="36"/>
  <c r="C15" i="33" s="1"/>
  <c r="E15" i="33" s="1"/>
  <c r="G15" i="33" s="1"/>
  <c r="H15" i="33" s="1"/>
  <c r="O28" i="36"/>
  <c r="F34" i="33" s="1"/>
  <c r="O32" i="36"/>
  <c r="J34" i="33" s="1"/>
  <c r="S28" i="36"/>
  <c r="S32" i="36"/>
  <c r="W28" i="36"/>
  <c r="W32" i="36"/>
  <c r="O25" i="36"/>
  <c r="O29" i="36"/>
  <c r="H34" i="33" s="1"/>
  <c r="O33" i="36"/>
  <c r="K34" i="33" s="1"/>
  <c r="S25" i="36"/>
  <c r="S29" i="36"/>
  <c r="S33" i="36"/>
  <c r="W25" i="36"/>
  <c r="W29" i="36"/>
  <c r="W33" i="36"/>
  <c r="O26" i="36"/>
  <c r="D34" i="33" s="1"/>
  <c r="O30" i="36"/>
  <c r="G34" i="33" s="1"/>
  <c r="S26" i="36"/>
  <c r="S30" i="36"/>
  <c r="W26" i="36"/>
  <c r="W30" i="36"/>
  <c r="C78" i="35"/>
  <c r="F98" i="35" s="1"/>
  <c r="F88" i="35" s="1"/>
  <c r="M39" i="33" l="1"/>
  <c r="J71" i="33"/>
  <c r="G71" i="33"/>
  <c r="G87" i="33" s="1"/>
  <c r="I71" i="33"/>
  <c r="I87" i="33" s="1"/>
  <c r="F71" i="33"/>
  <c r="E71" i="33"/>
  <c r="E87" i="33" s="1"/>
  <c r="C71" i="33"/>
  <c r="L71" i="33"/>
  <c r="L87" i="33" s="1"/>
  <c r="D71" i="33"/>
  <c r="D87" i="33" s="1"/>
  <c r="H71" i="33"/>
  <c r="H87" i="33" s="1"/>
  <c r="K71" i="33"/>
  <c r="K87" i="33" s="1"/>
  <c r="E67" i="33"/>
  <c r="I67" i="33"/>
  <c r="F67" i="33"/>
  <c r="J67" i="33"/>
  <c r="J83" i="33" s="1"/>
  <c r="J118" i="33" s="1"/>
  <c r="K67" i="33"/>
  <c r="H67" i="33"/>
  <c r="C67" i="33"/>
  <c r="G67" i="33"/>
  <c r="G83" i="33" s="1"/>
  <c r="G118" i="33" s="1"/>
  <c r="D67" i="33"/>
  <c r="L67" i="33"/>
  <c r="F83" i="33"/>
  <c r="F118" i="33" s="1"/>
  <c r="D83" i="33"/>
  <c r="D118" i="33" s="1"/>
  <c r="E85" i="33"/>
  <c r="I85" i="33"/>
  <c r="F85" i="33"/>
  <c r="J85" i="33"/>
  <c r="D85" i="33"/>
  <c r="L85" i="33"/>
  <c r="H85" i="33"/>
  <c r="L83" i="33"/>
  <c r="L118" i="33" s="1"/>
  <c r="K83" i="33"/>
  <c r="K118" i="33" s="1"/>
  <c r="G86" i="33"/>
  <c r="K86" i="33"/>
  <c r="I86" i="33"/>
  <c r="E86" i="33"/>
  <c r="F86" i="33"/>
  <c r="Y35" i="36"/>
  <c r="W35" i="36"/>
  <c r="U35" i="36"/>
  <c r="S35" i="36"/>
  <c r="Q35" i="36"/>
  <c r="I83" i="33"/>
  <c r="I118" i="33" s="1"/>
  <c r="E83" i="33"/>
  <c r="E118" i="33" s="1"/>
  <c r="H83" i="33"/>
  <c r="H118" i="33" s="1"/>
  <c r="O35" i="36"/>
  <c r="C34" i="33"/>
  <c r="M34" i="33" s="1"/>
  <c r="F66" i="33"/>
  <c r="J66" i="33"/>
  <c r="E66" i="33"/>
  <c r="G66" i="33"/>
  <c r="K66" i="33"/>
  <c r="I66" i="33"/>
  <c r="D66" i="33"/>
  <c r="H66" i="33"/>
  <c r="L66" i="33"/>
  <c r="M67" i="33" l="1"/>
  <c r="I102" i="33"/>
  <c r="I137" i="33" s="1"/>
  <c r="I121" i="33"/>
  <c r="L86" i="33"/>
  <c r="L121" i="33" s="1"/>
  <c r="K102" i="33"/>
  <c r="K137" i="33" s="1"/>
  <c r="K121" i="33"/>
  <c r="J84" i="33"/>
  <c r="J119" i="33" s="1"/>
  <c r="E84" i="33"/>
  <c r="E119" i="33" s="1"/>
  <c r="G84" i="33"/>
  <c r="G119" i="33" s="1"/>
  <c r="H101" i="33"/>
  <c r="H136" i="33" s="1"/>
  <c r="H120" i="33"/>
  <c r="I101" i="33"/>
  <c r="I136" i="33" s="1"/>
  <c r="I120" i="33"/>
  <c r="E102" i="33"/>
  <c r="E137" i="33" s="1"/>
  <c r="E121" i="33"/>
  <c r="D84" i="33"/>
  <c r="D119" i="33" s="1"/>
  <c r="K84" i="33"/>
  <c r="K119" i="33" s="1"/>
  <c r="L101" i="33"/>
  <c r="L136" i="33" s="1"/>
  <c r="L120" i="33"/>
  <c r="J86" i="33"/>
  <c r="H86" i="33"/>
  <c r="H121" i="33" s="1"/>
  <c r="G102" i="33"/>
  <c r="G137" i="33" s="1"/>
  <c r="G121" i="33"/>
  <c r="F84" i="33"/>
  <c r="F119" i="33" s="1"/>
  <c r="L84" i="33"/>
  <c r="L119" i="33" s="1"/>
  <c r="K85" i="33"/>
  <c r="K120" i="33" s="1"/>
  <c r="D101" i="33"/>
  <c r="D136" i="33" s="1"/>
  <c r="D120" i="33"/>
  <c r="E101" i="33"/>
  <c r="E136" i="33" s="1"/>
  <c r="E120" i="33"/>
  <c r="F101" i="33"/>
  <c r="F136" i="33" s="1"/>
  <c r="F120" i="33"/>
  <c r="C66" i="33"/>
  <c r="C82" i="33" s="1"/>
  <c r="C98" i="33" s="1"/>
  <c r="F102" i="33"/>
  <c r="F137" i="33" s="1"/>
  <c r="F121" i="33"/>
  <c r="D86" i="33"/>
  <c r="D121" i="33" s="1"/>
  <c r="C86" i="33"/>
  <c r="I84" i="33"/>
  <c r="I119" i="33" s="1"/>
  <c r="H84" i="33"/>
  <c r="H119" i="33" s="1"/>
  <c r="G85" i="33"/>
  <c r="G120" i="33" s="1"/>
  <c r="J101" i="33"/>
  <c r="J136" i="33" s="1"/>
  <c r="J120" i="33"/>
  <c r="L103" i="33"/>
  <c r="L138" i="33" s="1"/>
  <c r="L122" i="33"/>
  <c r="G103" i="33"/>
  <c r="G138" i="33" s="1"/>
  <c r="G122" i="33"/>
  <c r="K103" i="33"/>
  <c r="K138" i="33" s="1"/>
  <c r="K122" i="33"/>
  <c r="H103" i="33"/>
  <c r="H138" i="33" s="1"/>
  <c r="H122" i="33"/>
  <c r="E103" i="33"/>
  <c r="E138" i="33" s="1"/>
  <c r="E122" i="33"/>
  <c r="F87" i="33"/>
  <c r="F122" i="33" s="1"/>
  <c r="D103" i="33"/>
  <c r="D138" i="33" s="1"/>
  <c r="D122" i="33"/>
  <c r="I103" i="33"/>
  <c r="I138" i="33" s="1"/>
  <c r="I122" i="33"/>
  <c r="J87" i="33"/>
  <c r="J122" i="33" s="1"/>
  <c r="I99" i="33"/>
  <c r="I134" i="33" s="1"/>
  <c r="H99" i="33"/>
  <c r="H134" i="33" s="1"/>
  <c r="J99" i="33"/>
  <c r="J134" i="33" s="1"/>
  <c r="F99" i="33"/>
  <c r="F134" i="33" s="1"/>
  <c r="K99" i="33"/>
  <c r="K134" i="33" s="1"/>
  <c r="L99" i="33"/>
  <c r="L134" i="33" s="1"/>
  <c r="D99" i="33"/>
  <c r="D134" i="33" s="1"/>
  <c r="E99" i="33"/>
  <c r="E134" i="33" s="1"/>
  <c r="G99" i="33"/>
  <c r="G134" i="33" s="1"/>
  <c r="C83" i="33"/>
  <c r="H82" i="33"/>
  <c r="H117" i="33" s="1"/>
  <c r="K82" i="33"/>
  <c r="K117" i="33" s="1"/>
  <c r="J82" i="33"/>
  <c r="J117" i="33" s="1"/>
  <c r="D82" i="33"/>
  <c r="D117" i="33" s="1"/>
  <c r="G82" i="33"/>
  <c r="G117" i="33" s="1"/>
  <c r="F82" i="33"/>
  <c r="F117" i="33" s="1"/>
  <c r="I82" i="33"/>
  <c r="I117" i="33" s="1"/>
  <c r="M66" i="33"/>
  <c r="L82" i="33"/>
  <c r="L117" i="33" s="1"/>
  <c r="E82" i="33"/>
  <c r="E117" i="33" s="1"/>
  <c r="H100" i="33" l="1"/>
  <c r="H135" i="33" s="1"/>
  <c r="K101" i="33"/>
  <c r="K136" i="33" s="1"/>
  <c r="G101" i="33"/>
  <c r="G136" i="33" s="1"/>
  <c r="I100" i="33"/>
  <c r="I135" i="33" s="1"/>
  <c r="L100" i="33"/>
  <c r="L135" i="33" s="1"/>
  <c r="J100" i="33"/>
  <c r="J135" i="33" s="1"/>
  <c r="F103" i="33"/>
  <c r="F138" i="33" s="1"/>
  <c r="L102" i="33"/>
  <c r="L137" i="33" s="1"/>
  <c r="G100" i="33"/>
  <c r="G135" i="33" s="1"/>
  <c r="K100" i="33"/>
  <c r="K135" i="33" s="1"/>
  <c r="J102" i="33"/>
  <c r="J137" i="33" s="1"/>
  <c r="J121" i="33"/>
  <c r="M69" i="33"/>
  <c r="C85" i="33"/>
  <c r="C101" i="33" s="1"/>
  <c r="C102" i="33"/>
  <c r="C121" i="33"/>
  <c r="M121" i="33" s="1"/>
  <c r="M86" i="33"/>
  <c r="M70" i="33"/>
  <c r="E100" i="33"/>
  <c r="E135" i="33" s="1"/>
  <c r="C84" i="33"/>
  <c r="D102" i="33"/>
  <c r="D137" i="33" s="1"/>
  <c r="F100" i="33"/>
  <c r="F135" i="33" s="1"/>
  <c r="H102" i="33"/>
  <c r="H137" i="33" s="1"/>
  <c r="D100" i="33"/>
  <c r="D135" i="33" s="1"/>
  <c r="J103" i="33"/>
  <c r="J138" i="33" s="1"/>
  <c r="M71" i="33"/>
  <c r="C87" i="33"/>
  <c r="C118" i="33"/>
  <c r="M118" i="33" s="1"/>
  <c r="M83" i="33"/>
  <c r="C99" i="33"/>
  <c r="K98" i="33"/>
  <c r="K133" i="33" s="1"/>
  <c r="H98" i="33"/>
  <c r="H133" i="33" s="1"/>
  <c r="F98" i="33"/>
  <c r="F133" i="33" s="1"/>
  <c r="L98" i="33"/>
  <c r="L133" i="33" s="1"/>
  <c r="D98" i="33"/>
  <c r="D133" i="33" s="1"/>
  <c r="G98" i="33"/>
  <c r="G133" i="33" s="1"/>
  <c r="E98" i="33"/>
  <c r="E133" i="33" s="1"/>
  <c r="M82" i="33"/>
  <c r="C117" i="33"/>
  <c r="M117" i="33" s="1"/>
  <c r="C133" i="33"/>
  <c r="I98" i="33"/>
  <c r="I133" i="33" s="1"/>
  <c r="J98" i="33"/>
  <c r="J133" i="33" s="1"/>
  <c r="F151" i="35"/>
  <c r="C137" i="33" l="1"/>
  <c r="M137" i="33" s="1"/>
  <c r="M102" i="33"/>
  <c r="M101" i="33"/>
  <c r="C136" i="33"/>
  <c r="M136" i="33" s="1"/>
  <c r="C100" i="33"/>
  <c r="M84" i="33"/>
  <c r="C119" i="33"/>
  <c r="M119" i="33" s="1"/>
  <c r="M85" i="33"/>
  <c r="C120" i="33"/>
  <c r="M120" i="33" s="1"/>
  <c r="C103" i="33"/>
  <c r="C122" i="33"/>
  <c r="M122" i="33" s="1"/>
  <c r="M87" i="33"/>
  <c r="M99" i="33"/>
  <c r="C134" i="33"/>
  <c r="M134" i="33" s="1"/>
  <c r="M133" i="33"/>
  <c r="M98" i="33"/>
  <c r="F231" i="35"/>
  <c r="F230" i="35"/>
  <c r="C232" i="35"/>
  <c r="C206" i="35"/>
  <c r="F219" i="35" s="1"/>
  <c r="G220" i="35" s="1"/>
  <c r="F205" i="35"/>
  <c r="F204" i="35"/>
  <c r="C135" i="33" l="1"/>
  <c r="M135" i="33" s="1"/>
  <c r="M100" i="33"/>
  <c r="F126" i="35"/>
  <c r="F127" i="35" s="1"/>
  <c r="C138" i="33"/>
  <c r="M138" i="33" s="1"/>
  <c r="D12" i="45" s="1"/>
  <c r="M103" i="33"/>
  <c r="F232" i="35"/>
  <c r="F236" i="35" s="1"/>
  <c r="F206" i="35"/>
  <c r="F210" i="35" s="1"/>
  <c r="F238" i="35"/>
  <c r="F245" i="35"/>
  <c r="G246" i="35" s="1"/>
  <c r="F212" i="35"/>
  <c r="D15" i="45" l="1"/>
  <c r="D17" i="45" s="1"/>
  <c r="D34" i="45" s="1"/>
  <c r="G240" i="35"/>
  <c r="F95" i="35"/>
  <c r="F96" i="35" s="1"/>
  <c r="G99" i="35"/>
  <c r="G214" i="35"/>
  <c r="G222" i="35" s="1"/>
  <c r="G248" i="35"/>
  <c r="J35" i="36" l="1"/>
  <c r="K31" i="36" l="1"/>
  <c r="I32" i="33" s="1"/>
  <c r="K27" i="36"/>
  <c r="E32" i="33" s="1"/>
  <c r="K28" i="36"/>
  <c r="F32" i="33" s="1"/>
  <c r="K34" i="36"/>
  <c r="L32" i="33" s="1"/>
  <c r="K30" i="36"/>
  <c r="G32" i="33" s="1"/>
  <c r="K26" i="36"/>
  <c r="D32" i="33" s="1"/>
  <c r="K32" i="36"/>
  <c r="J32" i="33" s="1"/>
  <c r="K33" i="36"/>
  <c r="K32" i="33" s="1"/>
  <c r="K29" i="36"/>
  <c r="H32" i="33" s="1"/>
  <c r="K25" i="36"/>
  <c r="C32" i="33" s="1"/>
  <c r="H8" i="42" l="1"/>
  <c r="M32" i="33"/>
  <c r="G42" i="33"/>
  <c r="H42" i="33"/>
  <c r="I42" i="33"/>
  <c r="J42" i="33"/>
  <c r="K42" i="33"/>
  <c r="L42" i="33"/>
  <c r="D42" i="33"/>
  <c r="E42" i="33"/>
  <c r="F42" i="33"/>
  <c r="C42" i="33"/>
  <c r="I11" i="33"/>
  <c r="I10" i="33"/>
  <c r="I9" i="33"/>
  <c r="D11" i="33"/>
  <c r="D10" i="33"/>
  <c r="D9" i="33"/>
  <c r="F274" i="35" l="1"/>
  <c r="Z6" i="36"/>
  <c r="Z7" i="36"/>
  <c r="AC7" i="36" s="1"/>
  <c r="Z8" i="36"/>
  <c r="AC8" i="36" s="1"/>
  <c r="Z9" i="36"/>
  <c r="AC9" i="36" s="1"/>
  <c r="Z10" i="36"/>
  <c r="Z11" i="36"/>
  <c r="AC11" i="36" s="1"/>
  <c r="Z12" i="36"/>
  <c r="AC12" i="36" s="1"/>
  <c r="Z13" i="36"/>
  <c r="AC13" i="36" s="1"/>
  <c r="Z14" i="36"/>
  <c r="Z15" i="36"/>
  <c r="AC15" i="36" s="1"/>
  <c r="B16" i="36"/>
  <c r="C7" i="36" s="1"/>
  <c r="D16" i="36"/>
  <c r="E13" i="36" s="1"/>
  <c r="F16" i="36"/>
  <c r="G9" i="36" s="1"/>
  <c r="H16" i="36"/>
  <c r="I11" i="36" s="1"/>
  <c r="J16" i="36"/>
  <c r="K7" i="36" s="1"/>
  <c r="L16" i="36"/>
  <c r="M8" i="36" s="1"/>
  <c r="L18" i="36"/>
  <c r="F20" i="36"/>
  <c r="G18" i="36" s="1"/>
  <c r="B20" i="36" l="1"/>
  <c r="C18" i="36" s="1"/>
  <c r="C12" i="36"/>
  <c r="J20" i="36"/>
  <c r="K18" i="36" s="1"/>
  <c r="K9" i="36"/>
  <c r="D20" i="36"/>
  <c r="E18" i="36" s="1"/>
  <c r="G15" i="36"/>
  <c r="G14" i="36"/>
  <c r="C9" i="36"/>
  <c r="K8" i="36"/>
  <c r="G7" i="36"/>
  <c r="G6" i="36"/>
  <c r="L20" i="36"/>
  <c r="M18" i="36" s="1"/>
  <c r="K13" i="36"/>
  <c r="C8" i="36"/>
  <c r="C13" i="36"/>
  <c r="K12" i="36"/>
  <c r="G11" i="36"/>
  <c r="G10" i="36"/>
  <c r="M13" i="36"/>
  <c r="M9" i="36"/>
  <c r="I7" i="36"/>
  <c r="E14" i="36"/>
  <c r="I12" i="36"/>
  <c r="E10" i="36"/>
  <c r="H20" i="36"/>
  <c r="I18" i="36" s="1"/>
  <c r="Z18" i="36"/>
  <c r="Z16" i="36"/>
  <c r="AA14" i="36" s="1"/>
  <c r="M15" i="36"/>
  <c r="E15" i="36"/>
  <c r="AC14" i="36"/>
  <c r="K14" i="36"/>
  <c r="C14" i="36"/>
  <c r="I13" i="36"/>
  <c r="G12" i="36"/>
  <c r="M11" i="36"/>
  <c r="E11" i="36"/>
  <c r="AC10" i="36"/>
  <c r="K10" i="36"/>
  <c r="C10" i="36"/>
  <c r="I9" i="36"/>
  <c r="G8" i="36"/>
  <c r="M7" i="36"/>
  <c r="E7" i="36"/>
  <c r="AC6" i="36"/>
  <c r="K6" i="36"/>
  <c r="C6" i="36"/>
  <c r="E9" i="36"/>
  <c r="M14" i="36"/>
  <c r="M10" i="36"/>
  <c r="I8" i="36"/>
  <c r="M6" i="36"/>
  <c r="E6" i="36"/>
  <c r="K15" i="36"/>
  <c r="C15" i="36"/>
  <c r="I14" i="36"/>
  <c r="G13" i="36"/>
  <c r="M12" i="36"/>
  <c r="E12" i="36"/>
  <c r="K11" i="36"/>
  <c r="C11" i="36"/>
  <c r="I10" i="36"/>
  <c r="E8" i="36"/>
  <c r="I6" i="36"/>
  <c r="I15" i="36"/>
  <c r="AC16" i="36" l="1"/>
  <c r="K16" i="36"/>
  <c r="AA10" i="36"/>
  <c r="AA6" i="36"/>
  <c r="Z20" i="36"/>
  <c r="AA18" i="36" s="1"/>
  <c r="AC18" i="36"/>
  <c r="I16" i="36"/>
  <c r="E16" i="36"/>
  <c r="M16" i="36"/>
  <c r="C16" i="36"/>
  <c r="G16" i="36"/>
  <c r="AA8" i="36"/>
  <c r="AA7" i="36"/>
  <c r="AA9" i="36"/>
  <c r="AA12" i="36"/>
  <c r="AA11" i="36"/>
  <c r="AA15" i="36"/>
  <c r="AA13" i="36"/>
  <c r="AA16" i="36" l="1"/>
  <c r="C145" i="35"/>
  <c r="F143" i="35"/>
  <c r="K17" i="37" l="1"/>
  <c r="J17" i="37"/>
  <c r="I17" i="37"/>
  <c r="H17" i="37"/>
  <c r="G17" i="37"/>
  <c r="F17" i="37"/>
  <c r="E17" i="37"/>
  <c r="D17" i="37"/>
  <c r="C17" i="37"/>
  <c r="B17" i="37"/>
  <c r="L35" i="36"/>
  <c r="J39" i="36"/>
  <c r="C13" i="33" s="1"/>
  <c r="E13" i="33" s="1"/>
  <c r="G13" i="33" s="1"/>
  <c r="H13" i="33" s="1"/>
  <c r="H35" i="36"/>
  <c r="F35" i="36"/>
  <c r="D35" i="36"/>
  <c r="B35" i="36"/>
  <c r="C64" i="33" l="1"/>
  <c r="G64" i="33"/>
  <c r="K64" i="33"/>
  <c r="J64" i="33"/>
  <c r="D64" i="33"/>
  <c r="H64" i="33"/>
  <c r="L64" i="33"/>
  <c r="E64" i="33"/>
  <c r="I64" i="33"/>
  <c r="F64" i="33"/>
  <c r="M33" i="36"/>
  <c r="K33" i="33" s="1"/>
  <c r="M29" i="36"/>
  <c r="H33" i="33" s="1"/>
  <c r="M25" i="36"/>
  <c r="C33" i="33" s="1"/>
  <c r="M32" i="36"/>
  <c r="J33" i="33" s="1"/>
  <c r="M28" i="36"/>
  <c r="F33" i="33" s="1"/>
  <c r="M30" i="36"/>
  <c r="G33" i="33" s="1"/>
  <c r="M31" i="36"/>
  <c r="I33" i="33" s="1"/>
  <c r="M27" i="36"/>
  <c r="E33" i="33" s="1"/>
  <c r="M26" i="36"/>
  <c r="D33" i="33" s="1"/>
  <c r="M34" i="36"/>
  <c r="L33" i="33" s="1"/>
  <c r="F39" i="36"/>
  <c r="C11" i="33" s="1"/>
  <c r="E11" i="33" s="1"/>
  <c r="G31" i="36"/>
  <c r="I30" i="33" s="1"/>
  <c r="G27" i="36"/>
  <c r="E30" i="33" s="1"/>
  <c r="G32" i="36"/>
  <c r="J30" i="33" s="1"/>
  <c r="G34" i="36"/>
  <c r="L30" i="33" s="1"/>
  <c r="G30" i="36"/>
  <c r="G30" i="33" s="1"/>
  <c r="G26" i="36"/>
  <c r="D30" i="33" s="1"/>
  <c r="G28" i="36"/>
  <c r="F30" i="33" s="1"/>
  <c r="G33" i="36"/>
  <c r="K30" i="33" s="1"/>
  <c r="G29" i="36"/>
  <c r="H30" i="33" s="1"/>
  <c r="G25" i="36"/>
  <c r="C30" i="33" s="1"/>
  <c r="H39" i="36"/>
  <c r="C12" i="33" s="1"/>
  <c r="E12" i="33" s="1"/>
  <c r="I33" i="36"/>
  <c r="K31" i="33" s="1"/>
  <c r="I29" i="36"/>
  <c r="H31" i="33" s="1"/>
  <c r="I25" i="36"/>
  <c r="C31" i="33" s="1"/>
  <c r="I32" i="36"/>
  <c r="J31" i="33" s="1"/>
  <c r="I28" i="36"/>
  <c r="F31" i="33" s="1"/>
  <c r="I30" i="36"/>
  <c r="G31" i="33" s="1"/>
  <c r="I31" i="36"/>
  <c r="I31" i="33" s="1"/>
  <c r="I27" i="36"/>
  <c r="E31" i="33" s="1"/>
  <c r="I34" i="36"/>
  <c r="L31" i="33" s="1"/>
  <c r="I26" i="36"/>
  <c r="D31" i="33" s="1"/>
  <c r="D39" i="36"/>
  <c r="C10" i="33" s="1"/>
  <c r="E10" i="33" s="1"/>
  <c r="E33" i="36"/>
  <c r="K29" i="33" s="1"/>
  <c r="E29" i="36"/>
  <c r="H29" i="33" s="1"/>
  <c r="E25" i="36"/>
  <c r="C29" i="33" s="1"/>
  <c r="E32" i="36"/>
  <c r="J29" i="33" s="1"/>
  <c r="E28" i="36"/>
  <c r="F29" i="33" s="1"/>
  <c r="E30" i="36"/>
  <c r="G29" i="33" s="1"/>
  <c r="E31" i="36"/>
  <c r="I29" i="33" s="1"/>
  <c r="E27" i="36"/>
  <c r="E29" i="33" s="1"/>
  <c r="E34" i="36"/>
  <c r="L29" i="33" s="1"/>
  <c r="E26" i="36"/>
  <c r="D29" i="33" s="1"/>
  <c r="B39" i="36"/>
  <c r="C9" i="33" s="1"/>
  <c r="E9" i="33" s="1"/>
  <c r="C31" i="36"/>
  <c r="I28" i="33" s="1"/>
  <c r="C27" i="36"/>
  <c r="E28" i="33" s="1"/>
  <c r="C32" i="36"/>
  <c r="J28" i="33" s="1"/>
  <c r="C34" i="36"/>
  <c r="L28" i="33" s="1"/>
  <c r="C30" i="36"/>
  <c r="G28" i="33" s="1"/>
  <c r="C26" i="36"/>
  <c r="D28" i="33" s="1"/>
  <c r="C33" i="36"/>
  <c r="K28" i="33" s="1"/>
  <c r="C29" i="36"/>
  <c r="H28" i="33" s="1"/>
  <c r="C25" i="36"/>
  <c r="C28" i="33" s="1"/>
  <c r="C28" i="36"/>
  <c r="F28" i="33" s="1"/>
  <c r="Z35" i="36"/>
  <c r="AA29" i="36" s="1"/>
  <c r="L39" i="36"/>
  <c r="C14" i="33" s="1"/>
  <c r="E14" i="33" s="1"/>
  <c r="G14" i="33" s="1"/>
  <c r="H14" i="33" s="1"/>
  <c r="M29" i="33" l="1"/>
  <c r="M30" i="33"/>
  <c r="M33" i="33"/>
  <c r="C65" i="33"/>
  <c r="G65" i="33"/>
  <c r="K65" i="33"/>
  <c r="D65" i="33"/>
  <c r="H65" i="33"/>
  <c r="L65" i="33"/>
  <c r="J65" i="33"/>
  <c r="E65" i="33"/>
  <c r="I65" i="33"/>
  <c r="F65" i="33"/>
  <c r="F80" i="33"/>
  <c r="F115" i="33" s="1"/>
  <c r="H80" i="33"/>
  <c r="H115" i="33" s="1"/>
  <c r="K80" i="33"/>
  <c r="K115" i="33" s="1"/>
  <c r="L80" i="33"/>
  <c r="L115" i="33" s="1"/>
  <c r="I80" i="33"/>
  <c r="I115" i="33" s="1"/>
  <c r="D80" i="33"/>
  <c r="D115" i="33" s="1"/>
  <c r="G80" i="33"/>
  <c r="G115" i="33" s="1"/>
  <c r="E80" i="33"/>
  <c r="E115" i="33" s="1"/>
  <c r="J80" i="33"/>
  <c r="J115" i="33" s="1"/>
  <c r="M64" i="33"/>
  <c r="C80" i="33"/>
  <c r="C96" i="33" s="1"/>
  <c r="M31" i="33"/>
  <c r="AA31" i="36"/>
  <c r="AA30" i="36"/>
  <c r="AA25" i="36"/>
  <c r="M28" i="33"/>
  <c r="AA28" i="36"/>
  <c r="AA33" i="36"/>
  <c r="AA32" i="36"/>
  <c r="AA27" i="36"/>
  <c r="AA34" i="36"/>
  <c r="AA26" i="36"/>
  <c r="Z39" i="36"/>
  <c r="L81" i="33" l="1"/>
  <c r="L116" i="33" s="1"/>
  <c r="K81" i="33"/>
  <c r="K116" i="33" s="1"/>
  <c r="F81" i="33"/>
  <c r="F116" i="33" s="1"/>
  <c r="H81" i="33"/>
  <c r="H116" i="33" s="1"/>
  <c r="G81" i="33"/>
  <c r="G116" i="33" s="1"/>
  <c r="J81" i="33"/>
  <c r="J116" i="33" s="1"/>
  <c r="I81" i="33"/>
  <c r="I116" i="33" s="1"/>
  <c r="E81" i="33"/>
  <c r="E116" i="33" s="1"/>
  <c r="D81" i="33"/>
  <c r="D116" i="33" s="1"/>
  <c r="M65" i="33"/>
  <c r="C81" i="33"/>
  <c r="E96" i="33"/>
  <c r="E131" i="33" s="1"/>
  <c r="D96" i="33"/>
  <c r="D131" i="33" s="1"/>
  <c r="L96" i="33"/>
  <c r="L131" i="33" s="1"/>
  <c r="H96" i="33"/>
  <c r="H131" i="33" s="1"/>
  <c r="C131" i="33"/>
  <c r="C115" i="33"/>
  <c r="M115" i="33" s="1"/>
  <c r="M80" i="33"/>
  <c r="J96" i="33"/>
  <c r="J131" i="33" s="1"/>
  <c r="G96" i="33"/>
  <c r="G131" i="33" s="1"/>
  <c r="I96" i="33"/>
  <c r="I131" i="33" s="1"/>
  <c r="K96" i="33"/>
  <c r="K131" i="33" s="1"/>
  <c r="F96" i="33"/>
  <c r="F131" i="33" s="1"/>
  <c r="F10" i="40"/>
  <c r="E10" i="40"/>
  <c r="D10" i="40"/>
  <c r="C10" i="40"/>
  <c r="G97" i="33" l="1"/>
  <c r="G132" i="33" s="1"/>
  <c r="K97" i="33"/>
  <c r="K132" i="33" s="1"/>
  <c r="J97" i="33"/>
  <c r="J132" i="33" s="1"/>
  <c r="C116" i="33"/>
  <c r="M116" i="33" s="1"/>
  <c r="M81" i="33"/>
  <c r="E97" i="33"/>
  <c r="E132" i="33" s="1"/>
  <c r="H97" i="33"/>
  <c r="H132" i="33" s="1"/>
  <c r="C97" i="33"/>
  <c r="D97" i="33"/>
  <c r="D132" i="33" s="1"/>
  <c r="I97" i="33"/>
  <c r="I132" i="33" s="1"/>
  <c r="F97" i="33"/>
  <c r="F132" i="33" s="1"/>
  <c r="L97" i="33"/>
  <c r="L132" i="33" s="1"/>
  <c r="M96" i="33"/>
  <c r="M131" i="33"/>
  <c r="I21" i="33"/>
  <c r="C132" i="33" l="1"/>
  <c r="M132" i="33" s="1"/>
  <c r="M97" i="33"/>
  <c r="C261" i="35" l="1"/>
  <c r="F267" i="35" s="1"/>
  <c r="E35" i="36" l="1"/>
  <c r="K35" i="36"/>
  <c r="C35" i="36"/>
  <c r="M35" i="36"/>
  <c r="I35" i="36"/>
  <c r="G35" i="36"/>
  <c r="AA35" i="36" l="1"/>
  <c r="C355" i="35" l="1"/>
  <c r="C327" i="35"/>
  <c r="F327" i="35" l="1"/>
  <c r="F180" i="35"/>
  <c r="C25" i="40"/>
  <c r="P21" i="40"/>
  <c r="F14" i="40"/>
  <c r="F16" i="40" s="1"/>
  <c r="F18" i="40" s="1"/>
  <c r="F12" i="33" s="1"/>
  <c r="G12" i="33" s="1"/>
  <c r="H12" i="33" s="1"/>
  <c r="E14" i="40"/>
  <c r="E16" i="40" s="1"/>
  <c r="E18" i="40" s="1"/>
  <c r="D14" i="40"/>
  <c r="D16" i="40" s="1"/>
  <c r="D18" i="40" s="1"/>
  <c r="F10" i="33" s="1"/>
  <c r="G10" i="33" s="1"/>
  <c r="H10" i="33" s="1"/>
  <c r="C14" i="40"/>
  <c r="C16" i="40" s="1"/>
  <c r="C18" i="40" s="1"/>
  <c r="F9" i="33" s="1"/>
  <c r="G9" i="33" s="1"/>
  <c r="H9" i="33" s="1"/>
  <c r="C111" i="35" l="1"/>
  <c r="F129" i="35" s="1"/>
  <c r="F109" i="35"/>
  <c r="C61" i="33"/>
  <c r="G61" i="33"/>
  <c r="K61" i="33"/>
  <c r="J61" i="33"/>
  <c r="D61" i="33"/>
  <c r="H61" i="33"/>
  <c r="L61" i="33"/>
  <c r="E61" i="33"/>
  <c r="I61" i="33"/>
  <c r="F61" i="33"/>
  <c r="F11" i="33"/>
  <c r="G11" i="33" s="1"/>
  <c r="H11" i="33" s="1"/>
  <c r="G63" i="33"/>
  <c r="C63" i="33"/>
  <c r="H63" i="33"/>
  <c r="K63" i="33"/>
  <c r="D63" i="33"/>
  <c r="E63" i="33"/>
  <c r="F63" i="33"/>
  <c r="I63" i="33"/>
  <c r="J63" i="33"/>
  <c r="L63" i="33"/>
  <c r="C290" i="35"/>
  <c r="F355" i="35"/>
  <c r="E62" i="33" l="1"/>
  <c r="I62" i="33"/>
  <c r="F62" i="33"/>
  <c r="J62" i="33"/>
  <c r="D62" i="33"/>
  <c r="L62" i="33"/>
  <c r="C62" i="33"/>
  <c r="G62" i="33"/>
  <c r="K62" i="33"/>
  <c r="H62" i="33"/>
  <c r="D77" i="33"/>
  <c r="D112" i="33" s="1"/>
  <c r="J77" i="33"/>
  <c r="J112" i="33" s="1"/>
  <c r="L77" i="33"/>
  <c r="L112" i="33" s="1"/>
  <c r="K77" i="33"/>
  <c r="K112" i="33" s="1"/>
  <c r="I77" i="33"/>
  <c r="I112" i="33" s="1"/>
  <c r="M61" i="33"/>
  <c r="C77" i="33"/>
  <c r="C112" i="33" s="1"/>
  <c r="E77" i="33"/>
  <c r="E112" i="33" s="1"/>
  <c r="F77" i="33"/>
  <c r="F93" i="33" s="1"/>
  <c r="H77" i="33"/>
  <c r="H112" i="33" s="1"/>
  <c r="G77" i="33"/>
  <c r="G112" i="33" s="1"/>
  <c r="F119" i="35"/>
  <c r="G130" i="35"/>
  <c r="P25" i="40"/>
  <c r="I79" i="33"/>
  <c r="I114" i="33" s="1"/>
  <c r="K79" i="33"/>
  <c r="K114" i="33" s="1"/>
  <c r="H79" i="33"/>
  <c r="H114" i="33" s="1"/>
  <c r="C79" i="33"/>
  <c r="M63" i="33"/>
  <c r="F79" i="33"/>
  <c r="F114" i="33" s="1"/>
  <c r="L79" i="33"/>
  <c r="L114" i="33" s="1"/>
  <c r="E79" i="33"/>
  <c r="E114" i="33" s="1"/>
  <c r="J79" i="33"/>
  <c r="J114" i="33" s="1"/>
  <c r="D79" i="33"/>
  <c r="D114" i="33" s="1"/>
  <c r="G79" i="33"/>
  <c r="G114" i="33" s="1"/>
  <c r="C174" i="35"/>
  <c r="F172" i="35"/>
  <c r="F296" i="35"/>
  <c r="D93" i="33" l="1"/>
  <c r="D128" i="33" s="1"/>
  <c r="L93" i="33"/>
  <c r="L128" i="33" s="1"/>
  <c r="I93" i="33"/>
  <c r="I128" i="33" s="1"/>
  <c r="J93" i="33"/>
  <c r="J128" i="33" s="1"/>
  <c r="F78" i="33"/>
  <c r="F113" i="33" s="1"/>
  <c r="M77" i="33"/>
  <c r="F112" i="33"/>
  <c r="M112" i="33" s="1"/>
  <c r="H78" i="33"/>
  <c r="H113" i="33" s="1"/>
  <c r="K93" i="33"/>
  <c r="K128" i="33" s="1"/>
  <c r="K78" i="33"/>
  <c r="K113" i="33" s="1"/>
  <c r="D78" i="33"/>
  <c r="D113" i="33" s="1"/>
  <c r="E78" i="33"/>
  <c r="E113" i="33" s="1"/>
  <c r="F128" i="33"/>
  <c r="M62" i="33"/>
  <c r="C78" i="33"/>
  <c r="G93" i="33"/>
  <c r="G128" i="33" s="1"/>
  <c r="C93" i="33"/>
  <c r="C128" i="33" s="1"/>
  <c r="L78" i="33"/>
  <c r="L113" i="33" s="1"/>
  <c r="I78" i="33"/>
  <c r="I113" i="33" s="1"/>
  <c r="H93" i="33"/>
  <c r="H128" i="33" s="1"/>
  <c r="E93" i="33"/>
  <c r="E128" i="33" s="1"/>
  <c r="G78" i="33"/>
  <c r="G113" i="33" s="1"/>
  <c r="J78" i="33"/>
  <c r="J113" i="33" s="1"/>
  <c r="D95" i="33"/>
  <c r="D130" i="33" s="1"/>
  <c r="K95" i="33"/>
  <c r="K130" i="33" s="1"/>
  <c r="F95" i="33"/>
  <c r="F130" i="33" s="1"/>
  <c r="H95" i="33"/>
  <c r="H130" i="33" s="1"/>
  <c r="I95" i="33"/>
  <c r="I130" i="33" s="1"/>
  <c r="E95" i="33"/>
  <c r="E130" i="33" s="1"/>
  <c r="C114" i="33"/>
  <c r="M114" i="33" s="1"/>
  <c r="M79" i="33"/>
  <c r="G95" i="33"/>
  <c r="G130" i="33" s="1"/>
  <c r="J95" i="33"/>
  <c r="J130" i="33" s="1"/>
  <c r="L95" i="33"/>
  <c r="L130" i="33" s="1"/>
  <c r="C95" i="33"/>
  <c r="C350" i="35"/>
  <c r="C322" i="35"/>
  <c r="G94" i="33" l="1"/>
  <c r="G129" i="33" s="1"/>
  <c r="I94" i="33"/>
  <c r="I129" i="33" s="1"/>
  <c r="L94" i="33"/>
  <c r="L129" i="33" s="1"/>
  <c r="D94" i="33"/>
  <c r="D129" i="33" s="1"/>
  <c r="J94" i="33"/>
  <c r="J129" i="33" s="1"/>
  <c r="E94" i="33"/>
  <c r="E129" i="33" s="1"/>
  <c r="K94" i="33"/>
  <c r="K129" i="33" s="1"/>
  <c r="H94" i="33"/>
  <c r="H129" i="33" s="1"/>
  <c r="F94" i="33"/>
  <c r="F129" i="33" s="1"/>
  <c r="M78" i="33"/>
  <c r="C113" i="33"/>
  <c r="M113" i="33" s="1"/>
  <c r="M93" i="33"/>
  <c r="C94" i="33"/>
  <c r="M128" i="33"/>
  <c r="M95" i="33"/>
  <c r="C130" i="33"/>
  <c r="M130" i="33" s="1"/>
  <c r="F330" i="35"/>
  <c r="F337" i="35"/>
  <c r="F358" i="35"/>
  <c r="F365" i="35"/>
  <c r="M94" i="33" l="1"/>
  <c r="C129" i="33"/>
  <c r="M129" i="33" s="1"/>
  <c r="C406" i="35"/>
  <c r="F412" i="35" s="1"/>
  <c r="C380" i="35"/>
  <c r="F386" i="35" l="1"/>
  <c r="F393" i="35"/>
  <c r="F419" i="35"/>
  <c r="C460" i="35" l="1"/>
  <c r="F466" i="35" l="1"/>
  <c r="F473" i="35"/>
  <c r="C434" i="35"/>
  <c r="F447" i="35" s="1"/>
  <c r="F440" i="35" l="1"/>
  <c r="F580" i="35" l="1"/>
  <c r="G582" i="35" s="1"/>
  <c r="C568" i="35"/>
  <c r="F574" i="35" s="1"/>
  <c r="G576" i="35" s="1"/>
  <c r="F567" i="35"/>
  <c r="F566" i="35"/>
  <c r="E512" i="35"/>
  <c r="F554" i="35"/>
  <c r="G556" i="35" s="1"/>
  <c r="E487" i="35" s="1"/>
  <c r="E432" i="35" s="1"/>
  <c r="F432" i="35" s="1"/>
  <c r="C542" i="35"/>
  <c r="F541" i="35"/>
  <c r="F540" i="35"/>
  <c r="E486" i="35"/>
  <c r="F568" i="35" l="1"/>
  <c r="F542" i="35"/>
  <c r="F546" i="35" s="1"/>
  <c r="G584" i="35"/>
  <c r="E513" i="35"/>
  <c r="E458" i="35" s="1"/>
  <c r="F458" i="35" s="1"/>
  <c r="F548" i="35"/>
  <c r="G550" i="35" l="1"/>
  <c r="G559" i="35" s="1"/>
  <c r="D21" i="33"/>
  <c r="F513" i="35" l="1"/>
  <c r="F486" i="35"/>
  <c r="C488" i="35"/>
  <c r="F501" i="35" s="1"/>
  <c r="F487" i="35"/>
  <c r="F488" i="35" l="1"/>
  <c r="C514" i="35"/>
  <c r="F512" i="35"/>
  <c r="F514" i="35" s="1"/>
  <c r="F494" i="35"/>
  <c r="F520" i="35" l="1"/>
  <c r="F527" i="35"/>
  <c r="G60" i="33" l="1"/>
  <c r="G76" i="33" s="1"/>
  <c r="G111" i="33" s="1"/>
  <c r="H60" i="33"/>
  <c r="H76" i="33" s="1"/>
  <c r="H111" i="33" s="1"/>
  <c r="L60" i="33"/>
  <c r="L76" i="33" s="1"/>
  <c r="L111" i="33" s="1"/>
  <c r="J60" i="33"/>
  <c r="J76" i="33" s="1"/>
  <c r="J111" i="33" s="1"/>
  <c r="D60" i="33"/>
  <c r="D76" i="33" s="1"/>
  <c r="D111" i="33" s="1"/>
  <c r="K60" i="33"/>
  <c r="K76" i="33" s="1"/>
  <c r="K111" i="33" s="1"/>
  <c r="C60" i="33"/>
  <c r="C76" i="33" s="1"/>
  <c r="I60" i="33"/>
  <c r="I76" i="33" s="1"/>
  <c r="I111" i="33" s="1"/>
  <c r="F60" i="33"/>
  <c r="F76" i="33" s="1"/>
  <c r="F111" i="33" s="1"/>
  <c r="E60" i="33"/>
  <c r="E76" i="33" s="1"/>
  <c r="E111" i="33" s="1"/>
  <c r="M60" i="33" l="1"/>
  <c r="N61" i="33" s="1"/>
  <c r="N62" i="33" s="1"/>
  <c r="N63" i="33" s="1"/>
  <c r="N64" i="33" s="1"/>
  <c r="N65" i="33" s="1"/>
  <c r="N66" i="33" s="1"/>
  <c r="N67" i="33" s="1"/>
  <c r="N68" i="33" s="1"/>
  <c r="N69" i="33" s="1"/>
  <c r="N70" i="33" s="1"/>
  <c r="N71" i="33" s="1"/>
  <c r="H92" i="33"/>
  <c r="H127" i="33" s="1"/>
  <c r="L92" i="33"/>
  <c r="L127" i="33" s="1"/>
  <c r="I92" i="33"/>
  <c r="I127" i="33" s="1"/>
  <c r="G92" i="33"/>
  <c r="G127" i="33" s="1"/>
  <c r="K92" i="33"/>
  <c r="K127" i="33" s="1"/>
  <c r="J92" i="33"/>
  <c r="J127" i="33" s="1"/>
  <c r="D92" i="33"/>
  <c r="D127" i="33" s="1"/>
  <c r="M76" i="33"/>
  <c r="N77" i="33" s="1"/>
  <c r="N78" i="33" s="1"/>
  <c r="N79" i="33" s="1"/>
  <c r="N80" i="33" s="1"/>
  <c r="N81" i="33" s="1"/>
  <c r="N82" i="33" s="1"/>
  <c r="N83" i="33" s="1"/>
  <c r="N84" i="33" s="1"/>
  <c r="N85" i="33" s="1"/>
  <c r="N86" i="33" s="1"/>
  <c r="N87" i="33" s="1"/>
  <c r="C111" i="33"/>
  <c r="M111" i="33" s="1"/>
  <c r="N112" i="33" s="1"/>
  <c r="N113" i="33" s="1"/>
  <c r="N114" i="33" s="1"/>
  <c r="N115" i="33" s="1"/>
  <c r="N116" i="33" s="1"/>
  <c r="N117" i="33" s="1"/>
  <c r="N118" i="33" s="1"/>
  <c r="N119" i="33" s="1"/>
  <c r="N120" i="33" s="1"/>
  <c r="N121" i="33" s="1"/>
  <c r="N122" i="33" s="1"/>
  <c r="F92" i="33"/>
  <c r="F127" i="33" s="1"/>
  <c r="E92" i="33"/>
  <c r="E127" i="33" s="1"/>
  <c r="C92" i="33"/>
  <c r="C127" i="33" l="1"/>
  <c r="M127" i="33" s="1"/>
  <c r="N128" i="33" s="1"/>
  <c r="N129" i="33" s="1"/>
  <c r="N130" i="33" s="1"/>
  <c r="N131" i="33" s="1"/>
  <c r="N132" i="33" s="1"/>
  <c r="N133" i="33" s="1"/>
  <c r="N134" i="33" s="1"/>
  <c r="N135" i="33" s="1"/>
  <c r="N136" i="33" s="1"/>
  <c r="N137" i="33" s="1"/>
  <c r="N138" i="33" s="1"/>
  <c r="M92" i="33"/>
  <c r="N93" i="33" s="1"/>
  <c r="N94" i="33" s="1"/>
  <c r="N95" i="33" s="1"/>
  <c r="N96" i="33" s="1"/>
  <c r="N97" i="33" s="1"/>
  <c r="N98" i="33" s="1"/>
  <c r="N99" i="33" s="1"/>
  <c r="N100" i="33" s="1"/>
  <c r="N101" i="33" s="1"/>
  <c r="N102" i="33" s="1"/>
  <c r="N103" i="33" s="1"/>
  <c r="F187" i="35" l="1"/>
  <c r="F188" i="35" s="1"/>
  <c r="G191" i="35"/>
  <c r="E110" i="35" s="1"/>
  <c r="F110" i="35" s="1"/>
  <c r="F111" i="35" s="1"/>
  <c r="G304" i="35"/>
  <c r="G468" i="35"/>
  <c r="F472" i="35"/>
  <c r="G474" i="35" s="1"/>
  <c r="E405" i="35" s="1"/>
  <c r="D36" i="45" l="1"/>
  <c r="D38" i="45"/>
  <c r="F158" i="35"/>
  <c r="F159" i="35" s="1"/>
  <c r="F173" i="35"/>
  <c r="F174" i="35" s="1"/>
  <c r="F178" i="35" s="1"/>
  <c r="F405" i="35"/>
  <c r="E348" i="35"/>
  <c r="F348" i="35" s="1"/>
  <c r="G476" i="35"/>
  <c r="F446" i="35"/>
  <c r="G448" i="35" s="1"/>
  <c r="E379" i="35" s="1"/>
  <c r="G442" i="35"/>
  <c r="F526" i="35"/>
  <c r="G528" i="35" s="1"/>
  <c r="E459" i="35" s="1"/>
  <c r="F518" i="35"/>
  <c r="G522" i="35" s="1"/>
  <c r="F379" i="35" l="1"/>
  <c r="E320" i="35"/>
  <c r="F320" i="35" s="1"/>
  <c r="F459" i="35"/>
  <c r="F460" i="35" s="1"/>
  <c r="E404" i="35"/>
  <c r="F404" i="35" s="1"/>
  <c r="F406" i="35" s="1"/>
  <c r="G451" i="35"/>
  <c r="F492" i="35"/>
  <c r="G496" i="35" s="1"/>
  <c r="F500" i="35"/>
  <c r="G502" i="35" s="1"/>
  <c r="E433" i="35" s="1"/>
  <c r="G530" i="35"/>
  <c r="F433" i="35" l="1"/>
  <c r="F434" i="35" s="1"/>
  <c r="E378" i="35"/>
  <c r="F378" i="35" s="1"/>
  <c r="F380" i="35" s="1"/>
  <c r="G505" i="35"/>
  <c r="C21" i="33" l="1"/>
  <c r="E21" i="33" l="1"/>
  <c r="G21" i="33" l="1"/>
  <c r="F21" i="33" s="1"/>
  <c r="G72" i="33" l="1"/>
  <c r="H72" i="33"/>
  <c r="L72" i="33"/>
  <c r="H21" i="33"/>
  <c r="J21" i="33" s="1"/>
  <c r="E72" i="33"/>
  <c r="C72" i="33"/>
  <c r="F10" i="42" l="1"/>
  <c r="G10" i="42" s="1"/>
  <c r="H10" i="42" s="1"/>
  <c r="F72" i="33"/>
  <c r="L139" i="33"/>
  <c r="G123" i="33"/>
  <c r="K72" i="33"/>
  <c r="D72" i="33"/>
  <c r="H139" i="33"/>
  <c r="I72" i="33"/>
  <c r="J72" i="33"/>
  <c r="M72" i="33"/>
  <c r="E139" i="33"/>
  <c r="J139" i="33"/>
  <c r="J104" i="33"/>
  <c r="C88" i="33"/>
  <c r="I104" i="33"/>
  <c r="I139" i="33"/>
  <c r="F88" i="33"/>
  <c r="F123" i="33"/>
  <c r="G88" i="33"/>
  <c r="K88" i="33"/>
  <c r="K123" i="33"/>
  <c r="J123" i="33"/>
  <c r="J88" i="33"/>
  <c r="F104" i="33"/>
  <c r="F139" i="33"/>
  <c r="D139" i="33"/>
  <c r="D104" i="33"/>
  <c r="I88" i="33"/>
  <c r="I123" i="33"/>
  <c r="D88" i="33"/>
  <c r="D123" i="33"/>
  <c r="M73" i="33" l="1"/>
  <c r="L123" i="33"/>
  <c r="L104" i="33"/>
  <c r="L141" i="33" s="1"/>
  <c r="G139" i="33"/>
  <c r="H123" i="33"/>
  <c r="H88" i="33"/>
  <c r="H104" i="33"/>
  <c r="H141" i="33" s="1"/>
  <c r="L88" i="33"/>
  <c r="J73" i="33"/>
  <c r="K73" i="33"/>
  <c r="L73" i="33"/>
  <c r="I73" i="33"/>
  <c r="E88" i="33"/>
  <c r="D73" i="33"/>
  <c r="G73" i="33"/>
  <c r="F73" i="33"/>
  <c r="C73" i="33"/>
  <c r="H73" i="33"/>
  <c r="E73" i="33"/>
  <c r="M88" i="33"/>
  <c r="E104" i="33"/>
  <c r="E141" i="33" s="1"/>
  <c r="E123" i="33"/>
  <c r="F141" i="33"/>
  <c r="I141" i="33"/>
  <c r="J141" i="33"/>
  <c r="K104" i="33"/>
  <c r="K139" i="33"/>
  <c r="C104" i="33"/>
  <c r="C123" i="33"/>
  <c r="D141" i="33"/>
  <c r="M104" i="33" l="1"/>
  <c r="G104" i="33"/>
  <c r="G141" i="33" s="1"/>
  <c r="M123" i="33"/>
  <c r="F46" i="35" s="1"/>
  <c r="K141" i="33"/>
  <c r="C139" i="33"/>
  <c r="C141" i="33" s="1"/>
  <c r="F58" i="35" l="1"/>
  <c r="F48" i="35"/>
  <c r="F50" i="35" s="1"/>
  <c r="G54" i="35" s="1"/>
  <c r="F115" i="35"/>
  <c r="F117" i="35" s="1"/>
  <c r="G121" i="35" s="1"/>
  <c r="G132" i="35" s="1"/>
  <c r="G182" i="35"/>
  <c r="G193" i="35" s="1"/>
  <c r="M139" i="33"/>
  <c r="F336" i="35"/>
  <c r="G338" i="35" s="1"/>
  <c r="F410" i="35"/>
  <c r="G414" i="35" s="1"/>
  <c r="F364" i="35"/>
  <c r="G366" i="35" s="1"/>
  <c r="F289" i="35" s="1"/>
  <c r="F418" i="35"/>
  <c r="G420" i="35" s="1"/>
  <c r="F59" i="35" l="1"/>
  <c r="F60" i="35" s="1"/>
  <c r="G63" i="35"/>
  <c r="G65" i="35" s="1"/>
  <c r="F12" i="42"/>
  <c r="G12" i="42" s="1"/>
  <c r="F13" i="35"/>
  <c r="F82" i="35"/>
  <c r="M141" i="33"/>
  <c r="F260" i="35"/>
  <c r="G422" i="35"/>
  <c r="E349" i="35"/>
  <c r="F384" i="35"/>
  <c r="G388" i="35" s="1"/>
  <c r="F392" i="35"/>
  <c r="G394" i="35" s="1"/>
  <c r="E321" i="35" s="1"/>
  <c r="F15" i="35" l="1"/>
  <c r="F19" i="35" s="1"/>
  <c r="G23" i="35" s="1"/>
  <c r="F27" i="35"/>
  <c r="H12" i="42"/>
  <c r="F14" i="42"/>
  <c r="F349" i="35"/>
  <c r="F350" i="35" s="1"/>
  <c r="F354" i="35" s="1"/>
  <c r="F356" i="35" s="1"/>
  <c r="G360" i="35" s="1"/>
  <c r="G368" i="35" s="1"/>
  <c r="F288" i="35"/>
  <c r="F290" i="35" s="1"/>
  <c r="F294" i="35" s="1"/>
  <c r="F321" i="35"/>
  <c r="F322" i="35" s="1"/>
  <c r="F326" i="35" s="1"/>
  <c r="F328" i="35" s="1"/>
  <c r="G332" i="35" s="1"/>
  <c r="G341" i="35" s="1"/>
  <c r="F259" i="35"/>
  <c r="F261" i="35" s="1"/>
  <c r="F265" i="35" s="1"/>
  <c r="G269" i="35" s="1"/>
  <c r="G397" i="35"/>
  <c r="F28" i="35" l="1"/>
  <c r="F29" i="35" s="1"/>
  <c r="G32" i="35"/>
  <c r="G34" i="35" s="1"/>
  <c r="G14" i="42"/>
  <c r="G162" i="35"/>
  <c r="G275" i="35"/>
  <c r="G298" i="35"/>
  <c r="G306" i="35" s="1"/>
  <c r="F144" i="35" l="1"/>
  <c r="E77" i="35"/>
  <c r="F77" i="35" s="1"/>
  <c r="F78" i="35" s="1"/>
  <c r="E82" i="35" s="1"/>
  <c r="G82" i="35" s="1"/>
  <c r="G277" i="35"/>
  <c r="G310" i="35"/>
  <c r="F86" i="35" l="1"/>
  <c r="G90" i="35" s="1"/>
  <c r="G101" i="35" s="1"/>
  <c r="F145" i="35"/>
  <c r="F149" i="35" s="1"/>
  <c r="G281" i="35"/>
  <c r="G153" i="35" l="1"/>
  <c r="G164" i="3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Weinstein, Mike</author>
  </authors>
  <commentList>
    <comment ref="B7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This is the estimated percentage of single stream tonnages collected applicable to MF households based on the total container volumes.</t>
        </r>
      </text>
    </comment>
  </commentList>
</comments>
</file>

<file path=xl/sharedStrings.xml><?xml version="1.0" encoding="utf-8"?>
<sst xmlns="http://schemas.openxmlformats.org/spreadsheetml/2006/main" count="757" uniqueCount="198">
  <si>
    <t>HDPE</t>
  </si>
  <si>
    <t>PET</t>
  </si>
  <si>
    <t>May</t>
  </si>
  <si>
    <t>Total</t>
  </si>
  <si>
    <t>%</t>
  </si>
  <si>
    <t>Customers</t>
  </si>
  <si>
    <t>Credits</t>
  </si>
  <si>
    <t>Dec</t>
  </si>
  <si>
    <t>Mar</t>
  </si>
  <si>
    <t>Apr</t>
  </si>
  <si>
    <t>Feb</t>
  </si>
  <si>
    <t>Glass</t>
  </si>
  <si>
    <t>Tons</t>
  </si>
  <si>
    <t>Commodity</t>
  </si>
  <si>
    <t>Less:</t>
  </si>
  <si>
    <t>Non-Reg.</t>
  </si>
  <si>
    <t>Regulated</t>
  </si>
  <si>
    <t>Aluminum</t>
  </si>
  <si>
    <t>Tin</t>
  </si>
  <si>
    <t>OCC</t>
  </si>
  <si>
    <t>Yards</t>
  </si>
  <si>
    <t>Residential</t>
  </si>
  <si>
    <t>Credit</t>
  </si>
  <si>
    <t>Actual Commodity Revenue (adj. to reflect current customers)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</si>
  <si>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</si>
  <si>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</si>
  <si>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</si>
  <si>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</si>
  <si>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</si>
  <si>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</si>
  <si>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Multi-family Commodity Adjustment</t>
  </si>
  <si>
    <t>WM of Spokane</t>
  </si>
  <si>
    <t>Jan</t>
  </si>
  <si>
    <t>Res'l</t>
  </si>
  <si>
    <t>SS</t>
  </si>
  <si>
    <t>Single stream commodity composition percentage</t>
  </si>
  <si>
    <t>Newspaper</t>
  </si>
  <si>
    <t>Baled</t>
  </si>
  <si>
    <t>UBC</t>
  </si>
  <si>
    <t>Steel Cans</t>
  </si>
  <si>
    <t>Mixed</t>
  </si>
  <si>
    <t>ONP</t>
  </si>
  <si>
    <t>MP</t>
  </si>
  <si>
    <t>Natural</t>
  </si>
  <si>
    <t>Colored</t>
  </si>
  <si>
    <t>Plastics</t>
  </si>
  <si>
    <t xml:space="preserve">Residue </t>
  </si>
  <si>
    <t>Net</t>
  </si>
  <si>
    <t>Materials Composition:</t>
  </si>
  <si>
    <t>Price per ton:</t>
  </si>
  <si>
    <t>Total Tonnage by Commodity:</t>
  </si>
  <si>
    <t>MF Tonnage by Commodity:</t>
  </si>
  <si>
    <t>Res'l Tonnage by Commodity:</t>
  </si>
  <si>
    <t>MF Revenue by Commodity:</t>
  </si>
  <si>
    <t>Res'l Revenue by Commodity:</t>
  </si>
  <si>
    <t>2014 - 2015 Rebate Calculation</t>
  </si>
  <si>
    <t>2013 - 2014 Rebate Calculation</t>
  </si>
  <si>
    <t>WM Spokane</t>
  </si>
  <si>
    <t>June - July projected value without adjustment factor</t>
  </si>
  <si>
    <t>Aug. - May projected value without adjustment factor</t>
  </si>
  <si>
    <t>Projected Revenue June 2013 - May 2014</t>
  </si>
  <si>
    <t>Projected Revenue June 2014 - May 2015</t>
  </si>
  <si>
    <t>Month</t>
  </si>
  <si>
    <t>Inbound</t>
  </si>
  <si>
    <t>Residential &amp; MF Regulated Recycling Tonnages and Revenue</t>
  </si>
  <si>
    <t>Composition</t>
  </si>
  <si>
    <t>Mix Paper</t>
  </si>
  <si>
    <t>HDPE Natl</t>
  </si>
  <si>
    <t>HDPE Col</t>
  </si>
  <si>
    <t>#3 - 7</t>
  </si>
  <si>
    <t>Residue</t>
  </si>
  <si>
    <t>Price/ton schedule</t>
  </si>
  <si>
    <t>ONP 6</t>
  </si>
  <si>
    <t>Mixed Paper</t>
  </si>
  <si>
    <t>Alum.</t>
  </si>
  <si>
    <t>HDPE Natural</t>
  </si>
  <si>
    <t>HDPE Colored</t>
  </si>
  <si>
    <t>Plastics 3-7</t>
  </si>
  <si>
    <t>Projected Revenue June 2015 - May 2016</t>
  </si>
  <si>
    <t>2015 - 2016 Rebate Calculation</t>
  </si>
  <si>
    <t>Deer Park</t>
  </si>
  <si>
    <t>Airway Heights</t>
  </si>
  <si>
    <t>Liberty Lake</t>
  </si>
  <si>
    <t>Spokane Valley</t>
  </si>
  <si>
    <t>2016 - 2017 Rebate Calculation</t>
  </si>
  <si>
    <t>Projected Revenue June 2016 - May 2017</t>
  </si>
  <si>
    <t>WUTC</t>
  </si>
  <si>
    <t>Total non-regulated</t>
  </si>
  <si>
    <t>Jurisdiction:</t>
  </si>
  <si>
    <t>% Regulated</t>
  </si>
  <si>
    <t>% Non-Regulated</t>
  </si>
  <si>
    <t>MF Rebate per yard</t>
  </si>
  <si>
    <t>WUTC recycling subscription MSW Yards</t>
  </si>
  <si>
    <t>Regulated MF Rebate per billing</t>
  </si>
  <si>
    <t>Residential &amp; MF Regulated Customers</t>
  </si>
  <si>
    <t>Total with Residue</t>
  </si>
  <si>
    <t>2017 - 2018 Rebate Calculation</t>
  </si>
  <si>
    <t>Tin Cans</t>
  </si>
  <si>
    <t>Projected Revenue June 2017 - May 2018</t>
  </si>
  <si>
    <t xml:space="preserve">Average Revenue/ton </t>
  </si>
  <si>
    <t>Net amount Owed Customer (company)</t>
  </si>
  <si>
    <t>Owed to Customer (company)</t>
  </si>
  <si>
    <t>Less: Error in rebate Aug - Sept. 2016 ($1.78 to $1.44)</t>
  </si>
  <si>
    <t>Less: Error in rebate Aug - Sept. 2016 ($0.28 - $0.23)</t>
  </si>
  <si>
    <t>2018 - 2019 Rebate Calculation</t>
  </si>
  <si>
    <t>Projected Value to Rebate to Customers</t>
  </si>
  <si>
    <t>Budget</t>
  </si>
  <si>
    <t>Customer Counts:</t>
  </si>
  <si>
    <t>Tonnage:</t>
  </si>
  <si>
    <t>Revenues:</t>
  </si>
  <si>
    <t>Expenditures Budget:</t>
  </si>
  <si>
    <t xml:space="preserve">Estimated Revenue Sharing retained by Company </t>
  </si>
  <si>
    <t>Detailed Expenditures:</t>
  </si>
  <si>
    <t>Labor Cost Total (see detail below)</t>
  </si>
  <si>
    <t>Tasks As Outlined In RSA</t>
  </si>
  <si>
    <t>Total RSA Task Fees (excluding capital)</t>
  </si>
  <si>
    <t>Total Budgeted Expenses</t>
  </si>
  <si>
    <t>Performance Incentive (5% of expenditures)</t>
  </si>
  <si>
    <t>Total Expenditures plus incentive</t>
  </si>
  <si>
    <t>Avg. lbs./customer/mo.</t>
  </si>
  <si>
    <t>Avg. revenue/ton</t>
  </si>
  <si>
    <t>Labor Cost Allocation</t>
  </si>
  <si>
    <t>Total Hours</t>
  </si>
  <si>
    <t>Hourly Rate</t>
  </si>
  <si>
    <t>Total 2 yrs</t>
  </si>
  <si>
    <t>Monthly Reporting (CC Team )</t>
  </si>
  <si>
    <t>Executive Management/Oversight (Mindy &amp; Mary)</t>
  </si>
  <si>
    <t>Public Education Team &amp; Website Updates</t>
  </si>
  <si>
    <t xml:space="preserve">Labor Cost Totals </t>
  </si>
  <si>
    <t>Net Residential Commodity Adjustment</t>
  </si>
  <si>
    <t>Average</t>
  </si>
  <si>
    <t>lbs./</t>
  </si>
  <si>
    <t>Customer/</t>
  </si>
  <si>
    <t>Multi-Family Commodity Adjustment</t>
  </si>
  <si>
    <t>Residential and Multi-Family WUTC tonnage (2 years)</t>
  </si>
  <si>
    <t>Less: Recycling Incentive</t>
  </si>
  <si>
    <t>RSA Project Manager (includes travel expenses)</t>
  </si>
  <si>
    <t>Spokane County Revenue Sharing Budget</t>
  </si>
  <si>
    <r>
      <t xml:space="preserve">Projected Revenue June 2018 - </t>
    </r>
    <r>
      <rPr>
        <b/>
        <u/>
        <sz val="12"/>
        <color rgb="FF0070C0"/>
        <rFont val="Arial"/>
        <family val="2"/>
      </rPr>
      <t>November 2018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due to "China Sword")</t>
    </r>
  </si>
  <si>
    <t>June - July. projected value without adjustment factor</t>
  </si>
  <si>
    <t>Tonnage</t>
  </si>
  <si>
    <t>Actual</t>
  </si>
  <si>
    <t>Inc.</t>
  </si>
  <si>
    <t>(Dec.)</t>
  </si>
  <si>
    <t>Diff.</t>
  </si>
  <si>
    <t>Revenue per ton</t>
  </si>
  <si>
    <t>Budget vs. Actual Comparison</t>
  </si>
  <si>
    <t>Commodity Revenue</t>
  </si>
  <si>
    <t xml:space="preserve">Actual Commodity Revenue </t>
  </si>
  <si>
    <t>Projected Revenue July 2018 - November 2018</t>
  </si>
  <si>
    <t>Aug. - Nov. projected value without adjustment factor</t>
  </si>
  <si>
    <r>
      <t>Projected Revenue December 2018 - May</t>
    </r>
    <r>
      <rPr>
        <b/>
        <u/>
        <sz val="12"/>
        <color rgb="FF0070C0"/>
        <rFont val="Arial"/>
        <family val="2"/>
      </rPr>
      <t xml:space="preserve"> 2019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due to "China Sword")</t>
    </r>
  </si>
  <si>
    <t>Projected Revenue December 2018 - June 2019</t>
  </si>
  <si>
    <t>Less: % Retained per RSA</t>
  </si>
  <si>
    <t>Total Credits</t>
  </si>
  <si>
    <t>Total Projected Customers</t>
  </si>
  <si>
    <t xml:space="preserve">Dec. - Jan. projected value </t>
  </si>
  <si>
    <t xml:space="preserve">Feb. - May projected value </t>
  </si>
  <si>
    <r>
      <t>Projected Revenue June 2019 - May</t>
    </r>
    <r>
      <rPr>
        <b/>
        <u/>
        <sz val="12"/>
        <color rgb="FF0070C0"/>
        <rFont val="Arial"/>
        <family val="2"/>
      </rPr>
      <t xml:space="preserve"> 2020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average)</t>
    </r>
  </si>
  <si>
    <t>2019 - 2020 Rebate Calculation</t>
  </si>
  <si>
    <t>Projected Revenue June 2019 - May 2020</t>
  </si>
  <si>
    <t xml:space="preserve">Jun. - Jul. projected value </t>
  </si>
  <si>
    <t xml:space="preserve">Aug. - May projected value </t>
  </si>
  <si>
    <r>
      <t>Projected Revenue June 2020 - May</t>
    </r>
    <r>
      <rPr>
        <b/>
        <u/>
        <sz val="12"/>
        <color rgb="FF0070C0"/>
        <rFont val="Arial"/>
        <family val="2"/>
      </rPr>
      <t xml:space="preserve"> 2021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average)</t>
    </r>
  </si>
  <si>
    <t>Jun</t>
  </si>
  <si>
    <t>Jul</t>
  </si>
  <si>
    <t>Aug</t>
  </si>
  <si>
    <t>Sep</t>
  </si>
  <si>
    <t>Oct</t>
  </si>
  <si>
    <t>Nov</t>
  </si>
  <si>
    <t>MRB</t>
  </si>
  <si>
    <t>VW2</t>
  </si>
  <si>
    <t>VWS</t>
  </si>
  <si>
    <t>VWT</t>
  </si>
  <si>
    <t>VWU</t>
  </si>
  <si>
    <t>Amount Over (under) spent</t>
  </si>
  <si>
    <t>Revenue less 50% retention</t>
  </si>
  <si>
    <t>Add: Amount underspent (net of incentive)</t>
  </si>
  <si>
    <t>Total Two Year Projected Commodity Revenue (based on most recent 6 months average commodity values )</t>
  </si>
  <si>
    <t>August 1 2020 - July 31, 2022</t>
  </si>
  <si>
    <t>Task 1 - Knowledge Sharing</t>
  </si>
  <si>
    <t>Task 2 - Community Events - Reducing Contamination and Waste</t>
  </si>
  <si>
    <t>Task 3 - Focused Education for Younger Minds</t>
  </si>
  <si>
    <t>Task 4 - Multifamily recycling and Reduction of Contamination</t>
  </si>
  <si>
    <t>VWM</t>
  </si>
  <si>
    <t>Pro-Rata</t>
  </si>
  <si>
    <t>mos.</t>
  </si>
  <si>
    <t>2021 - 2022 Rebate Calculation</t>
  </si>
  <si>
    <t>Projected Revenue June 2020 - May 2020</t>
  </si>
  <si>
    <r>
      <t>Projected Revenue June 2021 - May</t>
    </r>
    <r>
      <rPr>
        <b/>
        <u/>
        <sz val="12"/>
        <color rgb="FF0070C0"/>
        <rFont val="Arial"/>
        <family val="2"/>
      </rPr>
      <t xml:space="preserve"> 2022</t>
    </r>
    <r>
      <rPr>
        <b/>
        <u/>
        <sz val="12"/>
        <rFont val="Arial"/>
        <family val="2"/>
      </rPr>
      <t xml:space="preserve"> (based on most recent 12 months average)</t>
    </r>
  </si>
  <si>
    <t>Revised</t>
  </si>
  <si>
    <t>Note:</t>
  </si>
  <si>
    <t>Total Customers (24 months)</t>
  </si>
  <si>
    <t>Additional monthly cost</t>
  </si>
  <si>
    <t>The revised budget removes reoccurring internal Labor Costs which will be added to the monthly collection fee (pursuant to Staff instructions) and redistributes this amount to the various tasks</t>
  </si>
  <si>
    <t xml:space="preserve">Total Labor Cost Allocation </t>
  </si>
  <si>
    <t>Current Collection Rate in tariff</t>
  </si>
  <si>
    <t>Proposed New Collection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</si>
</sst>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u val="singleAccounting"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indexed="10"/>
      <name val="Arial"/>
      <family val="2"/>
    </font>
    <font>
      <i/>
      <u/>
      <sz val="12"/>
      <name val="Arial"/>
      <family val="2"/>
    </font>
    <font>
      <b/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i/>
      <u val="double"/>
      <sz val="8"/>
      <name val="Arial"/>
      <family val="2"/>
    </font>
    <font>
      <b/>
      <i/>
      <u val="doubleAccounting"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 val="double"/>
      <sz val="10"/>
      <name val="Arial"/>
      <family val="2"/>
    </font>
    <font>
      <u val="singleAccounting"/>
      <sz val="9"/>
      <color theme="1"/>
      <name val="Arial"/>
      <family val="2"/>
    </font>
    <font>
      <b/>
      <u val="doubleAccounting"/>
      <sz val="9"/>
      <color theme="1"/>
      <name val="Arial"/>
      <family val="2"/>
    </font>
    <font>
      <u val="singleAccounting"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 val="singleAccounting"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u val="singleAccounting"/>
      <sz val="12"/>
      <name val="Arial"/>
      <family val="2"/>
    </font>
    <font>
      <b/>
      <u val="doubleAccounting"/>
      <sz val="12"/>
      <name val="Arial"/>
      <family val="2"/>
    </font>
    <font>
      <sz val="10"/>
      <color theme="3" tint="0.39997558519241921"/>
      <name val="Arial"/>
      <family val="2"/>
    </font>
    <font>
      <sz val="12"/>
      <color rgb="FF0070C0"/>
      <name val="Arial"/>
      <family val="2"/>
    </font>
    <font>
      <u val="singleAccounting"/>
      <sz val="12"/>
      <color rgb="FF0070C0"/>
      <name val="Arial"/>
      <family val="2"/>
    </font>
    <font>
      <b/>
      <u/>
      <sz val="12"/>
      <color rgb="FF0070C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u val="singleAccounting"/>
      <sz val="12"/>
      <color rgb="FF0070C0"/>
      <name val="Arial"/>
      <family val="2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u val="doubleAccounting"/>
      <sz val="10"/>
      <color theme="1"/>
      <name val="Arial"/>
      <family val="2"/>
    </font>
    <font>
      <b/>
      <i/>
      <u val="double"/>
      <sz val="10"/>
      <color theme="1"/>
      <name val="Arial"/>
      <family val="2"/>
    </font>
    <font>
      <b/>
      <sz val="10"/>
      <color theme="1"/>
      <name val="Arial"/>
      <family val="2"/>
    </font>
    <font>
      <b/>
      <u val="doubleAccounting"/>
      <sz val="10"/>
      <color rgb="FF00B050"/>
      <name val="Arial"/>
      <family val="2"/>
    </font>
    <font>
      <u val="singleAccounting"/>
      <sz val="10"/>
      <color theme="1"/>
      <name val="Arial"/>
      <family val="2"/>
    </font>
    <font>
      <b/>
      <sz val="11"/>
      <name val="Calibri"/>
      <family val="2"/>
    </font>
    <font>
      <u val="doubleAccounting"/>
      <sz val="12"/>
      <color theme="1"/>
      <name val="Arial"/>
      <family val="2"/>
    </font>
    <font>
      <b/>
      <u val="singleAccounting"/>
      <sz val="12"/>
      <color theme="1"/>
      <name val="Arial"/>
      <family val="2"/>
    </font>
    <font>
      <b/>
      <u val="doubleAccounting"/>
      <sz val="12"/>
      <color theme="1"/>
      <name val="Arial"/>
      <family val="2"/>
    </font>
    <font>
      <u val="doubleAccounting"/>
      <sz val="12"/>
      <name val="Arial"/>
      <family val="2"/>
    </font>
    <font>
      <sz val="11"/>
      <name val="Calibri"/>
      <family val="2"/>
      <scheme val="minor"/>
    </font>
    <font>
      <b/>
      <u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24" fillId="0" borderId="8">
      <alignment horizontal="center"/>
    </xf>
    <xf numFmtId="3" fontId="23" fillId="0" borderId="0" applyFont="0" applyFill="0" applyBorder="0" applyAlignment="0" applyProtection="0"/>
    <xf numFmtId="0" fontId="23" fillId="3" borderId="0" applyNumberFormat="0" applyFon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5">
    <xf numFmtId="0" fontId="0" fillId="0" borderId="0" xfId="0"/>
    <xf numFmtId="0" fontId="3" fillId="0" borderId="0" xfId="0" applyFont="1"/>
    <xf numFmtId="43" fontId="0" fillId="0" borderId="0" xfId="1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0" applyNumberFormat="1"/>
    <xf numFmtId="43" fontId="6" fillId="0" borderId="0" xfId="0" applyNumberFormat="1" applyFont="1"/>
    <xf numFmtId="43" fontId="7" fillId="0" borderId="0" xfId="0" applyNumberFormat="1" applyFont="1"/>
    <xf numFmtId="165" fontId="0" fillId="0" borderId="0" xfId="3" applyNumberFormat="1" applyFont="1"/>
    <xf numFmtId="165" fontId="6" fillId="0" borderId="0" xfId="3" applyNumberFormat="1" applyFont="1"/>
    <xf numFmtId="165" fontId="7" fillId="0" borderId="0" xfId="3" applyNumberFormat="1" applyFont="1"/>
    <xf numFmtId="43" fontId="6" fillId="0" borderId="0" xfId="1" applyFont="1"/>
    <xf numFmtId="164" fontId="0" fillId="0" borderId="0" xfId="0" applyNumberFormat="1"/>
    <xf numFmtId="164" fontId="7" fillId="0" borderId="0" xfId="0" applyNumberFormat="1" applyFont="1"/>
    <xf numFmtId="43" fontId="7" fillId="0" borderId="0" xfId="1" applyFont="1"/>
    <xf numFmtId="43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4" fillId="0" borderId="0" xfId="0" applyFont="1"/>
    <xf numFmtId="0" fontId="2" fillId="0" borderId="0" xfId="5"/>
    <xf numFmtId="0" fontId="3" fillId="0" borderId="0" xfId="5" applyFont="1" applyAlignment="1">
      <alignment horizontal="center"/>
    </xf>
    <xf numFmtId="0" fontId="4" fillId="0" borderId="0" xfId="5" applyFont="1" applyAlignment="1">
      <alignment horizontal="center"/>
    </xf>
    <xf numFmtId="10" fontId="0" fillId="0" borderId="0" xfId="0" applyNumberFormat="1"/>
    <xf numFmtId="43" fontId="3" fillId="0" borderId="0" xfId="1" applyFont="1" applyAlignment="1">
      <alignment horizontal="center"/>
    </xf>
    <xf numFmtId="10" fontId="16" fillId="0" borderId="0" xfId="0" applyNumberFormat="1" applyFont="1"/>
    <xf numFmtId="44" fontId="16" fillId="0" borderId="0" xfId="0" applyNumberFormat="1" applyFont="1"/>
    <xf numFmtId="0" fontId="4" fillId="0" borderId="0" xfId="5" applyFont="1" applyFill="1" applyAlignment="1">
      <alignment horizontal="center"/>
    </xf>
    <xf numFmtId="0" fontId="14" fillId="2" borderId="2" xfId="0" applyFont="1" applyFill="1" applyBorder="1"/>
    <xf numFmtId="0" fontId="9" fillId="2" borderId="3" xfId="0" applyFont="1" applyFill="1" applyBorder="1"/>
    <xf numFmtId="0" fontId="17" fillId="2" borderId="3" xfId="0" applyFont="1" applyFill="1" applyBorder="1"/>
    <xf numFmtId="0" fontId="17" fillId="2" borderId="4" xfId="0" applyFont="1" applyFill="1" applyBorder="1"/>
    <xf numFmtId="0" fontId="8" fillId="2" borderId="5" xfId="0" applyFont="1" applyFill="1" applyBorder="1"/>
    <xf numFmtId="0" fontId="8" fillId="2" borderId="0" xfId="0" applyFont="1" applyFill="1" applyBorder="1"/>
    <xf numFmtId="0" fontId="18" fillId="2" borderId="0" xfId="0" applyFont="1" applyFill="1" applyBorder="1"/>
    <xf numFmtId="0" fontId="17" fillId="2" borderId="0" xfId="0" applyFont="1" applyFill="1" applyBorder="1"/>
    <xf numFmtId="0" fontId="17" fillId="2" borderId="6" xfId="0" applyFont="1" applyFill="1" applyBorder="1"/>
    <xf numFmtId="15" fontId="8" fillId="2" borderId="5" xfId="0" applyNumberFormat="1" applyFont="1" applyFill="1" applyBorder="1"/>
    <xf numFmtId="15" fontId="8" fillId="2" borderId="0" xfId="0" applyNumberFormat="1" applyFont="1" applyFill="1" applyBorder="1"/>
    <xf numFmtId="0" fontId="17" fillId="2" borderId="5" xfId="0" applyFont="1" applyFill="1" applyBorder="1"/>
    <xf numFmtId="0" fontId="8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10" xfId="0" applyFont="1" applyFill="1" applyBorder="1"/>
    <xf numFmtId="0" fontId="17" fillId="2" borderId="0" xfId="0" applyFont="1" applyFill="1" applyBorder="1" applyAlignment="1">
      <alignment horizontal="center"/>
    </xf>
    <xf numFmtId="41" fontId="17" fillId="2" borderId="0" xfId="0" applyNumberFormat="1" applyFont="1" applyFill="1" applyBorder="1"/>
    <xf numFmtId="44" fontId="11" fillId="2" borderId="0" xfId="7" applyFont="1" applyFill="1" applyBorder="1"/>
    <xf numFmtId="0" fontId="9" fillId="2" borderId="5" xfId="0" applyFont="1" applyFill="1" applyBorder="1"/>
    <xf numFmtId="0" fontId="9" fillId="2" borderId="0" xfId="0" applyFont="1" applyFill="1" applyBorder="1"/>
    <xf numFmtId="41" fontId="12" fillId="2" borderId="0" xfId="0" applyNumberFormat="1" applyFont="1" applyFill="1" applyBorder="1"/>
    <xf numFmtId="44" fontId="9" fillId="2" borderId="6" xfId="7" applyFont="1" applyFill="1" applyBorder="1"/>
    <xf numFmtId="165" fontId="9" fillId="2" borderId="0" xfId="7" applyNumberFormat="1" applyFont="1" applyFill="1" applyBorder="1"/>
    <xf numFmtId="165" fontId="9" fillId="2" borderId="0" xfId="3" applyNumberFormat="1" applyFont="1" applyFill="1" applyBorder="1"/>
    <xf numFmtId="44" fontId="12" fillId="2" borderId="6" xfId="7" applyNumberFormat="1" applyFont="1" applyFill="1" applyBorder="1"/>
    <xf numFmtId="44" fontId="12" fillId="2" borderId="6" xfId="7" applyFont="1" applyFill="1" applyBorder="1"/>
    <xf numFmtId="44" fontId="12" fillId="2" borderId="6" xfId="3" applyFont="1" applyFill="1" applyBorder="1"/>
    <xf numFmtId="44" fontId="8" fillId="2" borderId="11" xfId="7" applyNumberFormat="1" applyFont="1" applyFill="1" applyBorder="1"/>
    <xf numFmtId="44" fontId="8" fillId="2" borderId="11" xfId="7" applyFont="1" applyFill="1" applyBorder="1"/>
    <xf numFmtId="41" fontId="15" fillId="2" borderId="0" xfId="0" applyNumberFormat="1" applyFont="1" applyFill="1" applyBorder="1"/>
    <xf numFmtId="44" fontId="9" fillId="2" borderId="0" xfId="7" applyFont="1" applyFill="1" applyBorder="1"/>
    <xf numFmtId="44" fontId="2" fillId="0" borderId="0" xfId="0" applyNumberFormat="1" applyFont="1"/>
    <xf numFmtId="0" fontId="2" fillId="0" borderId="0" xfId="0" applyFont="1"/>
    <xf numFmtId="0" fontId="9" fillId="2" borderId="6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41" fontId="9" fillId="2" borderId="0" xfId="0" applyNumberFormat="1" applyFont="1" applyFill="1" applyBorder="1"/>
    <xf numFmtId="44" fontId="11" fillId="2" borderId="0" xfId="3" applyFont="1" applyFill="1" applyBorder="1"/>
    <xf numFmtId="5" fontId="9" fillId="2" borderId="0" xfId="0" applyNumberFormat="1" applyFont="1" applyFill="1" applyBorder="1"/>
    <xf numFmtId="44" fontId="9" fillId="2" borderId="6" xfId="3" applyNumberFormat="1" applyFont="1" applyFill="1" applyBorder="1"/>
    <xf numFmtId="44" fontId="8" fillId="2" borderId="11" xfId="3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164" fontId="0" fillId="0" borderId="0" xfId="1" applyNumberFormat="1" applyFont="1" applyFill="1"/>
    <xf numFmtId="44" fontId="0" fillId="0" borderId="0" xfId="3" applyFont="1"/>
    <xf numFmtId="10" fontId="16" fillId="0" borderId="0" xfId="4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0" fillId="0" borderId="0" xfId="0" applyNumberFormat="1" applyAlignment="1">
      <alignment horizontal="center"/>
    </xf>
    <xf numFmtId="10" fontId="25" fillId="0" borderId="0" xfId="4" applyNumberFormat="1" applyFont="1"/>
    <xf numFmtId="44" fontId="26" fillId="0" borderId="0" xfId="3" applyFont="1"/>
    <xf numFmtId="10" fontId="25" fillId="0" borderId="0" xfId="1" applyNumberFormat="1" applyFont="1"/>
    <xf numFmtId="0" fontId="27" fillId="0" borderId="0" xfId="0" applyFont="1" applyFill="1"/>
    <xf numFmtId="0" fontId="28" fillId="0" borderId="0" xfId="0" applyFont="1"/>
    <xf numFmtId="0" fontId="28" fillId="0" borderId="0" xfId="0" applyFont="1" applyBorder="1"/>
    <xf numFmtId="0" fontId="29" fillId="0" borderId="0" xfId="0" applyFont="1" applyBorder="1"/>
    <xf numFmtId="0" fontId="29" fillId="0" borderId="1" xfId="0" applyFont="1" applyBorder="1" applyAlignment="1">
      <alignment horizontal="center"/>
    </xf>
    <xf numFmtId="43" fontId="30" fillId="0" borderId="0" xfId="1" applyFont="1" applyBorder="1" applyAlignment="1" applyProtection="1">
      <alignment horizontal="right"/>
      <protection locked="0"/>
    </xf>
    <xf numFmtId="166" fontId="28" fillId="0" borderId="0" xfId="4" applyNumberFormat="1" applyFont="1" applyBorder="1"/>
    <xf numFmtId="0" fontId="27" fillId="0" borderId="0" xfId="0" applyFont="1" applyBorder="1"/>
    <xf numFmtId="43" fontId="27" fillId="0" borderId="12" xfId="1" applyFont="1" applyBorder="1"/>
    <xf numFmtId="0" fontId="29" fillId="0" borderId="0" xfId="0" applyFont="1" applyFill="1" applyBorder="1"/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9" fillId="2" borderId="1" xfId="0" applyFont="1" applyFill="1" applyBorder="1" applyAlignment="1" applyProtection="1">
      <alignment horizontal="center"/>
    </xf>
    <xf numFmtId="0" fontId="29" fillId="2" borderId="1" xfId="0" applyFont="1" applyFill="1" applyBorder="1" applyAlignment="1">
      <alignment horizontal="center"/>
    </xf>
    <xf numFmtId="17" fontId="29" fillId="0" borderId="0" xfId="0" applyNumberFormat="1" applyFont="1" applyFill="1" applyBorder="1" applyAlignment="1">
      <alignment horizontal="right"/>
    </xf>
    <xf numFmtId="44" fontId="30" fillId="0" borderId="0" xfId="3" applyFont="1" applyFill="1" applyBorder="1" applyProtection="1">
      <protection locked="0"/>
    </xf>
    <xf numFmtId="0" fontId="3" fillId="0" borderId="0" xfId="5" applyFont="1" applyFill="1" applyAlignment="1">
      <alignment horizontal="center"/>
    </xf>
    <xf numFmtId="166" fontId="31" fillId="0" borderId="0" xfId="4" applyNumberFormat="1" applyFont="1"/>
    <xf numFmtId="0" fontId="4" fillId="0" borderId="0" xfId="0" applyFont="1" applyAlignment="1">
      <alignment horizontal="center"/>
    </xf>
    <xf numFmtId="166" fontId="27" fillId="0" borderId="12" xfId="4" applyNumberFormat="1" applyFont="1" applyBorder="1"/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17" fontId="4" fillId="0" borderId="0" xfId="0" applyNumberFormat="1" applyFont="1"/>
    <xf numFmtId="0" fontId="5" fillId="0" borderId="0" xfId="0" applyFont="1"/>
    <xf numFmtId="164" fontId="6" fillId="0" borderId="0" xfId="1" applyNumberFormat="1" applyFont="1" applyFill="1"/>
    <xf numFmtId="164" fontId="3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164" fontId="20" fillId="0" borderId="0" xfId="0" applyNumberFormat="1" applyFont="1" applyFill="1"/>
    <xf numFmtId="166" fontId="0" fillId="0" borderId="0" xfId="4" applyNumberFormat="1" applyFont="1"/>
    <xf numFmtId="166" fontId="31" fillId="0" borderId="0" xfId="0" applyNumberFormat="1" applyFont="1"/>
    <xf numFmtId="44" fontId="20" fillId="0" borderId="0" xfId="0" applyNumberFormat="1" applyFont="1"/>
    <xf numFmtId="0" fontId="31" fillId="0" borderId="0" xfId="0" applyFont="1"/>
    <xf numFmtId="164" fontId="31" fillId="0" borderId="0" xfId="1" applyNumberFormat="1" applyFont="1"/>
    <xf numFmtId="164" fontId="31" fillId="0" borderId="0" xfId="0" applyNumberFormat="1" applyFont="1"/>
    <xf numFmtId="41" fontId="0" fillId="0" borderId="0" xfId="0" applyNumberFormat="1"/>
    <xf numFmtId="44" fontId="3" fillId="0" borderId="0" xfId="3" applyFont="1"/>
    <xf numFmtId="10" fontId="30" fillId="0" borderId="0" xfId="4" applyNumberFormat="1" applyFont="1" applyBorder="1" applyAlignment="1">
      <alignment horizontal="right"/>
    </xf>
    <xf numFmtId="43" fontId="30" fillId="0" borderId="0" xfId="1" applyFont="1" applyBorder="1" applyProtection="1">
      <protection locked="0"/>
    </xf>
    <xf numFmtId="0" fontId="27" fillId="0" borderId="0" xfId="0" applyFont="1"/>
    <xf numFmtId="0" fontId="0" fillId="0" borderId="0" xfId="0" applyNumberFormat="1"/>
    <xf numFmtId="43" fontId="33" fillId="0" borderId="0" xfId="0" applyNumberFormat="1" applyFont="1" applyBorder="1"/>
    <xf numFmtId="43" fontId="34" fillId="0" borderId="0" xfId="1" applyFont="1" applyBorder="1" applyAlignment="1" applyProtection="1">
      <alignment horizontal="right"/>
      <protection locked="0"/>
    </xf>
    <xf numFmtId="166" fontId="32" fillId="0" borderId="0" xfId="4" applyNumberFormat="1" applyFont="1" applyBorder="1"/>
    <xf numFmtId="0" fontId="35" fillId="0" borderId="0" xfId="0" applyFont="1"/>
    <xf numFmtId="0" fontId="36" fillId="0" borderId="0" xfId="0" applyFont="1"/>
    <xf numFmtId="44" fontId="17" fillId="2" borderId="0" xfId="3" applyFont="1" applyFill="1" applyBorder="1"/>
    <xf numFmtId="165" fontId="17" fillId="2" borderId="0" xfId="3" applyNumberFormat="1" applyFont="1" applyFill="1" applyBorder="1"/>
    <xf numFmtId="165" fontId="12" fillId="2" borderId="0" xfId="3" applyNumberFormat="1" applyFont="1" applyFill="1" applyBorder="1"/>
    <xf numFmtId="165" fontId="37" fillId="2" borderId="0" xfId="3" applyNumberFormat="1" applyFont="1" applyFill="1" applyBorder="1"/>
    <xf numFmtId="0" fontId="17" fillId="2" borderId="5" xfId="0" applyFont="1" applyFill="1" applyBorder="1" applyAlignment="1">
      <alignment horizontal="center"/>
    </xf>
    <xf numFmtId="44" fontId="9" fillId="2" borderId="0" xfId="3" applyFont="1" applyFill="1" applyBorder="1"/>
    <xf numFmtId="0" fontId="32" fillId="0" borderId="0" xfId="0" applyFont="1"/>
    <xf numFmtId="43" fontId="28" fillId="0" borderId="0" xfId="1" applyFont="1"/>
    <xf numFmtId="43" fontId="27" fillId="0" borderId="0" xfId="0" applyNumberFormat="1" applyFont="1"/>
    <xf numFmtId="9" fontId="15" fillId="2" borderId="0" xfId="4" applyFont="1" applyFill="1" applyBorder="1"/>
    <xf numFmtId="0" fontId="38" fillId="0" borderId="0" xfId="0" applyFont="1" applyBorder="1"/>
    <xf numFmtId="0" fontId="0" fillId="0" borderId="0" xfId="0" applyBorder="1"/>
    <xf numFmtId="0" fontId="39" fillId="0" borderId="0" xfId="0" quotePrefix="1" applyFont="1" applyAlignment="1">
      <alignment wrapText="1"/>
    </xf>
    <xf numFmtId="0" fontId="40" fillId="0" borderId="0" xfId="0" applyFont="1" applyAlignment="1">
      <alignment horizontal="right" wrapText="1"/>
    </xf>
    <xf numFmtId="0" fontId="41" fillId="0" borderId="0" xfId="0" applyFont="1" applyAlignment="1">
      <alignment horizontal="center" wrapText="1"/>
    </xf>
    <xf numFmtId="0" fontId="2" fillId="4" borderId="5" xfId="0" applyFont="1" applyFill="1" applyBorder="1" applyAlignment="1">
      <alignment wrapText="1"/>
    </xf>
    <xf numFmtId="166" fontId="2" fillId="0" borderId="0" xfId="4" applyNumberFormat="1" applyFont="1"/>
    <xf numFmtId="164" fontId="2" fillId="0" borderId="0" xfId="1" applyNumberFormat="1" applyFont="1" applyFill="1"/>
    <xf numFmtId="43" fontId="32" fillId="0" borderId="0" xfId="1" applyFont="1"/>
    <xf numFmtId="166" fontId="5" fillId="0" borderId="0" xfId="4" applyNumberFormat="1" applyFont="1"/>
    <xf numFmtId="44" fontId="8" fillId="2" borderId="6" xfId="7" applyNumberFormat="1" applyFont="1" applyFill="1" applyBorder="1"/>
    <xf numFmtId="0" fontId="10" fillId="2" borderId="5" xfId="0" applyFont="1" applyFill="1" applyBorder="1"/>
    <xf numFmtId="44" fontId="42" fillId="2" borderId="6" xfId="7" applyNumberFormat="1" applyFont="1" applyFill="1" applyBorder="1"/>
    <xf numFmtId="44" fontId="43" fillId="2" borderId="6" xfId="7" applyNumberFormat="1" applyFont="1" applyFill="1" applyBorder="1"/>
    <xf numFmtId="44" fontId="27" fillId="0" borderId="0" xfId="0" applyNumberFormat="1" applyFont="1" applyBorder="1"/>
    <xf numFmtId="164" fontId="0" fillId="0" borderId="0" xfId="1" applyNumberFormat="1" applyFont="1"/>
    <xf numFmtId="164" fontId="6" fillId="0" borderId="0" xfId="1" applyNumberFormat="1" applyFont="1"/>
    <xf numFmtId="164" fontId="7" fillId="0" borderId="0" xfId="1" applyNumberFormat="1" applyFont="1"/>
    <xf numFmtId="165" fontId="0" fillId="0" borderId="0" xfId="0" applyNumberFormat="1"/>
    <xf numFmtId="9" fontId="0" fillId="0" borderId="0" xfId="4" applyFont="1"/>
    <xf numFmtId="165" fontId="44" fillId="0" borderId="0" xfId="0" applyNumberFormat="1" applyFont="1"/>
    <xf numFmtId="41" fontId="44" fillId="0" borderId="0" xfId="0" applyNumberFormat="1" applyFont="1"/>
    <xf numFmtId="44" fontId="44" fillId="0" borderId="0" xfId="3" applyFont="1"/>
    <xf numFmtId="165" fontId="45" fillId="2" borderId="0" xfId="7" applyNumberFormat="1" applyFont="1" applyFill="1" applyBorder="1"/>
    <xf numFmtId="41" fontId="46" fillId="2" borderId="0" xfId="0" applyNumberFormat="1" applyFont="1" applyFill="1" applyBorder="1"/>
    <xf numFmtId="165" fontId="45" fillId="2" borderId="0" xfId="3" applyNumberFormat="1" applyFont="1" applyFill="1" applyBorder="1"/>
    <xf numFmtId="164" fontId="46" fillId="2" borderId="0" xfId="1" applyNumberFormat="1" applyFont="1" applyFill="1" applyBorder="1"/>
    <xf numFmtId="44" fontId="8" fillId="5" borderId="6" xfId="7" applyNumberFormat="1" applyFont="1" applyFill="1" applyBorder="1"/>
    <xf numFmtId="44" fontId="28" fillId="0" borderId="0" xfId="0" applyNumberFormat="1" applyFont="1" applyBorder="1"/>
    <xf numFmtId="43" fontId="28" fillId="0" borderId="0" xfId="0" applyNumberFormat="1" applyFont="1" applyBorder="1"/>
    <xf numFmtId="164" fontId="3" fillId="0" borderId="0" xfId="1" applyNumberFormat="1" applyFont="1"/>
    <xf numFmtId="164" fontId="3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43" fontId="30" fillId="0" borderId="0" xfId="1" applyFont="1"/>
    <xf numFmtId="9" fontId="15" fillId="2" borderId="0" xfId="4" applyFont="1" applyFill="1" applyBorder="1" applyAlignment="1">
      <alignment horizontal="center"/>
    </xf>
    <xf numFmtId="165" fontId="46" fillId="2" borderId="0" xfId="7" applyNumberFormat="1" applyFont="1" applyFill="1" applyBorder="1"/>
    <xf numFmtId="165" fontId="50" fillId="2" borderId="0" xfId="7" applyNumberFormat="1" applyFont="1" applyFill="1" applyBorder="1"/>
    <xf numFmtId="0" fontId="51" fillId="2" borderId="5" xfId="0" applyFont="1" applyFill="1" applyBorder="1"/>
    <xf numFmtId="41" fontId="51" fillId="2" borderId="0" xfId="0" applyNumberFormat="1" applyFont="1" applyFill="1" applyBorder="1"/>
    <xf numFmtId="165" fontId="51" fillId="2" borderId="0" xfId="3" applyNumberFormat="1" applyFont="1" applyFill="1" applyBorder="1"/>
    <xf numFmtId="43" fontId="34" fillId="0" borderId="0" xfId="1" applyFont="1"/>
    <xf numFmtId="44" fontId="43" fillId="5" borderId="6" xfId="7" applyNumberFormat="1" applyFont="1" applyFill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4" borderId="2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4" borderId="3" xfId="0" applyFont="1" applyFill="1" applyBorder="1" applyAlignment="1">
      <alignment horizontal="right" wrapText="1"/>
    </xf>
    <xf numFmtId="0" fontId="2" fillId="4" borderId="4" xfId="0" applyFont="1" applyFill="1" applyBorder="1" applyAlignment="1">
      <alignment horizontal="right" wrapText="1"/>
    </xf>
    <xf numFmtId="0" fontId="2" fillId="4" borderId="7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8" xfId="0" applyFont="1" applyFill="1" applyBorder="1" applyAlignment="1">
      <alignment horizontal="right" wrapText="1"/>
    </xf>
    <xf numFmtId="0" fontId="2" fillId="4" borderId="9" xfId="0" applyFont="1" applyFill="1" applyBorder="1" applyAlignment="1">
      <alignment horizontal="right" wrapText="1"/>
    </xf>
    <xf numFmtId="0" fontId="49" fillId="0" borderId="0" xfId="0" applyFont="1" applyAlignment="1">
      <alignment wrapText="1"/>
    </xf>
    <xf numFmtId="0" fontId="49" fillId="0" borderId="0" xfId="0" applyFont="1" applyAlignment="1">
      <alignment horizontal="right" wrapText="1"/>
    </xf>
    <xf numFmtId="44" fontId="3" fillId="0" borderId="0" xfId="3" applyFont="1" applyAlignment="1">
      <alignment horizontal="center"/>
    </xf>
    <xf numFmtId="44" fontId="20" fillId="0" borderId="0" xfId="3" applyFont="1" applyAlignment="1">
      <alignment horizontal="center"/>
    </xf>
    <xf numFmtId="0" fontId="52" fillId="0" borderId="0" xfId="0" applyFont="1" applyBorder="1"/>
    <xf numFmtId="0" fontId="52" fillId="0" borderId="0" xfId="0" applyFont="1" applyBorder="1" applyAlignment="1">
      <alignment horizontal="center"/>
    </xf>
    <xf numFmtId="164" fontId="53" fillId="0" borderId="0" xfId="0" applyNumberFormat="1" applyFont="1" applyBorder="1" applyAlignment="1">
      <alignment horizontal="center"/>
    </xf>
    <xf numFmtId="166" fontId="54" fillId="0" borderId="0" xfId="4" applyNumberFormat="1" applyFont="1" applyAlignment="1"/>
    <xf numFmtId="0" fontId="55" fillId="0" borderId="0" xfId="0" applyFont="1" applyFill="1" applyBorder="1"/>
    <xf numFmtId="164" fontId="53" fillId="0" borderId="0" xfId="0" applyNumberFormat="1" applyFont="1" applyBorder="1" applyAlignment="1"/>
    <xf numFmtId="0" fontId="55" fillId="0" borderId="0" xfId="0" applyFont="1" applyAlignment="1">
      <alignment wrapText="1"/>
    </xf>
    <xf numFmtId="165" fontId="5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6" fontId="49" fillId="0" borderId="0" xfId="4" applyNumberFormat="1" applyFont="1" applyAlignment="1">
      <alignment horizontal="center" wrapText="1"/>
    </xf>
    <xf numFmtId="165" fontId="55" fillId="0" borderId="0" xfId="3" applyNumberFormat="1" applyFont="1" applyAlignment="1">
      <alignment horizontal="right"/>
    </xf>
    <xf numFmtId="0" fontId="55" fillId="0" borderId="0" xfId="0" applyFont="1" applyBorder="1" applyAlignment="1">
      <alignment wrapText="1"/>
    </xf>
    <xf numFmtId="9" fontId="49" fillId="0" borderId="0" xfId="4" applyFont="1" applyAlignment="1">
      <alignment horizontal="center" wrapText="1"/>
    </xf>
    <xf numFmtId="165" fontId="52" fillId="0" borderId="0" xfId="3" applyNumberFormat="1" applyFont="1" applyBorder="1" applyAlignment="1">
      <alignment horizontal="center"/>
    </xf>
    <xf numFmtId="165" fontId="53" fillId="0" borderId="0" xfId="4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165" fontId="20" fillId="0" borderId="0" xfId="3" applyNumberFormat="1" applyFont="1" applyAlignment="1">
      <alignment horizontal="right"/>
    </xf>
    <xf numFmtId="0" fontId="3" fillId="0" borderId="0" xfId="0" applyFont="1" applyAlignment="1">
      <alignment horizontal="right" wrapText="1"/>
    </xf>
    <xf numFmtId="165" fontId="56" fillId="0" borderId="0" xfId="3" applyNumberFormat="1" applyFont="1" applyAlignment="1">
      <alignment horizontal="right"/>
    </xf>
    <xf numFmtId="0" fontId="52" fillId="0" borderId="0" xfId="0" applyFont="1" applyBorder="1" applyAlignment="1"/>
    <xf numFmtId="0" fontId="16" fillId="0" borderId="0" xfId="0" applyFont="1" applyAlignment="1">
      <alignment horizontal="right" wrapText="1"/>
    </xf>
    <xf numFmtId="165" fontId="2" fillId="0" borderId="0" xfId="3" applyNumberFormat="1" applyFont="1" applyAlignment="1">
      <alignment horizontal="right"/>
    </xf>
    <xf numFmtId="0" fontId="49" fillId="0" borderId="0" xfId="0" applyFont="1" applyBorder="1" applyAlignment="1">
      <alignment horizontal="right" wrapText="1"/>
    </xf>
    <xf numFmtId="165" fontId="6" fillId="0" borderId="0" xfId="3" applyNumberFormat="1" applyFont="1" applyAlignment="1">
      <alignment horizontal="right"/>
    </xf>
    <xf numFmtId="6" fontId="3" fillId="0" borderId="0" xfId="3" applyNumberFormat="1" applyFont="1" applyAlignment="1">
      <alignment horizontal="right" wrapText="1"/>
    </xf>
    <xf numFmtId="6" fontId="3" fillId="0" borderId="0" xfId="3" applyNumberFormat="1" applyFont="1" applyAlignment="1">
      <alignment horizontal="right"/>
    </xf>
    <xf numFmtId="165" fontId="7" fillId="0" borderId="0" xfId="3" applyNumberFormat="1" applyFont="1" applyAlignment="1">
      <alignment horizontal="right"/>
    </xf>
    <xf numFmtId="165" fontId="31" fillId="0" borderId="0" xfId="3" applyNumberFormat="1" applyFont="1" applyAlignment="1">
      <alignment horizontal="right"/>
    </xf>
    <xf numFmtId="6" fontId="49" fillId="0" borderId="0" xfId="3" applyNumberFormat="1" applyFont="1" applyAlignment="1">
      <alignment horizontal="right" wrapText="1"/>
    </xf>
    <xf numFmtId="6" fontId="3" fillId="0" borderId="0" xfId="3" applyNumberFormat="1" applyFont="1" applyAlignment="1">
      <alignment horizontal="center" wrapText="1"/>
    </xf>
    <xf numFmtId="166" fontId="31" fillId="0" borderId="0" xfId="4" applyNumberFormat="1" applyFont="1" applyAlignment="1">
      <alignment horizontal="center"/>
    </xf>
    <xf numFmtId="43" fontId="31" fillId="0" borderId="0" xfId="1" applyFont="1" applyAlignment="1">
      <alignment horizontal="center"/>
    </xf>
    <xf numFmtId="44" fontId="31" fillId="0" borderId="0" xfId="3" applyFont="1" applyAlignment="1">
      <alignment horizontal="center"/>
    </xf>
    <xf numFmtId="0" fontId="52" fillId="4" borderId="5" xfId="0" applyFont="1" applyFill="1" applyBorder="1" applyAlignment="1">
      <alignment wrapText="1"/>
    </xf>
    <xf numFmtId="0" fontId="52" fillId="4" borderId="0" xfId="0" applyFont="1" applyFill="1" applyBorder="1" applyAlignment="1">
      <alignment horizontal="center" wrapText="1"/>
    </xf>
    <xf numFmtId="0" fontId="52" fillId="4" borderId="0" xfId="0" applyFont="1" applyFill="1" applyBorder="1"/>
    <xf numFmtId="0" fontId="52" fillId="4" borderId="6" xfId="0" applyFont="1" applyFill="1" applyBorder="1" applyAlignment="1">
      <alignment horizontal="center"/>
    </xf>
    <xf numFmtId="164" fontId="48" fillId="4" borderId="0" xfId="1" applyNumberFormat="1" applyFont="1" applyFill="1" applyBorder="1" applyAlignment="1">
      <alignment horizontal="center" wrapText="1"/>
    </xf>
    <xf numFmtId="165" fontId="48" fillId="4" borderId="0" xfId="3" applyNumberFormat="1" applyFont="1" applyFill="1" applyBorder="1"/>
    <xf numFmtId="165" fontId="48" fillId="4" borderId="6" xfId="3" applyNumberFormat="1" applyFont="1" applyFill="1" applyBorder="1"/>
    <xf numFmtId="164" fontId="57" fillId="4" borderId="0" xfId="1" applyNumberFormat="1" applyFont="1" applyFill="1" applyBorder="1" applyAlignment="1">
      <alignment horizontal="center" wrapText="1"/>
    </xf>
    <xf numFmtId="165" fontId="57" fillId="4" borderId="6" xfId="3" applyNumberFormat="1" applyFont="1" applyFill="1" applyBorder="1"/>
    <xf numFmtId="0" fontId="3" fillId="4" borderId="5" xfId="0" applyFont="1" applyFill="1" applyBorder="1" applyAlignment="1">
      <alignment wrapText="1"/>
    </xf>
    <xf numFmtId="164" fontId="7" fillId="4" borderId="0" xfId="1" applyNumberFormat="1" applyFont="1" applyFill="1" applyBorder="1" applyAlignment="1">
      <alignment horizontal="center" wrapText="1"/>
    </xf>
    <xf numFmtId="165" fontId="53" fillId="4" borderId="6" xfId="3" applyNumberFormat="1" applyFont="1" applyFill="1" applyBorder="1"/>
    <xf numFmtId="44" fontId="28" fillId="0" borderId="0" xfId="3" applyFont="1" applyBorder="1"/>
    <xf numFmtId="17" fontId="29" fillId="2" borderId="0" xfId="0" applyNumberFormat="1" applyFont="1" applyFill="1" applyBorder="1" applyAlignment="1">
      <alignment horizontal="center"/>
    </xf>
    <xf numFmtId="43" fontId="32" fillId="0" borderId="0" xfId="1" applyFont="1" applyBorder="1"/>
    <xf numFmtId="0" fontId="41" fillId="0" borderId="0" xfId="0" applyFont="1" applyAlignment="1">
      <alignment wrapText="1"/>
    </xf>
    <xf numFmtId="165" fontId="31" fillId="0" borderId="0" xfId="3" applyNumberFormat="1" applyFont="1" applyAlignment="1">
      <alignment horizontal="center"/>
    </xf>
    <xf numFmtId="0" fontId="58" fillId="0" borderId="0" xfId="0" applyFont="1" applyAlignment="1">
      <alignment wrapText="1"/>
    </xf>
    <xf numFmtId="0" fontId="30" fillId="0" borderId="0" xfId="0" applyFont="1"/>
    <xf numFmtId="0" fontId="17" fillId="2" borderId="0" xfId="0" applyFont="1" applyFill="1"/>
    <xf numFmtId="165" fontId="17" fillId="2" borderId="0" xfId="3" applyNumberFormat="1" applyFont="1" applyFill="1"/>
    <xf numFmtId="0" fontId="9" fillId="2" borderId="0" xfId="0" applyFont="1" applyFill="1"/>
    <xf numFmtId="41" fontId="17" fillId="2" borderId="0" xfId="0" applyNumberFormat="1" applyFont="1" applyFill="1"/>
    <xf numFmtId="165" fontId="37" fillId="2" borderId="0" xfId="3" applyNumberFormat="1" applyFont="1" applyFill="1"/>
    <xf numFmtId="165" fontId="61" fillId="2" borderId="0" xfId="3" applyNumberFormat="1" applyFont="1" applyFill="1" applyBorder="1"/>
    <xf numFmtId="41" fontId="61" fillId="2" borderId="0" xfId="0" applyNumberFormat="1" applyFont="1" applyFill="1" applyBorder="1"/>
    <xf numFmtId="41" fontId="62" fillId="2" borderId="0" xfId="0" applyNumberFormat="1" applyFont="1" applyFill="1" applyBorder="1"/>
    <xf numFmtId="0" fontId="59" fillId="2" borderId="0" xfId="0" applyFont="1" applyFill="1" applyBorder="1"/>
    <xf numFmtId="41" fontId="43" fillId="2" borderId="0" xfId="0" applyNumberFormat="1" applyFont="1" applyFill="1" applyBorder="1"/>
    <xf numFmtId="0" fontId="43" fillId="2" borderId="0" xfId="0" applyFont="1" applyFill="1" applyBorder="1"/>
    <xf numFmtId="165" fontId="43" fillId="2" borderId="0" xfId="3" applyNumberFormat="1" applyFont="1" applyFill="1" applyBorder="1"/>
    <xf numFmtId="165" fontId="60" fillId="2" borderId="0" xfId="3" applyNumberFormat="1" applyFont="1" applyFill="1" applyBorder="1"/>
    <xf numFmtId="0" fontId="8" fillId="2" borderId="7" xfId="0" applyFont="1" applyFill="1" applyBorder="1"/>
    <xf numFmtId="0" fontId="8" fillId="2" borderId="8" xfId="0" applyFont="1" applyFill="1" applyBorder="1"/>
    <xf numFmtId="0" fontId="17" fillId="2" borderId="8" xfId="0" applyFont="1" applyFill="1" applyBorder="1"/>
    <xf numFmtId="44" fontId="8" fillId="2" borderId="9" xfId="7" applyNumberFormat="1" applyFont="1" applyFill="1" applyBorder="1"/>
    <xf numFmtId="165" fontId="59" fillId="2" borderId="0" xfId="3" applyNumberFormat="1" applyFont="1" applyFill="1"/>
    <xf numFmtId="0" fontId="51" fillId="2" borderId="0" xfId="0" applyFont="1" applyFill="1" applyBorder="1"/>
    <xf numFmtId="0" fontId="51" fillId="2" borderId="6" xfId="0" applyFont="1" applyFill="1" applyBorder="1"/>
    <xf numFmtId="0" fontId="63" fillId="0" borderId="0" xfId="0" applyFont="1" applyAlignment="1">
      <alignment wrapText="1"/>
    </xf>
    <xf numFmtId="165" fontId="3" fillId="0" borderId="0" xfId="0" applyNumberFormat="1" applyFont="1"/>
    <xf numFmtId="165" fontId="17" fillId="2" borderId="0" xfId="0" applyNumberFormat="1" applyFont="1" applyFill="1"/>
    <xf numFmtId="165" fontId="17" fillId="2" borderId="6" xfId="0" applyNumberFormat="1" applyFont="1" applyFill="1" applyBorder="1"/>
    <xf numFmtId="165" fontId="37" fillId="5" borderId="0" xfId="3" applyNumberFormat="1" applyFont="1" applyFill="1"/>
    <xf numFmtId="164" fontId="4" fillId="0" borderId="0" xfId="1" applyNumberFormat="1" applyFont="1" applyAlignment="1">
      <alignment horizontal="left"/>
    </xf>
    <xf numFmtId="164" fontId="64" fillId="0" borderId="0" xfId="1" applyNumberFormat="1" applyFont="1" applyAlignment="1">
      <alignment horizontal="left"/>
    </xf>
    <xf numFmtId="44" fontId="34" fillId="0" borderId="0" xfId="0" applyNumberFormat="1" applyFont="1" applyBorder="1"/>
    <xf numFmtId="43" fontId="34" fillId="0" borderId="0" xfId="1" applyFont="1" applyBorder="1"/>
    <xf numFmtId="43" fontId="29" fillId="0" borderId="12" xfId="1" applyFont="1" applyBorder="1"/>
    <xf numFmtId="0" fontId="19" fillId="2" borderId="5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3" fillId="0" borderId="1" xfId="5" applyFont="1" applyBorder="1" applyAlignment="1">
      <alignment horizontal="center"/>
    </xf>
    <xf numFmtId="17" fontId="29" fillId="2" borderId="0" xfId="0" applyNumberFormat="1" applyFont="1" applyFill="1" applyBorder="1" applyAlignment="1">
      <alignment horizontal="center"/>
    </xf>
    <xf numFmtId="165" fontId="3" fillId="0" borderId="0" xfId="3" applyNumberFormat="1" applyFont="1" applyAlignment="1">
      <alignment horizontal="center"/>
    </xf>
    <xf numFmtId="164" fontId="20" fillId="0" borderId="0" xfId="1" applyNumberFormat="1" applyFont="1" applyAlignment="1">
      <alignment horizontal="center"/>
    </xf>
    <xf numFmtId="0" fontId="4" fillId="0" borderId="0" xfId="0" applyFont="1" applyAlignment="1">
      <alignment wrapText="1"/>
    </xf>
    <xf numFmtId="44" fontId="5" fillId="0" borderId="0" xfId="3" applyFont="1"/>
    <xf numFmtId="44" fontId="7" fillId="0" borderId="0" xfId="0" applyNumberFormat="1" applyFont="1"/>
  </cellXfs>
  <cellStyles count="20">
    <cellStyle name="Comma" xfId="1" builtinId="3"/>
    <cellStyle name="Comma 10" xfId="15" xr:uid="{00000000-0005-0000-0000-000001000000}"/>
    <cellStyle name="Comma 2" xfId="18" xr:uid="{47FD33DA-9B16-45C6-9651-DE83A2574855}"/>
    <cellStyle name="Comma 3" xfId="2" xr:uid="{00000000-0005-0000-0000-000002000000}"/>
    <cellStyle name="Currency" xfId="3" builtinId="4"/>
    <cellStyle name="Currency 2" xfId="7" xr:uid="{00000000-0005-0000-0000-000004000000}"/>
    <cellStyle name="Currency 2 6 2 2" xfId="17" xr:uid="{4569FD3E-A105-4853-B874-8A1AA2DF8635}"/>
    <cellStyle name="Normal" xfId="0" builtinId="0"/>
    <cellStyle name="Normal 21" xfId="14" xr:uid="{00000000-0005-0000-0000-000006000000}"/>
    <cellStyle name="Normal 3" xfId="5" xr:uid="{00000000-0005-0000-0000-000007000000}"/>
    <cellStyle name="Percent" xfId="4" builtinId="5"/>
    <cellStyle name="Percent 13" xfId="16" xr:uid="{00000000-0005-0000-0000-000009000000}"/>
    <cellStyle name="Percent 2" xfId="19" xr:uid="{B4109315-16C4-409F-8E91-6C317839CD3B}"/>
    <cellStyle name="Percent 4" xfId="6" xr:uid="{00000000-0005-0000-0000-00000A000000}"/>
    <cellStyle name="PSChar" xfId="8" xr:uid="{00000000-0005-0000-0000-00000B000000}"/>
    <cellStyle name="PSDate" xfId="9" xr:uid="{00000000-0005-0000-0000-00000C000000}"/>
    <cellStyle name="PSDec" xfId="10" xr:uid="{00000000-0005-0000-0000-00000D000000}"/>
    <cellStyle name="PSHeading" xfId="11" xr:uid="{00000000-0005-0000-0000-00000E000000}"/>
    <cellStyle name="PSInt" xfId="12" xr:uid="{00000000-0005-0000-0000-00000F000000}"/>
    <cellStyle name="PSSpacer" xfId="13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409575</xdr:colOff>
      <xdr:row>0</xdr:row>
      <xdr:rowOff>123825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1181100" y="1933575"/>
          <a:ext cx="409575" cy="1390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4</xdr:row>
      <xdr:rowOff>0</xdr:rowOff>
    </xdr:from>
    <xdr:to>
      <xdr:col>2</xdr:col>
      <xdr:colOff>409575</xdr:colOff>
      <xdr:row>18</xdr:row>
      <xdr:rowOff>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6B44CD38-EDD0-4A93-875A-A2107CC0B0EA}"/>
            </a:ext>
          </a:extLst>
        </xdr:cNvPr>
        <xdr:cNvSpPr>
          <a:spLocks noChangeShapeType="1"/>
        </xdr:cNvSpPr>
      </xdr:nvSpPr>
      <xdr:spPr bwMode="auto">
        <a:xfrm>
          <a:off x="1181100" y="1809750"/>
          <a:ext cx="409575" cy="1390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0</xdr:row>
      <xdr:rowOff>133350</xdr:rowOff>
    </xdr:from>
    <xdr:to>
      <xdr:col>2</xdr:col>
      <xdr:colOff>409575</xdr:colOff>
      <xdr:row>10</xdr:row>
      <xdr:rowOff>85725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240B0E61-95BF-4667-A83E-7A170F410638}"/>
            </a:ext>
          </a:extLst>
        </xdr:cNvPr>
        <xdr:cNvSpPr>
          <a:spLocks noChangeShapeType="1"/>
        </xdr:cNvSpPr>
      </xdr:nvSpPr>
      <xdr:spPr bwMode="auto">
        <a:xfrm>
          <a:off x="1181100" y="438150"/>
          <a:ext cx="409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0</xdr:row>
      <xdr:rowOff>133350</xdr:rowOff>
    </xdr:from>
    <xdr:to>
      <xdr:col>2</xdr:col>
      <xdr:colOff>409575</xdr:colOff>
      <xdr:row>10</xdr:row>
      <xdr:rowOff>85725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A6BCEA4A-4E19-4CD7-B202-ADCA3964338F}"/>
            </a:ext>
          </a:extLst>
        </xdr:cNvPr>
        <xdr:cNvSpPr>
          <a:spLocks noChangeShapeType="1"/>
        </xdr:cNvSpPr>
      </xdr:nvSpPr>
      <xdr:spPr bwMode="auto">
        <a:xfrm>
          <a:off x="1181100" y="438150"/>
          <a:ext cx="409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8</xdr:col>
      <xdr:colOff>647700</xdr:colOff>
      <xdr:row>4</xdr:row>
      <xdr:rowOff>0</xdr:rowOff>
    </xdr:from>
    <xdr:to>
      <xdr:col>9</xdr:col>
      <xdr:colOff>457200</xdr:colOff>
      <xdr:row>17</xdr:row>
      <xdr:rowOff>76200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F836954D-B1FE-4ACC-98C4-2BFAD304054A}"/>
            </a:ext>
          </a:extLst>
        </xdr:cNvPr>
        <xdr:cNvSpPr>
          <a:spLocks noChangeShapeType="1"/>
        </xdr:cNvSpPr>
      </xdr:nvSpPr>
      <xdr:spPr bwMode="auto">
        <a:xfrm>
          <a:off x="5495925" y="1495425"/>
          <a:ext cx="590550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5"/>
  <sheetViews>
    <sheetView tabSelected="1" zoomScale="80" zoomScaleNormal="80" workbookViewId="0">
      <selection activeCell="D10" sqref="D10"/>
    </sheetView>
  </sheetViews>
  <sheetFormatPr defaultRowHeight="12.75" x14ac:dyDescent="0.2"/>
  <cols>
    <col min="1" max="1" width="73.140625" bestFit="1" customWidth="1"/>
    <col min="3" max="3" width="13.42578125" bestFit="1" customWidth="1"/>
    <col min="5" max="5" width="15.5703125" bestFit="1" customWidth="1"/>
    <col min="6" max="6" width="14.28515625" bestFit="1" customWidth="1"/>
    <col min="7" max="7" width="12.42578125" bestFit="1" customWidth="1"/>
    <col min="8" max="8" width="30.42578125" customWidth="1"/>
    <col min="9" max="9" width="8.42578125" bestFit="1" customWidth="1"/>
    <col min="10" max="10" width="63.42578125" customWidth="1"/>
    <col min="11" max="11" width="2.42578125" customWidth="1"/>
    <col min="12" max="12" width="13.42578125" bestFit="1" customWidth="1"/>
    <col min="13" max="13" width="13.42578125" customWidth="1"/>
    <col min="14" max="14" width="14" bestFit="1" customWidth="1"/>
    <col min="15" max="15" width="14.28515625" bestFit="1" customWidth="1"/>
    <col min="16" max="16" width="8.42578125" bestFit="1" customWidth="1"/>
    <col min="17" max="17" width="63.42578125" customWidth="1"/>
    <col min="18" max="18" width="3.28515625" customWidth="1"/>
    <col min="19" max="19" width="13.42578125" bestFit="1" customWidth="1"/>
    <col min="20" max="20" width="13.42578125" customWidth="1"/>
    <col min="21" max="21" width="14" bestFit="1" customWidth="1"/>
    <col min="22" max="22" width="12.28515625" bestFit="1" customWidth="1"/>
    <col min="23" max="23" width="11.5703125" bestFit="1" customWidth="1"/>
  </cols>
  <sheetData>
    <row r="1" spans="1:7" ht="23.25" x14ac:dyDescent="0.35">
      <c r="A1" s="31" t="s">
        <v>57</v>
      </c>
      <c r="B1" s="32"/>
      <c r="C1" s="33"/>
      <c r="D1" s="33"/>
      <c r="E1" s="33"/>
      <c r="F1" s="33"/>
      <c r="G1" s="34"/>
    </row>
    <row r="2" spans="1:7" ht="15.75" x14ac:dyDescent="0.25">
      <c r="A2" s="35" t="s">
        <v>187</v>
      </c>
      <c r="B2" s="36"/>
      <c r="C2" s="37"/>
      <c r="D2" s="37"/>
      <c r="E2" s="38"/>
      <c r="F2" s="38"/>
      <c r="G2" s="39"/>
    </row>
    <row r="3" spans="1:7" ht="15.75" x14ac:dyDescent="0.25">
      <c r="A3" s="40"/>
      <c r="B3" s="41"/>
      <c r="C3" s="38"/>
      <c r="D3" s="38"/>
      <c r="E3" s="38"/>
      <c r="F3" s="38"/>
      <c r="G3" s="39"/>
    </row>
    <row r="4" spans="1:7" ht="15" x14ac:dyDescent="0.2">
      <c r="A4" s="282" t="s">
        <v>21</v>
      </c>
      <c r="B4" s="283"/>
      <c r="C4" s="283"/>
      <c r="D4" s="283"/>
      <c r="E4" s="283"/>
      <c r="F4" s="283"/>
      <c r="G4" s="284"/>
    </row>
    <row r="5" spans="1:7" ht="15" x14ac:dyDescent="0.2">
      <c r="A5" s="42"/>
      <c r="B5" s="38"/>
      <c r="C5" s="38"/>
      <c r="D5" s="38"/>
      <c r="E5" s="38"/>
      <c r="F5" s="38"/>
      <c r="G5" s="39"/>
    </row>
    <row r="6" spans="1:7" ht="15.75" x14ac:dyDescent="0.25">
      <c r="A6" s="42"/>
      <c r="B6" s="38"/>
      <c r="C6" s="43"/>
      <c r="D6" s="43"/>
      <c r="E6" s="43" t="s">
        <v>13</v>
      </c>
      <c r="F6" s="43" t="s">
        <v>3</v>
      </c>
      <c r="G6" s="39"/>
    </row>
    <row r="7" spans="1:7" ht="15.75" x14ac:dyDescent="0.25">
      <c r="A7" s="42"/>
      <c r="B7" s="38"/>
      <c r="C7" s="44" t="s">
        <v>5</v>
      </c>
      <c r="D7" s="44"/>
      <c r="E7" s="44" t="s">
        <v>22</v>
      </c>
      <c r="F7" s="44" t="s">
        <v>6</v>
      </c>
      <c r="G7" s="39"/>
    </row>
    <row r="8" spans="1:7" ht="15.75" x14ac:dyDescent="0.25">
      <c r="A8" s="45" t="s">
        <v>188</v>
      </c>
      <c r="B8" s="36"/>
      <c r="C8" s="46"/>
      <c r="D8" s="46"/>
      <c r="E8" s="46"/>
      <c r="F8" s="46"/>
      <c r="G8" s="39"/>
    </row>
    <row r="9" spans="1:7" ht="15.75" x14ac:dyDescent="0.25">
      <c r="A9" s="42" t="s">
        <v>161</v>
      </c>
      <c r="B9" s="38"/>
      <c r="C9" s="47">
        <f>+'Res''l &amp; MF Customers'!C12+'Res''l &amp; MF Customers'!D12</f>
        <v>51552</v>
      </c>
      <c r="D9" s="47"/>
      <c r="E9" s="48">
        <f>+E77</f>
        <v>1.08</v>
      </c>
      <c r="F9" s="131">
        <f>C9*E9</f>
        <v>55676.160000000003</v>
      </c>
      <c r="G9" s="39"/>
    </row>
    <row r="10" spans="1:7" ht="17.25" x14ac:dyDescent="0.35">
      <c r="A10" s="49" t="s">
        <v>162</v>
      </c>
      <c r="B10" s="50"/>
      <c r="C10" s="51">
        <f>SUM('Res''l &amp; MF Customers'!E12:N12)</f>
        <v>260572</v>
      </c>
      <c r="D10" s="51"/>
      <c r="E10" s="48">
        <f>+G99</f>
        <v>1.06</v>
      </c>
      <c r="F10" s="132">
        <f>C10*E10</f>
        <v>276206.32</v>
      </c>
      <c r="G10" s="39"/>
    </row>
    <row r="11" spans="1:7" ht="18" x14ac:dyDescent="0.4">
      <c r="A11" s="178" t="s">
        <v>154</v>
      </c>
      <c r="B11" s="38"/>
      <c r="C11" s="258">
        <f>SUM(C9:C10)</f>
        <v>312124</v>
      </c>
      <c r="D11" s="259"/>
      <c r="E11" s="260"/>
      <c r="F11" s="257">
        <f>SUM(F9:F10)</f>
        <v>331882.48</v>
      </c>
      <c r="G11" s="39"/>
    </row>
    <row r="12" spans="1:7" ht="15" x14ac:dyDescent="0.2">
      <c r="A12" s="42"/>
      <c r="B12" s="38"/>
      <c r="C12" s="38"/>
      <c r="D12" s="38"/>
      <c r="E12" s="38"/>
      <c r="F12" s="38"/>
      <c r="G12" s="39"/>
    </row>
    <row r="13" spans="1:7" ht="18" x14ac:dyDescent="0.4">
      <c r="A13" s="35" t="s">
        <v>148</v>
      </c>
      <c r="B13" s="38"/>
      <c r="C13" s="38"/>
      <c r="D13" s="38"/>
      <c r="E13" s="38"/>
      <c r="F13" s="257">
        <f>+'Tons &amp; Revenue'!M139</f>
        <v>454035.46273988811</v>
      </c>
      <c r="G13" s="39"/>
    </row>
    <row r="14" spans="1:7" ht="18" x14ac:dyDescent="0.4">
      <c r="A14" s="35"/>
      <c r="B14" s="38"/>
      <c r="C14" s="38"/>
      <c r="D14" s="38"/>
      <c r="E14" s="38"/>
      <c r="F14" s="257"/>
      <c r="G14" s="39"/>
    </row>
    <row r="15" spans="1:7" ht="17.25" x14ac:dyDescent="0.35">
      <c r="A15" s="49" t="s">
        <v>176</v>
      </c>
      <c r="B15" s="252"/>
      <c r="C15" s="252"/>
      <c r="D15" s="252"/>
      <c r="E15" s="274"/>
      <c r="F15" s="269">
        <f>+F13*50%</f>
        <v>227017.73136994406</v>
      </c>
      <c r="G15" s="275"/>
    </row>
    <row r="16" spans="1:7" ht="17.25" x14ac:dyDescent="0.35">
      <c r="A16" s="49"/>
      <c r="B16" s="252"/>
      <c r="C16" s="252"/>
      <c r="D16" s="252"/>
      <c r="E16" s="252"/>
      <c r="F16" s="269"/>
      <c r="G16" s="39"/>
    </row>
    <row r="17" spans="1:7" ht="15" x14ac:dyDescent="0.2">
      <c r="A17" s="49"/>
      <c r="B17" s="252"/>
      <c r="C17" s="252"/>
      <c r="D17" s="252"/>
      <c r="E17" s="252"/>
      <c r="F17" s="252"/>
      <c r="G17" s="39"/>
    </row>
    <row r="18" spans="1:7" ht="17.25" x14ac:dyDescent="0.35">
      <c r="A18" s="49"/>
      <c r="B18" s="252"/>
      <c r="C18" s="252"/>
      <c r="D18" s="252"/>
      <c r="E18" s="252"/>
      <c r="F18" s="256"/>
      <c r="G18" s="39"/>
    </row>
    <row r="19" spans="1:7" ht="15.75" x14ac:dyDescent="0.25">
      <c r="A19" s="178" t="s">
        <v>24</v>
      </c>
      <c r="B19" s="270"/>
      <c r="C19" s="270"/>
      <c r="D19" s="270"/>
      <c r="E19" s="270"/>
      <c r="F19" s="180">
        <f>F13-F11-F15</f>
        <v>-104864.74863005592</v>
      </c>
      <c r="G19" s="271"/>
    </row>
    <row r="20" spans="1:7" ht="15" x14ac:dyDescent="0.2">
      <c r="A20" s="42"/>
      <c r="B20" s="38"/>
      <c r="C20" s="38"/>
      <c r="D20" s="38"/>
      <c r="E20" s="38"/>
      <c r="F20" s="255"/>
      <c r="G20" s="39"/>
    </row>
    <row r="21" spans="1:7" ht="15" x14ac:dyDescent="0.2">
      <c r="A21" s="42" t="s">
        <v>25</v>
      </c>
      <c r="B21" s="38"/>
      <c r="C21" s="38"/>
      <c r="D21" s="38"/>
      <c r="E21" s="38"/>
      <c r="F21" s="47">
        <f>+F31</f>
        <v>312124</v>
      </c>
      <c r="G21" s="39"/>
    </row>
    <row r="22" spans="1:7" ht="15" x14ac:dyDescent="0.2">
      <c r="A22" s="42"/>
      <c r="B22" s="38"/>
      <c r="C22" s="38"/>
      <c r="D22" s="38"/>
      <c r="E22" s="38"/>
      <c r="F22" s="38"/>
      <c r="G22" s="39"/>
    </row>
    <row r="23" spans="1:7" ht="15" x14ac:dyDescent="0.2">
      <c r="A23" s="42" t="s">
        <v>26</v>
      </c>
      <c r="B23" s="38"/>
      <c r="C23" s="38"/>
      <c r="D23" s="38"/>
      <c r="E23" s="38"/>
      <c r="F23" s="61"/>
      <c r="G23" s="52">
        <f>ROUND(F19/F21,2)</f>
        <v>-0.34</v>
      </c>
    </row>
    <row r="24" spans="1:7" ht="15" x14ac:dyDescent="0.2">
      <c r="A24" s="42"/>
      <c r="B24" s="38"/>
      <c r="C24" s="38"/>
      <c r="D24" s="38"/>
      <c r="E24" s="38"/>
      <c r="F24" s="38"/>
      <c r="G24" s="52"/>
    </row>
    <row r="25" spans="1:7" ht="15" x14ac:dyDescent="0.2">
      <c r="A25" s="42"/>
      <c r="B25" s="38"/>
      <c r="C25" s="38"/>
      <c r="D25" s="38"/>
      <c r="E25" s="38"/>
      <c r="F25" s="38"/>
      <c r="G25" s="52"/>
    </row>
    <row r="26" spans="1:7" ht="15" x14ac:dyDescent="0.2">
      <c r="A26" s="42"/>
      <c r="B26" s="38"/>
      <c r="C26" s="38"/>
      <c r="D26" s="38"/>
      <c r="E26" s="38"/>
      <c r="F26" s="38"/>
      <c r="G26" s="52"/>
    </row>
    <row r="27" spans="1:7" ht="15.75" x14ac:dyDescent="0.25">
      <c r="A27" s="151" t="s">
        <v>189</v>
      </c>
      <c r="B27" s="36"/>
      <c r="C27" s="38"/>
      <c r="D27" s="38"/>
      <c r="E27" s="38"/>
      <c r="F27" s="163">
        <f>+F13</f>
        <v>454035.46273988811</v>
      </c>
      <c r="G27" s="52"/>
    </row>
    <row r="28" spans="1:7" ht="17.25" x14ac:dyDescent="0.35">
      <c r="A28" s="49" t="s">
        <v>153</v>
      </c>
      <c r="B28" s="36"/>
      <c r="C28" s="38"/>
      <c r="D28" s="38"/>
      <c r="E28" s="175">
        <v>0.5</v>
      </c>
      <c r="F28" s="176">
        <f>-F27*E28</f>
        <v>-227017.73136994406</v>
      </c>
      <c r="G28" s="52"/>
    </row>
    <row r="29" spans="1:7" ht="20.25" x14ac:dyDescent="0.55000000000000004">
      <c r="A29" s="49"/>
      <c r="B29" s="36"/>
      <c r="C29" s="38"/>
      <c r="D29" s="38"/>
      <c r="E29" s="175"/>
      <c r="F29" s="177">
        <f>+F28+F27</f>
        <v>227017.73136994406</v>
      </c>
      <c r="G29" s="52"/>
    </row>
    <row r="30" spans="1:7" ht="17.25" x14ac:dyDescent="0.35">
      <c r="A30" s="49"/>
      <c r="B30" s="36"/>
      <c r="C30" s="38"/>
      <c r="D30" s="38"/>
      <c r="E30" s="175"/>
      <c r="F30" s="176"/>
      <c r="G30" s="52"/>
    </row>
    <row r="31" spans="1:7" ht="17.25" x14ac:dyDescent="0.35">
      <c r="A31" s="42" t="s">
        <v>155</v>
      </c>
      <c r="B31" s="38"/>
      <c r="C31" s="38"/>
      <c r="D31" s="38"/>
      <c r="E31" s="38"/>
      <c r="F31" s="164">
        <f>+C11</f>
        <v>312124</v>
      </c>
      <c r="G31" s="52"/>
    </row>
    <row r="32" spans="1:7" ht="17.25" x14ac:dyDescent="0.35">
      <c r="A32" s="42" t="s">
        <v>105</v>
      </c>
      <c r="B32" s="38"/>
      <c r="C32" s="38"/>
      <c r="D32" s="38"/>
      <c r="E32" s="38"/>
      <c r="F32" s="38"/>
      <c r="G32" s="55">
        <f>ROUND(+F27/F31,2)</f>
        <v>1.45</v>
      </c>
    </row>
    <row r="33" spans="1:7" ht="15" x14ac:dyDescent="0.2">
      <c r="A33" s="42"/>
      <c r="B33" s="38"/>
      <c r="C33" s="38"/>
      <c r="D33" s="38"/>
      <c r="E33" s="38"/>
      <c r="F33" s="38"/>
      <c r="G33" s="52"/>
    </row>
    <row r="34" spans="1:7" ht="18" x14ac:dyDescent="0.4">
      <c r="A34" s="35" t="s">
        <v>28</v>
      </c>
      <c r="B34" s="36"/>
      <c r="C34" s="38"/>
      <c r="D34" s="38"/>
      <c r="E34" s="38"/>
      <c r="F34" s="38"/>
      <c r="G34" s="182">
        <f>SUM(G23:G32)</f>
        <v>1.1099999999999999</v>
      </c>
    </row>
    <row r="35" spans="1:7" ht="15.75" x14ac:dyDescent="0.25">
      <c r="A35" s="35"/>
      <c r="B35" s="36"/>
      <c r="C35" s="38"/>
      <c r="D35" s="38"/>
      <c r="E35" s="38"/>
      <c r="F35" s="38"/>
      <c r="G35" s="150"/>
    </row>
    <row r="36" spans="1:7" ht="13.5" thickBot="1" x14ac:dyDescent="0.25">
      <c r="A36" s="19"/>
      <c r="B36" s="20"/>
      <c r="C36" s="20"/>
      <c r="D36" s="20"/>
      <c r="E36" s="20"/>
      <c r="F36" s="20"/>
      <c r="G36" s="21"/>
    </row>
    <row r="37" spans="1:7" ht="15" x14ac:dyDescent="0.2">
      <c r="A37" s="285" t="s">
        <v>29</v>
      </c>
      <c r="B37" s="286"/>
      <c r="C37" s="286"/>
      <c r="D37" s="286"/>
      <c r="E37" s="286"/>
      <c r="F37" s="286"/>
      <c r="G37" s="287"/>
    </row>
    <row r="38" spans="1:7" ht="15" x14ac:dyDescent="0.2">
      <c r="A38" s="49"/>
      <c r="B38" s="50"/>
      <c r="C38" s="50"/>
      <c r="D38" s="50"/>
      <c r="E38" s="50"/>
      <c r="F38" s="50"/>
      <c r="G38" s="64"/>
    </row>
    <row r="39" spans="1:7" ht="15.75" x14ac:dyDescent="0.25">
      <c r="A39" s="49"/>
      <c r="B39" s="50"/>
      <c r="C39" s="43"/>
      <c r="D39" s="43"/>
      <c r="E39" s="43" t="s">
        <v>13</v>
      </c>
      <c r="F39" s="43" t="s">
        <v>3</v>
      </c>
      <c r="G39" s="64"/>
    </row>
    <row r="40" spans="1:7" ht="15.75" x14ac:dyDescent="0.25">
      <c r="A40" s="49"/>
      <c r="B40" s="50"/>
      <c r="C40" s="65" t="s">
        <v>20</v>
      </c>
      <c r="D40" s="65"/>
      <c r="E40" s="65" t="s">
        <v>22</v>
      </c>
      <c r="F40" s="65" t="s">
        <v>6</v>
      </c>
      <c r="G40" s="64"/>
    </row>
    <row r="41" spans="1:7" ht="15.75" x14ac:dyDescent="0.25">
      <c r="A41" s="45" t="s">
        <v>160</v>
      </c>
      <c r="B41" s="36"/>
      <c r="C41" s="66"/>
      <c r="D41" s="66"/>
      <c r="E41" s="66"/>
      <c r="F41" s="66"/>
      <c r="G41" s="64"/>
    </row>
    <row r="42" spans="1:7" ht="15.75" x14ac:dyDescent="0.25">
      <c r="A42" s="42" t="s">
        <v>161</v>
      </c>
      <c r="B42" s="50"/>
      <c r="C42" s="67">
        <f>+'Res''l &amp; MF Customers'!C25+'Res''l &amp; MF Customers'!D25</f>
        <v>4247.1428571428578</v>
      </c>
      <c r="D42" s="67"/>
      <c r="E42" s="68">
        <f>+E110</f>
        <v>0.21</v>
      </c>
      <c r="F42" s="54">
        <f>E42*C42</f>
        <v>891.90000000000009</v>
      </c>
      <c r="G42" s="64"/>
    </row>
    <row r="43" spans="1:7" ht="17.25" x14ac:dyDescent="0.35">
      <c r="A43" s="49" t="s">
        <v>162</v>
      </c>
      <c r="B43" s="50"/>
      <c r="C43" s="51">
        <f>SUM('Res''l &amp; MF Customers'!E25:N25)</f>
        <v>24495.75</v>
      </c>
      <c r="D43" s="51"/>
      <c r="E43" s="68">
        <f>+G130</f>
        <v>0.17</v>
      </c>
      <c r="F43" s="132">
        <f>E43*C43</f>
        <v>4164.2775000000001</v>
      </c>
      <c r="G43" s="64"/>
    </row>
    <row r="44" spans="1:7" ht="18" x14ac:dyDescent="0.4">
      <c r="A44" s="42" t="s">
        <v>3</v>
      </c>
      <c r="B44" s="50"/>
      <c r="C44" s="261">
        <f>SUM(C42:C43)</f>
        <v>28742.892857142859</v>
      </c>
      <c r="D44" s="261"/>
      <c r="E44" s="262"/>
      <c r="F44" s="263">
        <f>SUM(F42:F43)</f>
        <v>5056.1774999999998</v>
      </c>
      <c r="G44" s="64"/>
    </row>
    <row r="45" spans="1:7" ht="15" x14ac:dyDescent="0.2">
      <c r="A45" s="42"/>
      <c r="B45" s="50"/>
      <c r="C45" s="50"/>
      <c r="D45" s="50"/>
      <c r="E45" s="50"/>
      <c r="F45" s="54"/>
      <c r="G45" s="64"/>
    </row>
    <row r="46" spans="1:7" ht="18" x14ac:dyDescent="0.4">
      <c r="A46" s="35" t="s">
        <v>148</v>
      </c>
      <c r="B46" s="38"/>
      <c r="C46" s="38"/>
      <c r="D46" s="38"/>
      <c r="E46" s="38"/>
      <c r="F46" s="257">
        <f>+'Tons &amp; Revenue'!M123</f>
        <v>6213.3590947678549</v>
      </c>
      <c r="G46" s="64"/>
    </row>
    <row r="47" spans="1:7" ht="15.75" x14ac:dyDescent="0.25">
      <c r="A47" s="35"/>
      <c r="B47" s="38"/>
      <c r="C47" s="38"/>
      <c r="D47" s="38"/>
      <c r="E47" s="38"/>
      <c r="F47" s="131"/>
      <c r="G47" s="64"/>
    </row>
    <row r="48" spans="1:7" ht="20.25" x14ac:dyDescent="0.55000000000000004">
      <c r="A48" s="35" t="s">
        <v>176</v>
      </c>
      <c r="B48" s="38"/>
      <c r="C48" s="38"/>
      <c r="D48" s="38"/>
      <c r="E48" s="38"/>
      <c r="F48" s="264">
        <f>F46*50%</f>
        <v>3106.6795473839275</v>
      </c>
      <c r="G48" s="64"/>
    </row>
    <row r="49" spans="1:7" ht="17.25" x14ac:dyDescent="0.35">
      <c r="A49" s="35"/>
      <c r="B49" s="38"/>
      <c r="C49" s="38"/>
      <c r="D49" s="38"/>
      <c r="E49" s="38"/>
      <c r="F49" s="133"/>
      <c r="G49" s="64"/>
    </row>
    <row r="50" spans="1:7" ht="15" x14ac:dyDescent="0.2">
      <c r="A50" s="42" t="s">
        <v>24</v>
      </c>
      <c r="B50" s="38"/>
      <c r="C50" s="38"/>
      <c r="D50" s="38"/>
      <c r="E50" s="38"/>
      <c r="F50" s="47">
        <f>F48-F44</f>
        <v>-1949.4979526160723</v>
      </c>
      <c r="G50" s="64"/>
    </row>
    <row r="51" spans="1:7" ht="17.25" x14ac:dyDescent="0.35">
      <c r="A51" s="42"/>
      <c r="B51" s="38"/>
      <c r="C51" s="130"/>
      <c r="D51" s="38"/>
      <c r="E51" s="38"/>
      <c r="F51" s="133"/>
      <c r="G51" s="64"/>
    </row>
    <row r="52" spans="1:7" ht="15" x14ac:dyDescent="0.2">
      <c r="A52" s="42" t="s">
        <v>25</v>
      </c>
      <c r="B52" s="50"/>
      <c r="C52" s="50"/>
      <c r="D52" s="50"/>
      <c r="E52" s="50"/>
      <c r="F52" s="67">
        <f>+F62</f>
        <v>28742.892857142859</v>
      </c>
      <c r="G52" s="64"/>
    </row>
    <row r="53" spans="1:7" ht="15" x14ac:dyDescent="0.2">
      <c r="A53" s="42"/>
      <c r="B53" s="50"/>
      <c r="C53" s="50"/>
      <c r="D53" s="50"/>
      <c r="E53" s="50"/>
      <c r="F53" s="50"/>
      <c r="G53" s="64"/>
    </row>
    <row r="54" spans="1:7" ht="15" x14ac:dyDescent="0.2">
      <c r="A54" s="42" t="s">
        <v>26</v>
      </c>
      <c r="B54" s="50"/>
      <c r="C54" s="50"/>
      <c r="D54" s="50"/>
      <c r="E54" s="50"/>
      <c r="F54" s="50"/>
      <c r="G54" s="52">
        <f>ROUND(F50/F52,2)</f>
        <v>-7.0000000000000007E-2</v>
      </c>
    </row>
    <row r="55" spans="1:7" ht="15" x14ac:dyDescent="0.2">
      <c r="A55" s="42"/>
      <c r="B55" s="50"/>
      <c r="C55" s="50"/>
      <c r="D55" s="50"/>
      <c r="E55" s="50"/>
      <c r="F55" s="50"/>
      <c r="G55" s="70"/>
    </row>
    <row r="56" spans="1:7" ht="15" x14ac:dyDescent="0.2">
      <c r="A56" s="42"/>
      <c r="B56" s="50"/>
      <c r="C56" s="50"/>
      <c r="D56" s="50"/>
      <c r="E56" s="50"/>
      <c r="F56" s="67"/>
      <c r="G56" s="64"/>
    </row>
    <row r="57" spans="1:7" ht="15.75" x14ac:dyDescent="0.25">
      <c r="A57" s="42"/>
      <c r="B57" s="36"/>
      <c r="C57" s="50"/>
      <c r="D57" s="50"/>
      <c r="E57" s="50"/>
      <c r="F57" s="67"/>
      <c r="G57" s="64"/>
    </row>
    <row r="58" spans="1:7" ht="15.75" x14ac:dyDescent="0.25">
      <c r="A58" s="151" t="s">
        <v>189</v>
      </c>
      <c r="B58" s="50"/>
      <c r="C58" s="50"/>
      <c r="D58" s="50"/>
      <c r="E58" s="50"/>
      <c r="F58" s="165">
        <f>+F46</f>
        <v>6213.3590947678549</v>
      </c>
      <c r="G58" s="64"/>
    </row>
    <row r="59" spans="1:7" ht="17.25" x14ac:dyDescent="0.35">
      <c r="A59" s="49" t="s">
        <v>153</v>
      </c>
      <c r="B59" s="36"/>
      <c r="C59" s="38"/>
      <c r="D59" s="38"/>
      <c r="E59" s="175">
        <v>0.5</v>
      </c>
      <c r="F59" s="176">
        <f>-F58*E59</f>
        <v>-3106.6795473839275</v>
      </c>
      <c r="G59" s="52"/>
    </row>
    <row r="60" spans="1:7" ht="20.25" x14ac:dyDescent="0.55000000000000004">
      <c r="A60" s="49"/>
      <c r="B60" s="36"/>
      <c r="C60" s="38"/>
      <c r="D60" s="38"/>
      <c r="E60" s="175"/>
      <c r="F60" s="177">
        <f>+F59+F58</f>
        <v>3106.6795473839275</v>
      </c>
      <c r="G60" s="52"/>
    </row>
    <row r="61" spans="1:7" ht="17.25" x14ac:dyDescent="0.35">
      <c r="A61" s="49"/>
      <c r="B61" s="36"/>
      <c r="C61" s="38"/>
      <c r="D61" s="38"/>
      <c r="E61" s="175"/>
      <c r="F61" s="176"/>
      <c r="G61" s="52"/>
    </row>
    <row r="62" spans="1:7" ht="17.25" x14ac:dyDescent="0.35">
      <c r="A62" s="42" t="s">
        <v>155</v>
      </c>
      <c r="B62" s="38"/>
      <c r="C62" s="38"/>
      <c r="D62" s="38"/>
      <c r="E62" s="38"/>
      <c r="F62" s="164">
        <f>+C44</f>
        <v>28742.892857142859</v>
      </c>
      <c r="G62" s="52"/>
    </row>
    <row r="63" spans="1:7" ht="17.25" x14ac:dyDescent="0.35">
      <c r="A63" s="42" t="s">
        <v>105</v>
      </c>
      <c r="B63" s="38"/>
      <c r="C63" s="38"/>
      <c r="D63" s="38"/>
      <c r="E63" s="38"/>
      <c r="F63" s="38"/>
      <c r="G63" s="55">
        <f>ROUND(+F58/F62,2)</f>
        <v>0.22</v>
      </c>
    </row>
    <row r="64" spans="1:7" ht="15" x14ac:dyDescent="0.2">
      <c r="A64" s="42"/>
      <c r="B64" s="38"/>
      <c r="C64" s="38"/>
      <c r="D64" s="38"/>
      <c r="E64" s="38"/>
      <c r="F64" s="38"/>
      <c r="G64" s="52"/>
    </row>
    <row r="65" spans="1:7" ht="18" x14ac:dyDescent="0.4">
      <c r="A65" s="35" t="s">
        <v>133</v>
      </c>
      <c r="B65" s="36"/>
      <c r="C65" s="38"/>
      <c r="D65" s="38"/>
      <c r="E65" s="38"/>
      <c r="F65" s="38"/>
      <c r="G65" s="182">
        <f>SUM(G54:G63)</f>
        <v>0.15</v>
      </c>
    </row>
    <row r="66" spans="1:7" ht="16.5" thickBot="1" x14ac:dyDescent="0.3">
      <c r="A66" s="265"/>
      <c r="B66" s="266"/>
      <c r="C66" s="267"/>
      <c r="D66" s="267"/>
      <c r="E66" s="267"/>
      <c r="F66" s="267"/>
      <c r="G66" s="268"/>
    </row>
    <row r="67" spans="1:7" ht="13.5" thickBot="1" x14ac:dyDescent="0.25"/>
    <row r="68" spans="1:7" ht="23.25" x14ac:dyDescent="0.35">
      <c r="A68" s="31" t="s">
        <v>57</v>
      </c>
      <c r="B68" s="32"/>
      <c r="C68" s="33"/>
      <c r="D68" s="33"/>
      <c r="E68" s="33"/>
      <c r="F68" s="33"/>
      <c r="G68" s="34"/>
    </row>
    <row r="69" spans="1:7" ht="15.75" x14ac:dyDescent="0.25">
      <c r="A69" s="35" t="s">
        <v>159</v>
      </c>
      <c r="B69" s="36"/>
      <c r="C69" s="37"/>
      <c r="D69" s="37"/>
      <c r="E69" s="38"/>
      <c r="F69" s="38"/>
      <c r="G69" s="39"/>
    </row>
    <row r="70" spans="1:7" ht="15.75" x14ac:dyDescent="0.25">
      <c r="A70" s="40"/>
      <c r="B70" s="41"/>
      <c r="C70" s="38"/>
      <c r="D70" s="38"/>
      <c r="E70" s="38"/>
      <c r="F70" s="38"/>
      <c r="G70" s="39"/>
    </row>
    <row r="71" spans="1:7" ht="15" x14ac:dyDescent="0.2">
      <c r="A71" s="282" t="s">
        <v>21</v>
      </c>
      <c r="B71" s="283"/>
      <c r="C71" s="283"/>
      <c r="D71" s="283"/>
      <c r="E71" s="283"/>
      <c r="F71" s="283"/>
      <c r="G71" s="284"/>
    </row>
    <row r="72" spans="1:7" ht="15" x14ac:dyDescent="0.2">
      <c r="A72" s="42"/>
      <c r="B72" s="38"/>
      <c r="C72" s="38"/>
      <c r="D72" s="38"/>
      <c r="E72" s="38"/>
      <c r="F72" s="38"/>
      <c r="G72" s="39"/>
    </row>
    <row r="73" spans="1:7" ht="15.75" x14ac:dyDescent="0.25">
      <c r="A73" s="42"/>
      <c r="B73" s="38"/>
      <c r="C73" s="43"/>
      <c r="D73" s="43"/>
      <c r="E73" s="43" t="s">
        <v>13</v>
      </c>
      <c r="F73" s="43" t="s">
        <v>3</v>
      </c>
      <c r="G73" s="39"/>
    </row>
    <row r="74" spans="1:7" ht="15.75" x14ac:dyDescent="0.25">
      <c r="A74" s="42"/>
      <c r="B74" s="38"/>
      <c r="C74" s="44" t="s">
        <v>5</v>
      </c>
      <c r="D74" s="44"/>
      <c r="E74" s="44" t="s">
        <v>22</v>
      </c>
      <c r="F74" s="44" t="s">
        <v>6</v>
      </c>
      <c r="G74" s="39"/>
    </row>
    <row r="75" spans="1:7" ht="15.75" x14ac:dyDescent="0.25">
      <c r="A75" s="45" t="s">
        <v>160</v>
      </c>
      <c r="B75" s="36"/>
      <c r="C75" s="46"/>
      <c r="D75" s="46"/>
      <c r="E75" s="46"/>
      <c r="F75" s="46"/>
      <c r="G75" s="39"/>
    </row>
    <row r="76" spans="1:7" ht="15.75" x14ac:dyDescent="0.25">
      <c r="A76" s="42" t="s">
        <v>161</v>
      </c>
      <c r="B76" s="38"/>
      <c r="C76" s="47">
        <v>49322</v>
      </c>
      <c r="D76" s="47"/>
      <c r="E76" s="48">
        <f>+E144</f>
        <v>0.97</v>
      </c>
      <c r="F76" s="131">
        <f>C76*E76</f>
        <v>47842.34</v>
      </c>
      <c r="G76" s="39"/>
    </row>
    <row r="77" spans="1:7" ht="17.25" x14ac:dyDescent="0.35">
      <c r="A77" s="49" t="s">
        <v>162</v>
      </c>
      <c r="B77" s="50"/>
      <c r="C77" s="51">
        <v>250128</v>
      </c>
      <c r="D77" s="51"/>
      <c r="E77" s="48">
        <f>+G162</f>
        <v>1.08</v>
      </c>
      <c r="F77" s="132">
        <f>C77*E77</f>
        <v>270138.23999999999</v>
      </c>
      <c r="G77" s="39"/>
    </row>
    <row r="78" spans="1:7" ht="18" x14ac:dyDescent="0.4">
      <c r="A78" s="178" t="s">
        <v>154</v>
      </c>
      <c r="B78" s="38"/>
      <c r="C78" s="258">
        <f>SUM(C76:C77)</f>
        <v>299450</v>
      </c>
      <c r="D78" s="259"/>
      <c r="E78" s="260"/>
      <c r="F78" s="257">
        <f>SUM(F76:F77)</f>
        <v>317980.57999999996</v>
      </c>
      <c r="G78" s="39"/>
    </row>
    <row r="79" spans="1:7" ht="15" x14ac:dyDescent="0.2">
      <c r="A79" s="42"/>
      <c r="B79" s="38"/>
      <c r="C79" s="38"/>
      <c r="D79" s="38"/>
      <c r="E79" s="38"/>
      <c r="F79" s="38"/>
      <c r="G79" s="39"/>
    </row>
    <row r="80" spans="1:7" ht="18" x14ac:dyDescent="0.4">
      <c r="A80" s="35" t="s">
        <v>148</v>
      </c>
      <c r="B80" s="38"/>
      <c r="C80" s="38"/>
      <c r="D80" s="38"/>
      <c r="E80" s="38"/>
      <c r="F80" s="257">
        <v>283604</v>
      </c>
      <c r="G80" s="39"/>
    </row>
    <row r="81" spans="1:8" ht="18" x14ac:dyDescent="0.4">
      <c r="A81" s="35"/>
      <c r="B81" s="38"/>
      <c r="C81" s="38"/>
      <c r="D81" s="38"/>
      <c r="E81" s="38"/>
      <c r="F81" s="257"/>
      <c r="G81" s="39"/>
    </row>
    <row r="82" spans="1:8" ht="17.25" x14ac:dyDescent="0.35">
      <c r="A82" s="49" t="s">
        <v>176</v>
      </c>
      <c r="B82" s="252"/>
      <c r="C82" s="252"/>
      <c r="D82" s="252"/>
      <c r="E82" s="274">
        <f>F80-F78</f>
        <v>-34376.579999999958</v>
      </c>
      <c r="F82" s="269">
        <f>+F80*50%</f>
        <v>141802</v>
      </c>
      <c r="G82" s="275">
        <f>E82-F82</f>
        <v>-176178.57999999996</v>
      </c>
    </row>
    <row r="83" spans="1:8" ht="17.25" x14ac:dyDescent="0.35">
      <c r="A83" s="49"/>
      <c r="B83" s="252"/>
      <c r="C83" s="252"/>
      <c r="D83" s="252"/>
      <c r="E83" s="252"/>
      <c r="F83" s="269"/>
      <c r="G83" s="39"/>
    </row>
    <row r="84" spans="1:8" ht="17.25" x14ac:dyDescent="0.35">
      <c r="A84" s="49" t="s">
        <v>177</v>
      </c>
      <c r="B84" s="252"/>
      <c r="C84" s="252"/>
      <c r="D84" s="252"/>
      <c r="E84" s="252"/>
      <c r="F84" s="276">
        <v>16886</v>
      </c>
      <c r="G84" s="39"/>
    </row>
    <row r="85" spans="1:8" ht="17.25" x14ac:dyDescent="0.35">
      <c r="A85" s="49"/>
      <c r="B85" s="252"/>
      <c r="C85" s="252"/>
      <c r="D85" s="252"/>
      <c r="E85" s="252"/>
      <c r="F85" s="256"/>
      <c r="G85" s="39"/>
    </row>
    <row r="86" spans="1:8" s="1" customFormat="1" ht="15.75" x14ac:dyDescent="0.25">
      <c r="A86" s="178" t="s">
        <v>24</v>
      </c>
      <c r="B86" s="270"/>
      <c r="C86" s="270"/>
      <c r="D86" s="270"/>
      <c r="E86" s="270"/>
      <c r="F86" s="180">
        <f>F80-F78-F82+F84</f>
        <v>-159292.57999999996</v>
      </c>
      <c r="G86" s="271"/>
      <c r="H86" s="273"/>
    </row>
    <row r="87" spans="1:8" ht="15" x14ac:dyDescent="0.2">
      <c r="A87" s="42"/>
      <c r="B87" s="38"/>
      <c r="C87" s="38"/>
      <c r="D87" s="38"/>
      <c r="E87" s="38"/>
      <c r="F87" s="255"/>
      <c r="G87" s="39"/>
    </row>
    <row r="88" spans="1:8" ht="15" x14ac:dyDescent="0.2">
      <c r="A88" s="42" t="s">
        <v>25</v>
      </c>
      <c r="B88" s="38"/>
      <c r="C88" s="38"/>
      <c r="D88" s="38"/>
      <c r="E88" s="38"/>
      <c r="F88" s="47">
        <f>+F98</f>
        <v>299450</v>
      </c>
      <c r="G88" s="39"/>
    </row>
    <row r="89" spans="1:8" ht="15" x14ac:dyDescent="0.2">
      <c r="A89" s="42"/>
      <c r="B89" s="38"/>
      <c r="C89" s="38"/>
      <c r="D89" s="38"/>
      <c r="E89" s="38"/>
      <c r="F89" s="38"/>
      <c r="G89" s="39"/>
    </row>
    <row r="90" spans="1:8" ht="15" x14ac:dyDescent="0.2">
      <c r="A90" s="42" t="s">
        <v>26</v>
      </c>
      <c r="B90" s="38"/>
      <c r="C90" s="38"/>
      <c r="D90" s="38"/>
      <c r="E90" s="38"/>
      <c r="F90" s="61"/>
      <c r="G90" s="52">
        <f>ROUND(F86/F88,2)</f>
        <v>-0.53</v>
      </c>
    </row>
    <row r="91" spans="1:8" ht="15" x14ac:dyDescent="0.2">
      <c r="A91" s="42"/>
      <c r="B91" s="38"/>
      <c r="C91" s="38"/>
      <c r="D91" s="38"/>
      <c r="E91" s="38"/>
      <c r="F91" s="38"/>
      <c r="G91" s="52"/>
    </row>
    <row r="92" spans="1:8" ht="15" x14ac:dyDescent="0.2">
      <c r="A92" s="42"/>
      <c r="B92" s="38"/>
      <c r="C92" s="38"/>
      <c r="D92" s="38"/>
      <c r="E92" s="38"/>
      <c r="F92" s="38"/>
      <c r="G92" s="52"/>
    </row>
    <row r="93" spans="1:8" ht="15" x14ac:dyDescent="0.2">
      <c r="A93" s="42"/>
      <c r="B93" s="38"/>
      <c r="C93" s="38"/>
      <c r="D93" s="38"/>
      <c r="E93" s="38"/>
      <c r="F93" s="38"/>
      <c r="G93" s="52"/>
    </row>
    <row r="94" spans="1:8" ht="15.75" x14ac:dyDescent="0.25">
      <c r="A94" s="151" t="s">
        <v>163</v>
      </c>
      <c r="B94" s="36"/>
      <c r="C94" s="38"/>
      <c r="D94" s="38"/>
      <c r="E94" s="38"/>
      <c r="F94" s="163">
        <v>318359</v>
      </c>
      <c r="G94" s="52"/>
    </row>
    <row r="95" spans="1:8" ht="17.25" x14ac:dyDescent="0.35">
      <c r="A95" s="49" t="s">
        <v>153</v>
      </c>
      <c r="B95" s="36"/>
      <c r="C95" s="38"/>
      <c r="D95" s="38"/>
      <c r="E95" s="175">
        <v>0.5</v>
      </c>
      <c r="F95" s="176">
        <f>-F94*E95</f>
        <v>-159179.5</v>
      </c>
      <c r="G95" s="52"/>
    </row>
    <row r="96" spans="1:8" ht="20.25" x14ac:dyDescent="0.55000000000000004">
      <c r="A96" s="49"/>
      <c r="B96" s="36"/>
      <c r="C96" s="38"/>
      <c r="D96" s="38"/>
      <c r="E96" s="175"/>
      <c r="F96" s="177">
        <f>+F95+F94</f>
        <v>159179.5</v>
      </c>
      <c r="G96" s="52"/>
    </row>
    <row r="97" spans="1:7" ht="17.25" x14ac:dyDescent="0.35">
      <c r="A97" s="49"/>
      <c r="B97" s="36"/>
      <c r="C97" s="38"/>
      <c r="D97" s="38"/>
      <c r="E97" s="175"/>
      <c r="F97" s="176"/>
      <c r="G97" s="52"/>
    </row>
    <row r="98" spans="1:7" ht="17.25" x14ac:dyDescent="0.35">
      <c r="A98" s="42" t="s">
        <v>155</v>
      </c>
      <c r="B98" s="38"/>
      <c r="C98" s="38"/>
      <c r="D98" s="38"/>
      <c r="E98" s="38"/>
      <c r="F98" s="164">
        <f>+C78</f>
        <v>299450</v>
      </c>
      <c r="G98" s="52"/>
    </row>
    <row r="99" spans="1:7" ht="17.25" x14ac:dyDescent="0.35">
      <c r="A99" s="42" t="s">
        <v>105</v>
      </c>
      <c r="B99" s="38"/>
      <c r="C99" s="38"/>
      <c r="D99" s="38"/>
      <c r="E99" s="38"/>
      <c r="F99" s="38"/>
      <c r="G99" s="55">
        <f>ROUND(+F94/F98,2)</f>
        <v>1.06</v>
      </c>
    </row>
    <row r="100" spans="1:7" ht="15" x14ac:dyDescent="0.2">
      <c r="A100" s="42"/>
      <c r="B100" s="38"/>
      <c r="C100" s="38"/>
      <c r="D100" s="38"/>
      <c r="E100" s="38"/>
      <c r="F100" s="38"/>
      <c r="G100" s="52"/>
    </row>
    <row r="101" spans="1:7" ht="18" x14ac:dyDescent="0.4">
      <c r="A101" s="35" t="s">
        <v>28</v>
      </c>
      <c r="B101" s="36"/>
      <c r="C101" s="38"/>
      <c r="D101" s="38"/>
      <c r="E101" s="38"/>
      <c r="F101" s="38"/>
      <c r="G101" s="182">
        <f>SUM(G90:G99)</f>
        <v>0.53</v>
      </c>
    </row>
    <row r="102" spans="1:7" ht="15.75" x14ac:dyDescent="0.25">
      <c r="A102" s="35"/>
      <c r="B102" s="36"/>
      <c r="C102" s="38"/>
      <c r="D102" s="38"/>
      <c r="E102" s="38"/>
      <c r="F102" s="38"/>
      <c r="G102" s="150"/>
    </row>
    <row r="103" spans="1:7" ht="13.5" thickBot="1" x14ac:dyDescent="0.25">
      <c r="A103" s="19"/>
      <c r="B103" s="20"/>
      <c r="C103" s="20"/>
      <c r="D103" s="20"/>
      <c r="E103" s="20"/>
      <c r="F103" s="20"/>
      <c r="G103" s="21"/>
    </row>
    <row r="104" spans="1:7" ht="15" x14ac:dyDescent="0.2">
      <c r="A104" s="285" t="s">
        <v>29</v>
      </c>
      <c r="B104" s="286"/>
      <c r="C104" s="286"/>
      <c r="D104" s="286"/>
      <c r="E104" s="286"/>
      <c r="F104" s="286"/>
      <c r="G104" s="287"/>
    </row>
    <row r="105" spans="1:7" ht="15" x14ac:dyDescent="0.2">
      <c r="A105" s="49"/>
      <c r="B105" s="50"/>
      <c r="C105" s="50"/>
      <c r="D105" s="50"/>
      <c r="E105" s="50"/>
      <c r="F105" s="50"/>
      <c r="G105" s="64"/>
    </row>
    <row r="106" spans="1:7" ht="15.75" x14ac:dyDescent="0.25">
      <c r="A106" s="49"/>
      <c r="B106" s="50"/>
      <c r="C106" s="43"/>
      <c r="D106" s="43"/>
      <c r="E106" s="43" t="s">
        <v>13</v>
      </c>
      <c r="F106" s="43" t="s">
        <v>3</v>
      </c>
      <c r="G106" s="64"/>
    </row>
    <row r="107" spans="1:7" ht="15.75" x14ac:dyDescent="0.25">
      <c r="A107" s="49"/>
      <c r="B107" s="50"/>
      <c r="C107" s="65" t="s">
        <v>20</v>
      </c>
      <c r="D107" s="65"/>
      <c r="E107" s="65" t="s">
        <v>22</v>
      </c>
      <c r="F107" s="65" t="s">
        <v>6</v>
      </c>
      <c r="G107" s="64"/>
    </row>
    <row r="108" spans="1:7" ht="15.75" x14ac:dyDescent="0.25">
      <c r="A108" s="45" t="s">
        <v>160</v>
      </c>
      <c r="B108" s="36"/>
      <c r="C108" s="66"/>
      <c r="D108" s="66"/>
      <c r="E108" s="66"/>
      <c r="F108" s="66"/>
      <c r="G108" s="64"/>
    </row>
    <row r="109" spans="1:7" ht="15.75" x14ac:dyDescent="0.25">
      <c r="A109" s="42" t="s">
        <v>161</v>
      </c>
      <c r="B109" s="50"/>
      <c r="C109" s="67">
        <v>4161.9615384615381</v>
      </c>
      <c r="D109" s="67"/>
      <c r="E109" s="68">
        <f>+E173</f>
        <v>0.18</v>
      </c>
      <c r="F109" s="54">
        <f>E109*C109</f>
        <v>749.15307692307681</v>
      </c>
      <c r="G109" s="64"/>
    </row>
    <row r="110" spans="1:7" ht="17.25" x14ac:dyDescent="0.35">
      <c r="A110" s="49" t="s">
        <v>162</v>
      </c>
      <c r="B110" s="50"/>
      <c r="C110" s="51">
        <v>20883.428571428576</v>
      </c>
      <c r="D110" s="51"/>
      <c r="E110" s="68">
        <f>+G191</f>
        <v>0.21</v>
      </c>
      <c r="F110" s="132">
        <f>E110*C110</f>
        <v>4385.5200000000004</v>
      </c>
      <c r="G110" s="64"/>
    </row>
    <row r="111" spans="1:7" ht="18" x14ac:dyDescent="0.4">
      <c r="A111" s="42" t="s">
        <v>3</v>
      </c>
      <c r="B111" s="50"/>
      <c r="C111" s="261">
        <f>SUM(C109:C110)</f>
        <v>25045.390109890115</v>
      </c>
      <c r="D111" s="261"/>
      <c r="E111" s="262"/>
      <c r="F111" s="263">
        <f>SUM(F109:F110)</f>
        <v>5134.6730769230771</v>
      </c>
      <c r="G111" s="64"/>
    </row>
    <row r="112" spans="1:7" ht="15" x14ac:dyDescent="0.2">
      <c r="A112" s="42"/>
      <c r="B112" s="50"/>
      <c r="C112" s="50"/>
      <c r="D112" s="50"/>
      <c r="E112" s="50"/>
      <c r="F112" s="54"/>
      <c r="G112" s="64"/>
    </row>
    <row r="113" spans="1:7" ht="18" x14ac:dyDescent="0.4">
      <c r="A113" s="35" t="s">
        <v>148</v>
      </c>
      <c r="B113" s="38"/>
      <c r="C113" s="38"/>
      <c r="D113" s="38"/>
      <c r="E113" s="38"/>
      <c r="F113" s="257">
        <v>3881</v>
      </c>
      <c r="G113" s="64"/>
    </row>
    <row r="114" spans="1:7" ht="15.75" x14ac:dyDescent="0.25">
      <c r="A114" s="35"/>
      <c r="B114" s="38"/>
      <c r="C114" s="38"/>
      <c r="D114" s="38"/>
      <c r="E114" s="38"/>
      <c r="F114" s="131"/>
      <c r="G114" s="64"/>
    </row>
    <row r="115" spans="1:7" ht="20.25" x14ac:dyDescent="0.55000000000000004">
      <c r="A115" s="35" t="s">
        <v>176</v>
      </c>
      <c r="B115" s="38"/>
      <c r="C115" s="38"/>
      <c r="D115" s="38"/>
      <c r="E115" s="38"/>
      <c r="F115" s="264">
        <f>F113*50%</f>
        <v>1940.5</v>
      </c>
      <c r="G115" s="64"/>
    </row>
    <row r="116" spans="1:7" ht="17.25" x14ac:dyDescent="0.35">
      <c r="A116" s="35"/>
      <c r="B116" s="38"/>
      <c r="C116" s="38"/>
      <c r="D116" s="38"/>
      <c r="E116" s="38"/>
      <c r="F116" s="133"/>
      <c r="G116" s="64"/>
    </row>
    <row r="117" spans="1:7" ht="15" x14ac:dyDescent="0.2">
      <c r="A117" s="42" t="s">
        <v>24</v>
      </c>
      <c r="B117" s="38"/>
      <c r="C117" s="38"/>
      <c r="D117" s="38"/>
      <c r="E117" s="38"/>
      <c r="F117" s="47">
        <f>F115-F111</f>
        <v>-3194.1730769230771</v>
      </c>
      <c r="G117" s="64"/>
    </row>
    <row r="118" spans="1:7" ht="17.25" x14ac:dyDescent="0.35">
      <c r="A118" s="42"/>
      <c r="B118" s="38"/>
      <c r="C118" s="130"/>
      <c r="D118" s="38"/>
      <c r="E118" s="38"/>
      <c r="F118" s="133"/>
      <c r="G118" s="64"/>
    </row>
    <row r="119" spans="1:7" ht="15" x14ac:dyDescent="0.2">
      <c r="A119" s="42" t="s">
        <v>25</v>
      </c>
      <c r="B119" s="50"/>
      <c r="C119" s="50"/>
      <c r="D119" s="50"/>
      <c r="E119" s="50"/>
      <c r="F119" s="67">
        <f>+F129</f>
        <v>25045.390109890115</v>
      </c>
      <c r="G119" s="64"/>
    </row>
    <row r="120" spans="1:7" ht="15" x14ac:dyDescent="0.2">
      <c r="A120" s="42"/>
      <c r="B120" s="50"/>
      <c r="C120" s="50"/>
      <c r="D120" s="50"/>
      <c r="E120" s="50"/>
      <c r="F120" s="50"/>
      <c r="G120" s="64"/>
    </row>
    <row r="121" spans="1:7" ht="15" x14ac:dyDescent="0.2">
      <c r="A121" s="42" t="s">
        <v>26</v>
      </c>
      <c r="B121" s="50"/>
      <c r="C121" s="50"/>
      <c r="D121" s="50"/>
      <c r="E121" s="50"/>
      <c r="F121" s="50"/>
      <c r="G121" s="52">
        <f>ROUND(F117/F119,2)</f>
        <v>-0.13</v>
      </c>
    </row>
    <row r="122" spans="1:7" ht="15" x14ac:dyDescent="0.2">
      <c r="A122" s="42"/>
      <c r="B122" s="50"/>
      <c r="C122" s="50"/>
      <c r="D122" s="50"/>
      <c r="E122" s="50"/>
      <c r="F122" s="50"/>
      <c r="G122" s="70"/>
    </row>
    <row r="123" spans="1:7" ht="15" x14ac:dyDescent="0.2">
      <c r="A123" s="42"/>
      <c r="B123" s="50"/>
      <c r="C123" s="50"/>
      <c r="D123" s="50"/>
      <c r="E123" s="50"/>
      <c r="F123" s="67"/>
      <c r="G123" s="64"/>
    </row>
    <row r="124" spans="1:7" ht="15.75" x14ac:dyDescent="0.25">
      <c r="A124" s="42"/>
      <c r="B124" s="36"/>
      <c r="C124" s="50"/>
      <c r="D124" s="50"/>
      <c r="E124" s="50"/>
      <c r="F124" s="67"/>
      <c r="G124" s="64"/>
    </row>
    <row r="125" spans="1:7" ht="15.75" x14ac:dyDescent="0.25">
      <c r="A125" s="151" t="s">
        <v>163</v>
      </c>
      <c r="B125" s="50"/>
      <c r="C125" s="50"/>
      <c r="D125" s="50"/>
      <c r="E125" s="50"/>
      <c r="F125" s="165">
        <v>4357</v>
      </c>
      <c r="G125" s="64"/>
    </row>
    <row r="126" spans="1:7" ht="17.25" x14ac:dyDescent="0.35">
      <c r="A126" s="49" t="s">
        <v>153</v>
      </c>
      <c r="B126" s="36"/>
      <c r="C126" s="38"/>
      <c r="D126" s="38"/>
      <c r="E126" s="175">
        <v>0.5</v>
      </c>
      <c r="F126" s="176">
        <f>-F125*E126</f>
        <v>-2178.5</v>
      </c>
      <c r="G126" s="52"/>
    </row>
    <row r="127" spans="1:7" ht="20.25" x14ac:dyDescent="0.55000000000000004">
      <c r="A127" s="49"/>
      <c r="B127" s="36"/>
      <c r="C127" s="38"/>
      <c r="D127" s="38"/>
      <c r="E127" s="175"/>
      <c r="F127" s="177">
        <f>+F126+F125</f>
        <v>2178.5</v>
      </c>
      <c r="G127" s="52"/>
    </row>
    <row r="128" spans="1:7" ht="17.25" x14ac:dyDescent="0.35">
      <c r="A128" s="49"/>
      <c r="B128" s="36"/>
      <c r="C128" s="38"/>
      <c r="D128" s="38"/>
      <c r="E128" s="175"/>
      <c r="F128" s="176"/>
      <c r="G128" s="52"/>
    </row>
    <row r="129" spans="1:8" ht="17.25" x14ac:dyDescent="0.35">
      <c r="A129" s="42" t="s">
        <v>155</v>
      </c>
      <c r="B129" s="38"/>
      <c r="C129" s="38"/>
      <c r="D129" s="38"/>
      <c r="E129" s="38"/>
      <c r="F129" s="164">
        <f>+C111</f>
        <v>25045.390109890115</v>
      </c>
      <c r="G129" s="52"/>
    </row>
    <row r="130" spans="1:8" ht="17.25" x14ac:dyDescent="0.35">
      <c r="A130" s="42" t="s">
        <v>105</v>
      </c>
      <c r="B130" s="38"/>
      <c r="C130" s="38"/>
      <c r="D130" s="38"/>
      <c r="E130" s="38"/>
      <c r="F130" s="38"/>
      <c r="G130" s="55">
        <f>ROUND(+F125/F129,2)</f>
        <v>0.17</v>
      </c>
    </row>
    <row r="131" spans="1:8" ht="15" x14ac:dyDescent="0.2">
      <c r="A131" s="42"/>
      <c r="B131" s="38"/>
      <c r="C131" s="38"/>
      <c r="D131" s="38"/>
      <c r="E131" s="38"/>
      <c r="F131" s="38"/>
      <c r="G131" s="52"/>
    </row>
    <row r="132" spans="1:8" ht="18" x14ac:dyDescent="0.4">
      <c r="A132" s="35" t="s">
        <v>133</v>
      </c>
      <c r="B132" s="36"/>
      <c r="C132" s="38"/>
      <c r="D132" s="38"/>
      <c r="E132" s="38"/>
      <c r="F132" s="38"/>
      <c r="G132" s="182">
        <f>SUM(G121:G130)</f>
        <v>4.0000000000000008E-2</v>
      </c>
    </row>
    <row r="133" spans="1:8" ht="16.5" thickBot="1" x14ac:dyDescent="0.3">
      <c r="A133" s="265"/>
      <c r="B133" s="266"/>
      <c r="C133" s="267"/>
      <c r="D133" s="267"/>
      <c r="E133" s="267"/>
      <c r="F133" s="267"/>
      <c r="G133" s="268"/>
    </row>
    <row r="134" spans="1:8" ht="13.5" thickBot="1" x14ac:dyDescent="0.25"/>
    <row r="135" spans="1:8" ht="23.25" x14ac:dyDescent="0.35">
      <c r="A135" s="31" t="s">
        <v>57</v>
      </c>
      <c r="B135" s="32"/>
      <c r="C135" s="33"/>
      <c r="D135" s="33"/>
      <c r="E135" s="33"/>
      <c r="F135" s="33"/>
      <c r="G135" s="34"/>
    </row>
    <row r="136" spans="1:8" ht="15.75" x14ac:dyDescent="0.25">
      <c r="A136" s="35" t="s">
        <v>104</v>
      </c>
      <c r="B136" s="36"/>
      <c r="C136" s="37"/>
      <c r="D136" s="37"/>
      <c r="E136" s="38"/>
      <c r="F136" s="38"/>
      <c r="G136" s="39"/>
    </row>
    <row r="137" spans="1:8" ht="15.75" x14ac:dyDescent="0.25">
      <c r="A137" s="40"/>
      <c r="B137" s="41"/>
      <c r="C137" s="38"/>
      <c r="D137" s="38"/>
      <c r="E137" s="38"/>
      <c r="F137" s="38"/>
      <c r="G137" s="39"/>
    </row>
    <row r="138" spans="1:8" ht="15" x14ac:dyDescent="0.2">
      <c r="A138" s="282" t="s">
        <v>21</v>
      </c>
      <c r="B138" s="283"/>
      <c r="C138" s="283"/>
      <c r="D138" s="283"/>
      <c r="E138" s="283"/>
      <c r="F138" s="283"/>
      <c r="G138" s="284"/>
    </row>
    <row r="139" spans="1:8" ht="15" x14ac:dyDescent="0.2">
      <c r="A139" s="42"/>
      <c r="B139" s="38"/>
      <c r="C139" s="38"/>
      <c r="D139" s="38"/>
      <c r="E139" s="38"/>
      <c r="F139" s="38"/>
      <c r="G139" s="39"/>
    </row>
    <row r="140" spans="1:8" ht="15.75" x14ac:dyDescent="0.25">
      <c r="A140" s="42"/>
      <c r="B140" s="38"/>
      <c r="C140" s="43"/>
      <c r="D140" s="43"/>
      <c r="E140" s="43" t="s">
        <v>13</v>
      </c>
      <c r="F140" s="43" t="s">
        <v>3</v>
      </c>
      <c r="G140" s="39"/>
    </row>
    <row r="141" spans="1:8" ht="15.75" x14ac:dyDescent="0.25">
      <c r="A141" s="42"/>
      <c r="B141" s="38"/>
      <c r="C141" s="44" t="s">
        <v>5</v>
      </c>
      <c r="D141" s="44"/>
      <c r="E141" s="44" t="s">
        <v>22</v>
      </c>
      <c r="F141" s="44" t="s">
        <v>6</v>
      </c>
      <c r="G141" s="39"/>
    </row>
    <row r="142" spans="1:8" ht="15.75" x14ac:dyDescent="0.25">
      <c r="A142" s="45" t="s">
        <v>152</v>
      </c>
      <c r="B142" s="36"/>
      <c r="C142" s="46"/>
      <c r="D142" s="46"/>
      <c r="E142" s="46"/>
      <c r="F142" s="46"/>
      <c r="G142" s="39"/>
    </row>
    <row r="143" spans="1:8" ht="15.75" x14ac:dyDescent="0.25">
      <c r="A143" s="42" t="s">
        <v>156</v>
      </c>
      <c r="B143" s="38"/>
      <c r="C143" s="47">
        <v>46369</v>
      </c>
      <c r="D143" s="47"/>
      <c r="E143" s="48">
        <v>1.7</v>
      </c>
      <c r="F143" s="131">
        <f>C143*E143</f>
        <v>78827.3</v>
      </c>
      <c r="G143" s="39"/>
    </row>
    <row r="144" spans="1:8" ht="17.25" x14ac:dyDescent="0.35">
      <c r="A144" s="49" t="s">
        <v>157</v>
      </c>
      <c r="B144" s="50"/>
      <c r="C144" s="51">
        <v>94573</v>
      </c>
      <c r="D144" s="51"/>
      <c r="E144" s="48">
        <v>0.97</v>
      </c>
      <c r="F144" s="132">
        <f>C144*E144</f>
        <v>91735.81</v>
      </c>
      <c r="G144" s="39"/>
      <c r="H144" s="63"/>
    </row>
    <row r="145" spans="1:8" ht="17.25" x14ac:dyDescent="0.35">
      <c r="A145" s="178" t="s">
        <v>154</v>
      </c>
      <c r="B145" s="38"/>
      <c r="C145" s="179">
        <f>SUM(C143:C144)</f>
        <v>140942</v>
      </c>
      <c r="D145" s="51"/>
      <c r="E145" s="38"/>
      <c r="F145" s="180">
        <f>SUM(F143:F144)</f>
        <v>170563.11</v>
      </c>
      <c r="G145" s="39"/>
      <c r="H145" s="158"/>
    </row>
    <row r="146" spans="1:8" ht="15" x14ac:dyDescent="0.2">
      <c r="A146" s="42"/>
      <c r="B146" s="38"/>
      <c r="C146" s="38"/>
      <c r="D146" s="38"/>
      <c r="E146" s="38"/>
      <c r="F146" s="38"/>
      <c r="G146" s="39"/>
    </row>
    <row r="147" spans="1:8" ht="15.75" x14ac:dyDescent="0.25">
      <c r="A147" s="35" t="s">
        <v>148</v>
      </c>
      <c r="B147" s="38"/>
      <c r="C147" s="38"/>
      <c r="D147" s="38"/>
      <c r="E147" s="38"/>
      <c r="F147" s="131">
        <v>159522</v>
      </c>
      <c r="G147" s="39"/>
    </row>
    <row r="148" spans="1:8" ht="15.75" x14ac:dyDescent="0.25">
      <c r="A148" s="35" t="s">
        <v>176</v>
      </c>
      <c r="B148" s="252"/>
      <c r="C148" s="252"/>
      <c r="D148" s="252"/>
      <c r="E148" s="252"/>
      <c r="F148" s="253">
        <f>F147*50%</f>
        <v>79761</v>
      </c>
      <c r="G148" s="39"/>
    </row>
    <row r="149" spans="1:8" ht="15" x14ac:dyDescent="0.2">
      <c r="A149" s="42" t="s">
        <v>24</v>
      </c>
      <c r="B149" s="38"/>
      <c r="C149" s="38"/>
      <c r="D149" s="38"/>
      <c r="E149" s="38"/>
      <c r="F149" s="47">
        <f>F147-F145-F148</f>
        <v>-90802.109999999986</v>
      </c>
      <c r="G149" s="39"/>
    </row>
    <row r="150" spans="1:8" ht="17.25" x14ac:dyDescent="0.35">
      <c r="A150" s="42"/>
      <c r="B150" s="38"/>
      <c r="C150" s="130"/>
      <c r="D150" s="38"/>
      <c r="E150" s="38"/>
      <c r="F150" s="133"/>
      <c r="G150" s="39"/>
    </row>
    <row r="151" spans="1:8" ht="15" x14ac:dyDescent="0.2">
      <c r="A151" s="42" t="s">
        <v>25</v>
      </c>
      <c r="B151" s="38"/>
      <c r="C151" s="38"/>
      <c r="D151" s="38"/>
      <c r="E151" s="38"/>
      <c r="F151" s="47">
        <f>+F161</f>
        <v>294660</v>
      </c>
      <c r="G151" s="39"/>
    </row>
    <row r="152" spans="1:8" ht="15" x14ac:dyDescent="0.2">
      <c r="A152" s="42"/>
      <c r="B152" s="38"/>
      <c r="C152" s="38"/>
      <c r="D152" s="38"/>
      <c r="E152" s="38"/>
      <c r="F152" s="38"/>
      <c r="G152" s="39"/>
    </row>
    <row r="153" spans="1:8" ht="15" x14ac:dyDescent="0.2">
      <c r="A153" s="42" t="s">
        <v>26</v>
      </c>
      <c r="B153" s="38"/>
      <c r="C153" s="38"/>
      <c r="D153" s="38"/>
      <c r="E153" s="38"/>
      <c r="F153" s="61"/>
      <c r="G153" s="52">
        <f>ROUND(F149/F151,2)</f>
        <v>-0.31</v>
      </c>
    </row>
    <row r="154" spans="1:8" ht="15" x14ac:dyDescent="0.2">
      <c r="A154" s="42"/>
      <c r="B154" s="38"/>
      <c r="C154" s="38"/>
      <c r="D154" s="38"/>
      <c r="E154" s="38"/>
      <c r="F154" s="38"/>
      <c r="G154" s="52"/>
    </row>
    <row r="155" spans="1:8" ht="15" x14ac:dyDescent="0.2">
      <c r="A155" s="42"/>
      <c r="B155" s="38"/>
      <c r="C155" s="38"/>
      <c r="D155" s="38"/>
      <c r="E155" s="38"/>
      <c r="F155" s="38"/>
      <c r="G155" s="52"/>
    </row>
    <row r="156" spans="1:8" ht="15" x14ac:dyDescent="0.2">
      <c r="A156" s="42"/>
      <c r="B156" s="38"/>
      <c r="C156" s="38"/>
      <c r="D156" s="38"/>
      <c r="E156" s="38"/>
      <c r="F156" s="38"/>
      <c r="G156" s="52"/>
    </row>
    <row r="157" spans="1:8" ht="15.75" x14ac:dyDescent="0.25">
      <c r="A157" s="151" t="s">
        <v>158</v>
      </c>
      <c r="B157" s="36"/>
      <c r="C157" s="38"/>
      <c r="D157" s="38"/>
      <c r="E157" s="38"/>
      <c r="F157" s="163">
        <v>319043.89435762784</v>
      </c>
      <c r="G157" s="52"/>
    </row>
    <row r="158" spans="1:8" ht="17.25" x14ac:dyDescent="0.35">
      <c r="A158" s="49" t="s">
        <v>153</v>
      </c>
      <c r="B158" s="36"/>
      <c r="C158" s="38"/>
      <c r="D158" s="38"/>
      <c r="E158" s="175">
        <v>0.5</v>
      </c>
      <c r="F158" s="176">
        <f>-F157*E158</f>
        <v>-159521.94717881392</v>
      </c>
      <c r="G158" s="52"/>
    </row>
    <row r="159" spans="1:8" ht="20.25" x14ac:dyDescent="0.55000000000000004">
      <c r="A159" s="49"/>
      <c r="B159" s="36"/>
      <c r="C159" s="38"/>
      <c r="D159" s="38"/>
      <c r="E159" s="175"/>
      <c r="F159" s="177">
        <f>+F158+F157</f>
        <v>159521.94717881392</v>
      </c>
      <c r="G159" s="52"/>
    </row>
    <row r="160" spans="1:8" ht="17.25" x14ac:dyDescent="0.35">
      <c r="A160" s="49"/>
      <c r="B160" s="36"/>
      <c r="C160" s="38"/>
      <c r="D160" s="38"/>
      <c r="E160" s="175"/>
      <c r="F160" s="176"/>
      <c r="G160" s="52"/>
    </row>
    <row r="161" spans="1:9" ht="17.25" x14ac:dyDescent="0.35">
      <c r="A161" s="42" t="s">
        <v>155</v>
      </c>
      <c r="B161" s="38"/>
      <c r="C161" s="38"/>
      <c r="D161" s="38"/>
      <c r="E161" s="38"/>
      <c r="F161" s="164">
        <v>294660</v>
      </c>
      <c r="G161" s="52"/>
    </row>
    <row r="162" spans="1:9" ht="17.25" x14ac:dyDescent="0.35">
      <c r="A162" s="42" t="s">
        <v>105</v>
      </c>
      <c r="B162" s="38"/>
      <c r="C162" s="38"/>
      <c r="D162" s="38"/>
      <c r="E162" s="38"/>
      <c r="F162" s="38"/>
      <c r="G162" s="55">
        <f>ROUND(+F157/F161,2)</f>
        <v>1.08</v>
      </c>
    </row>
    <row r="163" spans="1:9" ht="15" x14ac:dyDescent="0.2">
      <c r="A163" s="42"/>
      <c r="B163" s="38"/>
      <c r="C163" s="38"/>
      <c r="D163" s="38"/>
      <c r="E163" s="38"/>
      <c r="F163" s="38"/>
      <c r="G163" s="52"/>
    </row>
    <row r="164" spans="1:9" ht="18" x14ac:dyDescent="0.4">
      <c r="A164" s="35" t="s">
        <v>28</v>
      </c>
      <c r="B164" s="36"/>
      <c r="C164" s="38"/>
      <c r="D164" s="38"/>
      <c r="E164" s="38"/>
      <c r="F164" s="38"/>
      <c r="G164" s="182">
        <f>SUM(G153:G162)</f>
        <v>0.77</v>
      </c>
      <c r="I164" s="159"/>
    </row>
    <row r="165" spans="1:9" ht="15.75" x14ac:dyDescent="0.25">
      <c r="A165" s="35"/>
      <c r="B165" s="36"/>
      <c r="C165" s="38"/>
      <c r="D165" s="38"/>
      <c r="E165" s="38"/>
      <c r="F165" s="38"/>
      <c r="G165" s="150"/>
    </row>
    <row r="166" spans="1:9" ht="13.5" thickBot="1" x14ac:dyDescent="0.25">
      <c r="A166" s="19"/>
      <c r="B166" s="20"/>
      <c r="C166" s="20"/>
      <c r="D166" s="20"/>
      <c r="E166" s="20"/>
      <c r="F166" s="20"/>
      <c r="G166" s="21"/>
    </row>
    <row r="167" spans="1:9" ht="15" x14ac:dyDescent="0.2">
      <c r="A167" s="282" t="s">
        <v>29</v>
      </c>
      <c r="B167" s="283"/>
      <c r="C167" s="283"/>
      <c r="D167" s="283"/>
      <c r="E167" s="283"/>
      <c r="F167" s="283"/>
      <c r="G167" s="284"/>
    </row>
    <row r="168" spans="1:9" ht="15" x14ac:dyDescent="0.2">
      <c r="A168" s="49"/>
      <c r="B168" s="50"/>
      <c r="C168" s="50"/>
      <c r="D168" s="50"/>
      <c r="E168" s="50"/>
      <c r="F168" s="50"/>
      <c r="G168" s="64"/>
    </row>
    <row r="169" spans="1:9" ht="15.75" x14ac:dyDescent="0.25">
      <c r="A169" s="49"/>
      <c r="B169" s="50"/>
      <c r="C169" s="43"/>
      <c r="D169" s="43"/>
      <c r="E169" s="43" t="s">
        <v>13</v>
      </c>
      <c r="F169" s="43" t="s">
        <v>3</v>
      </c>
      <c r="G169" s="64"/>
    </row>
    <row r="170" spans="1:9" ht="15.75" x14ac:dyDescent="0.25">
      <c r="A170" s="49"/>
      <c r="B170" s="50"/>
      <c r="C170" s="65" t="s">
        <v>20</v>
      </c>
      <c r="D170" s="65"/>
      <c r="E170" s="65" t="s">
        <v>22</v>
      </c>
      <c r="F170" s="65" t="s">
        <v>6</v>
      </c>
      <c r="G170" s="64"/>
    </row>
    <row r="171" spans="1:9" ht="15.75" x14ac:dyDescent="0.25">
      <c r="A171" s="45" t="s">
        <v>152</v>
      </c>
      <c r="B171" s="36"/>
      <c r="C171" s="66"/>
      <c r="D171" s="66"/>
      <c r="E171" s="66"/>
      <c r="F171" s="66"/>
      <c r="G171" s="64"/>
    </row>
    <row r="172" spans="1:9" ht="15.75" x14ac:dyDescent="0.25">
      <c r="A172" s="42" t="s">
        <v>156</v>
      </c>
      <c r="B172" s="50"/>
      <c r="C172" s="67">
        <v>3428.8235294117644</v>
      </c>
      <c r="D172" s="67"/>
      <c r="E172" s="68">
        <v>0.3</v>
      </c>
      <c r="F172" s="54">
        <f>E172*C172</f>
        <v>1028.6470588235293</v>
      </c>
      <c r="G172" s="64"/>
    </row>
    <row r="173" spans="1:9" ht="17.25" x14ac:dyDescent="0.35">
      <c r="A173" s="49" t="s">
        <v>157</v>
      </c>
      <c r="B173" s="50"/>
      <c r="C173" s="51">
        <v>6962.5271493212667</v>
      </c>
      <c r="D173" s="51"/>
      <c r="E173" s="68">
        <v>0.18</v>
      </c>
      <c r="F173" s="132">
        <f>E173*C173</f>
        <v>1253.2548868778279</v>
      </c>
      <c r="G173" s="64"/>
    </row>
    <row r="174" spans="1:9" ht="15" x14ac:dyDescent="0.2">
      <c r="A174" s="42" t="s">
        <v>3</v>
      </c>
      <c r="B174" s="50"/>
      <c r="C174" s="67">
        <f>SUM(C172:C173)</f>
        <v>10391.350678733032</v>
      </c>
      <c r="D174" s="67"/>
      <c r="E174" s="50"/>
      <c r="F174" s="54">
        <f>SUM(F172:F173)</f>
        <v>2281.9019457013574</v>
      </c>
      <c r="G174" s="64"/>
    </row>
    <row r="175" spans="1:9" ht="15" x14ac:dyDescent="0.2">
      <c r="A175" s="42"/>
      <c r="B175" s="50"/>
      <c r="C175" s="50"/>
      <c r="D175" s="50"/>
      <c r="E175" s="50"/>
      <c r="F175" s="54"/>
      <c r="G175" s="64"/>
    </row>
    <row r="176" spans="1:9" ht="15.75" x14ac:dyDescent="0.25">
      <c r="A176" s="35" t="s">
        <v>148</v>
      </c>
      <c r="B176" s="50"/>
      <c r="C176" s="50"/>
      <c r="D176" s="50"/>
      <c r="E176" s="50"/>
      <c r="F176" s="54">
        <v>2183.0170166386092</v>
      </c>
      <c r="G176" s="64"/>
    </row>
    <row r="177" spans="1:7" ht="15.75" x14ac:dyDescent="0.25">
      <c r="A177" s="35" t="s">
        <v>176</v>
      </c>
      <c r="B177" s="254"/>
      <c r="C177" s="254"/>
      <c r="D177" s="254"/>
      <c r="E177" s="254"/>
      <c r="F177" s="253">
        <f>F176*50%</f>
        <v>1091.5085083193046</v>
      </c>
      <c r="G177" s="64"/>
    </row>
    <row r="178" spans="1:7" ht="15" x14ac:dyDescent="0.2">
      <c r="A178" s="42" t="s">
        <v>101</v>
      </c>
      <c r="B178" s="50"/>
      <c r="C178" s="50"/>
      <c r="D178" s="50"/>
      <c r="E178" s="50"/>
      <c r="F178" s="47">
        <f>F176-F174-F177</f>
        <v>-1190.3934373820528</v>
      </c>
      <c r="G178" s="64"/>
    </row>
    <row r="179" spans="1:7" ht="17.25" x14ac:dyDescent="0.35">
      <c r="A179" s="42"/>
      <c r="B179" s="50"/>
      <c r="C179" s="135"/>
      <c r="D179" s="50"/>
      <c r="E179" s="50"/>
      <c r="F179" s="133"/>
      <c r="G179" s="64"/>
    </row>
    <row r="180" spans="1:7" ht="15" x14ac:dyDescent="0.2">
      <c r="A180" s="42" t="s">
        <v>25</v>
      </c>
      <c r="B180" s="50"/>
      <c r="C180" s="50"/>
      <c r="D180" s="50"/>
      <c r="E180" s="50"/>
      <c r="F180" s="67">
        <f>+F190</f>
        <v>21101.999999999996</v>
      </c>
      <c r="G180" s="64"/>
    </row>
    <row r="181" spans="1:7" ht="15" x14ac:dyDescent="0.2">
      <c r="A181" s="42"/>
      <c r="B181" s="50"/>
      <c r="C181" s="50"/>
      <c r="D181" s="50"/>
      <c r="E181" s="50"/>
      <c r="F181" s="50"/>
      <c r="G181" s="64"/>
    </row>
    <row r="182" spans="1:7" ht="15" x14ac:dyDescent="0.2">
      <c r="A182" s="42" t="s">
        <v>26</v>
      </c>
      <c r="B182" s="50"/>
      <c r="C182" s="50"/>
      <c r="D182" s="50"/>
      <c r="E182" s="50"/>
      <c r="F182" s="50"/>
      <c r="G182" s="70">
        <f>ROUND(F178/F180,2)</f>
        <v>-0.06</v>
      </c>
    </row>
    <row r="183" spans="1:7" ht="15" x14ac:dyDescent="0.2">
      <c r="A183" s="42"/>
      <c r="B183" s="50"/>
      <c r="C183" s="50"/>
      <c r="D183" s="50"/>
      <c r="E183" s="50"/>
      <c r="F183" s="50"/>
      <c r="G183" s="70"/>
    </row>
    <row r="184" spans="1:7" ht="15" x14ac:dyDescent="0.2">
      <c r="A184" s="42"/>
      <c r="B184" s="50"/>
      <c r="C184" s="50"/>
      <c r="D184" s="50"/>
      <c r="E184" s="50"/>
      <c r="F184" s="67"/>
      <c r="G184" s="64"/>
    </row>
    <row r="185" spans="1:7" ht="15.75" x14ac:dyDescent="0.25">
      <c r="A185" s="42"/>
      <c r="B185" s="36"/>
      <c r="C185" s="50"/>
      <c r="D185" s="50"/>
      <c r="E185" s="50"/>
      <c r="F185" s="67"/>
      <c r="G185" s="64"/>
    </row>
    <row r="186" spans="1:7" ht="15.75" x14ac:dyDescent="0.25">
      <c r="A186" s="151" t="s">
        <v>158</v>
      </c>
      <c r="B186" s="50"/>
      <c r="C186" s="50"/>
      <c r="D186" s="50"/>
      <c r="E186" s="50"/>
      <c r="F186" s="165">
        <v>4366.0340332772184</v>
      </c>
      <c r="G186" s="64"/>
    </row>
    <row r="187" spans="1:7" ht="17.25" x14ac:dyDescent="0.35">
      <c r="A187" s="49" t="s">
        <v>153</v>
      </c>
      <c r="B187" s="36"/>
      <c r="C187" s="38"/>
      <c r="D187" s="38"/>
      <c r="E187" s="175">
        <v>0.5</v>
      </c>
      <c r="F187" s="176">
        <f>-F186*E187</f>
        <v>-2183.0170166386092</v>
      </c>
      <c r="G187" s="52"/>
    </row>
    <row r="188" spans="1:7" ht="20.25" x14ac:dyDescent="0.55000000000000004">
      <c r="A188" s="49"/>
      <c r="B188" s="36"/>
      <c r="C188" s="38"/>
      <c r="D188" s="38"/>
      <c r="E188" s="175"/>
      <c r="F188" s="177">
        <f>+F187+F186</f>
        <v>2183.0170166386092</v>
      </c>
      <c r="G188" s="52"/>
    </row>
    <row r="189" spans="1:7" ht="17.25" x14ac:dyDescent="0.35">
      <c r="A189" s="49"/>
      <c r="B189" s="36"/>
      <c r="C189" s="38"/>
      <c r="D189" s="38"/>
      <c r="E189" s="175"/>
      <c r="F189" s="176"/>
      <c r="G189" s="52"/>
    </row>
    <row r="190" spans="1:7" ht="17.25" x14ac:dyDescent="0.35">
      <c r="A190" s="42" t="s">
        <v>155</v>
      </c>
      <c r="B190" s="38"/>
      <c r="C190" s="38"/>
      <c r="D190" s="38"/>
      <c r="E190" s="38"/>
      <c r="F190" s="164">
        <v>21101.999999999996</v>
      </c>
      <c r="G190" s="52"/>
    </row>
    <row r="191" spans="1:7" ht="17.25" x14ac:dyDescent="0.35">
      <c r="A191" s="42" t="s">
        <v>105</v>
      </c>
      <c r="B191" s="38"/>
      <c r="C191" s="38"/>
      <c r="D191" s="38"/>
      <c r="E191" s="38"/>
      <c r="F191" s="38"/>
      <c r="G191" s="55">
        <f>ROUND(+F186/F190,2)</f>
        <v>0.21</v>
      </c>
    </row>
    <row r="192" spans="1:7" ht="15" x14ac:dyDescent="0.2">
      <c r="A192" s="42"/>
      <c r="B192" s="38"/>
      <c r="C192" s="38"/>
      <c r="D192" s="38"/>
      <c r="E192" s="38"/>
      <c r="F192" s="38"/>
      <c r="G192" s="52"/>
    </row>
    <row r="193" spans="1:7" ht="18" x14ac:dyDescent="0.4">
      <c r="A193" s="35" t="s">
        <v>133</v>
      </c>
      <c r="B193" s="36"/>
      <c r="C193" s="38"/>
      <c r="D193" s="38"/>
      <c r="E193" s="38"/>
      <c r="F193" s="38"/>
      <c r="G193" s="182">
        <f>SUM(G182:G191)</f>
        <v>0.15</v>
      </c>
    </row>
    <row r="194" spans="1:7" ht="15.75" x14ac:dyDescent="0.25">
      <c r="A194" s="35"/>
      <c r="B194" s="36"/>
      <c r="C194" s="38"/>
      <c r="D194" s="38"/>
      <c r="E194" s="38"/>
      <c r="F194" s="38"/>
      <c r="G194" s="150"/>
    </row>
    <row r="195" spans="1:7" ht="15.75" thickBot="1" x14ac:dyDescent="0.25">
      <c r="A195" s="72"/>
      <c r="B195" s="73"/>
      <c r="C195" s="73"/>
      <c r="D195" s="73"/>
      <c r="E195" s="73"/>
      <c r="F195" s="73"/>
      <c r="G195" s="74"/>
    </row>
    <row r="196" spans="1:7" ht="23.25" x14ac:dyDescent="0.35">
      <c r="A196" s="31" t="s">
        <v>57</v>
      </c>
      <c r="B196" s="32"/>
      <c r="C196" s="33"/>
      <c r="D196" s="33"/>
      <c r="E196" s="33"/>
      <c r="F196" s="33"/>
      <c r="G196" s="34"/>
    </row>
    <row r="197" spans="1:7" ht="15.75" x14ac:dyDescent="0.25">
      <c r="A197" s="35" t="s">
        <v>104</v>
      </c>
      <c r="B197" s="36"/>
      <c r="C197" s="37"/>
      <c r="D197" s="37"/>
      <c r="E197" s="38"/>
      <c r="F197" s="38"/>
      <c r="G197" s="39"/>
    </row>
    <row r="198" spans="1:7" ht="15.75" x14ac:dyDescent="0.25">
      <c r="A198" s="40"/>
      <c r="B198" s="41"/>
      <c r="C198" s="38"/>
      <c r="D198" s="38"/>
      <c r="E198" s="38"/>
      <c r="F198" s="38"/>
      <c r="G198" s="39"/>
    </row>
    <row r="199" spans="1:7" ht="15" x14ac:dyDescent="0.2">
      <c r="A199" s="282" t="s">
        <v>21</v>
      </c>
      <c r="B199" s="283"/>
      <c r="C199" s="283"/>
      <c r="D199" s="283"/>
      <c r="E199" s="283"/>
      <c r="F199" s="283"/>
      <c r="G199" s="284"/>
    </row>
    <row r="200" spans="1:7" ht="15" x14ac:dyDescent="0.2">
      <c r="A200" s="42"/>
      <c r="B200" s="38"/>
      <c r="C200" s="38"/>
      <c r="D200" s="38"/>
      <c r="E200" s="38"/>
      <c r="F200" s="38"/>
      <c r="G200" s="39"/>
    </row>
    <row r="201" spans="1:7" ht="15.75" x14ac:dyDescent="0.25">
      <c r="A201" s="42"/>
      <c r="B201" s="38"/>
      <c r="C201" s="43"/>
      <c r="D201" s="43"/>
      <c r="E201" s="43" t="s">
        <v>13</v>
      </c>
      <c r="F201" s="43" t="s">
        <v>3</v>
      </c>
      <c r="G201" s="39"/>
    </row>
    <row r="202" spans="1:7" ht="15.75" x14ac:dyDescent="0.25">
      <c r="A202" s="42"/>
      <c r="B202" s="38"/>
      <c r="C202" s="44" t="s">
        <v>5</v>
      </c>
      <c r="D202" s="44"/>
      <c r="E202" s="44" t="s">
        <v>22</v>
      </c>
      <c r="F202" s="44" t="s">
        <v>6</v>
      </c>
      <c r="G202" s="39"/>
    </row>
    <row r="203" spans="1:7" ht="15.75" x14ac:dyDescent="0.25">
      <c r="A203" s="45" t="s">
        <v>149</v>
      </c>
      <c r="B203" s="36"/>
      <c r="C203" s="46"/>
      <c r="D203" s="46"/>
      <c r="E203" s="46"/>
      <c r="F203" s="46"/>
      <c r="G203" s="39"/>
    </row>
    <row r="204" spans="1:7" ht="15.75" x14ac:dyDescent="0.25">
      <c r="A204" s="42" t="s">
        <v>139</v>
      </c>
      <c r="B204" s="38"/>
      <c r="C204" s="47">
        <v>46369</v>
      </c>
      <c r="D204" s="47"/>
      <c r="E204" s="48">
        <v>2.23</v>
      </c>
      <c r="F204" s="131">
        <f>C204*E204</f>
        <v>103402.87</v>
      </c>
      <c r="G204" s="39"/>
    </row>
    <row r="205" spans="1:7" ht="17.25" x14ac:dyDescent="0.35">
      <c r="A205" s="49" t="s">
        <v>150</v>
      </c>
      <c r="B205" s="50"/>
      <c r="C205" s="51">
        <v>94573</v>
      </c>
      <c r="D205" s="51"/>
      <c r="E205" s="48">
        <v>1.7</v>
      </c>
      <c r="F205" s="132">
        <f>C205*E205</f>
        <v>160774.1</v>
      </c>
      <c r="G205" s="39"/>
    </row>
    <row r="206" spans="1:7" ht="17.25" x14ac:dyDescent="0.35">
      <c r="A206" s="42" t="s">
        <v>3</v>
      </c>
      <c r="B206" s="38"/>
      <c r="C206" s="47">
        <f>SUM(C204:C205)</f>
        <v>140942</v>
      </c>
      <c r="D206" s="51"/>
      <c r="E206" s="38"/>
      <c r="F206" s="131">
        <f>SUM(F204:F205)</f>
        <v>264176.96999999997</v>
      </c>
      <c r="G206" s="39"/>
    </row>
    <row r="207" spans="1:7" ht="15" x14ac:dyDescent="0.2">
      <c r="A207" s="42"/>
      <c r="B207" s="38"/>
      <c r="C207" s="38"/>
      <c r="D207" s="38"/>
      <c r="E207" s="38"/>
      <c r="F207" s="38"/>
      <c r="G207" s="39"/>
    </row>
    <row r="208" spans="1:7" ht="15.75" x14ac:dyDescent="0.25">
      <c r="A208" s="35" t="s">
        <v>23</v>
      </c>
      <c r="B208" s="38"/>
      <c r="C208" s="38"/>
      <c r="D208" s="38"/>
      <c r="E208" s="38"/>
      <c r="F208" s="131">
        <v>261404</v>
      </c>
      <c r="G208" s="39"/>
    </row>
    <row r="209" spans="1:7" ht="15" x14ac:dyDescent="0.2">
      <c r="A209" s="42"/>
      <c r="B209" s="38"/>
      <c r="C209" s="38"/>
      <c r="D209" s="38"/>
      <c r="E209" s="38"/>
      <c r="F209" s="131"/>
      <c r="G209" s="39"/>
    </row>
    <row r="210" spans="1:7" ht="15" x14ac:dyDescent="0.2">
      <c r="A210" s="42" t="s">
        <v>24</v>
      </c>
      <c r="B210" s="38"/>
      <c r="C210" s="38"/>
      <c r="D210" s="38"/>
      <c r="E210" s="38"/>
      <c r="F210" s="47">
        <f>F208-F206</f>
        <v>-2772.9699999999721</v>
      </c>
      <c r="G210" s="39"/>
    </row>
    <row r="211" spans="1:7" ht="17.25" x14ac:dyDescent="0.35">
      <c r="A211" s="42"/>
      <c r="B211" s="38"/>
      <c r="C211" s="130"/>
      <c r="D211" s="38"/>
      <c r="E211" s="38"/>
      <c r="F211" s="133"/>
      <c r="G211" s="39"/>
    </row>
    <row r="212" spans="1:7" ht="15" x14ac:dyDescent="0.2">
      <c r="A212" s="42" t="s">
        <v>25</v>
      </c>
      <c r="B212" s="38"/>
      <c r="C212" s="38"/>
      <c r="D212" s="38"/>
      <c r="E212" s="38"/>
      <c r="F212" s="47">
        <f>+C206</f>
        <v>140942</v>
      </c>
      <c r="G212" s="39"/>
    </row>
    <row r="213" spans="1:7" ht="15" x14ac:dyDescent="0.2">
      <c r="A213" s="42"/>
      <c r="B213" s="38"/>
      <c r="C213" s="38"/>
      <c r="D213" s="38"/>
      <c r="E213" s="38"/>
      <c r="F213" s="38"/>
      <c r="G213" s="39"/>
    </row>
    <row r="214" spans="1:7" ht="15" x14ac:dyDescent="0.2">
      <c r="A214" s="42" t="s">
        <v>26</v>
      </c>
      <c r="B214" s="38"/>
      <c r="C214" s="38"/>
      <c r="D214" s="38"/>
      <c r="E214" s="38"/>
      <c r="F214" s="61"/>
      <c r="G214" s="52">
        <f>ROUND(F210/F212,2)</f>
        <v>-0.02</v>
      </c>
    </row>
    <row r="215" spans="1:7" ht="15" x14ac:dyDescent="0.2">
      <c r="A215" s="42"/>
      <c r="B215" s="38"/>
      <c r="C215" s="38"/>
      <c r="D215" s="38"/>
      <c r="E215" s="38"/>
      <c r="F215" s="38"/>
      <c r="G215" s="52"/>
    </row>
    <row r="216" spans="1:7" ht="15" x14ac:dyDescent="0.2">
      <c r="A216" s="42"/>
      <c r="B216" s="38"/>
      <c r="C216" s="38"/>
      <c r="D216" s="38"/>
      <c r="E216" s="38"/>
      <c r="F216" s="38"/>
      <c r="G216" s="52"/>
    </row>
    <row r="217" spans="1:7" ht="15" x14ac:dyDescent="0.2">
      <c r="A217" s="42"/>
      <c r="B217" s="38"/>
      <c r="C217" s="38"/>
      <c r="D217" s="38"/>
      <c r="E217" s="38"/>
      <c r="F217" s="38"/>
      <c r="G217" s="52"/>
    </row>
    <row r="218" spans="1:7" ht="15.75" x14ac:dyDescent="0.25">
      <c r="A218" s="151" t="s">
        <v>151</v>
      </c>
      <c r="B218" s="36"/>
      <c r="C218" s="38"/>
      <c r="D218" s="38"/>
      <c r="E218" s="38"/>
      <c r="F218" s="163">
        <v>130702</v>
      </c>
      <c r="G218" s="52"/>
    </row>
    <row r="219" spans="1:7" ht="17.25" x14ac:dyDescent="0.35">
      <c r="A219" s="42" t="s">
        <v>25</v>
      </c>
      <c r="B219" s="38"/>
      <c r="C219" s="38"/>
      <c r="D219" s="38"/>
      <c r="E219" s="38"/>
      <c r="F219" s="164">
        <f>+C206</f>
        <v>140942</v>
      </c>
      <c r="G219" s="52"/>
    </row>
    <row r="220" spans="1:7" ht="17.25" x14ac:dyDescent="0.35">
      <c r="A220" s="42" t="s">
        <v>105</v>
      </c>
      <c r="B220" s="38"/>
      <c r="C220" s="38"/>
      <c r="D220" s="38"/>
      <c r="E220" s="38"/>
      <c r="F220" s="38"/>
      <c r="G220" s="55">
        <f>ROUND(+F218/F219,2)</f>
        <v>0.93</v>
      </c>
    </row>
    <row r="221" spans="1:7" ht="15" x14ac:dyDescent="0.2">
      <c r="A221" s="42"/>
      <c r="B221" s="38"/>
      <c r="C221" s="38"/>
      <c r="D221" s="38"/>
      <c r="E221" s="38"/>
      <c r="F221" s="38"/>
      <c r="G221" s="52"/>
    </row>
    <row r="222" spans="1:7" ht="18" x14ac:dyDescent="0.4">
      <c r="A222" s="35" t="s">
        <v>28</v>
      </c>
      <c r="B222" s="36"/>
      <c r="C222" s="38"/>
      <c r="D222" s="38"/>
      <c r="E222" s="38"/>
      <c r="F222" s="38"/>
      <c r="G222" s="182">
        <f>SUM(G214:G220)</f>
        <v>0.91</v>
      </c>
    </row>
    <row r="223" spans="1:7" ht="15.75" x14ac:dyDescent="0.25">
      <c r="A223" s="35"/>
      <c r="B223" s="36"/>
      <c r="C223" s="38"/>
      <c r="D223" s="38"/>
      <c r="E223" s="38"/>
      <c r="F223" s="38"/>
      <c r="G223" s="150"/>
    </row>
    <row r="224" spans="1:7" ht="13.5" thickBot="1" x14ac:dyDescent="0.25">
      <c r="A224" s="19"/>
      <c r="B224" s="20"/>
      <c r="C224" s="20"/>
      <c r="D224" s="20"/>
      <c r="E224" s="20"/>
      <c r="F224" s="20"/>
      <c r="G224" s="21"/>
    </row>
    <row r="225" spans="1:7" ht="15" x14ac:dyDescent="0.2">
      <c r="A225" s="282" t="s">
        <v>29</v>
      </c>
      <c r="B225" s="283"/>
      <c r="C225" s="283"/>
      <c r="D225" s="283"/>
      <c r="E225" s="283"/>
      <c r="F225" s="283"/>
      <c r="G225" s="284"/>
    </row>
    <row r="226" spans="1:7" ht="15" x14ac:dyDescent="0.2">
      <c r="A226" s="49"/>
      <c r="B226" s="50"/>
      <c r="C226" s="50"/>
      <c r="D226" s="50"/>
      <c r="E226" s="50"/>
      <c r="F226" s="50"/>
      <c r="G226" s="64"/>
    </row>
    <row r="227" spans="1:7" ht="15.75" x14ac:dyDescent="0.25">
      <c r="A227" s="49"/>
      <c r="B227" s="50"/>
      <c r="C227" s="43"/>
      <c r="D227" s="43"/>
      <c r="E227" s="43" t="s">
        <v>13</v>
      </c>
      <c r="F227" s="43" t="s">
        <v>3</v>
      </c>
      <c r="G227" s="64"/>
    </row>
    <row r="228" spans="1:7" ht="15.75" x14ac:dyDescent="0.25">
      <c r="A228" s="49"/>
      <c r="B228" s="50"/>
      <c r="C228" s="65" t="s">
        <v>20</v>
      </c>
      <c r="D228" s="65"/>
      <c r="E228" s="65" t="s">
        <v>22</v>
      </c>
      <c r="F228" s="65" t="s">
        <v>6</v>
      </c>
      <c r="G228" s="64"/>
    </row>
    <row r="229" spans="1:7" ht="15.75" x14ac:dyDescent="0.25">
      <c r="A229" s="45" t="s">
        <v>149</v>
      </c>
      <c r="B229" s="36"/>
      <c r="C229" s="66"/>
      <c r="D229" s="66"/>
      <c r="E229" s="66"/>
      <c r="F229" s="66"/>
      <c r="G229" s="64"/>
    </row>
    <row r="230" spans="1:7" ht="15.75" x14ac:dyDescent="0.25">
      <c r="A230" s="42" t="s">
        <v>58</v>
      </c>
      <c r="B230" s="50"/>
      <c r="C230" s="67">
        <v>3064</v>
      </c>
      <c r="D230" s="67"/>
      <c r="E230" s="68">
        <v>0.24</v>
      </c>
      <c r="F230" s="54">
        <f>E230*C230</f>
        <v>735.36</v>
      </c>
      <c r="G230" s="64"/>
    </row>
    <row r="231" spans="1:7" ht="17.25" x14ac:dyDescent="0.35">
      <c r="A231" s="49" t="s">
        <v>59</v>
      </c>
      <c r="B231" s="50"/>
      <c r="C231" s="51">
        <v>6764</v>
      </c>
      <c r="D231" s="51"/>
      <c r="E231" s="68">
        <v>0.3</v>
      </c>
      <c r="F231" s="132">
        <f>E231*C231</f>
        <v>2029.1999999999998</v>
      </c>
      <c r="G231" s="64"/>
    </row>
    <row r="232" spans="1:7" ht="15" x14ac:dyDescent="0.2">
      <c r="A232" s="42" t="s">
        <v>3</v>
      </c>
      <c r="B232" s="50"/>
      <c r="C232" s="67">
        <f>SUM(C230:C231)</f>
        <v>9828</v>
      </c>
      <c r="D232" s="67"/>
      <c r="E232" s="50"/>
      <c r="F232" s="54">
        <f>SUM(F230:F231)</f>
        <v>2764.56</v>
      </c>
      <c r="G232" s="64"/>
    </row>
    <row r="233" spans="1:7" ht="15" x14ac:dyDescent="0.2">
      <c r="A233" s="42"/>
      <c r="B233" s="50"/>
      <c r="C233" s="50"/>
      <c r="D233" s="50"/>
      <c r="E233" s="50"/>
      <c r="F233" s="54"/>
      <c r="G233" s="64"/>
    </row>
    <row r="234" spans="1:7" ht="15.75" x14ac:dyDescent="0.25">
      <c r="A234" s="35" t="s">
        <v>23</v>
      </c>
      <c r="B234" s="50"/>
      <c r="C234" s="50"/>
      <c r="D234" s="50"/>
      <c r="E234" s="50"/>
      <c r="F234" s="54">
        <v>3577</v>
      </c>
      <c r="G234" s="64"/>
    </row>
    <row r="235" spans="1:7" ht="15" x14ac:dyDescent="0.2">
      <c r="A235" s="42"/>
      <c r="B235" s="50"/>
      <c r="C235" s="50"/>
      <c r="D235" s="50"/>
      <c r="E235" s="50"/>
      <c r="F235" s="54"/>
      <c r="G235" s="64"/>
    </row>
    <row r="236" spans="1:7" ht="15" x14ac:dyDescent="0.2">
      <c r="A236" s="42" t="s">
        <v>101</v>
      </c>
      <c r="B236" s="50"/>
      <c r="C236" s="50"/>
      <c r="D236" s="50"/>
      <c r="E236" s="50"/>
      <c r="F236" s="131">
        <f>F234-F232</f>
        <v>812.44</v>
      </c>
      <c r="G236" s="64"/>
    </row>
    <row r="237" spans="1:7" ht="17.25" x14ac:dyDescent="0.35">
      <c r="A237" s="42"/>
      <c r="B237" s="50"/>
      <c r="C237" s="135"/>
      <c r="D237" s="50"/>
      <c r="E237" s="50"/>
      <c r="F237" s="133"/>
      <c r="G237" s="64"/>
    </row>
    <row r="238" spans="1:7" ht="15" x14ac:dyDescent="0.2">
      <c r="A238" s="42" t="s">
        <v>25</v>
      </c>
      <c r="B238" s="50"/>
      <c r="C238" s="50"/>
      <c r="D238" s="50"/>
      <c r="E238" s="50"/>
      <c r="F238" s="67">
        <f>+C232</f>
        <v>9828</v>
      </c>
      <c r="G238" s="64"/>
    </row>
    <row r="239" spans="1:7" ht="15" x14ac:dyDescent="0.2">
      <c r="A239" s="42"/>
      <c r="B239" s="50"/>
      <c r="C239" s="50"/>
      <c r="D239" s="50"/>
      <c r="E239" s="50"/>
      <c r="F239" s="50"/>
      <c r="G239" s="64"/>
    </row>
    <row r="240" spans="1:7" ht="15" x14ac:dyDescent="0.2">
      <c r="A240" s="42" t="s">
        <v>26</v>
      </c>
      <c r="B240" s="50"/>
      <c r="C240" s="50"/>
      <c r="D240" s="50"/>
      <c r="E240" s="50"/>
      <c r="F240" s="50"/>
      <c r="G240" s="70">
        <f>ROUND(F236/F238,2)</f>
        <v>0.08</v>
      </c>
    </row>
    <row r="241" spans="1:7" ht="15" x14ac:dyDescent="0.2">
      <c r="A241" s="42"/>
      <c r="B241" s="50"/>
      <c r="C241" s="50"/>
      <c r="D241" s="50"/>
      <c r="E241" s="50"/>
      <c r="F241" s="50"/>
      <c r="G241" s="70"/>
    </row>
    <row r="242" spans="1:7" ht="15" x14ac:dyDescent="0.2">
      <c r="A242" s="42"/>
      <c r="B242" s="50"/>
      <c r="C242" s="50"/>
      <c r="D242" s="50"/>
      <c r="E242" s="50"/>
      <c r="F242" s="67"/>
      <c r="G242" s="64"/>
    </row>
    <row r="243" spans="1:7" ht="15.75" x14ac:dyDescent="0.25">
      <c r="A243" s="42"/>
      <c r="B243" s="36"/>
      <c r="C243" s="50"/>
      <c r="D243" s="50"/>
      <c r="E243" s="50"/>
      <c r="F243" s="67"/>
      <c r="G243" s="64"/>
    </row>
    <row r="244" spans="1:7" ht="15.75" x14ac:dyDescent="0.25">
      <c r="A244" s="151" t="s">
        <v>151</v>
      </c>
      <c r="B244" s="50"/>
      <c r="C244" s="50"/>
      <c r="D244" s="50"/>
      <c r="E244" s="50"/>
      <c r="F244" s="165">
        <v>1789</v>
      </c>
      <c r="G244" s="64"/>
    </row>
    <row r="245" spans="1:7" ht="17.25" x14ac:dyDescent="0.35">
      <c r="A245" s="49" t="s">
        <v>25</v>
      </c>
      <c r="B245" s="36"/>
      <c r="C245" s="139"/>
      <c r="D245" s="38"/>
      <c r="E245" s="38"/>
      <c r="F245" s="166">
        <f>+C232</f>
        <v>9828</v>
      </c>
      <c r="G245" s="64"/>
    </row>
    <row r="246" spans="1:7" ht="17.25" x14ac:dyDescent="0.35">
      <c r="A246" s="42" t="s">
        <v>105</v>
      </c>
      <c r="B246" s="38"/>
      <c r="C246" s="38"/>
      <c r="D246" s="38"/>
      <c r="E246" s="38"/>
      <c r="F246" s="38"/>
      <c r="G246" s="55">
        <f>ROUND(+F244/F245,2)</f>
        <v>0.18</v>
      </c>
    </row>
    <row r="247" spans="1:7" ht="15" x14ac:dyDescent="0.2">
      <c r="A247" s="42"/>
      <c r="B247" s="50"/>
      <c r="C247" s="50"/>
      <c r="D247" s="50"/>
      <c r="E247" s="50"/>
      <c r="F247" s="67"/>
      <c r="G247" s="64"/>
    </row>
    <row r="248" spans="1:7" ht="18" x14ac:dyDescent="0.4">
      <c r="A248" s="35" t="s">
        <v>133</v>
      </c>
      <c r="B248" s="36"/>
      <c r="C248" s="38"/>
      <c r="D248" s="38"/>
      <c r="E248" s="38"/>
      <c r="F248" s="38"/>
      <c r="G248" s="182">
        <f>SUM(G240:G246)</f>
        <v>0.26</v>
      </c>
    </row>
    <row r="249" spans="1:7" ht="17.25" x14ac:dyDescent="0.35">
      <c r="A249" s="42"/>
      <c r="B249" s="50"/>
      <c r="C249" s="50"/>
      <c r="D249" s="50"/>
      <c r="E249" s="50"/>
      <c r="F249" s="50"/>
      <c r="G249" s="55"/>
    </row>
    <row r="250" spans="1:7" ht="15.75" thickBot="1" x14ac:dyDescent="0.25">
      <c r="A250" s="72"/>
      <c r="B250" s="73"/>
      <c r="C250" s="73"/>
      <c r="D250" s="73"/>
      <c r="E250" s="73"/>
      <c r="F250" s="73"/>
      <c r="G250" s="74"/>
    </row>
    <row r="251" spans="1:7" ht="23.25" x14ac:dyDescent="0.35">
      <c r="A251" s="31" t="s">
        <v>57</v>
      </c>
      <c r="B251" s="32"/>
      <c r="C251" s="33"/>
      <c r="D251" s="33"/>
      <c r="E251" s="33"/>
      <c r="F251" s="33"/>
      <c r="G251" s="34"/>
    </row>
    <row r="252" spans="1:7" ht="15.75" x14ac:dyDescent="0.25">
      <c r="A252" s="35" t="s">
        <v>96</v>
      </c>
      <c r="B252" s="36"/>
      <c r="C252" s="37"/>
      <c r="D252" s="37"/>
      <c r="E252" s="38"/>
      <c r="F252" s="38"/>
      <c r="G252" s="39"/>
    </row>
    <row r="253" spans="1:7" ht="15.75" x14ac:dyDescent="0.25">
      <c r="A253" s="40"/>
      <c r="B253" s="41"/>
      <c r="C253" s="38"/>
      <c r="D253" s="38"/>
      <c r="E253" s="38"/>
      <c r="F253" s="38"/>
      <c r="G253" s="39"/>
    </row>
    <row r="254" spans="1:7" ht="15" x14ac:dyDescent="0.2">
      <c r="A254" s="282" t="s">
        <v>21</v>
      </c>
      <c r="B254" s="283"/>
      <c r="C254" s="283"/>
      <c r="D254" s="283"/>
      <c r="E254" s="283"/>
      <c r="F254" s="283"/>
      <c r="G254" s="284"/>
    </row>
    <row r="255" spans="1:7" ht="15" x14ac:dyDescent="0.2">
      <c r="A255" s="42"/>
      <c r="B255" s="38"/>
      <c r="C255" s="38"/>
      <c r="D255" s="38"/>
      <c r="E255" s="38"/>
      <c r="F255" s="38"/>
      <c r="G255" s="39"/>
    </row>
    <row r="256" spans="1:7" ht="15.75" x14ac:dyDescent="0.25">
      <c r="A256" s="42"/>
      <c r="B256" s="38"/>
      <c r="C256" s="43"/>
      <c r="D256" s="43"/>
      <c r="E256" s="43" t="s">
        <v>13</v>
      </c>
      <c r="F256" s="43" t="s">
        <v>3</v>
      </c>
      <c r="G256" s="39"/>
    </row>
    <row r="257" spans="1:8" ht="15.75" x14ac:dyDescent="0.25">
      <c r="A257" s="42"/>
      <c r="B257" s="38"/>
      <c r="C257" s="44" t="s">
        <v>5</v>
      </c>
      <c r="D257" s="44"/>
      <c r="E257" s="44" t="s">
        <v>22</v>
      </c>
      <c r="F257" s="44" t="s">
        <v>6</v>
      </c>
      <c r="G257" s="39"/>
    </row>
    <row r="258" spans="1:8" ht="15.75" x14ac:dyDescent="0.25">
      <c r="A258" s="45" t="s">
        <v>98</v>
      </c>
      <c r="B258" s="36"/>
      <c r="C258" s="46"/>
      <c r="D258" s="46"/>
      <c r="E258" s="46"/>
      <c r="F258" s="46"/>
      <c r="G258" s="39"/>
    </row>
    <row r="259" spans="1:8" ht="15.75" x14ac:dyDescent="0.25">
      <c r="A259" s="42" t="s">
        <v>58</v>
      </c>
      <c r="B259" s="38"/>
      <c r="C259" s="47">
        <v>44693</v>
      </c>
      <c r="D259" s="47"/>
      <c r="E259" s="48">
        <v>1.71</v>
      </c>
      <c r="F259" s="131">
        <f>C259*E259</f>
        <v>76425.03</v>
      </c>
      <c r="G259" s="39"/>
    </row>
    <row r="260" spans="1:8" ht="17.25" x14ac:dyDescent="0.35">
      <c r="A260" s="49" t="s">
        <v>59</v>
      </c>
      <c r="B260" s="50"/>
      <c r="C260" s="51">
        <v>225967</v>
      </c>
      <c r="D260" s="51"/>
      <c r="E260" s="48">
        <v>2.23</v>
      </c>
      <c r="F260" s="132">
        <f>C260*E260</f>
        <v>503906.41</v>
      </c>
      <c r="G260" s="39"/>
    </row>
    <row r="261" spans="1:8" ht="17.25" x14ac:dyDescent="0.35">
      <c r="A261" s="42" t="s">
        <v>3</v>
      </c>
      <c r="B261" s="38"/>
      <c r="C261" s="47">
        <f>SUM(C259:C260)</f>
        <v>270660</v>
      </c>
      <c r="D261" s="51"/>
      <c r="E261" s="38"/>
      <c r="F261" s="131">
        <f>SUM(F259:F260)</f>
        <v>580331.43999999994</v>
      </c>
      <c r="G261" s="39"/>
    </row>
    <row r="262" spans="1:8" ht="15" x14ac:dyDescent="0.2">
      <c r="A262" s="42"/>
      <c r="B262" s="38"/>
      <c r="C262" s="38"/>
      <c r="D262" s="38"/>
      <c r="E262" s="38"/>
      <c r="F262" s="38"/>
      <c r="G262" s="39"/>
    </row>
    <row r="263" spans="1:8" ht="15.75" x14ac:dyDescent="0.25">
      <c r="A263" s="35" t="s">
        <v>23</v>
      </c>
      <c r="B263" s="38"/>
      <c r="C263" s="38"/>
      <c r="D263" s="38"/>
      <c r="E263" s="38"/>
      <c r="F263" s="131">
        <v>519430</v>
      </c>
      <c r="G263" s="39"/>
    </row>
    <row r="264" spans="1:8" ht="15" x14ac:dyDescent="0.2">
      <c r="A264" s="42"/>
      <c r="B264" s="38"/>
      <c r="C264" s="38"/>
      <c r="D264" s="38"/>
      <c r="E264" s="38"/>
      <c r="F264" s="131"/>
      <c r="G264" s="39"/>
    </row>
    <row r="265" spans="1:8" ht="15" x14ac:dyDescent="0.2">
      <c r="A265" s="42" t="s">
        <v>24</v>
      </c>
      <c r="B265" s="38"/>
      <c r="C265" s="38"/>
      <c r="D265" s="38"/>
      <c r="E265" s="38"/>
      <c r="F265" s="47">
        <f>F263-F261</f>
        <v>-60901.439999999944</v>
      </c>
      <c r="G265" s="39"/>
    </row>
    <row r="266" spans="1:8" ht="17.25" x14ac:dyDescent="0.35">
      <c r="A266" s="42"/>
      <c r="B266" s="38"/>
      <c r="C266" s="130"/>
      <c r="D266" s="38"/>
      <c r="E266" s="38"/>
      <c r="F266" s="133"/>
      <c r="G266" s="39"/>
    </row>
    <row r="267" spans="1:8" ht="15" x14ac:dyDescent="0.2">
      <c r="A267" s="42" t="s">
        <v>25</v>
      </c>
      <c r="B267" s="38"/>
      <c r="C267" s="38"/>
      <c r="D267" s="38"/>
      <c r="E267" s="38"/>
      <c r="F267" s="47">
        <f>+C261</f>
        <v>270660</v>
      </c>
      <c r="G267" s="39"/>
    </row>
    <row r="268" spans="1:8" ht="15" x14ac:dyDescent="0.2">
      <c r="A268" s="42"/>
      <c r="B268" s="38"/>
      <c r="C268" s="38"/>
      <c r="D268" s="38"/>
      <c r="E268" s="38"/>
      <c r="F268" s="38"/>
      <c r="G268" s="39"/>
    </row>
    <row r="269" spans="1:8" ht="15" x14ac:dyDescent="0.2">
      <c r="A269" s="42" t="s">
        <v>26</v>
      </c>
      <c r="B269" s="38"/>
      <c r="C269" s="38"/>
      <c r="D269" s="38"/>
      <c r="E269" s="38"/>
      <c r="F269" s="61"/>
      <c r="G269" s="52">
        <f>ROUND(F265/F267,2)</f>
        <v>-0.23</v>
      </c>
    </row>
    <row r="270" spans="1:8" ht="15" x14ac:dyDescent="0.2">
      <c r="A270" s="42"/>
      <c r="B270" s="38"/>
      <c r="C270" s="38"/>
      <c r="D270" s="38"/>
      <c r="E270" s="38"/>
      <c r="F270" s="38"/>
      <c r="G270" s="52"/>
    </row>
    <row r="271" spans="1:8" ht="15" x14ac:dyDescent="0.2">
      <c r="A271" s="42"/>
      <c r="B271" s="38"/>
      <c r="C271" s="38"/>
      <c r="D271" s="38"/>
      <c r="E271" s="38"/>
      <c r="F271" s="38"/>
      <c r="G271" s="52"/>
    </row>
    <row r="272" spans="1:8" ht="15" x14ac:dyDescent="0.2">
      <c r="A272" s="42"/>
      <c r="B272" s="38"/>
      <c r="C272" s="38"/>
      <c r="D272" s="38"/>
      <c r="E272" s="38"/>
      <c r="F272" s="38"/>
      <c r="G272" s="52"/>
      <c r="H272" s="63"/>
    </row>
    <row r="273" spans="1:8" ht="15.75" x14ac:dyDescent="0.25">
      <c r="A273" s="151" t="s">
        <v>138</v>
      </c>
      <c r="B273" s="36"/>
      <c r="C273" s="38"/>
      <c r="D273" s="38"/>
      <c r="E273" s="38"/>
      <c r="F273" s="163">
        <v>115861</v>
      </c>
      <c r="G273" s="52"/>
      <c r="H273" s="160"/>
    </row>
    <row r="274" spans="1:8" ht="17.25" x14ac:dyDescent="0.35">
      <c r="A274" s="42" t="s">
        <v>25</v>
      </c>
      <c r="B274" s="38"/>
      <c r="C274" s="38"/>
      <c r="D274" s="38"/>
      <c r="E274" s="38"/>
      <c r="F274" s="164">
        <f>135817</f>
        <v>135817</v>
      </c>
      <c r="G274" s="52"/>
      <c r="H274" s="161"/>
    </row>
    <row r="275" spans="1:8" ht="17.25" x14ac:dyDescent="0.35">
      <c r="A275" s="42" t="s">
        <v>105</v>
      </c>
      <c r="B275" s="38"/>
      <c r="C275" s="38"/>
      <c r="D275" s="38"/>
      <c r="E275" s="38"/>
      <c r="F275" s="38"/>
      <c r="G275" s="55">
        <f>ROUND(+F273/F274,2)</f>
        <v>0.85</v>
      </c>
      <c r="H275" s="162"/>
    </row>
    <row r="276" spans="1:8" ht="15" x14ac:dyDescent="0.2">
      <c r="A276" s="42"/>
      <c r="B276" s="38"/>
      <c r="C276" s="38"/>
      <c r="D276" s="38"/>
      <c r="E276" s="38"/>
      <c r="F276" s="38"/>
      <c r="G276" s="52"/>
    </row>
    <row r="277" spans="1:8" ht="15.75" x14ac:dyDescent="0.25">
      <c r="A277" s="35" t="s">
        <v>28</v>
      </c>
      <c r="B277" s="36"/>
      <c r="C277" s="38"/>
      <c r="D277" s="38"/>
      <c r="E277" s="38"/>
      <c r="F277" s="38"/>
      <c r="G277" s="167">
        <f>SUM(G269:G275)</f>
        <v>0.62</v>
      </c>
      <c r="H277" s="159"/>
    </row>
    <row r="278" spans="1:8" ht="15.75" x14ac:dyDescent="0.25">
      <c r="A278" s="35"/>
      <c r="B278" s="36"/>
      <c r="C278" s="38"/>
      <c r="D278" s="38"/>
      <c r="E278" s="38"/>
      <c r="F278" s="38"/>
      <c r="G278" s="150"/>
    </row>
    <row r="279" spans="1:8" ht="20.25" x14ac:dyDescent="0.55000000000000004">
      <c r="A279" s="49"/>
      <c r="B279" s="38"/>
      <c r="C279" s="38"/>
      <c r="D279" s="38"/>
      <c r="E279" s="139"/>
      <c r="F279" s="38"/>
      <c r="G279" s="152"/>
      <c r="H279" s="162"/>
    </row>
    <row r="280" spans="1:8" ht="20.25" x14ac:dyDescent="0.55000000000000004">
      <c r="A280" s="49"/>
      <c r="B280" s="38"/>
      <c r="C280" s="38"/>
      <c r="D280" s="38"/>
      <c r="E280" s="139"/>
      <c r="F280" s="38"/>
      <c r="G280" s="152"/>
      <c r="H280" s="119"/>
    </row>
    <row r="281" spans="1:8" ht="18" x14ac:dyDescent="0.4">
      <c r="A281" s="35" t="s">
        <v>129</v>
      </c>
      <c r="B281" s="38"/>
      <c r="C281" s="38"/>
      <c r="D281" s="38"/>
      <c r="E281" s="139"/>
      <c r="F281" s="38"/>
      <c r="G281" s="153">
        <f>+G277+G279</f>
        <v>0.62</v>
      </c>
      <c r="H281" s="159"/>
    </row>
    <row r="282" spans="1:8" ht="13.5" thickBot="1" x14ac:dyDescent="0.25">
      <c r="A282" s="19"/>
      <c r="B282" s="20"/>
      <c r="C282" s="20"/>
      <c r="D282" s="20"/>
      <c r="E282" s="20"/>
      <c r="F282" s="20"/>
      <c r="G282" s="21"/>
    </row>
    <row r="283" spans="1:8" ht="15" x14ac:dyDescent="0.2">
      <c r="A283" s="282" t="s">
        <v>29</v>
      </c>
      <c r="B283" s="283"/>
      <c r="C283" s="283"/>
      <c r="D283" s="283"/>
      <c r="E283" s="283"/>
      <c r="F283" s="283"/>
      <c r="G283" s="284"/>
    </row>
    <row r="284" spans="1:8" ht="15" x14ac:dyDescent="0.2">
      <c r="A284" s="49"/>
      <c r="B284" s="50"/>
      <c r="C284" s="50"/>
      <c r="D284" s="50"/>
      <c r="E284" s="50"/>
      <c r="F284" s="50"/>
      <c r="G284" s="64"/>
    </row>
    <row r="285" spans="1:8" ht="15.75" x14ac:dyDescent="0.25">
      <c r="A285" s="49"/>
      <c r="B285" s="50"/>
      <c r="C285" s="43"/>
      <c r="D285" s="43"/>
      <c r="E285" s="43" t="s">
        <v>13</v>
      </c>
      <c r="F285" s="43" t="s">
        <v>3</v>
      </c>
      <c r="G285" s="64"/>
    </row>
    <row r="286" spans="1:8" ht="15.75" x14ac:dyDescent="0.25">
      <c r="A286" s="49"/>
      <c r="B286" s="50"/>
      <c r="C286" s="65" t="s">
        <v>20</v>
      </c>
      <c r="D286" s="65"/>
      <c r="E286" s="65" t="s">
        <v>22</v>
      </c>
      <c r="F286" s="65" t="s">
        <v>6</v>
      </c>
      <c r="G286" s="64"/>
    </row>
    <row r="287" spans="1:8" ht="15.75" x14ac:dyDescent="0.25">
      <c r="A287" s="45" t="s">
        <v>98</v>
      </c>
      <c r="B287" s="36"/>
      <c r="C287" s="66"/>
      <c r="D287" s="66"/>
      <c r="E287" s="66"/>
      <c r="F287" s="66"/>
      <c r="G287" s="64"/>
    </row>
    <row r="288" spans="1:8" ht="15.75" x14ac:dyDescent="0.25">
      <c r="A288" s="42" t="s">
        <v>58</v>
      </c>
      <c r="B288" s="50"/>
      <c r="C288" s="67">
        <v>3419</v>
      </c>
      <c r="D288" s="67"/>
      <c r="E288" s="68">
        <v>0.24</v>
      </c>
      <c r="F288" s="54">
        <f>E288*C288</f>
        <v>820.56</v>
      </c>
      <c r="G288" s="64"/>
    </row>
    <row r="289" spans="1:8" ht="17.25" x14ac:dyDescent="0.35">
      <c r="A289" s="49" t="s">
        <v>59</v>
      </c>
      <c r="B289" s="50"/>
      <c r="C289" s="51">
        <v>17388</v>
      </c>
      <c r="D289" s="51"/>
      <c r="E289" s="68">
        <v>0.34</v>
      </c>
      <c r="F289" s="132">
        <f>E289*C289</f>
        <v>5911.92</v>
      </c>
      <c r="G289" s="64"/>
    </row>
    <row r="290" spans="1:8" ht="15" x14ac:dyDescent="0.2">
      <c r="A290" s="42" t="s">
        <v>3</v>
      </c>
      <c r="B290" s="50"/>
      <c r="C290" s="67">
        <f>SUM(C288:C289)</f>
        <v>20807</v>
      </c>
      <c r="D290" s="67"/>
      <c r="E290" s="50"/>
      <c r="F290" s="54">
        <f>SUM(F288:F289)</f>
        <v>6732.48</v>
      </c>
      <c r="G290" s="64"/>
    </row>
    <row r="291" spans="1:8" ht="15" x14ac:dyDescent="0.2">
      <c r="A291" s="42"/>
      <c r="B291" s="50"/>
      <c r="C291" s="50"/>
      <c r="D291" s="50"/>
      <c r="E291" s="50"/>
      <c r="F291" s="54"/>
      <c r="G291" s="64"/>
    </row>
    <row r="292" spans="1:8" ht="15.75" x14ac:dyDescent="0.25">
      <c r="A292" s="35" t="s">
        <v>23</v>
      </c>
      <c r="B292" s="50"/>
      <c r="C292" s="50"/>
      <c r="D292" s="50"/>
      <c r="E292" s="50"/>
      <c r="F292" s="54">
        <v>7108</v>
      </c>
      <c r="G292" s="64"/>
    </row>
    <row r="293" spans="1:8" ht="15" x14ac:dyDescent="0.2">
      <c r="A293" s="42"/>
      <c r="B293" s="50"/>
      <c r="C293" s="50"/>
      <c r="D293" s="50"/>
      <c r="E293" s="50"/>
      <c r="F293" s="54"/>
      <c r="G293" s="64"/>
    </row>
    <row r="294" spans="1:8" ht="15" x14ac:dyDescent="0.2">
      <c r="A294" s="42" t="s">
        <v>101</v>
      </c>
      <c r="B294" s="50"/>
      <c r="C294" s="50"/>
      <c r="D294" s="50"/>
      <c r="E294" s="50"/>
      <c r="F294" s="131">
        <f>F292-F290</f>
        <v>375.52000000000044</v>
      </c>
      <c r="G294" s="64"/>
    </row>
    <row r="295" spans="1:8" ht="17.25" x14ac:dyDescent="0.35">
      <c r="A295" s="42"/>
      <c r="B295" s="50"/>
      <c r="C295" s="135"/>
      <c r="D295" s="50"/>
      <c r="E295" s="50"/>
      <c r="F295" s="133"/>
      <c r="G295" s="64"/>
    </row>
    <row r="296" spans="1:8" ht="15" x14ac:dyDescent="0.2">
      <c r="A296" s="42" t="s">
        <v>25</v>
      </c>
      <c r="B296" s="50"/>
      <c r="C296" s="50"/>
      <c r="D296" s="50"/>
      <c r="E296" s="50"/>
      <c r="F296" s="67">
        <f>+C290</f>
        <v>20807</v>
      </c>
      <c r="G296" s="64"/>
    </row>
    <row r="297" spans="1:8" ht="15" x14ac:dyDescent="0.2">
      <c r="A297" s="42"/>
      <c r="B297" s="50"/>
      <c r="C297" s="50"/>
      <c r="D297" s="50"/>
      <c r="E297" s="50"/>
      <c r="F297" s="50"/>
      <c r="G297" s="64"/>
    </row>
    <row r="298" spans="1:8" ht="15" x14ac:dyDescent="0.2">
      <c r="A298" s="42" t="s">
        <v>26</v>
      </c>
      <c r="B298" s="50"/>
      <c r="C298" s="50"/>
      <c r="D298" s="50"/>
      <c r="E298" s="50"/>
      <c r="F298" s="50"/>
      <c r="G298" s="70">
        <f>ROUND(F294/F296,2)</f>
        <v>0.02</v>
      </c>
    </row>
    <row r="299" spans="1:8" ht="15" x14ac:dyDescent="0.2">
      <c r="A299" s="42"/>
      <c r="B299" s="50"/>
      <c r="C299" s="50"/>
      <c r="D299" s="50"/>
      <c r="E299" s="50"/>
      <c r="F299" s="50"/>
      <c r="G299" s="70"/>
    </row>
    <row r="300" spans="1:8" ht="15" x14ac:dyDescent="0.2">
      <c r="A300" s="42"/>
      <c r="B300" s="50"/>
      <c r="C300" s="50"/>
      <c r="D300" s="50"/>
      <c r="E300" s="50"/>
      <c r="F300" s="67"/>
      <c r="G300" s="64"/>
    </row>
    <row r="301" spans="1:8" ht="15.75" x14ac:dyDescent="0.25">
      <c r="A301" s="42"/>
      <c r="B301" s="36"/>
      <c r="C301" s="50"/>
      <c r="D301" s="50"/>
      <c r="E301" s="50"/>
      <c r="F301" s="67"/>
      <c r="G301" s="64"/>
    </row>
    <row r="302" spans="1:8" ht="15.75" x14ac:dyDescent="0.25">
      <c r="A302" s="151" t="s">
        <v>138</v>
      </c>
      <c r="B302" s="50"/>
      <c r="C302" s="50"/>
      <c r="D302" s="50"/>
      <c r="E302" s="50"/>
      <c r="F302" s="165">
        <v>1586</v>
      </c>
      <c r="G302" s="64"/>
      <c r="H302" s="158"/>
    </row>
    <row r="303" spans="1:8" ht="17.25" x14ac:dyDescent="0.35">
      <c r="A303" s="49" t="s">
        <v>25</v>
      </c>
      <c r="B303" s="36"/>
      <c r="C303" s="139"/>
      <c r="D303" s="38"/>
      <c r="E303" s="38"/>
      <c r="F303" s="166">
        <v>10624</v>
      </c>
      <c r="G303" s="64"/>
    </row>
    <row r="304" spans="1:8" ht="17.25" x14ac:dyDescent="0.35">
      <c r="A304" s="42" t="s">
        <v>105</v>
      </c>
      <c r="B304" s="38"/>
      <c r="C304" s="38"/>
      <c r="D304" s="38"/>
      <c r="E304" s="38"/>
      <c r="F304" s="38"/>
      <c r="G304" s="55">
        <f>ROUND(+F302/F303,2)</f>
        <v>0.15</v>
      </c>
    </row>
    <row r="305" spans="1:8" ht="15" x14ac:dyDescent="0.2">
      <c r="A305" s="42"/>
      <c r="B305" s="50"/>
      <c r="C305" s="50"/>
      <c r="D305" s="50"/>
      <c r="E305" s="50"/>
      <c r="F305" s="67"/>
      <c r="G305" s="64"/>
    </row>
    <row r="306" spans="1:8" ht="15.75" x14ac:dyDescent="0.25">
      <c r="A306" s="35" t="s">
        <v>133</v>
      </c>
      <c r="B306" s="36"/>
      <c r="C306" s="38"/>
      <c r="D306" s="38"/>
      <c r="E306" s="38"/>
      <c r="F306" s="38"/>
      <c r="G306" s="167">
        <f>SUM(G298:G304)</f>
        <v>0.16999999999999998</v>
      </c>
      <c r="H306" s="159"/>
    </row>
    <row r="307" spans="1:8" ht="17.25" x14ac:dyDescent="0.35">
      <c r="A307" s="42"/>
      <c r="B307" s="50"/>
      <c r="C307" s="50"/>
      <c r="D307" s="50"/>
      <c r="E307" s="50"/>
      <c r="F307" s="50"/>
      <c r="G307" s="55"/>
    </row>
    <row r="308" spans="1:8" ht="20.25" x14ac:dyDescent="0.55000000000000004">
      <c r="A308" s="49"/>
      <c r="B308" s="38"/>
      <c r="C308" s="38"/>
      <c r="D308" s="38"/>
      <c r="E308" s="139"/>
      <c r="F308" s="38"/>
      <c r="G308" s="152"/>
    </row>
    <row r="309" spans="1:8" ht="20.25" x14ac:dyDescent="0.55000000000000004">
      <c r="A309" s="49"/>
      <c r="B309" s="38"/>
      <c r="C309" s="38"/>
      <c r="D309" s="38"/>
      <c r="E309" s="139"/>
      <c r="F309" s="38"/>
      <c r="G309" s="152"/>
      <c r="H309" s="119"/>
    </row>
    <row r="310" spans="1:8" ht="18" x14ac:dyDescent="0.4">
      <c r="A310" s="35" t="s">
        <v>129</v>
      </c>
      <c r="B310" s="38"/>
      <c r="C310" s="38"/>
      <c r="D310" s="38"/>
      <c r="E310" s="139"/>
      <c r="F310" s="38"/>
      <c r="G310" s="153">
        <f>+G306+G308</f>
        <v>0.16999999999999998</v>
      </c>
      <c r="H310" s="159"/>
    </row>
    <row r="311" spans="1:8" ht="15.75" thickBot="1" x14ac:dyDescent="0.25">
      <c r="A311" s="72"/>
      <c r="B311" s="73"/>
      <c r="C311" s="73"/>
      <c r="D311" s="73"/>
      <c r="E311" s="73"/>
      <c r="F311" s="73"/>
      <c r="G311" s="74"/>
    </row>
    <row r="312" spans="1:8" ht="23.25" x14ac:dyDescent="0.35">
      <c r="A312" s="31" t="s">
        <v>57</v>
      </c>
      <c r="B312" s="32"/>
      <c r="C312" s="33"/>
      <c r="D312" s="33"/>
      <c r="E312" s="33"/>
      <c r="F312" s="33"/>
      <c r="G312" s="34"/>
    </row>
    <row r="313" spans="1:8" ht="15.75" x14ac:dyDescent="0.25">
      <c r="A313" s="35" t="s">
        <v>96</v>
      </c>
      <c r="B313" s="36"/>
      <c r="C313" s="37"/>
      <c r="D313" s="37"/>
      <c r="E313" s="38"/>
      <c r="F313" s="38"/>
      <c r="G313" s="39"/>
    </row>
    <row r="314" spans="1:8" ht="15.75" x14ac:dyDescent="0.25">
      <c r="A314" s="40"/>
      <c r="B314" s="41"/>
      <c r="C314" s="38"/>
      <c r="D314" s="38"/>
      <c r="E314" s="38"/>
      <c r="F314" s="38"/>
      <c r="G314" s="39"/>
    </row>
    <row r="315" spans="1:8" ht="15" x14ac:dyDescent="0.2">
      <c r="A315" s="282" t="s">
        <v>21</v>
      </c>
      <c r="B315" s="283"/>
      <c r="C315" s="283"/>
      <c r="D315" s="283"/>
      <c r="E315" s="283"/>
      <c r="F315" s="283"/>
      <c r="G315" s="284"/>
    </row>
    <row r="316" spans="1:8" ht="15" x14ac:dyDescent="0.2">
      <c r="A316" s="42"/>
      <c r="B316" s="38"/>
      <c r="C316" s="38"/>
      <c r="D316" s="38"/>
      <c r="E316" s="38"/>
      <c r="F316" s="38"/>
      <c r="G316" s="39"/>
    </row>
    <row r="317" spans="1:8" ht="15.75" x14ac:dyDescent="0.25">
      <c r="A317" s="42"/>
      <c r="B317" s="38"/>
      <c r="C317" s="43"/>
      <c r="D317" s="43"/>
      <c r="E317" s="43" t="s">
        <v>13</v>
      </c>
      <c r="F317" s="43" t="s">
        <v>3</v>
      </c>
      <c r="G317" s="39"/>
    </row>
    <row r="318" spans="1:8" ht="15.75" x14ac:dyDescent="0.25">
      <c r="A318" s="42"/>
      <c r="B318" s="38"/>
      <c r="C318" s="44" t="s">
        <v>5</v>
      </c>
      <c r="D318" s="44"/>
      <c r="E318" s="44" t="s">
        <v>22</v>
      </c>
      <c r="F318" s="44" t="s">
        <v>6</v>
      </c>
      <c r="G318" s="39"/>
    </row>
    <row r="319" spans="1:8" ht="15.75" x14ac:dyDescent="0.25">
      <c r="A319" s="45" t="s">
        <v>85</v>
      </c>
      <c r="B319" s="36"/>
      <c r="C319" s="46"/>
      <c r="D319" s="46"/>
      <c r="E319" s="46"/>
      <c r="F319" s="46"/>
      <c r="G319" s="39"/>
    </row>
    <row r="320" spans="1:8" ht="15.75" x14ac:dyDescent="0.25">
      <c r="A320" s="42" t="s">
        <v>58</v>
      </c>
      <c r="B320" s="38"/>
      <c r="C320" s="47">
        <v>43420</v>
      </c>
      <c r="D320" s="47"/>
      <c r="E320" s="48">
        <f>+E379</f>
        <v>1.99</v>
      </c>
      <c r="F320" s="131">
        <f>C320*E320</f>
        <v>86405.8</v>
      </c>
      <c r="G320" s="39"/>
    </row>
    <row r="321" spans="1:7" ht="17.25" x14ac:dyDescent="0.35">
      <c r="A321" s="49" t="s">
        <v>59</v>
      </c>
      <c r="B321" s="50"/>
      <c r="C321" s="51">
        <v>219122</v>
      </c>
      <c r="D321" s="51"/>
      <c r="E321" s="48">
        <f>+G394</f>
        <v>1.71</v>
      </c>
      <c r="F321" s="132">
        <f>C321*E321</f>
        <v>374698.62</v>
      </c>
      <c r="G321" s="39"/>
    </row>
    <row r="322" spans="1:7" ht="17.25" x14ac:dyDescent="0.35">
      <c r="A322" s="42" t="s">
        <v>3</v>
      </c>
      <c r="B322" s="38"/>
      <c r="C322" s="47">
        <f>SUM(C320:C321)</f>
        <v>262542</v>
      </c>
      <c r="D322" s="51"/>
      <c r="E322" s="38"/>
      <c r="F322" s="131">
        <f>SUM(F320:F321)</f>
        <v>461104.42</v>
      </c>
      <c r="G322" s="39"/>
    </row>
    <row r="323" spans="1:7" ht="15" x14ac:dyDescent="0.2">
      <c r="A323" s="42"/>
      <c r="B323" s="38"/>
      <c r="C323" s="38"/>
      <c r="D323" s="38"/>
      <c r="E323" s="38"/>
      <c r="F323" s="38"/>
      <c r="G323" s="39"/>
    </row>
    <row r="324" spans="1:7" ht="15.75" x14ac:dyDescent="0.25">
      <c r="A324" s="35" t="s">
        <v>23</v>
      </c>
      <c r="B324" s="38"/>
      <c r="C324" s="38"/>
      <c r="D324" s="38"/>
      <c r="E324" s="38"/>
      <c r="F324" s="131">
        <v>585067</v>
      </c>
      <c r="G324" s="39"/>
    </row>
    <row r="325" spans="1:7" ht="15" x14ac:dyDescent="0.2">
      <c r="A325" s="42"/>
      <c r="B325" s="38"/>
      <c r="C325" s="38"/>
      <c r="D325" s="38"/>
      <c r="E325" s="38"/>
      <c r="F325" s="131"/>
      <c r="G325" s="39"/>
    </row>
    <row r="326" spans="1:7" ht="15" x14ac:dyDescent="0.2">
      <c r="A326" s="42" t="s">
        <v>101</v>
      </c>
      <c r="B326" s="38"/>
      <c r="C326" s="38"/>
      <c r="D326" s="38"/>
      <c r="E326" s="38"/>
      <c r="F326" s="131">
        <f>F324-F322</f>
        <v>123962.58000000002</v>
      </c>
      <c r="G326" s="39"/>
    </row>
    <row r="327" spans="1:7" ht="17.25" x14ac:dyDescent="0.35">
      <c r="A327" s="42" t="s">
        <v>102</v>
      </c>
      <c r="B327" s="38"/>
      <c r="C327" s="130">
        <f>-1.78+1.44</f>
        <v>-0.34000000000000008</v>
      </c>
      <c r="D327" s="38"/>
      <c r="E327" s="38"/>
      <c r="F327" s="133">
        <f>C327*C320</f>
        <v>-14762.800000000003</v>
      </c>
      <c r="G327" s="39"/>
    </row>
    <row r="328" spans="1:7" ht="15" x14ac:dyDescent="0.2">
      <c r="A328" s="134" t="s">
        <v>100</v>
      </c>
      <c r="B328" s="38"/>
      <c r="C328" s="38"/>
      <c r="D328" s="38"/>
      <c r="E328" s="38"/>
      <c r="F328" s="131">
        <f>SUM(F326:F327)</f>
        <v>109199.78000000001</v>
      </c>
      <c r="G328" s="39"/>
    </row>
    <row r="329" spans="1:7" ht="15" x14ac:dyDescent="0.2">
      <c r="A329" s="42"/>
      <c r="B329" s="38"/>
      <c r="C329" s="38"/>
      <c r="D329" s="38"/>
      <c r="E329" s="38"/>
      <c r="F329" s="38"/>
      <c r="G329" s="39"/>
    </row>
    <row r="330" spans="1:7" ht="15" x14ac:dyDescent="0.2">
      <c r="A330" s="42" t="s">
        <v>25</v>
      </c>
      <c r="B330" s="38"/>
      <c r="C330" s="38"/>
      <c r="D330" s="38"/>
      <c r="E330" s="38"/>
      <c r="F330" s="47">
        <f>+C322</f>
        <v>262542</v>
      </c>
      <c r="G330" s="39"/>
    </row>
    <row r="331" spans="1:7" ht="15" x14ac:dyDescent="0.2">
      <c r="A331" s="42"/>
      <c r="B331" s="38"/>
      <c r="C331" s="38"/>
      <c r="D331" s="38"/>
      <c r="E331" s="38"/>
      <c r="F331" s="38"/>
      <c r="G331" s="39"/>
    </row>
    <row r="332" spans="1:7" ht="15" x14ac:dyDescent="0.2">
      <c r="A332" s="42" t="s">
        <v>26</v>
      </c>
      <c r="B332" s="38"/>
      <c r="C332" s="38"/>
      <c r="D332" s="38"/>
      <c r="E332" s="38"/>
      <c r="F332" s="61"/>
      <c r="G332" s="52">
        <f>ROUND(F328/F330,2)</f>
        <v>0.42</v>
      </c>
    </row>
    <row r="333" spans="1:7" ht="15" x14ac:dyDescent="0.2">
      <c r="A333" s="42"/>
      <c r="B333" s="38"/>
      <c r="C333" s="38"/>
      <c r="D333" s="38"/>
      <c r="E333" s="38"/>
      <c r="F333" s="38"/>
      <c r="G333" s="52"/>
    </row>
    <row r="334" spans="1:7" ht="15" x14ac:dyDescent="0.2">
      <c r="A334" s="42"/>
      <c r="B334" s="38"/>
      <c r="C334" s="38"/>
      <c r="D334" s="38"/>
      <c r="E334" s="38"/>
      <c r="F334" s="38"/>
      <c r="G334" s="52"/>
    </row>
    <row r="335" spans="1:7" ht="15" x14ac:dyDescent="0.2">
      <c r="A335" s="42"/>
      <c r="B335" s="38"/>
      <c r="C335" s="38"/>
      <c r="D335" s="38"/>
      <c r="E335" s="38"/>
      <c r="F335" s="38"/>
      <c r="G335" s="52"/>
    </row>
    <row r="336" spans="1:7" ht="15.75" x14ac:dyDescent="0.25">
      <c r="A336" s="45" t="s">
        <v>98</v>
      </c>
      <c r="B336" s="36"/>
      <c r="C336" s="38"/>
      <c r="D336" s="38"/>
      <c r="E336" s="38"/>
      <c r="F336" s="53">
        <f>+F324</f>
        <v>585067</v>
      </c>
      <c r="G336" s="52"/>
    </row>
    <row r="337" spans="1:7" ht="15" x14ac:dyDescent="0.2">
      <c r="A337" s="42" t="s">
        <v>25</v>
      </c>
      <c r="B337" s="38"/>
      <c r="C337" s="38"/>
      <c r="D337" s="38"/>
      <c r="E337" s="38"/>
      <c r="F337" s="47">
        <f>+C322</f>
        <v>262542</v>
      </c>
      <c r="G337" s="52"/>
    </row>
    <row r="338" spans="1:7" ht="17.25" x14ac:dyDescent="0.35">
      <c r="A338" s="42" t="s">
        <v>27</v>
      </c>
      <c r="B338" s="38"/>
      <c r="C338" s="38"/>
      <c r="D338" s="38"/>
      <c r="E338" s="38"/>
      <c r="F338" s="38"/>
      <c r="G338" s="55">
        <f>ROUND(+F336/F337,2)</f>
        <v>2.23</v>
      </c>
    </row>
    <row r="339" spans="1:7" ht="15" x14ac:dyDescent="0.2">
      <c r="A339" s="42"/>
      <c r="B339" s="38"/>
      <c r="C339" s="38"/>
      <c r="D339" s="38"/>
      <c r="E339" s="38"/>
      <c r="F339" s="38"/>
      <c r="G339" s="52"/>
    </row>
    <row r="340" spans="1:7" ht="15" x14ac:dyDescent="0.2">
      <c r="A340" s="42"/>
      <c r="B340" s="38"/>
      <c r="C340" s="38"/>
      <c r="D340" s="38"/>
      <c r="E340" s="38"/>
      <c r="F340" s="38"/>
      <c r="G340" s="52"/>
    </row>
    <row r="341" spans="1:7" ht="16.5" thickBot="1" x14ac:dyDescent="0.3">
      <c r="A341" s="35" t="s">
        <v>28</v>
      </c>
      <c r="B341" s="36"/>
      <c r="C341" s="38"/>
      <c r="D341" s="38"/>
      <c r="E341" s="38"/>
      <c r="F341" s="38"/>
      <c r="G341" s="58">
        <f>SUM(G332:G338)</f>
        <v>2.65</v>
      </c>
    </row>
    <row r="342" spans="1:7" ht="14.25" thickTop="1" thickBot="1" x14ac:dyDescent="0.25">
      <c r="A342" s="19"/>
      <c r="B342" s="20"/>
      <c r="C342" s="20"/>
      <c r="D342" s="20"/>
      <c r="E342" s="20"/>
      <c r="F342" s="20"/>
      <c r="G342" s="21"/>
    </row>
    <row r="343" spans="1:7" ht="15" x14ac:dyDescent="0.2">
      <c r="A343" s="282" t="s">
        <v>29</v>
      </c>
      <c r="B343" s="283"/>
      <c r="C343" s="283"/>
      <c r="D343" s="283"/>
      <c r="E343" s="283"/>
      <c r="F343" s="283"/>
      <c r="G343" s="284"/>
    </row>
    <row r="344" spans="1:7" ht="15" x14ac:dyDescent="0.2">
      <c r="A344" s="49"/>
      <c r="B344" s="50"/>
      <c r="C344" s="50"/>
      <c r="D344" s="50"/>
      <c r="E344" s="50"/>
      <c r="F344" s="50"/>
      <c r="G344" s="64"/>
    </row>
    <row r="345" spans="1:7" ht="15.75" x14ac:dyDescent="0.25">
      <c r="A345" s="49"/>
      <c r="B345" s="50"/>
      <c r="C345" s="43"/>
      <c r="D345" s="43"/>
      <c r="E345" s="43" t="s">
        <v>13</v>
      </c>
      <c r="F345" s="43" t="s">
        <v>3</v>
      </c>
      <c r="G345" s="64"/>
    </row>
    <row r="346" spans="1:7" ht="15.75" x14ac:dyDescent="0.25">
      <c r="A346" s="49"/>
      <c r="B346" s="50"/>
      <c r="C346" s="65" t="s">
        <v>20</v>
      </c>
      <c r="D346" s="65"/>
      <c r="E346" s="65" t="s">
        <v>22</v>
      </c>
      <c r="F346" s="65" t="s">
        <v>6</v>
      </c>
      <c r="G346" s="64"/>
    </row>
    <row r="347" spans="1:7" ht="15.75" x14ac:dyDescent="0.25">
      <c r="A347" s="45" t="s">
        <v>85</v>
      </c>
      <c r="B347" s="36"/>
      <c r="C347" s="66"/>
      <c r="D347" s="66"/>
      <c r="E347" s="66"/>
      <c r="F347" s="66"/>
      <c r="G347" s="64"/>
    </row>
    <row r="348" spans="1:7" ht="15.75" x14ac:dyDescent="0.25">
      <c r="A348" s="42" t="s">
        <v>58</v>
      </c>
      <c r="B348" s="50"/>
      <c r="C348" s="67">
        <v>3165.2666666666669</v>
      </c>
      <c r="D348" s="67"/>
      <c r="E348" s="68">
        <f>+E405</f>
        <v>0.26</v>
      </c>
      <c r="F348" s="54">
        <f>E348*C348</f>
        <v>822.96933333333345</v>
      </c>
      <c r="G348" s="64"/>
    </row>
    <row r="349" spans="1:7" ht="17.25" x14ac:dyDescent="0.35">
      <c r="A349" s="49" t="s">
        <v>59</v>
      </c>
      <c r="B349" s="50"/>
      <c r="C349" s="51">
        <v>15187.712732919255</v>
      </c>
      <c r="D349" s="51"/>
      <c r="E349" s="68">
        <f>+G420</f>
        <v>0.24</v>
      </c>
      <c r="F349" s="132">
        <f>E349*C349</f>
        <v>3645.0510559006211</v>
      </c>
      <c r="G349" s="64"/>
    </row>
    <row r="350" spans="1:7" ht="15" x14ac:dyDescent="0.2">
      <c r="A350" s="42" t="s">
        <v>3</v>
      </c>
      <c r="B350" s="50"/>
      <c r="C350" s="67">
        <f>SUM(C348:C349)</f>
        <v>18352.979399585922</v>
      </c>
      <c r="D350" s="67"/>
      <c r="E350" s="50"/>
      <c r="F350" s="54">
        <f>SUM(F348:F349)</f>
        <v>4468.0203892339541</v>
      </c>
      <c r="G350" s="64"/>
    </row>
    <row r="351" spans="1:7" ht="15" x14ac:dyDescent="0.2">
      <c r="A351" s="42"/>
      <c r="B351" s="50"/>
      <c r="C351" s="50"/>
      <c r="D351" s="50"/>
      <c r="E351" s="50"/>
      <c r="F351" s="54"/>
      <c r="G351" s="64"/>
    </row>
    <row r="352" spans="1:7" ht="15.75" x14ac:dyDescent="0.25">
      <c r="A352" s="35" t="s">
        <v>23</v>
      </c>
      <c r="B352" s="50"/>
      <c r="C352" s="50"/>
      <c r="D352" s="50"/>
      <c r="E352" s="50"/>
      <c r="F352" s="54">
        <v>6208.3877211296831</v>
      </c>
      <c r="G352" s="64"/>
    </row>
    <row r="353" spans="1:7" ht="15" x14ac:dyDescent="0.2">
      <c r="A353" s="42"/>
      <c r="B353" s="50"/>
      <c r="C353" s="50"/>
      <c r="D353" s="50"/>
      <c r="E353" s="50"/>
      <c r="F353" s="54"/>
      <c r="G353" s="64"/>
    </row>
    <row r="354" spans="1:7" ht="15" x14ac:dyDescent="0.2">
      <c r="A354" s="42" t="s">
        <v>101</v>
      </c>
      <c r="B354" s="50"/>
      <c r="C354" s="50"/>
      <c r="D354" s="50"/>
      <c r="E354" s="50"/>
      <c r="F354" s="131">
        <f>F352-F350</f>
        <v>1740.367331895729</v>
      </c>
      <c r="G354" s="64"/>
    </row>
    <row r="355" spans="1:7" ht="17.25" x14ac:dyDescent="0.35">
      <c r="A355" s="42" t="s">
        <v>103</v>
      </c>
      <c r="B355" s="50"/>
      <c r="C355" s="135">
        <f>-0.28+0.23</f>
        <v>-5.0000000000000017E-2</v>
      </c>
      <c r="D355" s="50"/>
      <c r="E355" s="50"/>
      <c r="F355" s="133">
        <f>C355*C348</f>
        <v>-158.26333333333341</v>
      </c>
      <c r="G355" s="64"/>
    </row>
    <row r="356" spans="1:7" ht="15" x14ac:dyDescent="0.2">
      <c r="A356" s="134" t="s">
        <v>100</v>
      </c>
      <c r="B356" s="50"/>
      <c r="C356" s="50"/>
      <c r="D356" s="50"/>
      <c r="E356" s="50"/>
      <c r="F356" s="131">
        <f>SUM(F354:F355)</f>
        <v>1582.1039985623956</v>
      </c>
      <c r="G356" s="64"/>
    </row>
    <row r="357" spans="1:7" ht="15" x14ac:dyDescent="0.2">
      <c r="A357" s="42"/>
      <c r="B357" s="50"/>
      <c r="C357" s="50"/>
      <c r="D357" s="50"/>
      <c r="E357" s="50"/>
      <c r="F357" s="50"/>
      <c r="G357" s="64"/>
    </row>
    <row r="358" spans="1:7" ht="15" x14ac:dyDescent="0.2">
      <c r="A358" s="42" t="s">
        <v>25</v>
      </c>
      <c r="B358" s="50"/>
      <c r="C358" s="50"/>
      <c r="D358" s="50"/>
      <c r="E358" s="50"/>
      <c r="F358" s="67">
        <f>+C350</f>
        <v>18352.979399585922</v>
      </c>
      <c r="G358" s="64"/>
    </row>
    <row r="359" spans="1:7" ht="15" x14ac:dyDescent="0.2">
      <c r="A359" s="42"/>
      <c r="B359" s="50"/>
      <c r="C359" s="50"/>
      <c r="D359" s="50"/>
      <c r="E359" s="50"/>
      <c r="F359" s="50"/>
      <c r="G359" s="64"/>
    </row>
    <row r="360" spans="1:7" ht="15" x14ac:dyDescent="0.2">
      <c r="A360" s="42" t="s">
        <v>26</v>
      </c>
      <c r="B360" s="50"/>
      <c r="C360" s="50"/>
      <c r="D360" s="50"/>
      <c r="E360" s="50"/>
      <c r="F360" s="50"/>
      <c r="G360" s="70">
        <f>ROUND(F356/F358,2)</f>
        <v>0.09</v>
      </c>
    </row>
    <row r="361" spans="1:7" ht="15" x14ac:dyDescent="0.2">
      <c r="A361" s="42"/>
      <c r="B361" s="50"/>
      <c r="C361" s="50"/>
      <c r="D361" s="50"/>
      <c r="E361" s="50"/>
      <c r="F361" s="50"/>
      <c r="G361" s="70"/>
    </row>
    <row r="362" spans="1:7" ht="15" x14ac:dyDescent="0.2">
      <c r="A362" s="42"/>
      <c r="B362" s="50"/>
      <c r="C362" s="50"/>
      <c r="D362" s="50"/>
      <c r="E362" s="50"/>
      <c r="F362" s="67"/>
      <c r="G362" s="64"/>
    </row>
    <row r="363" spans="1:7" ht="15.75" x14ac:dyDescent="0.25">
      <c r="A363" s="42"/>
      <c r="B363" s="36"/>
      <c r="C363" s="50"/>
      <c r="D363" s="50"/>
      <c r="E363" s="50"/>
      <c r="F363" s="67"/>
      <c r="G363" s="64"/>
    </row>
    <row r="364" spans="1:7" ht="15.75" x14ac:dyDescent="0.25">
      <c r="A364" s="45" t="s">
        <v>98</v>
      </c>
      <c r="B364" s="50"/>
      <c r="C364" s="50"/>
      <c r="D364" s="50"/>
      <c r="E364" s="50"/>
      <c r="F364" s="54">
        <f>+F352</f>
        <v>6208.3877211296831</v>
      </c>
      <c r="G364" s="64"/>
    </row>
    <row r="365" spans="1:7" ht="15" x14ac:dyDescent="0.2">
      <c r="A365" s="42" t="s">
        <v>25</v>
      </c>
      <c r="B365" s="50"/>
      <c r="C365" s="50"/>
      <c r="D365" s="50"/>
      <c r="E365" s="50"/>
      <c r="F365" s="67">
        <f>+C350</f>
        <v>18352.979399585922</v>
      </c>
      <c r="G365" s="64"/>
    </row>
    <row r="366" spans="1:7" ht="17.25" x14ac:dyDescent="0.35">
      <c r="A366" s="42" t="s">
        <v>27</v>
      </c>
      <c r="B366" s="50"/>
      <c r="C366" s="50"/>
      <c r="D366" s="50"/>
      <c r="E366" s="50"/>
      <c r="F366" s="50"/>
      <c r="G366" s="57">
        <f>ROUND(+F364/F365,2)</f>
        <v>0.34</v>
      </c>
    </row>
    <row r="367" spans="1:7" ht="17.25" x14ac:dyDescent="0.35">
      <c r="A367" s="42"/>
      <c r="B367" s="50"/>
      <c r="C367" s="50"/>
      <c r="D367" s="50"/>
      <c r="E367" s="50"/>
      <c r="F367" s="50"/>
      <c r="G367" s="57"/>
    </row>
    <row r="368" spans="1:7" ht="16.5" thickBot="1" x14ac:dyDescent="0.3">
      <c r="A368" s="35" t="s">
        <v>30</v>
      </c>
      <c r="B368" s="36"/>
      <c r="C368" s="50"/>
      <c r="D368" s="50"/>
      <c r="E368" s="50"/>
      <c r="F368" s="50"/>
      <c r="G368" s="71">
        <f>+G366+G360+G361</f>
        <v>0.43000000000000005</v>
      </c>
    </row>
    <row r="369" spans="1:7" ht="16.5" thickTop="1" thickBot="1" x14ac:dyDescent="0.25">
      <c r="A369" s="72"/>
      <c r="B369" s="73"/>
      <c r="C369" s="73"/>
      <c r="D369" s="73"/>
      <c r="E369" s="73"/>
      <c r="F369" s="73"/>
      <c r="G369" s="74"/>
    </row>
    <row r="370" spans="1:7" ht="23.25" x14ac:dyDescent="0.35">
      <c r="A370" s="31" t="s">
        <v>57</v>
      </c>
      <c r="B370" s="32"/>
      <c r="C370" s="33"/>
      <c r="D370" s="33"/>
      <c r="E370" s="33"/>
      <c r="F370" s="33"/>
      <c r="G370" s="34"/>
    </row>
    <row r="371" spans="1:7" ht="15.75" x14ac:dyDescent="0.25">
      <c r="A371" s="35" t="s">
        <v>84</v>
      </c>
      <c r="B371" s="36"/>
      <c r="C371" s="37"/>
      <c r="D371" s="37"/>
      <c r="E371" s="38"/>
      <c r="F371" s="38"/>
      <c r="G371" s="39"/>
    </row>
    <row r="372" spans="1:7" ht="15.75" x14ac:dyDescent="0.25">
      <c r="A372" s="40"/>
      <c r="B372" s="41"/>
      <c r="C372" s="38"/>
      <c r="D372" s="38"/>
      <c r="E372" s="38"/>
      <c r="F372" s="38"/>
      <c r="G372" s="39"/>
    </row>
    <row r="373" spans="1:7" ht="15" x14ac:dyDescent="0.2">
      <c r="A373" s="282" t="s">
        <v>21</v>
      </c>
      <c r="B373" s="283"/>
      <c r="C373" s="283"/>
      <c r="D373" s="283"/>
      <c r="E373" s="283"/>
      <c r="F373" s="283"/>
      <c r="G373" s="284"/>
    </row>
    <row r="374" spans="1:7" ht="15" x14ac:dyDescent="0.2">
      <c r="A374" s="42"/>
      <c r="B374" s="38"/>
      <c r="C374" s="38"/>
      <c r="D374" s="38"/>
      <c r="E374" s="38"/>
      <c r="F374" s="38"/>
      <c r="G374" s="39"/>
    </row>
    <row r="375" spans="1:7" ht="15.75" x14ac:dyDescent="0.25">
      <c r="A375" s="42"/>
      <c r="B375" s="38"/>
      <c r="C375" s="43"/>
      <c r="D375" s="43"/>
      <c r="E375" s="43" t="s">
        <v>13</v>
      </c>
      <c r="F375" s="43" t="s">
        <v>3</v>
      </c>
      <c r="G375" s="39"/>
    </row>
    <row r="376" spans="1:7" ht="15.75" x14ac:dyDescent="0.25">
      <c r="A376" s="42"/>
      <c r="B376" s="38"/>
      <c r="C376" s="44" t="s">
        <v>5</v>
      </c>
      <c r="D376" s="44"/>
      <c r="E376" s="44" t="s">
        <v>22</v>
      </c>
      <c r="F376" s="44" t="s">
        <v>6</v>
      </c>
      <c r="G376" s="39"/>
    </row>
    <row r="377" spans="1:7" ht="15.75" x14ac:dyDescent="0.25">
      <c r="A377" s="45" t="s">
        <v>78</v>
      </c>
      <c r="B377" s="36"/>
      <c r="C377" s="46"/>
      <c r="D377" s="46"/>
      <c r="E377" s="46"/>
      <c r="F377" s="46"/>
      <c r="G377" s="39"/>
    </row>
    <row r="378" spans="1:7" ht="15.75" x14ac:dyDescent="0.25">
      <c r="A378" s="42" t="s">
        <v>58</v>
      </c>
      <c r="B378" s="38"/>
      <c r="C378" s="47">
        <v>42479</v>
      </c>
      <c r="D378" s="47"/>
      <c r="E378" s="48">
        <f>+E433</f>
        <v>1.96</v>
      </c>
      <c r="F378" s="47">
        <f>C378*E378</f>
        <v>83258.84</v>
      </c>
      <c r="G378" s="39"/>
    </row>
    <row r="379" spans="1:7" ht="17.25" x14ac:dyDescent="0.35">
      <c r="A379" s="49" t="s">
        <v>59</v>
      </c>
      <c r="B379" s="50"/>
      <c r="C379" s="51">
        <v>213820</v>
      </c>
      <c r="D379" s="51"/>
      <c r="E379" s="48">
        <f>+G448</f>
        <v>1.99</v>
      </c>
      <c r="F379" s="51">
        <f>C379*E379</f>
        <v>425501.8</v>
      </c>
      <c r="G379" s="39"/>
    </row>
    <row r="380" spans="1:7" ht="17.25" x14ac:dyDescent="0.35">
      <c r="A380" s="42" t="s">
        <v>3</v>
      </c>
      <c r="B380" s="38"/>
      <c r="C380" s="47">
        <f>SUM(C378:C379)</f>
        <v>256299</v>
      </c>
      <c r="D380" s="51"/>
      <c r="E380" s="38"/>
      <c r="F380" s="47">
        <f>SUM(F378:F379)</f>
        <v>508760.64</v>
      </c>
      <c r="G380" s="39"/>
    </row>
    <row r="381" spans="1:7" ht="15" x14ac:dyDescent="0.2">
      <c r="A381" s="42"/>
      <c r="B381" s="38"/>
      <c r="C381" s="38"/>
      <c r="D381" s="38"/>
      <c r="E381" s="38"/>
      <c r="F381" s="38"/>
      <c r="G381" s="39"/>
    </row>
    <row r="382" spans="1:7" ht="15.75" x14ac:dyDescent="0.25">
      <c r="A382" s="35" t="s">
        <v>23</v>
      </c>
      <c r="B382" s="38"/>
      <c r="C382" s="38"/>
      <c r="D382" s="38"/>
      <c r="E382" s="38"/>
      <c r="F382" s="47">
        <v>438426</v>
      </c>
      <c r="G382" s="39"/>
    </row>
    <row r="383" spans="1:7" ht="15" x14ac:dyDescent="0.2">
      <c r="A383" s="42"/>
      <c r="B383" s="38"/>
      <c r="C383" s="38"/>
      <c r="D383" s="38"/>
      <c r="E383" s="38"/>
      <c r="F383" s="38"/>
      <c r="G383" s="39"/>
    </row>
    <row r="384" spans="1:7" ht="15" x14ac:dyDescent="0.2">
      <c r="A384" s="42" t="s">
        <v>24</v>
      </c>
      <c r="B384" s="38"/>
      <c r="C384" s="38"/>
      <c r="D384" s="38"/>
      <c r="E384" s="38"/>
      <c r="F384" s="47">
        <f>F382-F380</f>
        <v>-70334.640000000014</v>
      </c>
      <c r="G384" s="39"/>
    </row>
    <row r="385" spans="1:8" ht="15" x14ac:dyDescent="0.2">
      <c r="A385" s="42"/>
      <c r="B385" s="38"/>
      <c r="C385" s="38"/>
      <c r="D385" s="38"/>
      <c r="E385" s="38"/>
      <c r="F385" s="38"/>
      <c r="G385" s="39"/>
    </row>
    <row r="386" spans="1:8" ht="15" x14ac:dyDescent="0.2">
      <c r="A386" s="42" t="s">
        <v>25</v>
      </c>
      <c r="B386" s="38"/>
      <c r="C386" s="38"/>
      <c r="D386" s="38"/>
      <c r="E386" s="38"/>
      <c r="F386" s="47">
        <f>+C380</f>
        <v>256299</v>
      </c>
      <c r="G386" s="39"/>
    </row>
    <row r="387" spans="1:8" ht="15" x14ac:dyDescent="0.2">
      <c r="A387" s="42"/>
      <c r="B387" s="38"/>
      <c r="C387" s="38"/>
      <c r="D387" s="38"/>
      <c r="E387" s="38"/>
      <c r="F387" s="38"/>
      <c r="G387" s="39"/>
    </row>
    <row r="388" spans="1:8" ht="15" x14ac:dyDescent="0.2">
      <c r="A388" s="42" t="s">
        <v>26</v>
      </c>
      <c r="B388" s="38"/>
      <c r="C388" s="38"/>
      <c r="D388" s="38"/>
      <c r="E388" s="38"/>
      <c r="F388" s="61"/>
      <c r="G388" s="52">
        <f>ROUND(F384/F386,2)</f>
        <v>-0.27</v>
      </c>
    </row>
    <row r="389" spans="1:8" ht="15" x14ac:dyDescent="0.2">
      <c r="A389" s="42"/>
      <c r="B389" s="38"/>
      <c r="C389" s="38"/>
      <c r="D389" s="38"/>
      <c r="E389" s="38"/>
      <c r="F389" s="38"/>
      <c r="G389" s="52"/>
    </row>
    <row r="390" spans="1:8" ht="15" x14ac:dyDescent="0.2">
      <c r="A390" s="42"/>
      <c r="B390" s="38"/>
      <c r="C390" s="38"/>
      <c r="D390" s="38"/>
      <c r="E390" s="38"/>
      <c r="F390" s="38"/>
      <c r="G390" s="52"/>
    </row>
    <row r="391" spans="1:8" ht="15" x14ac:dyDescent="0.2">
      <c r="A391" s="42"/>
      <c r="B391" s="38"/>
      <c r="C391" s="38"/>
      <c r="D391" s="38"/>
      <c r="E391" s="38"/>
      <c r="F391" s="38"/>
      <c r="G391" s="52"/>
    </row>
    <row r="392" spans="1:8" ht="15.75" x14ac:dyDescent="0.25">
      <c r="A392" s="45" t="s">
        <v>85</v>
      </c>
      <c r="B392" s="36"/>
      <c r="C392" s="38"/>
      <c r="D392" s="38"/>
      <c r="E392" s="38"/>
      <c r="F392" s="53">
        <f>+F382</f>
        <v>438426</v>
      </c>
      <c r="G392" s="52"/>
    </row>
    <row r="393" spans="1:8" ht="15" x14ac:dyDescent="0.2">
      <c r="A393" s="42" t="s">
        <v>25</v>
      </c>
      <c r="B393" s="38"/>
      <c r="C393" s="38"/>
      <c r="D393" s="38"/>
      <c r="E393" s="38"/>
      <c r="F393" s="47">
        <f>+C380</f>
        <v>256299</v>
      </c>
      <c r="G393" s="52"/>
    </row>
    <row r="394" spans="1:8" ht="17.25" x14ac:dyDescent="0.35">
      <c r="A394" s="42" t="s">
        <v>27</v>
      </c>
      <c r="B394" s="38"/>
      <c r="C394" s="38"/>
      <c r="D394" s="38"/>
      <c r="E394" s="38"/>
      <c r="F394" s="38"/>
      <c r="G394" s="55">
        <f>ROUND(+F392/F393,2)</f>
        <v>1.71</v>
      </c>
    </row>
    <row r="395" spans="1:8" ht="15" x14ac:dyDescent="0.2">
      <c r="A395" s="42"/>
      <c r="B395" s="38"/>
      <c r="C395" s="38"/>
      <c r="D395" s="38"/>
      <c r="E395" s="38"/>
      <c r="F395" s="38"/>
      <c r="G395" s="52"/>
    </row>
    <row r="396" spans="1:8" ht="15" x14ac:dyDescent="0.2">
      <c r="A396" s="42"/>
      <c r="B396" s="38"/>
      <c r="C396" s="38"/>
      <c r="D396" s="38"/>
      <c r="E396" s="38"/>
      <c r="F396" s="38"/>
      <c r="G396" s="52"/>
    </row>
    <row r="397" spans="1:8" ht="16.5" thickBot="1" x14ac:dyDescent="0.3">
      <c r="A397" s="35" t="s">
        <v>28</v>
      </c>
      <c r="B397" s="36"/>
      <c r="C397" s="38"/>
      <c r="D397" s="38"/>
      <c r="E397" s="38"/>
      <c r="F397" s="38"/>
      <c r="G397" s="58">
        <f>SUM(G388:G394)</f>
        <v>1.44</v>
      </c>
      <c r="H397" s="18"/>
    </row>
    <row r="398" spans="1:8" ht="14.25" thickTop="1" thickBot="1" x14ac:dyDescent="0.25">
      <c r="A398" s="19"/>
      <c r="B398" s="20"/>
      <c r="C398" s="20"/>
      <c r="D398" s="20"/>
      <c r="E398" s="20"/>
      <c r="F398" s="20"/>
      <c r="G398" s="21"/>
    </row>
    <row r="399" spans="1:8" ht="15" x14ac:dyDescent="0.2">
      <c r="A399" s="282" t="s">
        <v>29</v>
      </c>
      <c r="B399" s="283"/>
      <c r="C399" s="283"/>
      <c r="D399" s="283"/>
      <c r="E399" s="283"/>
      <c r="F399" s="283"/>
      <c r="G399" s="284"/>
    </row>
    <row r="400" spans="1:8" ht="15" x14ac:dyDescent="0.2">
      <c r="A400" s="49"/>
      <c r="B400" s="50"/>
      <c r="C400" s="50"/>
      <c r="D400" s="50"/>
      <c r="E400" s="50"/>
      <c r="F400" s="50"/>
      <c r="G400" s="64"/>
    </row>
    <row r="401" spans="1:7" ht="15.75" x14ac:dyDescent="0.25">
      <c r="A401" s="49"/>
      <c r="B401" s="50"/>
      <c r="C401" s="43"/>
      <c r="D401" s="43"/>
      <c r="E401" s="43" t="s">
        <v>13</v>
      </c>
      <c r="F401" s="43" t="s">
        <v>3</v>
      </c>
      <c r="G401" s="64"/>
    </row>
    <row r="402" spans="1:7" ht="15.75" x14ac:dyDescent="0.25">
      <c r="A402" s="49"/>
      <c r="B402" s="50"/>
      <c r="C402" s="65" t="s">
        <v>20</v>
      </c>
      <c r="D402" s="65"/>
      <c r="E402" s="65" t="s">
        <v>22</v>
      </c>
      <c r="F402" s="65" t="s">
        <v>6</v>
      </c>
      <c r="G402" s="64"/>
    </row>
    <row r="403" spans="1:7" ht="15.75" x14ac:dyDescent="0.25">
      <c r="A403" s="45" t="s">
        <v>78</v>
      </c>
      <c r="B403" s="36"/>
      <c r="C403" s="66"/>
      <c r="D403" s="66"/>
      <c r="E403" s="66"/>
      <c r="F403" s="66"/>
      <c r="G403" s="64"/>
    </row>
    <row r="404" spans="1:7" ht="15.75" x14ac:dyDescent="0.25">
      <c r="A404" s="42" t="s">
        <v>58</v>
      </c>
      <c r="B404" s="50"/>
      <c r="C404" s="67">
        <v>3158</v>
      </c>
      <c r="D404" s="67"/>
      <c r="E404" s="68">
        <f>+E459</f>
        <v>0.23</v>
      </c>
      <c r="F404" s="67">
        <f>E404*C404</f>
        <v>726.34</v>
      </c>
      <c r="G404" s="64"/>
    </row>
    <row r="405" spans="1:7" ht="17.25" x14ac:dyDescent="0.35">
      <c r="A405" s="49" t="s">
        <v>59</v>
      </c>
      <c r="B405" s="50"/>
      <c r="C405" s="51">
        <v>15916</v>
      </c>
      <c r="D405" s="51"/>
      <c r="E405" s="68">
        <f>+G474</f>
        <v>0.26</v>
      </c>
      <c r="F405" s="51">
        <f>E405*C405</f>
        <v>4138.16</v>
      </c>
      <c r="G405" s="64"/>
    </row>
    <row r="406" spans="1:7" ht="15" x14ac:dyDescent="0.2">
      <c r="A406" s="42" t="s">
        <v>3</v>
      </c>
      <c r="B406" s="50"/>
      <c r="C406" s="67">
        <f>SUM(C404:C405)</f>
        <v>19074</v>
      </c>
      <c r="D406" s="67"/>
      <c r="E406" s="50"/>
      <c r="F406" s="67">
        <f>SUM(F404:F405)</f>
        <v>4864.5</v>
      </c>
      <c r="G406" s="64"/>
    </row>
    <row r="407" spans="1:7" ht="15" x14ac:dyDescent="0.2">
      <c r="A407" s="42"/>
      <c r="B407" s="50"/>
      <c r="C407" s="50"/>
      <c r="D407" s="50"/>
      <c r="E407" s="50"/>
      <c r="F407" s="50"/>
      <c r="G407" s="64"/>
    </row>
    <row r="408" spans="1:7" ht="15.75" x14ac:dyDescent="0.25">
      <c r="A408" s="35" t="s">
        <v>23</v>
      </c>
      <c r="B408" s="50"/>
      <c r="C408" s="50"/>
      <c r="D408" s="50"/>
      <c r="E408" s="50"/>
      <c r="F408" s="69">
        <v>4652</v>
      </c>
      <c r="G408" s="64"/>
    </row>
    <row r="409" spans="1:7" ht="15" x14ac:dyDescent="0.2">
      <c r="A409" s="42"/>
      <c r="B409" s="50"/>
      <c r="C409" s="50"/>
      <c r="D409" s="50"/>
      <c r="E409" s="50"/>
      <c r="F409" s="50"/>
      <c r="G409" s="64"/>
    </row>
    <row r="410" spans="1:7" ht="15" x14ac:dyDescent="0.2">
      <c r="A410" s="42" t="s">
        <v>24</v>
      </c>
      <c r="B410" s="50"/>
      <c r="C410" s="50"/>
      <c r="D410" s="50"/>
      <c r="E410" s="50"/>
      <c r="F410" s="47">
        <f>F408-F406</f>
        <v>-212.5</v>
      </c>
      <c r="G410" s="64"/>
    </row>
    <row r="411" spans="1:7" ht="15" x14ac:dyDescent="0.2">
      <c r="A411" s="42"/>
      <c r="B411" s="50"/>
      <c r="C411" s="50"/>
      <c r="D411" s="50"/>
      <c r="E411" s="50"/>
      <c r="F411" s="50"/>
      <c r="G411" s="64"/>
    </row>
    <row r="412" spans="1:7" ht="15" x14ac:dyDescent="0.2">
      <c r="A412" s="42" t="s">
        <v>25</v>
      </c>
      <c r="B412" s="50"/>
      <c r="C412" s="50"/>
      <c r="D412" s="50"/>
      <c r="E412" s="50"/>
      <c r="F412" s="67">
        <f>+C406</f>
        <v>19074</v>
      </c>
      <c r="G412" s="64"/>
    </row>
    <row r="413" spans="1:7" ht="15" x14ac:dyDescent="0.2">
      <c r="A413" s="42"/>
      <c r="B413" s="50"/>
      <c r="C413" s="50"/>
      <c r="D413" s="50"/>
      <c r="E413" s="50"/>
      <c r="F413" s="50"/>
      <c r="G413" s="64"/>
    </row>
    <row r="414" spans="1:7" ht="15" x14ac:dyDescent="0.2">
      <c r="A414" s="42" t="s">
        <v>26</v>
      </c>
      <c r="B414" s="50"/>
      <c r="C414" s="50"/>
      <c r="D414" s="50"/>
      <c r="E414" s="50"/>
      <c r="F414" s="50"/>
      <c r="G414" s="70">
        <f>ROUND(F410/F412,2)</f>
        <v>-0.01</v>
      </c>
    </row>
    <row r="415" spans="1:7" ht="15" x14ac:dyDescent="0.2">
      <c r="A415" s="42"/>
      <c r="B415" s="50"/>
      <c r="C415" s="50"/>
      <c r="D415" s="50"/>
      <c r="E415" s="50"/>
      <c r="F415" s="50"/>
      <c r="G415" s="70"/>
    </row>
    <row r="416" spans="1:7" ht="15" x14ac:dyDescent="0.2">
      <c r="A416" s="42"/>
      <c r="B416" s="50"/>
      <c r="C416" s="50"/>
      <c r="D416" s="50"/>
      <c r="E416" s="50"/>
      <c r="F416" s="67"/>
      <c r="G416" s="64"/>
    </row>
    <row r="417" spans="1:8" ht="15.75" x14ac:dyDescent="0.25">
      <c r="A417" s="42"/>
      <c r="B417" s="36"/>
      <c r="C417" s="50"/>
      <c r="D417" s="50"/>
      <c r="E417" s="50"/>
      <c r="F417" s="67"/>
      <c r="G417" s="64"/>
    </row>
    <row r="418" spans="1:8" ht="15.75" x14ac:dyDescent="0.25">
      <c r="A418" s="45" t="s">
        <v>85</v>
      </c>
      <c r="B418" s="50"/>
      <c r="C418" s="50"/>
      <c r="D418" s="50"/>
      <c r="E418" s="50"/>
      <c r="F418" s="54">
        <f>+F408</f>
        <v>4652</v>
      </c>
      <c r="G418" s="64"/>
    </row>
    <row r="419" spans="1:8" ht="15" x14ac:dyDescent="0.2">
      <c r="A419" s="42" t="s">
        <v>25</v>
      </c>
      <c r="B419" s="50"/>
      <c r="C419" s="50"/>
      <c r="D419" s="50"/>
      <c r="E419" s="50"/>
      <c r="F419" s="67">
        <f>+C406</f>
        <v>19074</v>
      </c>
      <c r="G419" s="64"/>
    </row>
    <row r="420" spans="1:8" ht="17.25" x14ac:dyDescent="0.35">
      <c r="A420" s="42" t="s">
        <v>27</v>
      </c>
      <c r="B420" s="50"/>
      <c r="C420" s="50"/>
      <c r="D420" s="50"/>
      <c r="E420" s="50"/>
      <c r="F420" s="50"/>
      <c r="G420" s="57">
        <f>ROUND(+F418/F419,2)</f>
        <v>0.24</v>
      </c>
      <c r="H420" s="18"/>
    </row>
    <row r="421" spans="1:8" ht="17.25" x14ac:dyDescent="0.35">
      <c r="A421" s="42"/>
      <c r="B421" s="50"/>
      <c r="C421" s="50"/>
      <c r="D421" s="50"/>
      <c r="E421" s="50"/>
      <c r="F421" s="50"/>
      <c r="G421" s="57"/>
    </row>
    <row r="422" spans="1:8" ht="16.5" thickBot="1" x14ac:dyDescent="0.3">
      <c r="A422" s="35" t="s">
        <v>30</v>
      </c>
      <c r="B422" s="36"/>
      <c r="C422" s="50"/>
      <c r="D422" s="50"/>
      <c r="E422" s="50"/>
      <c r="F422" s="50"/>
      <c r="G422" s="71">
        <f>+G420+G414+G415</f>
        <v>0.22999999999999998</v>
      </c>
    </row>
    <row r="423" spans="1:8" ht="16.5" thickTop="1" thickBot="1" x14ac:dyDescent="0.25">
      <c r="A423" s="72"/>
      <c r="B423" s="73"/>
      <c r="C423" s="73"/>
      <c r="D423" s="73"/>
      <c r="E423" s="73"/>
      <c r="F423" s="73"/>
      <c r="G423" s="74"/>
    </row>
    <row r="424" spans="1:8" ht="23.25" x14ac:dyDescent="0.35">
      <c r="A424" s="31" t="s">
        <v>57</v>
      </c>
      <c r="B424" s="32"/>
      <c r="C424" s="33"/>
      <c r="D424" s="33"/>
      <c r="E424" s="33"/>
      <c r="F424" s="33"/>
      <c r="G424" s="34"/>
    </row>
    <row r="425" spans="1:8" ht="15.75" x14ac:dyDescent="0.25">
      <c r="A425" s="35" t="s">
        <v>79</v>
      </c>
      <c r="B425" s="36"/>
      <c r="C425" s="37"/>
      <c r="D425" s="37"/>
      <c r="E425" s="38"/>
      <c r="F425" s="38"/>
      <c r="G425" s="39"/>
    </row>
    <row r="426" spans="1:8" ht="15.75" x14ac:dyDescent="0.25">
      <c r="A426" s="40"/>
      <c r="B426" s="41"/>
      <c r="C426" s="38"/>
      <c r="D426" s="38"/>
      <c r="E426" s="38"/>
      <c r="F426" s="38"/>
      <c r="G426" s="39"/>
    </row>
    <row r="427" spans="1:8" ht="15" x14ac:dyDescent="0.2">
      <c r="A427" s="282" t="s">
        <v>21</v>
      </c>
      <c r="B427" s="283"/>
      <c r="C427" s="283"/>
      <c r="D427" s="283"/>
      <c r="E427" s="283"/>
      <c r="F427" s="283"/>
      <c r="G427" s="284"/>
    </row>
    <row r="428" spans="1:8" ht="15" x14ac:dyDescent="0.2">
      <c r="A428" s="42"/>
      <c r="B428" s="38"/>
      <c r="C428" s="38"/>
      <c r="D428" s="38"/>
      <c r="E428" s="38"/>
      <c r="F428" s="38"/>
      <c r="G428" s="39"/>
    </row>
    <row r="429" spans="1:8" ht="15.75" x14ac:dyDescent="0.25">
      <c r="A429" s="42"/>
      <c r="B429" s="38"/>
      <c r="C429" s="43"/>
      <c r="D429" s="43"/>
      <c r="E429" s="43" t="s">
        <v>13</v>
      </c>
      <c r="F429" s="43" t="s">
        <v>3</v>
      </c>
      <c r="G429" s="39"/>
    </row>
    <row r="430" spans="1:8" ht="15.75" x14ac:dyDescent="0.25">
      <c r="A430" s="42"/>
      <c r="B430" s="38"/>
      <c r="C430" s="44" t="s">
        <v>5</v>
      </c>
      <c r="D430" s="44"/>
      <c r="E430" s="44" t="s">
        <v>22</v>
      </c>
      <c r="F430" s="44" t="s">
        <v>6</v>
      </c>
      <c r="G430" s="39"/>
    </row>
    <row r="431" spans="1:8" ht="15.75" x14ac:dyDescent="0.25">
      <c r="A431" s="45" t="s">
        <v>61</v>
      </c>
      <c r="B431" s="36"/>
      <c r="C431" s="46"/>
      <c r="D431" s="46"/>
      <c r="E431" s="46"/>
      <c r="F431" s="46"/>
      <c r="G431" s="39"/>
    </row>
    <row r="432" spans="1:8" ht="15.75" x14ac:dyDescent="0.25">
      <c r="A432" s="42" t="s">
        <v>58</v>
      </c>
      <c r="B432" s="38"/>
      <c r="C432" s="47">
        <v>41334</v>
      </c>
      <c r="D432" s="47"/>
      <c r="E432" s="48">
        <f>+E487</f>
        <v>1.6641107756753206</v>
      </c>
      <c r="F432" s="47">
        <f>C432*E432</f>
        <v>68784.354801763708</v>
      </c>
      <c r="G432" s="39"/>
    </row>
    <row r="433" spans="1:7" ht="17.25" x14ac:dyDescent="0.35">
      <c r="A433" s="49" t="s">
        <v>59</v>
      </c>
      <c r="B433" s="50"/>
      <c r="C433" s="51">
        <v>206670</v>
      </c>
      <c r="D433" s="51"/>
      <c r="E433" s="48">
        <f>+G502</f>
        <v>1.96</v>
      </c>
      <c r="F433" s="51">
        <f>C433*E433</f>
        <v>405073.2</v>
      </c>
      <c r="G433" s="39"/>
    </row>
    <row r="434" spans="1:7" ht="17.25" x14ac:dyDescent="0.35">
      <c r="A434" s="42" t="s">
        <v>3</v>
      </c>
      <c r="B434" s="38"/>
      <c r="C434" s="47">
        <f>SUM(C432:C433)</f>
        <v>248004</v>
      </c>
      <c r="D434" s="51"/>
      <c r="E434" s="38"/>
      <c r="F434" s="47">
        <f>SUM(F432:F433)</f>
        <v>473857.55480176373</v>
      </c>
      <c r="G434" s="39"/>
    </row>
    <row r="435" spans="1:7" ht="15" x14ac:dyDescent="0.2">
      <c r="A435" s="42"/>
      <c r="B435" s="38"/>
      <c r="C435" s="38"/>
      <c r="D435" s="38"/>
      <c r="E435" s="38"/>
      <c r="F435" s="38"/>
      <c r="G435" s="39"/>
    </row>
    <row r="436" spans="1:7" ht="15.75" x14ac:dyDescent="0.25">
      <c r="A436" s="35" t="s">
        <v>23</v>
      </c>
      <c r="B436" s="38"/>
      <c r="C436" s="38"/>
      <c r="D436" s="38"/>
      <c r="E436" s="38"/>
      <c r="F436" s="47">
        <v>494632</v>
      </c>
      <c r="G436" s="39"/>
    </row>
    <row r="437" spans="1:7" ht="15" x14ac:dyDescent="0.2">
      <c r="A437" s="42"/>
      <c r="B437" s="38"/>
      <c r="C437" s="38"/>
      <c r="D437" s="38"/>
      <c r="E437" s="38"/>
      <c r="F437" s="38"/>
      <c r="G437" s="39"/>
    </row>
    <row r="438" spans="1:7" ht="15" x14ac:dyDescent="0.2">
      <c r="A438" s="42" t="s">
        <v>24</v>
      </c>
      <c r="B438" s="38"/>
      <c r="C438" s="38"/>
      <c r="D438" s="38"/>
      <c r="E438" s="38"/>
      <c r="F438" s="47">
        <v>20775</v>
      </c>
      <c r="G438" s="39"/>
    </row>
    <row r="439" spans="1:7" ht="15" x14ac:dyDescent="0.2">
      <c r="A439" s="42"/>
      <c r="B439" s="38"/>
      <c r="C439" s="38"/>
      <c r="D439" s="38"/>
      <c r="E439" s="38"/>
      <c r="F439" s="38"/>
      <c r="G439" s="39"/>
    </row>
    <row r="440" spans="1:7" ht="15" x14ac:dyDescent="0.2">
      <c r="A440" s="42" t="s">
        <v>25</v>
      </c>
      <c r="B440" s="38"/>
      <c r="C440" s="38"/>
      <c r="D440" s="38"/>
      <c r="E440" s="38"/>
      <c r="F440" s="47">
        <f>+C434</f>
        <v>248004</v>
      </c>
      <c r="G440" s="39"/>
    </row>
    <row r="441" spans="1:7" ht="15" x14ac:dyDescent="0.2">
      <c r="A441" s="42"/>
      <c r="B441" s="38"/>
      <c r="C441" s="38"/>
      <c r="D441" s="38"/>
      <c r="E441" s="38"/>
      <c r="F441" s="38"/>
      <c r="G441" s="39"/>
    </row>
    <row r="442" spans="1:7" ht="15" x14ac:dyDescent="0.2">
      <c r="A442" s="42" t="s">
        <v>26</v>
      </c>
      <c r="B442" s="38"/>
      <c r="C442" s="38"/>
      <c r="D442" s="38"/>
      <c r="E442" s="38"/>
      <c r="F442" s="61"/>
      <c r="G442" s="52">
        <f>ROUND(F438/F440,2)</f>
        <v>0.08</v>
      </c>
    </row>
    <row r="443" spans="1:7" ht="15" x14ac:dyDescent="0.2">
      <c r="A443" s="42"/>
      <c r="B443" s="38"/>
      <c r="C443" s="38"/>
      <c r="D443" s="38"/>
      <c r="E443" s="38"/>
      <c r="F443" s="38"/>
      <c r="G443" s="52"/>
    </row>
    <row r="444" spans="1:7" ht="15" x14ac:dyDescent="0.2">
      <c r="A444" s="42"/>
      <c r="B444" s="38"/>
      <c r="C444" s="38"/>
      <c r="D444" s="38"/>
      <c r="E444" s="38"/>
      <c r="F444" s="38"/>
      <c r="G444" s="52"/>
    </row>
    <row r="445" spans="1:7" ht="15" x14ac:dyDescent="0.2">
      <c r="A445" s="42"/>
      <c r="B445" s="38"/>
      <c r="C445" s="38"/>
      <c r="D445" s="38"/>
      <c r="E445" s="38"/>
      <c r="F445" s="38"/>
      <c r="G445" s="52"/>
    </row>
    <row r="446" spans="1:7" ht="15.75" x14ac:dyDescent="0.25">
      <c r="A446" s="45" t="s">
        <v>78</v>
      </c>
      <c r="B446" s="36"/>
      <c r="C446" s="38"/>
      <c r="D446" s="38"/>
      <c r="E446" s="38"/>
      <c r="F446" s="53">
        <f>+F436</f>
        <v>494632</v>
      </c>
      <c r="G446" s="52"/>
    </row>
    <row r="447" spans="1:7" ht="15" x14ac:dyDescent="0.2">
      <c r="A447" s="42" t="s">
        <v>25</v>
      </c>
      <c r="B447" s="38"/>
      <c r="C447" s="38"/>
      <c r="D447" s="38"/>
      <c r="E447" s="38"/>
      <c r="F447" s="47">
        <f>+C434</f>
        <v>248004</v>
      </c>
      <c r="G447" s="52"/>
    </row>
    <row r="448" spans="1:7" ht="17.25" x14ac:dyDescent="0.35">
      <c r="A448" s="42" t="s">
        <v>27</v>
      </c>
      <c r="B448" s="38"/>
      <c r="C448" s="38"/>
      <c r="D448" s="38"/>
      <c r="E448" s="38"/>
      <c r="F448" s="38"/>
      <c r="G448" s="55">
        <f>ROUND(+F446/F447,2)</f>
        <v>1.99</v>
      </c>
    </row>
    <row r="449" spans="1:7" ht="15" x14ac:dyDescent="0.2">
      <c r="A449" s="42"/>
      <c r="B449" s="38"/>
      <c r="C449" s="38"/>
      <c r="D449" s="38"/>
      <c r="E449" s="38"/>
      <c r="F449" s="38"/>
      <c r="G449" s="52"/>
    </row>
    <row r="450" spans="1:7" ht="15" x14ac:dyDescent="0.2">
      <c r="A450" s="42"/>
      <c r="B450" s="38"/>
      <c r="C450" s="38"/>
      <c r="D450" s="38"/>
      <c r="E450" s="38"/>
      <c r="F450" s="38"/>
      <c r="G450" s="52"/>
    </row>
    <row r="451" spans="1:7" ht="16.5" thickBot="1" x14ac:dyDescent="0.3">
      <c r="A451" s="35" t="s">
        <v>28</v>
      </c>
      <c r="B451" s="36"/>
      <c r="C451" s="38"/>
      <c r="D451" s="38"/>
      <c r="E451" s="38"/>
      <c r="F451" s="38"/>
      <c r="G451" s="58">
        <f>SUM(G442:G448)</f>
        <v>2.0699999999999998</v>
      </c>
    </row>
    <row r="452" spans="1:7" ht="14.25" thickTop="1" thickBot="1" x14ac:dyDescent="0.25">
      <c r="A452" s="19"/>
      <c r="B452" s="20"/>
      <c r="C452" s="20"/>
      <c r="D452" s="20"/>
      <c r="E452" s="20"/>
      <c r="F452" s="20"/>
      <c r="G452" s="21"/>
    </row>
    <row r="453" spans="1:7" ht="15" x14ac:dyDescent="0.2">
      <c r="A453" s="282" t="s">
        <v>29</v>
      </c>
      <c r="B453" s="283"/>
      <c r="C453" s="283"/>
      <c r="D453" s="283"/>
      <c r="E453" s="283"/>
      <c r="F453" s="283"/>
      <c r="G453" s="284"/>
    </row>
    <row r="454" spans="1:7" ht="15" x14ac:dyDescent="0.2">
      <c r="A454" s="49"/>
      <c r="B454" s="50"/>
      <c r="C454" s="50"/>
      <c r="D454" s="50"/>
      <c r="E454" s="50"/>
      <c r="F454" s="50"/>
      <c r="G454" s="64"/>
    </row>
    <row r="455" spans="1:7" ht="15.75" x14ac:dyDescent="0.25">
      <c r="A455" s="49"/>
      <c r="B455" s="50"/>
      <c r="C455" s="43"/>
      <c r="D455" s="43"/>
      <c r="E455" s="43" t="s">
        <v>13</v>
      </c>
      <c r="F455" s="43" t="s">
        <v>3</v>
      </c>
      <c r="G455" s="64"/>
    </row>
    <row r="456" spans="1:7" ht="15.75" x14ac:dyDescent="0.25">
      <c r="A456" s="49"/>
      <c r="B456" s="50"/>
      <c r="C456" s="65" t="s">
        <v>20</v>
      </c>
      <c r="D456" s="65"/>
      <c r="E456" s="65" t="s">
        <v>22</v>
      </c>
      <c r="F456" s="65" t="s">
        <v>6</v>
      </c>
      <c r="G456" s="64"/>
    </row>
    <row r="457" spans="1:7" ht="15.75" x14ac:dyDescent="0.25">
      <c r="A457" s="45" t="s">
        <v>61</v>
      </c>
      <c r="B457" s="36"/>
      <c r="C457" s="66"/>
      <c r="D457" s="66"/>
      <c r="E457" s="66"/>
      <c r="F457" s="66"/>
      <c r="G457" s="64"/>
    </row>
    <row r="458" spans="1:7" ht="15.75" x14ac:dyDescent="0.25">
      <c r="A458" s="42" t="s">
        <v>58</v>
      </c>
      <c r="B458" s="50"/>
      <c r="C458" s="67">
        <v>3534</v>
      </c>
      <c r="D458" s="67"/>
      <c r="E458" s="68">
        <f>+E513</f>
        <v>0.19</v>
      </c>
      <c r="F458" s="67">
        <f>E458*C458</f>
        <v>671.46</v>
      </c>
      <c r="G458" s="64"/>
    </row>
    <row r="459" spans="1:7" ht="17.25" x14ac:dyDescent="0.35">
      <c r="A459" s="49" t="s">
        <v>59</v>
      </c>
      <c r="B459" s="50"/>
      <c r="C459" s="51">
        <v>17099</v>
      </c>
      <c r="D459" s="51"/>
      <c r="E459" s="68">
        <f>+G528</f>
        <v>0.23</v>
      </c>
      <c r="F459" s="51">
        <f>E459*C459</f>
        <v>3932.77</v>
      </c>
      <c r="G459" s="64"/>
    </row>
    <row r="460" spans="1:7" ht="15" x14ac:dyDescent="0.2">
      <c r="A460" s="42" t="s">
        <v>3</v>
      </c>
      <c r="B460" s="50"/>
      <c r="C460" s="67">
        <f>SUM(C458:C459)</f>
        <v>20633</v>
      </c>
      <c r="D460" s="67"/>
      <c r="E460" s="50"/>
      <c r="F460" s="67">
        <f>SUM(F458:F459)</f>
        <v>4604.2299999999996</v>
      </c>
      <c r="G460" s="64"/>
    </row>
    <row r="461" spans="1:7" ht="15" x14ac:dyDescent="0.2">
      <c r="A461" s="42"/>
      <c r="B461" s="50"/>
      <c r="C461" s="50"/>
      <c r="D461" s="50"/>
      <c r="E461" s="50"/>
      <c r="F461" s="50"/>
      <c r="G461" s="64"/>
    </row>
    <row r="462" spans="1:7" ht="15.75" x14ac:dyDescent="0.25">
      <c r="A462" s="35" t="s">
        <v>23</v>
      </c>
      <c r="B462" s="50"/>
      <c r="C462" s="50"/>
      <c r="D462" s="50"/>
      <c r="E462" s="50"/>
      <c r="F462" s="69">
        <v>5419</v>
      </c>
      <c r="G462" s="64"/>
    </row>
    <row r="463" spans="1:7" ht="15" x14ac:dyDescent="0.2">
      <c r="A463" s="42"/>
      <c r="B463" s="50"/>
      <c r="C463" s="50"/>
      <c r="D463" s="50"/>
      <c r="E463" s="50"/>
      <c r="F463" s="50"/>
      <c r="G463" s="64"/>
    </row>
    <row r="464" spans="1:7" ht="15" x14ac:dyDescent="0.2">
      <c r="A464" s="42" t="s">
        <v>24</v>
      </c>
      <c r="B464" s="50"/>
      <c r="C464" s="50"/>
      <c r="D464" s="50"/>
      <c r="E464" s="50"/>
      <c r="F464" s="67">
        <v>814</v>
      </c>
      <c r="G464" s="64"/>
    </row>
    <row r="465" spans="1:7" ht="15" x14ac:dyDescent="0.2">
      <c r="A465" s="42"/>
      <c r="B465" s="50"/>
      <c r="C465" s="50"/>
      <c r="D465" s="50"/>
      <c r="E465" s="50"/>
      <c r="F465" s="50"/>
      <c r="G465" s="64"/>
    </row>
    <row r="466" spans="1:7" ht="15" x14ac:dyDescent="0.2">
      <c r="A466" s="42" t="s">
        <v>25</v>
      </c>
      <c r="B466" s="50"/>
      <c r="C466" s="50"/>
      <c r="D466" s="50"/>
      <c r="E466" s="50"/>
      <c r="F466" s="67">
        <f>+C460</f>
        <v>20633</v>
      </c>
      <c r="G466" s="64"/>
    </row>
    <row r="467" spans="1:7" ht="15" x14ac:dyDescent="0.2">
      <c r="A467" s="42"/>
      <c r="B467" s="50"/>
      <c r="C467" s="50"/>
      <c r="D467" s="50"/>
      <c r="E467" s="50"/>
      <c r="F467" s="50"/>
      <c r="G467" s="64"/>
    </row>
    <row r="468" spans="1:7" ht="15" x14ac:dyDescent="0.2">
      <c r="A468" s="42" t="s">
        <v>26</v>
      </c>
      <c r="B468" s="50"/>
      <c r="C468" s="50"/>
      <c r="D468" s="50"/>
      <c r="E468" s="50"/>
      <c r="F468" s="50"/>
      <c r="G468" s="70">
        <f>ROUND(F464/F466,2)</f>
        <v>0.04</v>
      </c>
    </row>
    <row r="469" spans="1:7" ht="15" x14ac:dyDescent="0.2">
      <c r="A469" s="42"/>
      <c r="B469" s="50"/>
      <c r="C469" s="50"/>
      <c r="D469" s="50"/>
      <c r="E469" s="50"/>
      <c r="F469" s="50"/>
      <c r="G469" s="70"/>
    </row>
    <row r="470" spans="1:7" ht="15" x14ac:dyDescent="0.2">
      <c r="A470" s="42"/>
      <c r="B470" s="50"/>
      <c r="C470" s="50"/>
      <c r="D470" s="50"/>
      <c r="E470" s="50"/>
      <c r="F470" s="67"/>
      <c r="G470" s="64"/>
    </row>
    <row r="471" spans="1:7" ht="15.75" x14ac:dyDescent="0.25">
      <c r="A471" s="42"/>
      <c r="B471" s="36"/>
      <c r="C471" s="50"/>
      <c r="D471" s="50"/>
      <c r="E471" s="50"/>
      <c r="F471" s="67"/>
      <c r="G471" s="64"/>
    </row>
    <row r="472" spans="1:7" ht="15.75" x14ac:dyDescent="0.25">
      <c r="A472" s="45" t="s">
        <v>78</v>
      </c>
      <c r="B472" s="50"/>
      <c r="C472" s="50"/>
      <c r="D472" s="50"/>
      <c r="E472" s="50"/>
      <c r="F472" s="54">
        <f>+F462</f>
        <v>5419</v>
      </c>
      <c r="G472" s="64"/>
    </row>
    <row r="473" spans="1:7" ht="15" x14ac:dyDescent="0.2">
      <c r="A473" s="42" t="s">
        <v>25</v>
      </c>
      <c r="B473" s="50"/>
      <c r="C473" s="50"/>
      <c r="D473" s="50"/>
      <c r="E473" s="50"/>
      <c r="F473" s="67">
        <f>+C460</f>
        <v>20633</v>
      </c>
      <c r="G473" s="64"/>
    </row>
    <row r="474" spans="1:7" ht="17.25" x14ac:dyDescent="0.35">
      <c r="A474" s="42" t="s">
        <v>27</v>
      </c>
      <c r="B474" s="50"/>
      <c r="C474" s="50"/>
      <c r="D474" s="50"/>
      <c r="E474" s="50"/>
      <c r="F474" s="50"/>
      <c r="G474" s="57">
        <f>ROUND(+F472/F473,2)</f>
        <v>0.26</v>
      </c>
    </row>
    <row r="475" spans="1:7" ht="17.25" x14ac:dyDescent="0.35">
      <c r="A475" s="42"/>
      <c r="B475" s="50"/>
      <c r="C475" s="50"/>
      <c r="D475" s="50"/>
      <c r="E475" s="50"/>
      <c r="F475" s="50"/>
      <c r="G475" s="57"/>
    </row>
    <row r="476" spans="1:7" ht="16.5" thickBot="1" x14ac:dyDescent="0.3">
      <c r="A476" s="35" t="s">
        <v>30</v>
      </c>
      <c r="B476" s="36"/>
      <c r="C476" s="50"/>
      <c r="D476" s="50"/>
      <c r="E476" s="50"/>
      <c r="F476" s="50"/>
      <c r="G476" s="71">
        <f>+G474+G468+G469</f>
        <v>0.3</v>
      </c>
    </row>
    <row r="477" spans="1:7" ht="16.5" thickTop="1" thickBot="1" x14ac:dyDescent="0.25">
      <c r="A477" s="72"/>
      <c r="B477" s="73"/>
      <c r="C477" s="73"/>
      <c r="D477" s="73"/>
      <c r="E477" s="73"/>
      <c r="F477" s="73"/>
      <c r="G477" s="74"/>
    </row>
    <row r="478" spans="1:7" ht="23.25" x14ac:dyDescent="0.35">
      <c r="A478" s="31" t="s">
        <v>57</v>
      </c>
      <c r="B478" s="32"/>
      <c r="C478" s="33"/>
      <c r="D478" s="33"/>
      <c r="E478" s="33"/>
      <c r="F478" s="33"/>
      <c r="G478" s="34"/>
    </row>
    <row r="479" spans="1:7" ht="15.75" x14ac:dyDescent="0.25">
      <c r="A479" s="35" t="s">
        <v>55</v>
      </c>
      <c r="B479" s="36"/>
      <c r="C479" s="37"/>
      <c r="D479" s="37"/>
      <c r="E479" s="38"/>
      <c r="F479" s="38"/>
      <c r="G479" s="39"/>
    </row>
    <row r="480" spans="1:7" ht="15.75" x14ac:dyDescent="0.25">
      <c r="A480" s="40"/>
      <c r="B480" s="41"/>
      <c r="C480" s="38"/>
      <c r="D480" s="38"/>
      <c r="E480" s="38"/>
      <c r="F480" s="38"/>
      <c r="G480" s="39"/>
    </row>
    <row r="481" spans="1:7" ht="15" x14ac:dyDescent="0.2">
      <c r="A481" s="282" t="s">
        <v>21</v>
      </c>
      <c r="B481" s="283"/>
      <c r="C481" s="283"/>
      <c r="D481" s="283"/>
      <c r="E481" s="283"/>
      <c r="F481" s="283"/>
      <c r="G481" s="284"/>
    </row>
    <row r="482" spans="1:7" ht="15" x14ac:dyDescent="0.2">
      <c r="A482" s="42"/>
      <c r="B482" s="38"/>
      <c r="C482" s="38"/>
      <c r="D482" s="38"/>
      <c r="E482" s="38"/>
      <c r="F482" s="38"/>
      <c r="G482" s="39"/>
    </row>
    <row r="483" spans="1:7" ht="15.75" x14ac:dyDescent="0.25">
      <c r="A483" s="42"/>
      <c r="B483" s="38"/>
      <c r="C483" s="43"/>
      <c r="D483" s="43"/>
      <c r="E483" s="43" t="s">
        <v>13</v>
      </c>
      <c r="F483" s="43" t="s">
        <v>3</v>
      </c>
      <c r="G483" s="39"/>
    </row>
    <row r="484" spans="1:7" ht="15.75" x14ac:dyDescent="0.25">
      <c r="A484" s="42"/>
      <c r="B484" s="38"/>
      <c r="C484" s="44" t="s">
        <v>5</v>
      </c>
      <c r="D484" s="44"/>
      <c r="E484" s="44" t="s">
        <v>22</v>
      </c>
      <c r="F484" s="44" t="s">
        <v>6</v>
      </c>
      <c r="G484" s="39"/>
    </row>
    <row r="485" spans="1:7" ht="15.75" x14ac:dyDescent="0.25">
      <c r="A485" s="45" t="s">
        <v>60</v>
      </c>
      <c r="B485" s="36"/>
      <c r="C485" s="46"/>
      <c r="D485" s="46"/>
      <c r="E485" s="46"/>
      <c r="F485" s="46"/>
      <c r="G485" s="39"/>
    </row>
    <row r="486" spans="1:7" ht="15.75" x14ac:dyDescent="0.25">
      <c r="A486" s="42" t="s">
        <v>58</v>
      </c>
      <c r="B486" s="38"/>
      <c r="C486" s="47">
        <v>90954</v>
      </c>
      <c r="D486" s="47"/>
      <c r="E486" s="48">
        <f>+E541</f>
        <v>0.91</v>
      </c>
      <c r="F486" s="47">
        <f>C486*E486</f>
        <v>82768.14</v>
      </c>
      <c r="G486" s="39"/>
    </row>
    <row r="487" spans="1:7" ht="17.25" x14ac:dyDescent="0.35">
      <c r="A487" s="49" t="s">
        <v>59</v>
      </c>
      <c r="B487" s="50"/>
      <c r="C487" s="51">
        <v>454770</v>
      </c>
      <c r="D487" s="51"/>
      <c r="E487" s="48">
        <f>+G556</f>
        <v>1.6641107756753206</v>
      </c>
      <c r="F487" s="51">
        <f>C487*E487</f>
        <v>756787.65745386551</v>
      </c>
      <c r="G487" s="39"/>
    </row>
    <row r="488" spans="1:7" ht="15" x14ac:dyDescent="0.2">
      <c r="A488" s="42" t="s">
        <v>3</v>
      </c>
      <c r="B488" s="38"/>
      <c r="C488" s="47">
        <f>SUM(C486:C487)</f>
        <v>545724</v>
      </c>
      <c r="D488" s="47"/>
      <c r="E488" s="38"/>
      <c r="F488" s="47">
        <f>SUM(F486:F487)</f>
        <v>839555.79745386553</v>
      </c>
      <c r="G488" s="39"/>
    </row>
    <row r="489" spans="1:7" ht="15" x14ac:dyDescent="0.2">
      <c r="A489" s="42"/>
      <c r="B489" s="38"/>
      <c r="C489" s="38"/>
      <c r="D489" s="38"/>
      <c r="E489" s="38"/>
      <c r="F489" s="38"/>
      <c r="G489" s="39"/>
    </row>
    <row r="490" spans="1:7" ht="15.75" x14ac:dyDescent="0.25">
      <c r="A490" s="35" t="s">
        <v>23</v>
      </c>
      <c r="B490" s="38"/>
      <c r="C490" s="38"/>
      <c r="D490" s="38"/>
      <c r="E490" s="38"/>
      <c r="F490" s="47">
        <v>1070318.8014882323</v>
      </c>
      <c r="G490" s="39"/>
    </row>
    <row r="491" spans="1:7" ht="15" x14ac:dyDescent="0.2">
      <c r="A491" s="42"/>
      <c r="B491" s="38"/>
      <c r="C491" s="38"/>
      <c r="D491" s="38"/>
      <c r="E491" s="38"/>
      <c r="F491" s="38"/>
      <c r="G491" s="39"/>
    </row>
    <row r="492" spans="1:7" ht="15" x14ac:dyDescent="0.2">
      <c r="A492" s="42" t="s">
        <v>24</v>
      </c>
      <c r="B492" s="38"/>
      <c r="C492" s="38"/>
      <c r="D492" s="38"/>
      <c r="E492" s="38"/>
      <c r="F492" s="47">
        <f>F490-F488</f>
        <v>230763.00403436681</v>
      </c>
      <c r="G492" s="39"/>
    </row>
    <row r="493" spans="1:7" ht="15" x14ac:dyDescent="0.2">
      <c r="A493" s="42"/>
      <c r="B493" s="38"/>
      <c r="C493" s="38"/>
      <c r="D493" s="38"/>
      <c r="E493" s="38"/>
      <c r="F493" s="38"/>
      <c r="G493" s="39"/>
    </row>
    <row r="494" spans="1:7" ht="15" x14ac:dyDescent="0.2">
      <c r="A494" s="42" t="s">
        <v>25</v>
      </c>
      <c r="B494" s="38"/>
      <c r="C494" s="38"/>
      <c r="D494" s="38"/>
      <c r="E494" s="38"/>
      <c r="F494" s="47">
        <f>+C488</f>
        <v>545724</v>
      </c>
      <c r="G494" s="39"/>
    </row>
    <row r="495" spans="1:7" ht="15" x14ac:dyDescent="0.2">
      <c r="A495" s="42"/>
      <c r="B495" s="38"/>
      <c r="C495" s="38"/>
      <c r="D495" s="38"/>
      <c r="E495" s="38"/>
      <c r="F495" s="38"/>
      <c r="G495" s="39"/>
    </row>
    <row r="496" spans="1:7" ht="15" x14ac:dyDescent="0.2">
      <c r="A496" s="42" t="s">
        <v>26</v>
      </c>
      <c r="B496" s="38"/>
      <c r="C496" s="38"/>
      <c r="D496" s="38"/>
      <c r="E496" s="38"/>
      <c r="F496" s="61"/>
      <c r="G496" s="52">
        <f>ROUND(F492/F494,2)</f>
        <v>0.42</v>
      </c>
    </row>
    <row r="497" spans="1:7" ht="15" x14ac:dyDescent="0.2">
      <c r="A497" s="42"/>
      <c r="B497" s="38"/>
      <c r="C497" s="38"/>
      <c r="D497" s="38"/>
      <c r="E497" s="38"/>
      <c r="F497" s="38"/>
      <c r="G497" s="52"/>
    </row>
    <row r="498" spans="1:7" ht="15" x14ac:dyDescent="0.2">
      <c r="A498" s="42"/>
      <c r="B498" s="38"/>
      <c r="C498" s="38"/>
      <c r="D498" s="38"/>
      <c r="E498" s="38"/>
      <c r="F498" s="38"/>
      <c r="G498" s="52"/>
    </row>
    <row r="499" spans="1:7" ht="15" x14ac:dyDescent="0.2">
      <c r="A499" s="42"/>
      <c r="B499" s="38"/>
      <c r="C499" s="38"/>
      <c r="D499" s="38"/>
      <c r="E499" s="38"/>
      <c r="F499" s="38"/>
      <c r="G499" s="52"/>
    </row>
    <row r="500" spans="1:7" ht="15.75" x14ac:dyDescent="0.25">
      <c r="A500" s="45" t="s">
        <v>61</v>
      </c>
      <c r="B500" s="36"/>
      <c r="C500" s="38"/>
      <c r="D500" s="38"/>
      <c r="E500" s="38"/>
      <c r="F500" s="53">
        <f>+F490</f>
        <v>1070318.8014882323</v>
      </c>
      <c r="G500" s="52"/>
    </row>
    <row r="501" spans="1:7" ht="15" x14ac:dyDescent="0.2">
      <c r="A501" s="42" t="s">
        <v>25</v>
      </c>
      <c r="B501" s="38"/>
      <c r="C501" s="38"/>
      <c r="D501" s="38"/>
      <c r="E501" s="38"/>
      <c r="F501" s="47">
        <f>+C488</f>
        <v>545724</v>
      </c>
      <c r="G501" s="52"/>
    </row>
    <row r="502" spans="1:7" ht="17.25" x14ac:dyDescent="0.35">
      <c r="A502" s="42" t="s">
        <v>27</v>
      </c>
      <c r="B502" s="38"/>
      <c r="C502" s="38"/>
      <c r="D502" s="38"/>
      <c r="E502" s="38"/>
      <c r="F502" s="38"/>
      <c r="G502" s="55">
        <f>ROUND(+F500/F501,2)</f>
        <v>1.96</v>
      </c>
    </row>
    <row r="503" spans="1:7" ht="15" x14ac:dyDescent="0.2">
      <c r="A503" s="42"/>
      <c r="B503" s="38"/>
      <c r="C503" s="38"/>
      <c r="D503" s="38"/>
      <c r="E503" s="38"/>
      <c r="F503" s="38"/>
      <c r="G503" s="52"/>
    </row>
    <row r="504" spans="1:7" ht="15" x14ac:dyDescent="0.2">
      <c r="A504" s="42"/>
      <c r="B504" s="38"/>
      <c r="C504" s="38"/>
      <c r="D504" s="38"/>
      <c r="E504" s="38"/>
      <c r="F504" s="38"/>
      <c r="G504" s="52"/>
    </row>
    <row r="505" spans="1:7" ht="16.5" thickBot="1" x14ac:dyDescent="0.3">
      <c r="A505" s="35" t="s">
        <v>28</v>
      </c>
      <c r="B505" s="36"/>
      <c r="C505" s="38"/>
      <c r="D505" s="38"/>
      <c r="E505" s="38"/>
      <c r="F505" s="38"/>
      <c r="G505" s="58">
        <f>SUM(G496:G502)</f>
        <v>2.38</v>
      </c>
    </row>
    <row r="506" spans="1:7" ht="14.25" thickTop="1" thickBot="1" x14ac:dyDescent="0.25">
      <c r="A506" s="19"/>
      <c r="B506" s="20"/>
      <c r="C506" s="20"/>
      <c r="D506" s="20"/>
      <c r="E506" s="20"/>
      <c r="F506" s="20"/>
      <c r="G506" s="21"/>
    </row>
    <row r="507" spans="1:7" ht="15" x14ac:dyDescent="0.2">
      <c r="A507" s="282" t="s">
        <v>29</v>
      </c>
      <c r="B507" s="283"/>
      <c r="C507" s="283"/>
      <c r="D507" s="283"/>
      <c r="E507" s="283"/>
      <c r="F507" s="283"/>
      <c r="G507" s="284"/>
    </row>
    <row r="508" spans="1:7" ht="15" x14ac:dyDescent="0.2">
      <c r="A508" s="49"/>
      <c r="B508" s="50"/>
      <c r="C508" s="50"/>
      <c r="D508" s="50"/>
      <c r="E508" s="50"/>
      <c r="F508" s="50"/>
      <c r="G508" s="64"/>
    </row>
    <row r="509" spans="1:7" ht="15.75" x14ac:dyDescent="0.25">
      <c r="A509" s="49"/>
      <c r="B509" s="50"/>
      <c r="C509" s="43"/>
      <c r="D509" s="43"/>
      <c r="E509" s="43" t="s">
        <v>13</v>
      </c>
      <c r="F509" s="43" t="s">
        <v>3</v>
      </c>
      <c r="G509" s="64"/>
    </row>
    <row r="510" spans="1:7" ht="15.75" x14ac:dyDescent="0.25">
      <c r="A510" s="49"/>
      <c r="B510" s="50"/>
      <c r="C510" s="65" t="s">
        <v>20</v>
      </c>
      <c r="D510" s="65"/>
      <c r="E510" s="65" t="s">
        <v>22</v>
      </c>
      <c r="F510" s="65" t="s">
        <v>6</v>
      </c>
      <c r="G510" s="64"/>
    </row>
    <row r="511" spans="1:7" ht="15.75" x14ac:dyDescent="0.25">
      <c r="A511" s="45" t="s">
        <v>60</v>
      </c>
      <c r="B511" s="36"/>
      <c r="C511" s="66"/>
      <c r="D511" s="66"/>
      <c r="E511" s="66"/>
      <c r="F511" s="66"/>
      <c r="G511" s="64"/>
    </row>
    <row r="512" spans="1:7" ht="15.75" x14ac:dyDescent="0.25">
      <c r="A512" s="42" t="s">
        <v>58</v>
      </c>
      <c r="B512" s="50"/>
      <c r="C512" s="67">
        <v>15544.573148514854</v>
      </c>
      <c r="D512" s="67"/>
      <c r="E512" s="68">
        <f>+E567</f>
        <v>0.23</v>
      </c>
      <c r="F512" s="67">
        <f>E512*C512</f>
        <v>3575.2518241584166</v>
      </c>
      <c r="G512" s="64"/>
    </row>
    <row r="513" spans="1:8" ht="17.25" x14ac:dyDescent="0.35">
      <c r="A513" s="49" t="s">
        <v>59</v>
      </c>
      <c r="B513" s="50"/>
      <c r="C513" s="51">
        <v>77722.865742574271</v>
      </c>
      <c r="D513" s="51"/>
      <c r="E513" s="68">
        <f>+G582</f>
        <v>0.19</v>
      </c>
      <c r="F513" s="51">
        <f>E513*C513</f>
        <v>14767.344491089112</v>
      </c>
      <c r="G513" s="64"/>
    </row>
    <row r="514" spans="1:8" ht="15" x14ac:dyDescent="0.2">
      <c r="A514" s="42" t="s">
        <v>3</v>
      </c>
      <c r="B514" s="50"/>
      <c r="C514" s="67">
        <f>SUM(C512:C513)</f>
        <v>93267.438891089128</v>
      </c>
      <c r="D514" s="67"/>
      <c r="E514" s="50"/>
      <c r="F514" s="67">
        <f>SUM(F512:F513)</f>
        <v>18342.596315247531</v>
      </c>
      <c r="G514" s="64"/>
    </row>
    <row r="515" spans="1:8" ht="15" x14ac:dyDescent="0.2">
      <c r="A515" s="42"/>
      <c r="B515" s="50"/>
      <c r="C515" s="50"/>
      <c r="D515" s="50"/>
      <c r="E515" s="50"/>
      <c r="F515" s="50"/>
      <c r="G515" s="64"/>
    </row>
    <row r="516" spans="1:8" ht="15.75" x14ac:dyDescent="0.25">
      <c r="A516" s="35" t="s">
        <v>23</v>
      </c>
      <c r="B516" s="50"/>
      <c r="C516" s="50"/>
      <c r="D516" s="50"/>
      <c r="E516" s="50"/>
      <c r="F516" s="69">
        <v>21605.51866847141</v>
      </c>
      <c r="G516" s="64"/>
    </row>
    <row r="517" spans="1:8" ht="15" x14ac:dyDescent="0.2">
      <c r="A517" s="42"/>
      <c r="B517" s="50"/>
      <c r="C517" s="50"/>
      <c r="D517" s="50"/>
      <c r="E517" s="50"/>
      <c r="F517" s="50"/>
      <c r="G517" s="64"/>
    </row>
    <row r="518" spans="1:8" ht="15" x14ac:dyDescent="0.2">
      <c r="A518" s="42" t="s">
        <v>24</v>
      </c>
      <c r="B518" s="50"/>
      <c r="C518" s="50"/>
      <c r="D518" s="50"/>
      <c r="E518" s="50"/>
      <c r="F518" s="67">
        <f>F516-F514</f>
        <v>3262.9223532238793</v>
      </c>
      <c r="G518" s="64"/>
    </row>
    <row r="519" spans="1:8" ht="15" x14ac:dyDescent="0.2">
      <c r="A519" s="42"/>
      <c r="B519" s="50"/>
      <c r="C519" s="50"/>
      <c r="D519" s="50"/>
      <c r="E519" s="50"/>
      <c r="F519" s="50"/>
      <c r="G519" s="64"/>
    </row>
    <row r="520" spans="1:8" ht="15" x14ac:dyDescent="0.2">
      <c r="A520" s="42" t="s">
        <v>25</v>
      </c>
      <c r="B520" s="50"/>
      <c r="C520" s="50"/>
      <c r="D520" s="50"/>
      <c r="E520" s="50"/>
      <c r="F520" s="67">
        <f>+C514</f>
        <v>93267.438891089128</v>
      </c>
      <c r="G520" s="64"/>
    </row>
    <row r="521" spans="1:8" ht="15" x14ac:dyDescent="0.2">
      <c r="A521" s="42"/>
      <c r="B521" s="50"/>
      <c r="C521" s="50"/>
      <c r="D521" s="50"/>
      <c r="E521" s="50"/>
      <c r="F521" s="50"/>
      <c r="G521" s="64"/>
    </row>
    <row r="522" spans="1:8" ht="15" x14ac:dyDescent="0.2">
      <c r="A522" s="42" t="s">
        <v>26</v>
      </c>
      <c r="B522" s="50"/>
      <c r="C522" s="50"/>
      <c r="D522" s="50"/>
      <c r="E522" s="50"/>
      <c r="F522" s="50"/>
      <c r="G522" s="70">
        <f>ROUND(F518/F520,2)</f>
        <v>0.03</v>
      </c>
    </row>
    <row r="523" spans="1:8" ht="15" x14ac:dyDescent="0.2">
      <c r="A523" s="42"/>
      <c r="B523" s="50"/>
      <c r="C523" s="50"/>
      <c r="D523" s="50"/>
      <c r="E523" s="50"/>
      <c r="F523" s="50"/>
      <c r="G523" s="70"/>
    </row>
    <row r="524" spans="1:8" ht="15" x14ac:dyDescent="0.2">
      <c r="A524" s="42"/>
      <c r="B524" s="50"/>
      <c r="C524" s="50"/>
      <c r="D524" s="50"/>
      <c r="E524" s="50"/>
      <c r="F524" s="67"/>
      <c r="G524" s="64"/>
    </row>
    <row r="525" spans="1:8" ht="15.75" x14ac:dyDescent="0.25">
      <c r="A525" s="42"/>
      <c r="B525" s="36"/>
      <c r="C525" s="50"/>
      <c r="D525" s="50"/>
      <c r="E525" s="50"/>
      <c r="F525" s="67"/>
      <c r="G525" s="64"/>
    </row>
    <row r="526" spans="1:8" ht="15.75" x14ac:dyDescent="0.25">
      <c r="A526" s="45" t="s">
        <v>61</v>
      </c>
      <c r="B526" s="50"/>
      <c r="C526" s="50"/>
      <c r="D526" s="50"/>
      <c r="E526" s="50"/>
      <c r="F526" s="54">
        <f>+F516</f>
        <v>21605.51866847141</v>
      </c>
      <c r="G526" s="64"/>
    </row>
    <row r="527" spans="1:8" ht="15" x14ac:dyDescent="0.2">
      <c r="A527" s="42" t="s">
        <v>25</v>
      </c>
      <c r="B527" s="50"/>
      <c r="C527" s="50"/>
      <c r="D527" s="50"/>
      <c r="E527" s="50"/>
      <c r="F527" s="67">
        <f>+C514</f>
        <v>93267.438891089128</v>
      </c>
      <c r="G527" s="64"/>
      <c r="H527" s="119"/>
    </row>
    <row r="528" spans="1:8" ht="17.25" x14ac:dyDescent="0.35">
      <c r="A528" s="42" t="s">
        <v>27</v>
      </c>
      <c r="B528" s="50"/>
      <c r="C528" s="50"/>
      <c r="D528" s="50"/>
      <c r="E528" s="50"/>
      <c r="F528" s="50"/>
      <c r="G528" s="57">
        <f>ROUND(+F526/F527,2)</f>
        <v>0.23</v>
      </c>
    </row>
    <row r="529" spans="1:7" ht="17.25" x14ac:dyDescent="0.35">
      <c r="A529" s="42"/>
      <c r="B529" s="50"/>
      <c r="C529" s="50"/>
      <c r="D529" s="50"/>
      <c r="E529" s="50"/>
      <c r="F529" s="50"/>
      <c r="G529" s="57"/>
    </row>
    <row r="530" spans="1:7" ht="16.5" thickBot="1" x14ac:dyDescent="0.3">
      <c r="A530" s="35" t="s">
        <v>30</v>
      </c>
      <c r="B530" s="36"/>
      <c r="C530" s="50"/>
      <c r="D530" s="50"/>
      <c r="E530" s="50"/>
      <c r="F530" s="50"/>
      <c r="G530" s="71">
        <f>+G528+G522+G523</f>
        <v>0.26</v>
      </c>
    </row>
    <row r="531" spans="1:7" ht="16.5" thickTop="1" thickBot="1" x14ac:dyDescent="0.25">
      <c r="A531" s="72"/>
      <c r="B531" s="73"/>
      <c r="C531" s="73"/>
      <c r="D531" s="73"/>
      <c r="E531" s="73"/>
      <c r="F531" s="73"/>
      <c r="G531" s="74"/>
    </row>
    <row r="532" spans="1:7" ht="23.25" x14ac:dyDescent="0.35">
      <c r="A532" s="31" t="s">
        <v>57</v>
      </c>
      <c r="B532" s="32"/>
      <c r="C532" s="33"/>
      <c r="D532" s="33"/>
      <c r="E532" s="33"/>
      <c r="F532" s="33"/>
      <c r="G532" s="34"/>
    </row>
    <row r="533" spans="1:7" ht="15.75" x14ac:dyDescent="0.25">
      <c r="A533" s="35" t="s">
        <v>56</v>
      </c>
      <c r="B533" s="36"/>
      <c r="C533" s="37"/>
      <c r="D533" s="37"/>
      <c r="E533" s="38"/>
      <c r="F533" s="38"/>
      <c r="G533" s="39"/>
    </row>
    <row r="534" spans="1:7" ht="15.75" x14ac:dyDescent="0.25">
      <c r="A534" s="40"/>
      <c r="B534" s="41"/>
      <c r="C534" s="38"/>
      <c r="D534" s="38"/>
      <c r="E534" s="38"/>
      <c r="F534" s="38"/>
      <c r="G534" s="39"/>
    </row>
    <row r="535" spans="1:7" ht="15" x14ac:dyDescent="0.2">
      <c r="A535" s="282" t="s">
        <v>21</v>
      </c>
      <c r="B535" s="283"/>
      <c r="C535" s="283"/>
      <c r="D535" s="283"/>
      <c r="E535" s="283"/>
      <c r="F535" s="283"/>
      <c r="G535" s="284"/>
    </row>
    <row r="536" spans="1:7" ht="15" x14ac:dyDescent="0.2">
      <c r="A536" s="42"/>
      <c r="B536" s="38"/>
      <c r="C536" s="38"/>
      <c r="D536" s="38"/>
      <c r="E536" s="38"/>
      <c r="F536" s="38"/>
      <c r="G536" s="39"/>
    </row>
    <row r="537" spans="1:7" ht="15.75" x14ac:dyDescent="0.25">
      <c r="A537" s="42"/>
      <c r="B537" s="38"/>
      <c r="C537" s="43"/>
      <c r="D537" s="43"/>
      <c r="E537" s="43" t="s">
        <v>13</v>
      </c>
      <c r="F537" s="43" t="s">
        <v>3</v>
      </c>
      <c r="G537" s="39"/>
    </row>
    <row r="538" spans="1:7" ht="15.75" x14ac:dyDescent="0.25">
      <c r="A538" s="42"/>
      <c r="B538" s="38"/>
      <c r="C538" s="44" t="s">
        <v>5</v>
      </c>
      <c r="D538" s="44"/>
      <c r="E538" s="44" t="s">
        <v>22</v>
      </c>
      <c r="F538" s="44" t="s">
        <v>6</v>
      </c>
      <c r="G538" s="39"/>
    </row>
    <row r="539" spans="1:7" ht="15.75" x14ac:dyDescent="0.25">
      <c r="A539" s="45" t="s">
        <v>60</v>
      </c>
      <c r="B539" s="36"/>
      <c r="C539" s="46"/>
      <c r="D539" s="46"/>
      <c r="E539" s="46"/>
      <c r="F539" s="46"/>
      <c r="G539" s="39"/>
    </row>
    <row r="540" spans="1:7" ht="15.75" x14ac:dyDescent="0.25">
      <c r="A540" s="42" t="s">
        <v>58</v>
      </c>
      <c r="B540" s="38"/>
      <c r="C540" s="47">
        <v>87362</v>
      </c>
      <c r="D540" s="47"/>
      <c r="E540" s="48">
        <v>0.73</v>
      </c>
      <c r="F540" s="47">
        <f>C540*E540</f>
        <v>63774.26</v>
      </c>
      <c r="G540" s="39"/>
    </row>
    <row r="541" spans="1:7" ht="17.25" x14ac:dyDescent="0.35">
      <c r="A541" s="49" t="s">
        <v>59</v>
      </c>
      <c r="B541" s="50"/>
      <c r="C541" s="51">
        <v>443080</v>
      </c>
      <c r="D541" s="51"/>
      <c r="E541" s="48">
        <v>0.91</v>
      </c>
      <c r="F541" s="51">
        <f>C541*E541</f>
        <v>403202.8</v>
      </c>
      <c r="G541" s="39"/>
    </row>
    <row r="542" spans="1:7" ht="15" x14ac:dyDescent="0.2">
      <c r="A542" s="42" t="s">
        <v>3</v>
      </c>
      <c r="B542" s="38"/>
      <c r="C542" s="47">
        <f>SUM(C540:C541)</f>
        <v>530442</v>
      </c>
      <c r="D542" s="47"/>
      <c r="E542" s="38"/>
      <c r="F542" s="47">
        <f>SUM(F540:F541)</f>
        <v>466977.06</v>
      </c>
      <c r="G542" s="39"/>
    </row>
    <row r="543" spans="1:7" ht="15" x14ac:dyDescent="0.2">
      <c r="A543" s="42"/>
      <c r="B543" s="38"/>
      <c r="C543" s="38"/>
      <c r="D543" s="38"/>
      <c r="E543" s="38"/>
      <c r="F543" s="38"/>
      <c r="G543" s="39"/>
    </row>
    <row r="544" spans="1:7" ht="15.75" x14ac:dyDescent="0.25">
      <c r="A544" s="35" t="s">
        <v>23</v>
      </c>
      <c r="B544" s="38"/>
      <c r="C544" s="38"/>
      <c r="D544" s="38"/>
      <c r="E544" s="38"/>
      <c r="F544" s="47">
        <v>894186.62775827409</v>
      </c>
      <c r="G544" s="39"/>
    </row>
    <row r="545" spans="1:7" ht="15" x14ac:dyDescent="0.2">
      <c r="A545" s="42"/>
      <c r="B545" s="38"/>
      <c r="C545" s="38"/>
      <c r="D545" s="38"/>
      <c r="E545" s="38"/>
      <c r="F545" s="38"/>
      <c r="G545" s="39"/>
    </row>
    <row r="546" spans="1:7" ht="15" x14ac:dyDescent="0.2">
      <c r="A546" s="42" t="s">
        <v>24</v>
      </c>
      <c r="B546" s="38"/>
      <c r="C546" s="38"/>
      <c r="D546" s="38"/>
      <c r="E546" s="38"/>
      <c r="F546" s="60">
        <f>F544-F542</f>
        <v>427209.56775827409</v>
      </c>
      <c r="G546" s="39"/>
    </row>
    <row r="547" spans="1:7" ht="15" x14ac:dyDescent="0.2">
      <c r="A547" s="42"/>
      <c r="B547" s="38"/>
      <c r="C547" s="38"/>
      <c r="D547" s="38"/>
      <c r="E547" s="38"/>
      <c r="F547" s="38"/>
      <c r="G547" s="39"/>
    </row>
    <row r="548" spans="1:7" ht="15" x14ac:dyDescent="0.2">
      <c r="A548" s="49" t="s">
        <v>25</v>
      </c>
      <c r="B548" s="38"/>
      <c r="C548" s="38"/>
      <c r="D548" s="38"/>
      <c r="E548" s="38"/>
      <c r="F548" s="47">
        <f>+C542</f>
        <v>530442</v>
      </c>
      <c r="G548" s="39"/>
    </row>
    <row r="549" spans="1:7" ht="15" x14ac:dyDescent="0.2">
      <c r="A549" s="42"/>
      <c r="B549" s="38"/>
      <c r="C549" s="38"/>
      <c r="D549" s="38"/>
      <c r="E549" s="38"/>
      <c r="F549" s="38"/>
      <c r="G549" s="39"/>
    </row>
    <row r="550" spans="1:7" ht="15" x14ac:dyDescent="0.2">
      <c r="A550" s="42" t="s">
        <v>26</v>
      </c>
      <c r="B550" s="38"/>
      <c r="C550" s="38"/>
      <c r="D550" s="38"/>
      <c r="E550" s="38"/>
      <c r="F550" s="38"/>
      <c r="G550" s="52">
        <f>ROUND(F546/F548,2)</f>
        <v>0.81</v>
      </c>
    </row>
    <row r="551" spans="1:7" ht="15" x14ac:dyDescent="0.2">
      <c r="A551" s="42"/>
      <c r="B551" s="38"/>
      <c r="C551" s="38"/>
      <c r="D551" s="38"/>
      <c r="E551" s="38"/>
      <c r="F551" s="38"/>
      <c r="G551" s="52"/>
    </row>
    <row r="552" spans="1:7" ht="15" x14ac:dyDescent="0.2">
      <c r="A552" s="42"/>
      <c r="B552" s="38"/>
      <c r="C552" s="38"/>
      <c r="D552" s="38"/>
      <c r="E552" s="38"/>
      <c r="F552" s="38"/>
      <c r="G552" s="52"/>
    </row>
    <row r="553" spans="1:7" ht="15" x14ac:dyDescent="0.2">
      <c r="A553" s="42"/>
      <c r="B553" s="38"/>
      <c r="C553" s="38"/>
      <c r="D553" s="38"/>
      <c r="E553" s="38"/>
      <c r="F553" s="38"/>
      <c r="G553" s="52"/>
    </row>
    <row r="554" spans="1:7" ht="15.75" x14ac:dyDescent="0.25">
      <c r="A554" s="45" t="s">
        <v>60</v>
      </c>
      <c r="B554" s="36"/>
      <c r="C554" s="38"/>
      <c r="D554" s="38"/>
      <c r="E554" s="38"/>
      <c r="F554" s="54">
        <f>+F544</f>
        <v>894186.62775827409</v>
      </c>
      <c r="G554" s="52"/>
    </row>
    <row r="555" spans="1:7" ht="15" x14ac:dyDescent="0.2">
      <c r="A555" s="42" t="s">
        <v>25</v>
      </c>
      <c r="B555" s="38"/>
      <c r="C555" s="38"/>
      <c r="D555" s="38"/>
      <c r="E555" s="38"/>
      <c r="F555" s="47">
        <v>537336</v>
      </c>
      <c r="G555" s="52"/>
    </row>
    <row r="556" spans="1:7" ht="17.25" x14ac:dyDescent="0.35">
      <c r="A556" s="42" t="s">
        <v>27</v>
      </c>
      <c r="B556" s="38"/>
      <c r="C556" s="38"/>
      <c r="D556" s="38"/>
      <c r="E556" s="38"/>
      <c r="F556" s="38"/>
      <c r="G556" s="56">
        <f>+F554/F555</f>
        <v>1.6641107756753206</v>
      </c>
    </row>
    <row r="557" spans="1:7" ht="17.25" x14ac:dyDescent="0.35">
      <c r="A557" s="42"/>
      <c r="B557" s="38"/>
      <c r="C557" s="38"/>
      <c r="D557" s="38"/>
      <c r="E557" s="38"/>
      <c r="F557" s="38"/>
      <c r="G557" s="57"/>
    </row>
    <row r="558" spans="1:7" ht="15" x14ac:dyDescent="0.2">
      <c r="A558" s="42"/>
      <c r="B558" s="38"/>
      <c r="C558" s="38"/>
      <c r="D558" s="38"/>
      <c r="E558" s="38"/>
      <c r="F558" s="38"/>
      <c r="G558" s="52"/>
    </row>
    <row r="559" spans="1:7" ht="16.5" thickBot="1" x14ac:dyDescent="0.3">
      <c r="A559" s="35" t="s">
        <v>28</v>
      </c>
      <c r="B559" s="36"/>
      <c r="C559" s="38"/>
      <c r="D559" s="38"/>
      <c r="E559" s="38"/>
      <c r="F559" s="38"/>
      <c r="G559" s="59">
        <f>+G556+G550+G551</f>
        <v>2.4741107756753209</v>
      </c>
    </row>
    <row r="560" spans="1:7" ht="14.25" thickTop="1" thickBot="1" x14ac:dyDescent="0.25">
      <c r="A560" s="19"/>
      <c r="B560" s="20"/>
      <c r="C560" s="20"/>
      <c r="D560" s="20"/>
      <c r="E560" s="20"/>
      <c r="F560" s="20"/>
      <c r="G560" s="21"/>
    </row>
    <row r="561" spans="1:7" ht="15" x14ac:dyDescent="0.2">
      <c r="A561" s="282" t="s">
        <v>29</v>
      </c>
      <c r="B561" s="283"/>
      <c r="C561" s="283"/>
      <c r="D561" s="283"/>
      <c r="E561" s="283"/>
      <c r="F561" s="283"/>
      <c r="G561" s="284"/>
    </row>
    <row r="562" spans="1:7" ht="15" x14ac:dyDescent="0.2">
      <c r="A562" s="49"/>
      <c r="B562" s="50"/>
      <c r="C562" s="50"/>
      <c r="D562" s="50"/>
      <c r="E562" s="50"/>
      <c r="F562" s="50"/>
      <c r="G562" s="64"/>
    </row>
    <row r="563" spans="1:7" ht="15.75" x14ac:dyDescent="0.25">
      <c r="A563" s="49"/>
      <c r="B563" s="50"/>
      <c r="C563" s="43"/>
      <c r="D563" s="43"/>
      <c r="E563" s="43" t="s">
        <v>13</v>
      </c>
      <c r="F563" s="43" t="s">
        <v>3</v>
      </c>
      <c r="G563" s="64"/>
    </row>
    <row r="564" spans="1:7" ht="15.75" x14ac:dyDescent="0.25">
      <c r="A564" s="49"/>
      <c r="B564" s="50"/>
      <c r="C564" s="65" t="s">
        <v>5</v>
      </c>
      <c r="D564" s="65"/>
      <c r="E564" s="65" t="s">
        <v>22</v>
      </c>
      <c r="F564" s="65" t="s">
        <v>6</v>
      </c>
      <c r="G564" s="64"/>
    </row>
    <row r="565" spans="1:7" ht="15.75" x14ac:dyDescent="0.25">
      <c r="A565" s="45" t="s">
        <v>60</v>
      </c>
      <c r="B565" s="36"/>
      <c r="C565" s="66"/>
      <c r="D565" s="66"/>
      <c r="E565" s="66"/>
      <c r="F565" s="66"/>
      <c r="G565" s="64"/>
    </row>
    <row r="566" spans="1:7" ht="15.75" x14ac:dyDescent="0.25">
      <c r="A566" s="42" t="s">
        <v>58</v>
      </c>
      <c r="B566" s="50"/>
      <c r="C566" s="67">
        <v>13606</v>
      </c>
      <c r="D566" s="67"/>
      <c r="E566" s="68">
        <v>0.21</v>
      </c>
      <c r="F566" s="67">
        <f>C566*E566</f>
        <v>2857.2599999999998</v>
      </c>
      <c r="G566" s="64"/>
    </row>
    <row r="567" spans="1:7" ht="17.25" x14ac:dyDescent="0.35">
      <c r="A567" s="49" t="s">
        <v>59</v>
      </c>
      <c r="B567" s="50"/>
      <c r="C567" s="51">
        <v>72828</v>
      </c>
      <c r="D567" s="51"/>
      <c r="E567" s="68">
        <v>0.23</v>
      </c>
      <c r="F567" s="51">
        <f>C567*E567</f>
        <v>16750.440000000002</v>
      </c>
      <c r="G567" s="64"/>
    </row>
    <row r="568" spans="1:7" ht="15" x14ac:dyDescent="0.2">
      <c r="A568" s="42" t="s">
        <v>3</v>
      </c>
      <c r="B568" s="50"/>
      <c r="C568" s="67">
        <f>+C567+C566</f>
        <v>86434</v>
      </c>
      <c r="D568" s="67"/>
      <c r="E568" s="50"/>
      <c r="F568" s="67">
        <f>+F567+F566</f>
        <v>19607.7</v>
      </c>
      <c r="G568" s="64"/>
    </row>
    <row r="569" spans="1:7" ht="15" x14ac:dyDescent="0.2">
      <c r="A569" s="42"/>
      <c r="B569" s="50"/>
      <c r="C569" s="50"/>
      <c r="D569" s="50"/>
      <c r="E569" s="50"/>
      <c r="F569" s="50"/>
      <c r="G569" s="64"/>
    </row>
    <row r="570" spans="1:7" ht="15.75" x14ac:dyDescent="0.25">
      <c r="A570" s="35" t="s">
        <v>23</v>
      </c>
      <c r="B570" s="50"/>
      <c r="C570" s="50"/>
      <c r="D570" s="50"/>
      <c r="E570" s="50"/>
      <c r="F570" s="69">
        <v>17896.735447015508</v>
      </c>
      <c r="G570" s="64"/>
    </row>
    <row r="571" spans="1:7" ht="15" x14ac:dyDescent="0.2">
      <c r="A571" s="42"/>
      <c r="B571" s="50"/>
      <c r="C571" s="50"/>
      <c r="D571" s="50"/>
      <c r="E571" s="50"/>
      <c r="F571" s="50"/>
      <c r="G571" s="64"/>
    </row>
    <row r="572" spans="1:7" ht="15" x14ac:dyDescent="0.2">
      <c r="A572" s="42" t="s">
        <v>24</v>
      </c>
      <c r="B572" s="50"/>
      <c r="C572" s="50"/>
      <c r="D572" s="50"/>
      <c r="E572" s="50"/>
      <c r="F572" s="67">
        <v>-1710.9364485785482</v>
      </c>
      <c r="G572" s="64"/>
    </row>
    <row r="573" spans="1:7" ht="15" x14ac:dyDescent="0.2">
      <c r="A573" s="42"/>
      <c r="B573" s="50"/>
      <c r="C573" s="50"/>
      <c r="D573" s="50"/>
      <c r="E573" s="50"/>
      <c r="F573" s="50"/>
      <c r="G573" s="64"/>
    </row>
    <row r="574" spans="1:7" ht="15" x14ac:dyDescent="0.2">
      <c r="A574" s="49" t="s">
        <v>25</v>
      </c>
      <c r="B574" s="50"/>
      <c r="C574" s="50"/>
      <c r="D574" s="50"/>
      <c r="E574" s="50"/>
      <c r="F574" s="67">
        <f>+C568</f>
        <v>86434</v>
      </c>
      <c r="G574" s="64"/>
    </row>
    <row r="575" spans="1:7" ht="15" x14ac:dyDescent="0.2">
      <c r="A575" s="42"/>
      <c r="B575" s="50"/>
      <c r="C575" s="50"/>
      <c r="D575" s="50"/>
      <c r="E575" s="50"/>
      <c r="F575" s="50"/>
      <c r="G575" s="64"/>
    </row>
    <row r="576" spans="1:7" ht="15" x14ac:dyDescent="0.2">
      <c r="A576" s="42" t="s">
        <v>26</v>
      </c>
      <c r="B576" s="50"/>
      <c r="C576" s="50"/>
      <c r="D576" s="50"/>
      <c r="E576" s="50"/>
      <c r="F576" s="50"/>
      <c r="G576" s="70">
        <f>ROUND(F572/F574,2)</f>
        <v>-0.02</v>
      </c>
    </row>
    <row r="577" spans="1:7" ht="15" x14ac:dyDescent="0.2">
      <c r="A577" s="42"/>
      <c r="B577" s="50"/>
      <c r="C577" s="50"/>
      <c r="D577" s="50"/>
      <c r="E577" s="50"/>
      <c r="F577" s="50"/>
      <c r="G577" s="70"/>
    </row>
    <row r="578" spans="1:7" ht="15" x14ac:dyDescent="0.2">
      <c r="A578" s="42"/>
      <c r="B578" s="50"/>
      <c r="C578" s="50"/>
      <c r="D578" s="50"/>
      <c r="E578" s="50"/>
      <c r="F578" s="67"/>
      <c r="G578" s="64"/>
    </row>
    <row r="579" spans="1:7" ht="15.75" x14ac:dyDescent="0.25">
      <c r="A579" s="42"/>
      <c r="B579" s="36"/>
      <c r="C579" s="50"/>
      <c r="D579" s="50"/>
      <c r="E579" s="50"/>
      <c r="F579" s="67"/>
      <c r="G579" s="64"/>
    </row>
    <row r="580" spans="1:7" ht="15.75" x14ac:dyDescent="0.25">
      <c r="A580" s="45" t="s">
        <v>60</v>
      </c>
      <c r="B580" s="50"/>
      <c r="C580" s="50"/>
      <c r="D580" s="50"/>
      <c r="E580" s="50"/>
      <c r="F580" s="54">
        <f>+F570</f>
        <v>17896.735447015508</v>
      </c>
      <c r="G580" s="64"/>
    </row>
    <row r="581" spans="1:7" ht="15" x14ac:dyDescent="0.2">
      <c r="A581" s="42" t="s">
        <v>25</v>
      </c>
      <c r="B581" s="50"/>
      <c r="C581" s="50"/>
      <c r="D581" s="50"/>
      <c r="E581" s="50"/>
      <c r="F581" s="67">
        <v>91907</v>
      </c>
      <c r="G581" s="64"/>
    </row>
    <row r="582" spans="1:7" ht="17.25" x14ac:dyDescent="0.35">
      <c r="A582" s="42" t="s">
        <v>27</v>
      </c>
      <c r="B582" s="50"/>
      <c r="C582" s="50"/>
      <c r="D582" s="50"/>
      <c r="E582" s="50"/>
      <c r="F582" s="50"/>
      <c r="G582" s="57">
        <f>ROUND(+F580/F581,2)</f>
        <v>0.19</v>
      </c>
    </row>
    <row r="583" spans="1:7" ht="17.25" x14ac:dyDescent="0.35">
      <c r="A583" s="42"/>
      <c r="B583" s="50"/>
      <c r="C583" s="50"/>
      <c r="D583" s="50"/>
      <c r="E583" s="50"/>
      <c r="F583" s="50"/>
      <c r="G583" s="57"/>
    </row>
    <row r="584" spans="1:7" ht="16.5" thickBot="1" x14ac:dyDescent="0.3">
      <c r="A584" s="35" t="s">
        <v>30</v>
      </c>
      <c r="B584" s="36"/>
      <c r="C584" s="50"/>
      <c r="D584" s="50"/>
      <c r="E584" s="50"/>
      <c r="F584" s="50"/>
      <c r="G584" s="71">
        <f>+G582+G576</f>
        <v>0.17</v>
      </c>
    </row>
    <row r="585" spans="1:7" ht="16.5" thickTop="1" thickBot="1" x14ac:dyDescent="0.25">
      <c r="A585" s="72"/>
      <c r="B585" s="73"/>
      <c r="C585" s="73"/>
      <c r="D585" s="73"/>
      <c r="E585" s="73"/>
      <c r="F585" s="73"/>
      <c r="G585" s="74"/>
    </row>
  </sheetData>
  <mergeCells count="20">
    <mergeCell ref="A104:G104"/>
    <mergeCell ref="A138:G138"/>
    <mergeCell ref="A167:G167"/>
    <mergeCell ref="A254:G254"/>
    <mergeCell ref="A4:G4"/>
    <mergeCell ref="A37:G37"/>
    <mergeCell ref="A71:G71"/>
    <mergeCell ref="A561:G561"/>
    <mergeCell ref="A427:G427"/>
    <mergeCell ref="A453:G453"/>
    <mergeCell ref="A373:G373"/>
    <mergeCell ref="A399:G399"/>
    <mergeCell ref="A481:G481"/>
    <mergeCell ref="A535:G535"/>
    <mergeCell ref="A507:G507"/>
    <mergeCell ref="A283:G283"/>
    <mergeCell ref="A315:G315"/>
    <mergeCell ref="A199:G199"/>
    <mergeCell ref="A225:G225"/>
    <mergeCell ref="A343:G343"/>
  </mergeCells>
  <pageMargins left="0.45" right="0.45" top="0.5" bottom="0.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37FE7-0910-4C69-87F9-735E1DEDDB4C}">
  <sheetPr>
    <tabColor rgb="FFFF0000"/>
  </sheetPr>
  <dimension ref="A1:J38"/>
  <sheetViews>
    <sheetView workbookViewId="0">
      <selection activeCell="F14" sqref="F14"/>
    </sheetView>
  </sheetViews>
  <sheetFormatPr defaultRowHeight="12.75" x14ac:dyDescent="0.2"/>
  <cols>
    <col min="1" max="1" width="18.28515625" bestFit="1" customWidth="1"/>
    <col min="3" max="3" width="9.7109375" style="155" bestFit="1" customWidth="1"/>
    <col min="4" max="4" width="9.7109375" style="155" customWidth="1"/>
    <col min="5" max="5" width="5.42578125" style="155" customWidth="1"/>
    <col min="6" max="6" width="9.7109375" bestFit="1" customWidth="1"/>
    <col min="7" max="7" width="11.28515625" bestFit="1" customWidth="1"/>
    <col min="9" max="9" width="3.5703125" customWidth="1"/>
  </cols>
  <sheetData>
    <row r="1" spans="1:10" s="1" customFormat="1" ht="23.25" x14ac:dyDescent="0.35">
      <c r="A1" s="22" t="s">
        <v>31</v>
      </c>
      <c r="C1" s="170"/>
      <c r="D1" s="170"/>
      <c r="E1" s="170"/>
    </row>
    <row r="2" spans="1:10" s="1" customFormat="1" x14ac:dyDescent="0.2">
      <c r="A2" s="1" t="s">
        <v>146</v>
      </c>
      <c r="C2" s="170"/>
      <c r="D2" s="170"/>
      <c r="E2" s="170"/>
    </row>
    <row r="3" spans="1:10" s="1" customFormat="1" x14ac:dyDescent="0.2">
      <c r="C3" s="170"/>
      <c r="D3" s="170"/>
      <c r="E3" s="170"/>
    </row>
    <row r="4" spans="1:10" s="1" customFormat="1" x14ac:dyDescent="0.2">
      <c r="C4" s="170"/>
      <c r="D4" s="171" t="s">
        <v>185</v>
      </c>
      <c r="E4" s="171"/>
      <c r="H4" s="4"/>
    </row>
    <row r="5" spans="1:10" s="1" customFormat="1" x14ac:dyDescent="0.2">
      <c r="C5" s="171" t="s">
        <v>3</v>
      </c>
      <c r="D5" s="171" t="s">
        <v>106</v>
      </c>
      <c r="E5" s="171"/>
      <c r="F5" s="4"/>
      <c r="G5" s="4" t="s">
        <v>142</v>
      </c>
      <c r="H5" s="4" t="s">
        <v>4</v>
      </c>
    </row>
    <row r="6" spans="1:10" s="3" customFormat="1" x14ac:dyDescent="0.2">
      <c r="C6" s="172" t="s">
        <v>106</v>
      </c>
      <c r="D6" s="278">
        <v>12</v>
      </c>
      <c r="E6" s="277" t="s">
        <v>186</v>
      </c>
      <c r="F6" s="101" t="s">
        <v>141</v>
      </c>
      <c r="G6" s="101" t="s">
        <v>143</v>
      </c>
      <c r="H6" s="101" t="s">
        <v>144</v>
      </c>
    </row>
    <row r="7" spans="1:10" s="3" customFormat="1" x14ac:dyDescent="0.2">
      <c r="C7" s="172"/>
      <c r="D7" s="172"/>
      <c r="E7" s="277"/>
      <c r="F7" s="101"/>
      <c r="G7" s="101"/>
      <c r="H7" s="101"/>
    </row>
    <row r="8" spans="1:10" s="3" customFormat="1" x14ac:dyDescent="0.2">
      <c r="A8" s="63" t="s">
        <v>5</v>
      </c>
      <c r="C8" s="173">
        <f>+'2020-2022 Budget'!D6</f>
        <v>25579</v>
      </c>
      <c r="D8" s="173">
        <f>+C8</f>
        <v>25579</v>
      </c>
      <c r="E8" s="173"/>
      <c r="F8" s="173">
        <f>+'Res''l &amp; MF Customers'!N12</f>
        <v>26451</v>
      </c>
      <c r="G8" s="155">
        <f>+F8-D8</f>
        <v>872</v>
      </c>
      <c r="H8" s="113">
        <f>+G8/C8</f>
        <v>3.4090464834434495E-2</v>
      </c>
    </row>
    <row r="9" spans="1:10" s="3" customFormat="1" x14ac:dyDescent="0.2">
      <c r="C9" s="172"/>
      <c r="D9" s="172"/>
      <c r="E9" s="172"/>
      <c r="F9" s="101"/>
      <c r="G9" s="101"/>
      <c r="H9" s="113"/>
    </row>
    <row r="10" spans="1:10" x14ac:dyDescent="0.2">
      <c r="A10" t="s">
        <v>140</v>
      </c>
      <c r="C10" s="155">
        <f>+'2020-2022 Budget'!D9</f>
        <v>10415</v>
      </c>
      <c r="D10" s="155">
        <f>+C10/24*D6</f>
        <v>5207.5</v>
      </c>
      <c r="F10" s="155">
        <f>+'Tons &amp; Revenue'!H21</f>
        <v>5098.7116409620739</v>
      </c>
      <c r="G10" s="155">
        <f>+F10-D10</f>
        <v>-108.78835903792606</v>
      </c>
      <c r="H10" s="113">
        <f>+G10/C10</f>
        <v>-1.0445353724236779E-2</v>
      </c>
      <c r="J10" s="6"/>
    </row>
    <row r="11" spans="1:10" x14ac:dyDescent="0.2">
      <c r="F11" s="155"/>
      <c r="G11" s="155"/>
      <c r="H11" s="113"/>
    </row>
    <row r="12" spans="1:10" x14ac:dyDescent="0.2">
      <c r="A12" s="63" t="s">
        <v>147</v>
      </c>
      <c r="C12" s="9">
        <f>+'2020-2022 Budget'!D12</f>
        <v>645000</v>
      </c>
      <c r="D12" s="9">
        <f>+C12/24*D6</f>
        <v>322500</v>
      </c>
      <c r="E12" s="9"/>
      <c r="F12" s="9">
        <f>+'Tons &amp; Revenue'!M123+'Tons &amp; Revenue'!M139</f>
        <v>460248.82183465594</v>
      </c>
      <c r="G12" s="9">
        <f>+F12-D12</f>
        <v>137748.82183465594</v>
      </c>
      <c r="H12" s="113">
        <f>+G12/C12</f>
        <v>0.21356406485993171</v>
      </c>
    </row>
    <row r="13" spans="1:10" x14ac:dyDescent="0.2">
      <c r="F13" s="155"/>
      <c r="G13" s="155"/>
      <c r="H13" s="113"/>
    </row>
    <row r="14" spans="1:10" x14ac:dyDescent="0.2">
      <c r="A14" s="63" t="s">
        <v>145</v>
      </c>
      <c r="C14" s="76">
        <f>+C12/C10</f>
        <v>61.929908785405665</v>
      </c>
      <c r="D14" s="76">
        <f>+D12/D10</f>
        <v>61.929908785405665</v>
      </c>
      <c r="E14" s="76"/>
      <c r="F14" s="76">
        <f t="shared" ref="F14" si="0">+F12/F10</f>
        <v>90.267670392870414</v>
      </c>
      <c r="G14" s="76">
        <f>+F14-C14</f>
        <v>28.337761607464749</v>
      </c>
      <c r="H14" s="113"/>
    </row>
    <row r="15" spans="1:10" x14ac:dyDescent="0.2">
      <c r="F15" s="155"/>
      <c r="G15" s="155"/>
    </row>
    <row r="16" spans="1:10" x14ac:dyDescent="0.2">
      <c r="F16" s="155"/>
      <c r="G16" s="155"/>
    </row>
    <row r="17" spans="6:7" x14ac:dyDescent="0.2">
      <c r="F17" s="155"/>
      <c r="G17" s="155"/>
    </row>
    <row r="18" spans="6:7" x14ac:dyDescent="0.2">
      <c r="F18" s="155"/>
      <c r="G18" s="155"/>
    </row>
    <row r="19" spans="6:7" x14ac:dyDescent="0.2">
      <c r="F19" s="155"/>
      <c r="G19" s="155"/>
    </row>
    <row r="20" spans="6:7" x14ac:dyDescent="0.2">
      <c r="F20" s="155"/>
      <c r="G20" s="155"/>
    </row>
    <row r="21" spans="6:7" x14ac:dyDescent="0.2">
      <c r="F21" s="155"/>
      <c r="G21" s="155"/>
    </row>
    <row r="22" spans="6:7" x14ac:dyDescent="0.2">
      <c r="F22" s="155"/>
      <c r="G22" s="155"/>
    </row>
    <row r="23" spans="6:7" x14ac:dyDescent="0.2">
      <c r="F23" s="155"/>
      <c r="G23" s="155"/>
    </row>
    <row r="24" spans="6:7" x14ac:dyDescent="0.2">
      <c r="F24" s="155"/>
      <c r="G24" s="155"/>
    </row>
    <row r="25" spans="6:7" x14ac:dyDescent="0.2">
      <c r="F25" s="155"/>
      <c r="G25" s="155"/>
    </row>
    <row r="26" spans="6:7" x14ac:dyDescent="0.2">
      <c r="F26" s="155"/>
      <c r="G26" s="155"/>
    </row>
    <row r="27" spans="6:7" x14ac:dyDescent="0.2">
      <c r="F27" s="155"/>
      <c r="G27" s="155"/>
    </row>
    <row r="28" spans="6:7" x14ac:dyDescent="0.2">
      <c r="F28" s="155"/>
      <c r="G28" s="155"/>
    </row>
    <row r="29" spans="6:7" x14ac:dyDescent="0.2">
      <c r="F29" s="155"/>
      <c r="G29" s="155"/>
    </row>
    <row r="30" spans="6:7" x14ac:dyDescent="0.2">
      <c r="F30" s="155"/>
      <c r="G30" s="155"/>
    </row>
    <row r="31" spans="6:7" x14ac:dyDescent="0.2">
      <c r="F31" s="155"/>
      <c r="G31" s="155"/>
    </row>
    <row r="32" spans="6:7" x14ac:dyDescent="0.2">
      <c r="F32" s="155"/>
      <c r="G32" s="155"/>
    </row>
    <row r="33" spans="6:7" x14ac:dyDescent="0.2">
      <c r="F33" s="155"/>
      <c r="G33" s="155"/>
    </row>
    <row r="34" spans="6:7" x14ac:dyDescent="0.2">
      <c r="F34" s="155"/>
      <c r="G34" s="155"/>
    </row>
    <row r="35" spans="6:7" x14ac:dyDescent="0.2">
      <c r="F35" s="155"/>
      <c r="G35" s="155"/>
    </row>
    <row r="36" spans="6:7" x14ac:dyDescent="0.2">
      <c r="F36" s="155"/>
      <c r="G36" s="155"/>
    </row>
    <row r="37" spans="6:7" x14ac:dyDescent="0.2">
      <c r="F37" s="155"/>
      <c r="G37" s="155"/>
    </row>
    <row r="38" spans="6:7" x14ac:dyDescent="0.2">
      <c r="F38" s="155"/>
      <c r="G38" s="15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43"/>
  <sheetViews>
    <sheetView topLeftCell="A112" zoomScaleNormal="100" workbookViewId="0">
      <selection activeCell="C36" sqref="C36"/>
    </sheetView>
  </sheetViews>
  <sheetFormatPr defaultRowHeight="12.75" x14ac:dyDescent="0.2"/>
  <cols>
    <col min="1" max="1" width="26.140625" customWidth="1"/>
    <col min="2" max="2" width="8.28515625" bestFit="1" customWidth="1"/>
    <col min="3" max="3" width="11.42578125" style="2" bestFit="1" customWidth="1"/>
    <col min="4" max="4" width="9.85546875" bestFit="1" customWidth="1"/>
    <col min="5" max="5" width="10.42578125" bestFit="1" customWidth="1"/>
    <col min="6" max="7" width="10.85546875" bestFit="1" customWidth="1"/>
    <col min="8" max="8" width="10.42578125" bestFit="1" customWidth="1"/>
    <col min="9" max="9" width="11.28515625" bestFit="1" customWidth="1"/>
    <col min="10" max="11" width="10.28515625" bestFit="1" customWidth="1"/>
    <col min="12" max="12" width="9.42578125" bestFit="1" customWidth="1"/>
    <col min="13" max="13" width="12.42578125" bestFit="1" customWidth="1"/>
    <col min="14" max="15" width="12.28515625" bestFit="1" customWidth="1"/>
    <col min="16" max="16" width="10.28515625" bestFit="1" customWidth="1"/>
    <col min="19" max="19" width="10.28515625" bestFit="1" customWidth="1"/>
  </cols>
  <sheetData>
    <row r="1" spans="1:14" s="4" customFormat="1" ht="23.25" x14ac:dyDescent="0.35">
      <c r="A1" s="22" t="s">
        <v>31</v>
      </c>
      <c r="C1" s="27"/>
    </row>
    <row r="2" spans="1:14" s="4" customFormat="1" x14ac:dyDescent="0.2">
      <c r="A2" s="1" t="s">
        <v>64</v>
      </c>
      <c r="C2" s="27"/>
    </row>
    <row r="3" spans="1:14" s="4" customFormat="1" x14ac:dyDescent="0.2">
      <c r="C3" s="27"/>
    </row>
    <row r="4" spans="1:14" s="4" customFormat="1" x14ac:dyDescent="0.2">
      <c r="C4" s="27"/>
    </row>
    <row r="5" spans="1:14" s="4" customFormat="1" x14ac:dyDescent="0.2">
      <c r="C5" s="27" t="s">
        <v>63</v>
      </c>
    </row>
    <row r="6" spans="1:14" s="4" customFormat="1" x14ac:dyDescent="0.2">
      <c r="C6" s="27" t="s">
        <v>34</v>
      </c>
      <c r="G6" s="4" t="s">
        <v>14</v>
      </c>
      <c r="H6" s="4" t="s">
        <v>16</v>
      </c>
      <c r="J6" s="4" t="s">
        <v>131</v>
      </c>
    </row>
    <row r="7" spans="1:14" s="4" customFormat="1" x14ac:dyDescent="0.2">
      <c r="C7" s="27" t="s">
        <v>33</v>
      </c>
      <c r="D7" s="4" t="s">
        <v>14</v>
      </c>
      <c r="E7" s="4" t="s">
        <v>47</v>
      </c>
      <c r="F7" s="4" t="s">
        <v>4</v>
      </c>
      <c r="G7" s="4" t="s">
        <v>15</v>
      </c>
      <c r="H7" s="27" t="s">
        <v>34</v>
      </c>
      <c r="I7" s="4" t="s">
        <v>33</v>
      </c>
      <c r="J7" s="4" t="s">
        <v>132</v>
      </c>
    </row>
    <row r="8" spans="1:14" s="5" customFormat="1" x14ac:dyDescent="0.2">
      <c r="A8" s="5" t="s">
        <v>62</v>
      </c>
      <c r="C8" s="16" t="s">
        <v>12</v>
      </c>
      <c r="D8" s="4" t="s">
        <v>46</v>
      </c>
      <c r="E8" s="5" t="s">
        <v>34</v>
      </c>
      <c r="F8" s="5" t="s">
        <v>15</v>
      </c>
      <c r="G8" s="101" t="s">
        <v>12</v>
      </c>
      <c r="H8" s="5" t="s">
        <v>12</v>
      </c>
      <c r="I8" s="5" t="s">
        <v>5</v>
      </c>
      <c r="J8" s="5" t="s">
        <v>62</v>
      </c>
      <c r="K8" s="101"/>
      <c r="L8" s="4"/>
      <c r="M8" s="4"/>
      <c r="N8" s="4"/>
    </row>
    <row r="9" spans="1:14" x14ac:dyDescent="0.2">
      <c r="A9" t="s">
        <v>164</v>
      </c>
      <c r="C9" s="2">
        <f>+Composition!B39</f>
        <v>1145.6200000000001</v>
      </c>
      <c r="D9" s="6">
        <f>-Composition!B37</f>
        <v>-191.45</v>
      </c>
      <c r="E9" s="6">
        <f t="shared" ref="E9:E20" si="0">+D9+C9</f>
        <v>954.17000000000007</v>
      </c>
      <c r="F9" s="113">
        <f>+'Res''l &amp; MF Customers'!C18</f>
        <v>0.5480233926344813</v>
      </c>
      <c r="G9" s="6">
        <f t="shared" ref="G9:G20" si="1">-F9*E9</f>
        <v>-522.90748055004303</v>
      </c>
      <c r="H9" s="6">
        <f t="shared" ref="H9:H20" si="2">+G9+E9</f>
        <v>431.26251944995704</v>
      </c>
      <c r="I9" s="155">
        <f>+'Res''l &amp; MF Customers'!C12</f>
        <v>25736</v>
      </c>
      <c r="J9" s="6">
        <f>+H9*2000/I9</f>
        <v>33.51433940394444</v>
      </c>
      <c r="K9" s="4"/>
      <c r="L9" s="4"/>
      <c r="M9" s="4"/>
      <c r="N9" s="4"/>
    </row>
    <row r="10" spans="1:14" x14ac:dyDescent="0.2">
      <c r="A10" t="s">
        <v>165</v>
      </c>
      <c r="C10" s="2">
        <f>+Composition!D39</f>
        <v>1174.2200000000003</v>
      </c>
      <c r="D10" s="6">
        <f>-Composition!D37</f>
        <v>-188.35000000000002</v>
      </c>
      <c r="E10" s="6">
        <f t="shared" si="0"/>
        <v>985.87000000000023</v>
      </c>
      <c r="F10" s="146">
        <f>+'Res''l &amp; MF Customers'!D18</f>
        <v>0.54843449361553265</v>
      </c>
      <c r="G10" s="6">
        <f t="shared" si="1"/>
        <v>-540.68511422074528</v>
      </c>
      <c r="H10" s="6">
        <f t="shared" si="2"/>
        <v>445.18488577925496</v>
      </c>
      <c r="I10" s="155">
        <f>+'Res''l &amp; MF Customers'!D$12</f>
        <v>25816</v>
      </c>
      <c r="J10" s="6">
        <f t="shared" ref="J10:J20" si="3">+H10*2000/I10</f>
        <v>34.489067692845907</v>
      </c>
      <c r="K10" s="4"/>
      <c r="L10" s="4"/>
      <c r="M10" s="4"/>
      <c r="N10" s="4"/>
    </row>
    <row r="11" spans="1:14" x14ac:dyDescent="0.2">
      <c r="A11" t="s">
        <v>166</v>
      </c>
      <c r="C11" s="2">
        <f>+Composition!F$39</f>
        <v>1030.97</v>
      </c>
      <c r="D11" s="6">
        <f>-Composition!F37</f>
        <v>-179.9</v>
      </c>
      <c r="E11" s="6">
        <f t="shared" si="0"/>
        <v>851.07</v>
      </c>
      <c r="F11" s="146">
        <f>+'Res''l &amp; MF Customers'!E$18</f>
        <v>0.54816221962738987</v>
      </c>
      <c r="G11" s="6">
        <f t="shared" si="1"/>
        <v>-466.5244202582827</v>
      </c>
      <c r="H11" s="6">
        <f t="shared" si="2"/>
        <v>384.54557974171735</v>
      </c>
      <c r="I11" s="155">
        <f>+'Res''l &amp; MF Customers'!E$12</f>
        <v>25926</v>
      </c>
      <c r="J11" s="6">
        <f t="shared" si="3"/>
        <v>29.664859966189724</v>
      </c>
      <c r="K11" s="4"/>
      <c r="L11" s="4"/>
      <c r="M11" s="4"/>
      <c r="N11" s="4"/>
    </row>
    <row r="12" spans="1:14" x14ac:dyDescent="0.2">
      <c r="A12" t="s">
        <v>167</v>
      </c>
      <c r="C12" s="2">
        <f>+Composition!H$39</f>
        <v>1091.17</v>
      </c>
      <c r="D12" s="6">
        <f>-Composition!H37</f>
        <v>-168.24</v>
      </c>
      <c r="E12" s="6">
        <f t="shared" si="0"/>
        <v>922.93000000000006</v>
      </c>
      <c r="F12" s="146">
        <f>+'Res''l &amp; MF Customers'!F$18</f>
        <v>0.54695871415064601</v>
      </c>
      <c r="G12" s="6">
        <f t="shared" si="1"/>
        <v>-504.80460605105577</v>
      </c>
      <c r="H12" s="6">
        <f t="shared" si="2"/>
        <v>418.12539394894429</v>
      </c>
      <c r="I12" s="155">
        <f>+'Res''l &amp; MF Customers'!F$12</f>
        <v>25875</v>
      </c>
      <c r="J12" s="6">
        <f t="shared" si="3"/>
        <v>32.318871029870088</v>
      </c>
      <c r="K12" s="4"/>
      <c r="L12" s="4"/>
      <c r="M12" s="4"/>
      <c r="N12" s="4"/>
    </row>
    <row r="13" spans="1:14" x14ac:dyDescent="0.2">
      <c r="A13" t="s">
        <v>168</v>
      </c>
      <c r="C13" s="2">
        <f>+Composition!J39</f>
        <v>1089.3600000000001</v>
      </c>
      <c r="D13" s="6">
        <f>-Composition!J37</f>
        <v>-180.73</v>
      </c>
      <c r="E13" s="6">
        <f t="shared" si="0"/>
        <v>908.63000000000011</v>
      </c>
      <c r="F13" s="146">
        <f>+'Res''l &amp; MF Customers'!G$18</f>
        <v>0.54614170466502987</v>
      </c>
      <c r="G13" s="6">
        <f t="shared" si="1"/>
        <v>-496.24073710978615</v>
      </c>
      <c r="H13" s="6">
        <f t="shared" si="2"/>
        <v>412.38926289021396</v>
      </c>
      <c r="I13" s="155">
        <f>+'Res''l &amp; MF Customers'!G$12</f>
        <v>25879</v>
      </c>
      <c r="J13" s="6">
        <f t="shared" si="3"/>
        <v>31.870571729217819</v>
      </c>
      <c r="K13" s="4"/>
      <c r="L13" s="4"/>
      <c r="M13" s="4"/>
      <c r="N13" s="4"/>
    </row>
    <row r="14" spans="1:14" x14ac:dyDescent="0.2">
      <c r="A14" t="s">
        <v>169</v>
      </c>
      <c r="C14" s="2">
        <f>+Composition!L39</f>
        <v>1135.4000000000001</v>
      </c>
      <c r="D14" s="6">
        <f>-Composition!L37</f>
        <v>-166.1</v>
      </c>
      <c r="E14" s="6">
        <f t="shared" si="0"/>
        <v>969.30000000000007</v>
      </c>
      <c r="F14" s="146">
        <f>+'Res''l &amp; MF Customers'!H$18</f>
        <v>0.54684659488183474</v>
      </c>
      <c r="G14" s="6">
        <f t="shared" si="1"/>
        <v>-530.05840441896248</v>
      </c>
      <c r="H14" s="6">
        <f t="shared" si="2"/>
        <v>439.24159558103759</v>
      </c>
      <c r="I14" s="155">
        <f>+'Res''l &amp; MF Customers'!H$12</f>
        <v>25924</v>
      </c>
      <c r="J14" s="6">
        <f t="shared" si="3"/>
        <v>33.886868969374909</v>
      </c>
      <c r="K14" s="4"/>
      <c r="L14" s="4"/>
      <c r="M14" s="4"/>
      <c r="N14" s="4"/>
    </row>
    <row r="15" spans="1:14" x14ac:dyDescent="0.2">
      <c r="A15" t="s">
        <v>7</v>
      </c>
      <c r="C15" s="2">
        <f>+Composition!N39</f>
        <v>1245.3099999999997</v>
      </c>
      <c r="D15" s="6">
        <f>-Composition!N37</f>
        <v>-185.06</v>
      </c>
      <c r="E15" s="6">
        <f t="shared" si="0"/>
        <v>1060.2499999999998</v>
      </c>
      <c r="F15" s="146">
        <f>+'Res''l &amp; MF Customers'!I$18</f>
        <v>0.54728998708686705</v>
      </c>
      <c r="G15" s="6">
        <f t="shared" si="1"/>
        <v>-580.26420880885064</v>
      </c>
      <c r="H15" s="6">
        <f t="shared" si="2"/>
        <v>479.98579119114913</v>
      </c>
      <c r="I15" s="155">
        <f>+'Res''l &amp; MF Customers'!I$12</f>
        <v>25943</v>
      </c>
      <c r="J15" s="6">
        <f t="shared" si="3"/>
        <v>37.00310613199315</v>
      </c>
      <c r="K15" s="4"/>
      <c r="L15" s="4"/>
      <c r="M15" s="4"/>
      <c r="N15" s="4"/>
    </row>
    <row r="16" spans="1:14" x14ac:dyDescent="0.2">
      <c r="A16" t="s">
        <v>32</v>
      </c>
      <c r="C16" s="2">
        <f>+Composition!P39</f>
        <v>1239.31</v>
      </c>
      <c r="D16" s="6">
        <f>-Composition!P37</f>
        <v>-209.09</v>
      </c>
      <c r="E16" s="6">
        <f t="shared" si="0"/>
        <v>1030.22</v>
      </c>
      <c r="F16" s="146">
        <f>+'Res''l &amp; MF Customers'!J$18</f>
        <v>0.54679914388626916</v>
      </c>
      <c r="G16" s="6">
        <f t="shared" si="1"/>
        <v>-563.3234140145122</v>
      </c>
      <c r="H16" s="6">
        <f t="shared" si="2"/>
        <v>466.89658598548783</v>
      </c>
      <c r="I16" s="155">
        <f>+'Res''l &amp; MF Customers'!J$12</f>
        <v>26045</v>
      </c>
      <c r="J16" s="6">
        <f t="shared" si="3"/>
        <v>35.853068610903271</v>
      </c>
      <c r="K16" s="4"/>
      <c r="L16" s="4"/>
      <c r="M16" s="4"/>
      <c r="N16" s="4"/>
    </row>
    <row r="17" spans="1:28" x14ac:dyDescent="0.2">
      <c r="A17" t="s">
        <v>10</v>
      </c>
      <c r="C17" s="2">
        <f>+Composition!R39</f>
        <v>977.97000000000014</v>
      </c>
      <c r="D17" s="6">
        <f>-Composition!R37</f>
        <v>-150.99</v>
      </c>
      <c r="E17" s="6">
        <f t="shared" si="0"/>
        <v>826.98000000000013</v>
      </c>
      <c r="F17" s="146">
        <f>+'Res''l &amp; MF Customers'!K$18</f>
        <v>0.5475880278631855</v>
      </c>
      <c r="G17" s="6">
        <f t="shared" si="1"/>
        <v>-452.84434728229724</v>
      </c>
      <c r="H17" s="6">
        <f t="shared" si="2"/>
        <v>374.1356527177029</v>
      </c>
      <c r="I17" s="155">
        <f>+'Res''l &amp; MF Customers'!K$12</f>
        <v>26044</v>
      </c>
      <c r="J17" s="6">
        <f t="shared" si="3"/>
        <v>28.731043827192668</v>
      </c>
      <c r="K17" s="4"/>
      <c r="L17" s="4"/>
      <c r="M17" s="4"/>
      <c r="N17" s="4"/>
    </row>
    <row r="18" spans="1:28" x14ac:dyDescent="0.2">
      <c r="A18" t="s">
        <v>8</v>
      </c>
      <c r="C18" s="2">
        <f>+Composition!T39</f>
        <v>1124.67</v>
      </c>
      <c r="D18" s="6">
        <f>-Composition!T37</f>
        <v>-157.12</v>
      </c>
      <c r="E18" s="6">
        <f t="shared" si="0"/>
        <v>967.55000000000007</v>
      </c>
      <c r="F18" s="146">
        <f>+'Res''l &amp; MF Customers'!L$18</f>
        <v>0.54802670263913389</v>
      </c>
      <c r="G18" s="6">
        <f t="shared" si="1"/>
        <v>-530.24323613849401</v>
      </c>
      <c r="H18" s="6">
        <f t="shared" si="2"/>
        <v>437.30676386150606</v>
      </c>
      <c r="I18" s="155">
        <f>+'Res''l &amp; MF Customers'!L$12</f>
        <v>26134</v>
      </c>
      <c r="J18" s="6">
        <f t="shared" si="3"/>
        <v>33.466500639894853</v>
      </c>
      <c r="K18" s="4"/>
      <c r="L18" s="4"/>
      <c r="M18" s="4"/>
      <c r="N18" s="4"/>
    </row>
    <row r="19" spans="1:28" x14ac:dyDescent="0.2">
      <c r="A19" t="s">
        <v>9</v>
      </c>
      <c r="C19" s="2">
        <f>+Composition!V39</f>
        <v>1109.22</v>
      </c>
      <c r="D19" s="6">
        <f>-Composition!V37</f>
        <v>-171.94</v>
      </c>
      <c r="E19" s="6">
        <f t="shared" si="0"/>
        <v>937.28</v>
      </c>
      <c r="F19" s="146">
        <f>+'Res''l &amp; MF Customers'!M$18</f>
        <v>0.5471792139948104</v>
      </c>
      <c r="G19" s="6">
        <f t="shared" si="1"/>
        <v>-512.8601336930559</v>
      </c>
      <c r="H19" s="6">
        <f t="shared" si="2"/>
        <v>424.41986630694407</v>
      </c>
      <c r="I19" s="155">
        <f>+'Res''l &amp; MF Customers'!M$12</f>
        <v>26351</v>
      </c>
      <c r="J19" s="6">
        <f t="shared" si="3"/>
        <v>32.212809100750945</v>
      </c>
      <c r="K19" s="4"/>
      <c r="L19" s="4"/>
      <c r="M19" s="4"/>
      <c r="N19" s="4"/>
    </row>
    <row r="20" spans="1:28" ht="15" x14ac:dyDescent="0.35">
      <c r="A20" t="s">
        <v>2</v>
      </c>
      <c r="C20" s="12">
        <f>+Composition!X39</f>
        <v>1012.6499999999999</v>
      </c>
      <c r="D20" s="7">
        <f>-Composition!X37</f>
        <v>-161.30000000000001</v>
      </c>
      <c r="E20" s="7">
        <f t="shared" si="0"/>
        <v>851.34999999999991</v>
      </c>
      <c r="F20" s="149">
        <f>+'Res''l &amp; MF Customers'!N$18</f>
        <v>0.5475212973416812</v>
      </c>
      <c r="G20" s="7">
        <f t="shared" si="1"/>
        <v>-466.13225649184022</v>
      </c>
      <c r="H20" s="7">
        <f t="shared" si="2"/>
        <v>385.21774350815969</v>
      </c>
      <c r="I20" s="156">
        <f>+'Res''l &amp; MF Customers'!N$12</f>
        <v>26451</v>
      </c>
      <c r="J20" s="7">
        <f t="shared" si="3"/>
        <v>29.126894522563209</v>
      </c>
      <c r="K20" s="4"/>
      <c r="L20" s="4"/>
      <c r="M20" s="4"/>
      <c r="N20" s="4"/>
    </row>
    <row r="21" spans="1:28" ht="15" x14ac:dyDescent="0.35">
      <c r="C21" s="15">
        <f>SUM(C9:C20)</f>
        <v>13375.869999999997</v>
      </c>
      <c r="D21" s="15">
        <f>SUM(D9:D20)</f>
        <v>-2110.27</v>
      </c>
      <c r="E21" s="15">
        <f>SUM(E9:E20)</f>
        <v>11265.600000000002</v>
      </c>
      <c r="F21" s="100">
        <f>-G21/E21</f>
        <v>0.54740878062756759</v>
      </c>
      <c r="G21" s="15">
        <f>SUM(G9:G20)</f>
        <v>-6166.8883590379264</v>
      </c>
      <c r="H21" s="15">
        <f>SUM(H9:H20)</f>
        <v>5098.7116409620739</v>
      </c>
      <c r="I21" s="157">
        <f>SUM(I9:I20)</f>
        <v>312124</v>
      </c>
      <c r="J21" s="8">
        <f>+H21*2000/I21</f>
        <v>32.671064326755221</v>
      </c>
      <c r="K21" s="4"/>
      <c r="L21" s="4"/>
      <c r="M21" s="4"/>
      <c r="N21" s="4"/>
    </row>
    <row r="22" spans="1:28" x14ac:dyDescent="0.2">
      <c r="I22" s="6"/>
    </row>
    <row r="23" spans="1:28" x14ac:dyDescent="0.2">
      <c r="C23" s="288" t="s">
        <v>35</v>
      </c>
      <c r="D23" s="288"/>
      <c r="E23" s="288"/>
      <c r="F23" s="288"/>
      <c r="G23" s="288"/>
      <c r="H23" s="288"/>
      <c r="I23" s="288"/>
      <c r="J23" s="288"/>
      <c r="K23" s="288"/>
      <c r="L23" s="288"/>
    </row>
    <row r="24" spans="1:28" x14ac:dyDescent="0.2"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8" x14ac:dyDescent="0.2">
      <c r="C25" s="24" t="s">
        <v>36</v>
      </c>
      <c r="D25" s="24" t="s">
        <v>37</v>
      </c>
      <c r="E25" s="24"/>
      <c r="F25" s="24" t="s">
        <v>38</v>
      </c>
      <c r="G25" s="24" t="s">
        <v>39</v>
      </c>
      <c r="H25" s="24"/>
      <c r="I25" s="24"/>
      <c r="J25" s="24" t="s">
        <v>0</v>
      </c>
      <c r="K25" s="24" t="s">
        <v>0</v>
      </c>
      <c r="L25" s="24" t="s">
        <v>40</v>
      </c>
      <c r="N25" s="99"/>
    </row>
    <row r="26" spans="1:28" x14ac:dyDescent="0.2">
      <c r="C26" s="25" t="s">
        <v>41</v>
      </c>
      <c r="D26" s="25" t="s">
        <v>42</v>
      </c>
      <c r="E26" s="25" t="s">
        <v>19</v>
      </c>
      <c r="F26" s="25" t="s">
        <v>17</v>
      </c>
      <c r="G26" s="25" t="s">
        <v>18</v>
      </c>
      <c r="H26" s="25" t="s">
        <v>11</v>
      </c>
      <c r="I26" s="25" t="s">
        <v>1</v>
      </c>
      <c r="J26" s="25" t="s">
        <v>43</v>
      </c>
      <c r="K26" s="25" t="s">
        <v>44</v>
      </c>
      <c r="L26" s="25" t="s">
        <v>45</v>
      </c>
      <c r="M26" s="30"/>
      <c r="N26" s="30"/>
    </row>
    <row r="27" spans="1:28" x14ac:dyDescent="0.2">
      <c r="A27" s="3" t="s">
        <v>48</v>
      </c>
      <c r="B27" s="3"/>
      <c r="C27"/>
    </row>
    <row r="28" spans="1:28" x14ac:dyDescent="0.2">
      <c r="A28" t="s">
        <v>164</v>
      </c>
      <c r="C28" s="26">
        <f>+Composition!$C$25</f>
        <v>0.23436075332487921</v>
      </c>
      <c r="D28" s="26">
        <f>+Composition!$C$26</f>
        <v>0</v>
      </c>
      <c r="E28" s="26">
        <f>+Composition!$C$27</f>
        <v>0.48818344739407021</v>
      </c>
      <c r="F28" s="26">
        <f>+Composition!$C$28</f>
        <v>2.1369357661632622E-2</v>
      </c>
      <c r="G28" s="26">
        <f>+Composition!$C$30</f>
        <v>2.4733538048775375E-2</v>
      </c>
      <c r="H28" s="26">
        <f>+Composition!$C$29</f>
        <v>0.16869111374283408</v>
      </c>
      <c r="I28" s="26">
        <f>+Composition!$C$31</f>
        <v>4.5505517884653679E-2</v>
      </c>
      <c r="J28" s="26">
        <f>+Composition!$C$32</f>
        <v>9.599966462999255E-3</v>
      </c>
      <c r="K28" s="26">
        <f>+Composition!$C$33</f>
        <v>7.4410220400976754E-3</v>
      </c>
      <c r="L28" s="26">
        <f>+Composition!$C$34</f>
        <v>1.1528344005785132E-4</v>
      </c>
      <c r="M28" s="26">
        <f t="shared" ref="M28" si="4">SUM(C28:L28)</f>
        <v>0.99999999999999989</v>
      </c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x14ac:dyDescent="0.2">
      <c r="A29" t="s">
        <v>165</v>
      </c>
      <c r="C29" s="26">
        <f>+Composition!$E$25</f>
        <v>0.20866848570298313</v>
      </c>
      <c r="D29" s="26">
        <f>+Composition!$E$26</f>
        <v>0</v>
      </c>
      <c r="E29" s="26">
        <f>+Composition!$E$27</f>
        <v>0.48678831894671709</v>
      </c>
      <c r="F29" s="26">
        <f>+Composition!$E$28</f>
        <v>2.2031302301520481E-2</v>
      </c>
      <c r="G29" s="26">
        <f>+Composition!$E$30</f>
        <v>2.4293263817744729E-2</v>
      </c>
      <c r="H29" s="26">
        <f>+Composition!$E$29</f>
        <v>0.18877742501546857</v>
      </c>
      <c r="I29" s="26">
        <f>+Composition!$E$31</f>
        <v>5.1812105044275608E-2</v>
      </c>
      <c r="J29" s="26">
        <f>+Composition!$E$32</f>
        <v>1.0123038534492377E-2</v>
      </c>
      <c r="K29" s="26">
        <f>+Composition!$E$33</f>
        <v>7.3843407345796095E-3</v>
      </c>
      <c r="L29" s="26">
        <f>+Composition!$E$34</f>
        <v>1.217199022183452E-4</v>
      </c>
      <c r="M29" s="26">
        <f t="shared" ref="M29:M34" si="5">SUM(C29:L29)</f>
        <v>1</v>
      </c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x14ac:dyDescent="0.2">
      <c r="A30" t="s">
        <v>166</v>
      </c>
      <c r="C30" s="26">
        <f>+Composition!$G$25</f>
        <v>0.21489419201710785</v>
      </c>
      <c r="D30" s="26">
        <f>+Composition!$G$26</f>
        <v>0</v>
      </c>
      <c r="E30" s="26">
        <f>+Composition!$G$27</f>
        <v>0.46844560376937266</v>
      </c>
      <c r="F30" s="26">
        <f>+Composition!$G$28</f>
        <v>2.1561093682070806E-2</v>
      </c>
      <c r="G30" s="26">
        <f>+Composition!$G$30</f>
        <v>2.5685313781475084E-2</v>
      </c>
      <c r="H30" s="26">
        <f>+Composition!$G$29</f>
        <v>0.19672882371602807</v>
      </c>
      <c r="I30" s="26">
        <f>+Composition!$G$31</f>
        <v>5.4872102177259213E-2</v>
      </c>
      <c r="J30" s="26">
        <f>+Composition!$G$32</f>
        <v>1.0539673587366492E-2</v>
      </c>
      <c r="K30" s="26">
        <f>+Composition!$G$33</f>
        <v>7.2731972693197977E-3</v>
      </c>
      <c r="L30" s="26">
        <f>+Composition!$G$34</f>
        <v>0</v>
      </c>
      <c r="M30" s="26">
        <f t="shared" si="5"/>
        <v>1</v>
      </c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x14ac:dyDescent="0.2">
      <c r="A31" t="s">
        <v>167</v>
      </c>
      <c r="C31" s="26">
        <f>+Composition!$I$25</f>
        <v>0.22652855579513073</v>
      </c>
      <c r="D31" s="26">
        <f>+Composition!$I$26</f>
        <v>0</v>
      </c>
      <c r="E31" s="26">
        <f>+Composition!$I$27</f>
        <v>0.47575655791880206</v>
      </c>
      <c r="F31" s="26">
        <f>+Composition!$I$28</f>
        <v>2.1995167564170633E-2</v>
      </c>
      <c r="G31" s="26">
        <f>+Composition!$I$30</f>
        <v>2.6838438451453523E-2</v>
      </c>
      <c r="H31" s="26">
        <f>+Composition!$I$29</f>
        <v>0.18065292058986054</v>
      </c>
      <c r="I31" s="26">
        <f>+Composition!$I$31</f>
        <v>5.0133812965230305E-2</v>
      </c>
      <c r="J31" s="26">
        <f>+Composition!$I$32</f>
        <v>1.1355140693227007E-2</v>
      </c>
      <c r="K31" s="26">
        <f>+Composition!$I$33</f>
        <v>6.7394060221251887E-3</v>
      </c>
      <c r="L31" s="26">
        <f>+Composition!$I$34</f>
        <v>0</v>
      </c>
      <c r="M31" s="26">
        <f t="shared" si="5"/>
        <v>0.99999999999999989</v>
      </c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x14ac:dyDescent="0.2">
      <c r="A32" t="s">
        <v>168</v>
      </c>
      <c r="C32" s="26">
        <f>+Composition!$K$25</f>
        <v>0.23330728679440474</v>
      </c>
      <c r="D32" s="26">
        <f>+Composition!$K$26</f>
        <v>0</v>
      </c>
      <c r="E32" s="26">
        <f>+Composition!$K$27</f>
        <v>0.49466779657286242</v>
      </c>
      <c r="F32" s="26">
        <f>+Composition!$K$28</f>
        <v>1.9777026952664999E-2</v>
      </c>
      <c r="G32" s="26">
        <f>+Composition!$K$30</f>
        <v>2.4454398379978644E-2</v>
      </c>
      <c r="H32" s="26">
        <f>+Composition!$K$29</f>
        <v>0.15873347787328174</v>
      </c>
      <c r="I32" s="26">
        <f>+Composition!$K$31</f>
        <v>4.9393042272432117E-2</v>
      </c>
      <c r="J32" s="26">
        <f>+Composition!$K$32</f>
        <v>1.1753959257343471E-2</v>
      </c>
      <c r="K32" s="26">
        <f>+Composition!$K$33</f>
        <v>7.9130118970317954E-3</v>
      </c>
      <c r="L32" s="26">
        <f>+Composition!$K$34</f>
        <v>0</v>
      </c>
      <c r="M32" s="26">
        <f t="shared" si="5"/>
        <v>0.99999999999999989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x14ac:dyDescent="0.2">
      <c r="A33" t="s">
        <v>169</v>
      </c>
      <c r="C33" s="26">
        <f>+Composition!$M$25</f>
        <v>0.25442071598060456</v>
      </c>
      <c r="D33" s="26">
        <f>+Composition!$M$26</f>
        <v>0</v>
      </c>
      <c r="E33" s="26">
        <f>+Composition!$M$27</f>
        <v>0.46397400185701021</v>
      </c>
      <c r="F33" s="26">
        <f>+Composition!$M$28</f>
        <v>1.909625502940266E-2</v>
      </c>
      <c r="G33" s="26">
        <f>+Composition!$M$30</f>
        <v>2.7875786650159908E-2</v>
      </c>
      <c r="H33" s="26">
        <f>+Composition!$M$29</f>
        <v>0.17922211905498811</v>
      </c>
      <c r="I33" s="26">
        <f>+Composition!$M$31</f>
        <v>3.7717940782007631E-2</v>
      </c>
      <c r="J33" s="26">
        <f>+Composition!$M$32</f>
        <v>1.0543691323635614E-2</v>
      </c>
      <c r="K33" s="26">
        <f>+Composition!$M$33</f>
        <v>7.1494893221912712E-3</v>
      </c>
      <c r="L33" s="26">
        <f>+Composition!$M$34</f>
        <v>0</v>
      </c>
      <c r="M33" s="26">
        <f t="shared" si="5"/>
        <v>1</v>
      </c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x14ac:dyDescent="0.2">
      <c r="A34" t="s">
        <v>7</v>
      </c>
      <c r="C34" s="26">
        <f>+Composition!$O$25</f>
        <v>0.24735675548219763</v>
      </c>
      <c r="D34" s="26">
        <f>+Composition!$O$26</f>
        <v>0</v>
      </c>
      <c r="E34" s="26">
        <f>+Composition!$O$27</f>
        <v>0.47110587125677916</v>
      </c>
      <c r="F34" s="26">
        <f>+Composition!$O$28</f>
        <v>2.0202782362650325E-2</v>
      </c>
      <c r="G34" s="26">
        <f>+Composition!$O$30</f>
        <v>2.6540910162697485E-2</v>
      </c>
      <c r="H34" s="26">
        <f>+Composition!$O$29</f>
        <v>0.18452251827399202</v>
      </c>
      <c r="I34" s="26">
        <f>+Composition!$O$31</f>
        <v>3.4180617778825757E-2</v>
      </c>
      <c r="J34" s="26">
        <f>+Composition!$O$32</f>
        <v>9.1582174015562394E-3</v>
      </c>
      <c r="K34" s="26">
        <f>+Composition!$O$33</f>
        <v>6.9323272813015813E-3</v>
      </c>
      <c r="L34" s="26">
        <f>+Composition!$O$34</f>
        <v>0</v>
      </c>
      <c r="M34" s="26">
        <f t="shared" si="5"/>
        <v>1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x14ac:dyDescent="0.2">
      <c r="A35" t="s">
        <v>32</v>
      </c>
      <c r="C35" s="26">
        <f>+Composition!$Q$25</f>
        <v>0.20175302362602163</v>
      </c>
      <c r="D35" s="26">
        <f>+Composition!$Q$26</f>
        <v>0</v>
      </c>
      <c r="E35" s="26">
        <f>+Composition!$Q$27</f>
        <v>0.54282580419716175</v>
      </c>
      <c r="F35" s="26">
        <f>+Composition!$Q$28</f>
        <v>1.8170876123546426E-2</v>
      </c>
      <c r="G35" s="26">
        <f>+Composition!$Q$30</f>
        <v>2.538292791830871E-2</v>
      </c>
      <c r="H35" s="26">
        <f>+Composition!$Q$29</f>
        <v>0.16060647240395257</v>
      </c>
      <c r="I35" s="26">
        <f>+Composition!$Q$31</f>
        <v>3.6574712197394728E-2</v>
      </c>
      <c r="J35" s="26">
        <f>+Composition!$Q$32</f>
        <v>9.0271980741977453E-3</v>
      </c>
      <c r="K35" s="26">
        <f>+Composition!$Q$33</f>
        <v>5.6589854594164355E-3</v>
      </c>
      <c r="L35" s="26">
        <f>+Composition!$Q$34</f>
        <v>0</v>
      </c>
      <c r="M35" s="26">
        <f t="shared" ref="M35" si="6">SUM(C35:L35)</f>
        <v>1</v>
      </c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x14ac:dyDescent="0.2">
      <c r="A36" t="s">
        <v>10</v>
      </c>
      <c r="C36" s="26">
        <f>+Composition!$S$25</f>
        <v>0.22289535418027037</v>
      </c>
      <c r="D36" s="26">
        <f>+Composition!$S$26</f>
        <v>0</v>
      </c>
      <c r="E36" s="26">
        <f>+Composition!$S$27</f>
        <v>0.48113618225350058</v>
      </c>
      <c r="F36" s="26">
        <f>+Composition!$S$28</f>
        <v>1.786016590485864E-2</v>
      </c>
      <c r="G36" s="26">
        <f>+Composition!$S$30</f>
        <v>2.4946189750659018E-2</v>
      </c>
      <c r="H36" s="26">
        <f>+Composition!$S$29</f>
        <v>0.19877143340830489</v>
      </c>
      <c r="I36" s="26">
        <f>+Composition!$S$31</f>
        <v>3.6542600788410838E-2</v>
      </c>
      <c r="J36" s="26">
        <f>+Composition!$S$32</f>
        <v>6.7353503107693046E-3</v>
      </c>
      <c r="K36" s="26">
        <f>+Composition!$S$33</f>
        <v>1.1112723403226193E-2</v>
      </c>
      <c r="L36" s="26">
        <f>+Composition!$S$34</f>
        <v>0</v>
      </c>
      <c r="M36" s="26">
        <f t="shared" ref="M36" si="7">SUM(C36:L36)</f>
        <v>0.99999999999999989</v>
      </c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x14ac:dyDescent="0.2">
      <c r="A37" t="s">
        <v>8</v>
      </c>
      <c r="C37" s="26">
        <f>+Composition!$U$25</f>
        <v>0.24317089556095295</v>
      </c>
      <c r="D37" s="26">
        <f>+Composition!$U$26</f>
        <v>0</v>
      </c>
      <c r="E37" s="26">
        <f>+Composition!$U$27</f>
        <v>0.46890599968993851</v>
      </c>
      <c r="F37" s="26">
        <f>+Composition!$U$28</f>
        <v>2.034003410676451E-2</v>
      </c>
      <c r="G37" s="26">
        <f>+Composition!$U$30</f>
        <v>2.60348302413312E-2</v>
      </c>
      <c r="H37" s="26">
        <f>+Composition!$U$29</f>
        <v>0.18261588548395433</v>
      </c>
      <c r="I37" s="26">
        <f>+Composition!$U$31</f>
        <v>4.091778202676865E-2</v>
      </c>
      <c r="J37" s="26">
        <f>+Composition!$U$32</f>
        <v>1.1275903054105732E-2</v>
      </c>
      <c r="K37" s="26">
        <f>+Composition!$U$33</f>
        <v>6.7386698361841767E-3</v>
      </c>
      <c r="L37" s="26">
        <f>+Composition!$U$34</f>
        <v>0</v>
      </c>
      <c r="M37" s="26">
        <f t="shared" ref="M37" si="8">SUM(C37:L37)</f>
        <v>1.0000000000000002</v>
      </c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x14ac:dyDescent="0.2">
      <c r="A38" t="s">
        <v>9</v>
      </c>
      <c r="C38" s="26">
        <f>+Composition!$W$25</f>
        <v>0.20272490611130078</v>
      </c>
      <c r="D38" s="26">
        <f>+Composition!$W$26</f>
        <v>0</v>
      </c>
      <c r="E38" s="26">
        <f>+Composition!$W$27</f>
        <v>0.50485447251621718</v>
      </c>
      <c r="F38" s="26">
        <f>+Composition!$W$28</f>
        <v>2.1178303175145102E-2</v>
      </c>
      <c r="G38" s="26">
        <f>+Composition!$W$30</f>
        <v>2.4731136906794127E-2</v>
      </c>
      <c r="H38" s="26">
        <f>+Composition!$W$29</f>
        <v>0.19089279617616933</v>
      </c>
      <c r="I38" s="26">
        <f>+Composition!$W$31</f>
        <v>3.9881358825537727E-2</v>
      </c>
      <c r="J38" s="26">
        <f>+Composition!$W$32</f>
        <v>8.9941106179583473E-3</v>
      </c>
      <c r="K38" s="26">
        <f>+Composition!$W$33</f>
        <v>6.742915670877433E-3</v>
      </c>
      <c r="L38" s="26">
        <f>+Composition!$W$34</f>
        <v>0</v>
      </c>
      <c r="M38" s="26">
        <f t="shared" ref="M38" si="9">SUM(C38:L38)</f>
        <v>1</v>
      </c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x14ac:dyDescent="0.2">
      <c r="A39" t="s">
        <v>2</v>
      </c>
      <c r="C39" s="26">
        <f>+Composition!$Y$25</f>
        <v>0.18399013331767197</v>
      </c>
      <c r="D39" s="26">
        <f>+Composition!$Y$26</f>
        <v>0</v>
      </c>
      <c r="E39" s="26">
        <f>+Composition!$Y$27</f>
        <v>0.50261349621189888</v>
      </c>
      <c r="F39" s="26">
        <f>+Composition!$Y$28</f>
        <v>2.17654313737006E-2</v>
      </c>
      <c r="G39" s="26">
        <f>+Composition!$Y$30</f>
        <v>2.7474011863510901E-2</v>
      </c>
      <c r="H39" s="26">
        <f>+Composition!$Y$29</f>
        <v>0.19969460268984557</v>
      </c>
      <c r="I39" s="26">
        <f>+Composition!$Y$31</f>
        <v>4.7336583073941396E-2</v>
      </c>
      <c r="J39" s="26">
        <f>+Composition!$Y$32</f>
        <v>9.8666823280671896E-3</v>
      </c>
      <c r="K39" s="26">
        <f>+Composition!$Y$33</f>
        <v>7.2590591413637176E-3</v>
      </c>
      <c r="L39" s="26">
        <f>+Composition!$Y$34</f>
        <v>0</v>
      </c>
      <c r="M39" s="26">
        <f t="shared" ref="M39" si="10">SUM(C39:L39)</f>
        <v>1.0000000000000004</v>
      </c>
      <c r="N39" s="26"/>
      <c r="O39" s="26"/>
      <c r="P39" s="26"/>
      <c r="Q39" s="26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x14ac:dyDescent="0.2">
      <c r="C40"/>
      <c r="N40" s="26"/>
      <c r="R40" s="28"/>
    </row>
    <row r="41" spans="1:28" x14ac:dyDescent="0.2">
      <c r="A41" s="3" t="s">
        <v>49</v>
      </c>
      <c r="B41" s="3"/>
      <c r="C41"/>
      <c r="R41" s="28"/>
    </row>
    <row r="42" spans="1:28" x14ac:dyDescent="0.2">
      <c r="A42" t="s">
        <v>164</v>
      </c>
      <c r="C42" s="18">
        <f>+Prices!B5</f>
        <v>21.52</v>
      </c>
      <c r="D42" s="18">
        <f>+Prices!C5</f>
        <v>0</v>
      </c>
      <c r="E42" s="18">
        <f>+Prices!D5</f>
        <v>82.53</v>
      </c>
      <c r="F42" s="18">
        <f>+Prices!E5</f>
        <v>734.83</v>
      </c>
      <c r="G42" s="18">
        <f>+Prices!F5</f>
        <v>77.13</v>
      </c>
      <c r="H42" s="18">
        <f>+Prices!G5</f>
        <v>-53.34</v>
      </c>
      <c r="I42" s="18">
        <f>+Prices!H5</f>
        <v>84.31</v>
      </c>
      <c r="J42" s="18">
        <f>+Prices!I5</f>
        <v>700</v>
      </c>
      <c r="K42" s="18">
        <f>+Prices!J5</f>
        <v>60</v>
      </c>
      <c r="L42" s="18">
        <f>+Prices!K5</f>
        <v>-197.5</v>
      </c>
      <c r="O42" s="18"/>
      <c r="P42" s="18"/>
      <c r="R42" s="28"/>
      <c r="S42" s="18"/>
      <c r="T42" s="18"/>
      <c r="U42" s="18"/>
      <c r="V42" s="18"/>
      <c r="W42" s="18"/>
      <c r="X42" s="18"/>
      <c r="Y42" s="18"/>
      <c r="Z42" s="18"/>
    </row>
    <row r="43" spans="1:28" x14ac:dyDescent="0.2">
      <c r="A43" t="s">
        <v>165</v>
      </c>
      <c r="C43" s="18">
        <f>+Prices!B6</f>
        <v>22.53</v>
      </c>
      <c r="D43" s="18">
        <f>+Prices!C6</f>
        <v>0</v>
      </c>
      <c r="E43" s="18">
        <f>+Prices!D6</f>
        <v>69.510000000000005</v>
      </c>
      <c r="F43" s="18">
        <f>+Prices!E6</f>
        <v>803.77</v>
      </c>
      <c r="G43" s="18">
        <f>+Prices!F6</f>
        <v>78.400000000000006</v>
      </c>
      <c r="H43" s="18">
        <f>+Prices!G6</f>
        <v>-53.34</v>
      </c>
      <c r="I43" s="18">
        <f>+Prices!H6</f>
        <v>42.29</v>
      </c>
      <c r="J43" s="18">
        <f>+Prices!I6</f>
        <v>725.1</v>
      </c>
      <c r="K43" s="18">
        <f>+Prices!J6</f>
        <v>60</v>
      </c>
      <c r="L43" s="18">
        <f>+Prices!K6</f>
        <v>-197.5</v>
      </c>
      <c r="O43" s="18"/>
      <c r="P43" s="18"/>
      <c r="R43" s="28"/>
      <c r="S43" s="18"/>
      <c r="T43" s="18"/>
      <c r="U43" s="18"/>
      <c r="V43" s="18"/>
      <c r="W43" s="18"/>
      <c r="X43" s="18"/>
      <c r="Y43" s="18"/>
      <c r="Z43" s="18"/>
    </row>
    <row r="44" spans="1:28" x14ac:dyDescent="0.2">
      <c r="A44" t="s">
        <v>166</v>
      </c>
      <c r="C44" s="18">
        <f>+Prices!B7</f>
        <v>43.15</v>
      </c>
      <c r="D44" s="18">
        <f>+Prices!C7</f>
        <v>0</v>
      </c>
      <c r="E44" s="18">
        <f>+Prices!D7</f>
        <v>81.540000000000006</v>
      </c>
      <c r="F44" s="18">
        <f>+Prices!E7</f>
        <v>903.63</v>
      </c>
      <c r="G44" s="18">
        <f>+Prices!F7</f>
        <v>88.13</v>
      </c>
      <c r="H44" s="18">
        <f>+Prices!G7</f>
        <v>-53.34</v>
      </c>
      <c r="I44" s="18">
        <f>+Prices!H7</f>
        <v>34</v>
      </c>
      <c r="J44" s="18">
        <f>+Prices!I7</f>
        <v>780</v>
      </c>
      <c r="K44" s="18">
        <f>+Prices!J7</f>
        <v>60</v>
      </c>
      <c r="L44" s="18">
        <f>+Prices!K7</f>
        <v>-197.5</v>
      </c>
      <c r="O44" s="18"/>
      <c r="P44" s="18"/>
      <c r="R44" s="28"/>
      <c r="S44" s="18"/>
      <c r="T44" s="18"/>
      <c r="U44" s="18"/>
      <c r="V44" s="18"/>
      <c r="W44" s="18"/>
      <c r="X44" s="18"/>
      <c r="Y44" s="18"/>
      <c r="Z44" s="18"/>
    </row>
    <row r="45" spans="1:28" x14ac:dyDescent="0.2">
      <c r="A45" t="s">
        <v>167</v>
      </c>
      <c r="C45" s="18">
        <f>+Prices!B8</f>
        <v>52.62</v>
      </c>
      <c r="D45" s="18">
        <f>+Prices!C8</f>
        <v>0</v>
      </c>
      <c r="E45" s="18">
        <f>+Prices!D8</f>
        <v>89.73</v>
      </c>
      <c r="F45" s="18">
        <f>+Prices!E8</f>
        <v>843.97</v>
      </c>
      <c r="G45" s="18">
        <f>+Prices!F8</f>
        <v>99.61</v>
      </c>
      <c r="H45" s="18">
        <f>+Prices!G8</f>
        <v>-53.34</v>
      </c>
      <c r="I45" s="18">
        <f>+Prices!H8</f>
        <v>20.23</v>
      </c>
      <c r="J45" s="18">
        <f>+Prices!I8</f>
        <v>950</v>
      </c>
      <c r="K45" s="18">
        <f>+Prices!J8</f>
        <v>100</v>
      </c>
      <c r="L45" s="18">
        <f>+Prices!K8</f>
        <v>-197.5</v>
      </c>
      <c r="O45" s="18"/>
      <c r="P45" s="18"/>
      <c r="R45" s="28"/>
      <c r="S45" s="18"/>
      <c r="T45" s="18"/>
      <c r="U45" s="18"/>
      <c r="V45" s="18"/>
      <c r="W45" s="18"/>
      <c r="X45" s="18"/>
      <c r="Y45" s="18"/>
      <c r="Z45" s="18"/>
    </row>
    <row r="46" spans="1:28" x14ac:dyDescent="0.2">
      <c r="A46" t="s">
        <v>168</v>
      </c>
      <c r="C46" s="18">
        <f>+Prices!B9</f>
        <v>54.91</v>
      </c>
      <c r="D46" s="18">
        <f>+Prices!C9</f>
        <v>0</v>
      </c>
      <c r="E46" s="18">
        <f>+Prices!D9</f>
        <v>92.7</v>
      </c>
      <c r="F46" s="18">
        <f>+Prices!E9</f>
        <v>828.72</v>
      </c>
      <c r="G46" s="18">
        <f>+Prices!F9</f>
        <v>105.7</v>
      </c>
      <c r="H46" s="18">
        <f>+Prices!G9</f>
        <v>-53.34</v>
      </c>
      <c r="I46" s="18">
        <f>+Prices!H9</f>
        <v>20</v>
      </c>
      <c r="J46" s="18">
        <f>+Prices!I9</f>
        <v>1120</v>
      </c>
      <c r="K46" s="18">
        <f>+Prices!J9</f>
        <v>220</v>
      </c>
      <c r="L46" s="18">
        <f>+Prices!K9</f>
        <v>-197.5</v>
      </c>
      <c r="O46" s="18"/>
      <c r="P46" s="18"/>
      <c r="R46" s="28"/>
      <c r="S46" s="18"/>
      <c r="T46" s="18"/>
      <c r="U46" s="18"/>
      <c r="V46" s="18"/>
      <c r="W46" s="18"/>
      <c r="X46" s="18"/>
      <c r="Y46" s="18"/>
      <c r="Z46" s="18"/>
    </row>
    <row r="47" spans="1:28" x14ac:dyDescent="0.2">
      <c r="A47" t="s">
        <v>169</v>
      </c>
      <c r="C47" s="18">
        <f>+Prices!B10</f>
        <v>54.24</v>
      </c>
      <c r="D47" s="18">
        <f>+Prices!C10</f>
        <v>0</v>
      </c>
      <c r="E47" s="18">
        <f>+Prices!D10</f>
        <v>101.46</v>
      </c>
      <c r="F47" s="18">
        <f>+Prices!E10</f>
        <v>975.86</v>
      </c>
      <c r="G47" s="18">
        <f>+Prices!F10</f>
        <v>110.74</v>
      </c>
      <c r="H47" s="18">
        <f>+Prices!G10</f>
        <v>-53.34</v>
      </c>
      <c r="I47" s="18">
        <f>+Prices!H10</f>
        <v>36.729999999999997</v>
      </c>
      <c r="J47" s="18">
        <f>+Prices!I10</f>
        <v>1200</v>
      </c>
      <c r="K47" s="18">
        <f>+Prices!J10</f>
        <v>280</v>
      </c>
      <c r="L47" s="18">
        <f>+Prices!K10</f>
        <v>-197.5</v>
      </c>
      <c r="O47" s="18"/>
      <c r="P47" s="18"/>
      <c r="R47" s="28"/>
      <c r="S47" s="18"/>
      <c r="T47" s="18"/>
      <c r="U47" s="18"/>
      <c r="V47" s="18"/>
      <c r="W47" s="18"/>
      <c r="X47" s="18"/>
      <c r="Y47" s="18"/>
      <c r="Z47" s="18"/>
    </row>
    <row r="48" spans="1:28" x14ac:dyDescent="0.2">
      <c r="A48" t="s">
        <v>7</v>
      </c>
      <c r="C48" s="18">
        <f>+Prices!B11</f>
        <v>57.77</v>
      </c>
      <c r="D48" s="18">
        <f>+Prices!C11</f>
        <v>0</v>
      </c>
      <c r="E48" s="18">
        <f>+Prices!D11</f>
        <v>109.54</v>
      </c>
      <c r="F48" s="18">
        <f>+Prices!E11</f>
        <v>1032.32</v>
      </c>
      <c r="G48" s="18">
        <f>+Prices!F11</f>
        <v>137.81</v>
      </c>
      <c r="H48" s="18">
        <f>+Prices!G11</f>
        <v>-53.34</v>
      </c>
      <c r="I48" s="18">
        <f>+Prices!H11</f>
        <v>40.39</v>
      </c>
      <c r="J48" s="18">
        <f>+Prices!I11</f>
        <v>1200</v>
      </c>
      <c r="K48" s="18">
        <f>+Prices!J11</f>
        <v>280</v>
      </c>
      <c r="L48" s="18">
        <f>+Prices!K11</f>
        <v>-197.5</v>
      </c>
      <c r="O48" s="18"/>
      <c r="P48" s="18"/>
      <c r="R48" s="28"/>
      <c r="S48" s="18"/>
      <c r="T48" s="18"/>
      <c r="U48" s="18"/>
      <c r="V48" s="18"/>
      <c r="W48" s="18"/>
      <c r="X48" s="18"/>
      <c r="Y48" s="18"/>
      <c r="Z48" s="18"/>
    </row>
    <row r="49" spans="1:26" x14ac:dyDescent="0.2">
      <c r="A49" t="s">
        <v>32</v>
      </c>
      <c r="C49" s="18">
        <f>+Prices!B12</f>
        <v>59.43</v>
      </c>
      <c r="D49" s="18">
        <f>+Prices!C12</f>
        <v>0</v>
      </c>
      <c r="E49" s="18">
        <f>+Prices!D12</f>
        <v>113.84</v>
      </c>
      <c r="F49" s="18">
        <f>+Prices!E12</f>
        <v>1054.52</v>
      </c>
      <c r="G49" s="18">
        <f>+Prices!F12</f>
        <v>208.4</v>
      </c>
      <c r="H49" s="18">
        <f>+Prices!G12</f>
        <v>-53.34</v>
      </c>
      <c r="I49" s="18">
        <f>+Prices!H12</f>
        <v>50</v>
      </c>
      <c r="J49" s="18">
        <f>+Prices!I12</f>
        <v>1240</v>
      </c>
      <c r="K49" s="18">
        <f>+Prices!J12</f>
        <v>280</v>
      </c>
      <c r="L49" s="18">
        <f>+Prices!K12</f>
        <v>-197.5</v>
      </c>
      <c r="O49" s="18"/>
      <c r="P49" s="18"/>
      <c r="R49" s="28"/>
      <c r="S49" s="18"/>
      <c r="T49" s="18"/>
      <c r="U49" s="18"/>
      <c r="V49" s="18"/>
      <c r="W49" s="18"/>
      <c r="X49" s="18"/>
      <c r="Y49" s="18"/>
      <c r="Z49" s="18"/>
    </row>
    <row r="50" spans="1:26" x14ac:dyDescent="0.2">
      <c r="A50" t="s">
        <v>10</v>
      </c>
      <c r="C50" s="18">
        <f>+Prices!B13</f>
        <v>54.85</v>
      </c>
      <c r="D50" s="18">
        <f>+Prices!C13</f>
        <v>0</v>
      </c>
      <c r="E50" s="18">
        <f>+Prices!D13</f>
        <v>102.04</v>
      </c>
      <c r="F50" s="18">
        <f>+Prices!E13</f>
        <v>1049.67</v>
      </c>
      <c r="G50" s="18">
        <f>+Prices!F13</f>
        <v>160.31</v>
      </c>
      <c r="H50" s="18">
        <f>+Prices!G13</f>
        <v>-53.34</v>
      </c>
      <c r="I50" s="18">
        <f>+Prices!H13</f>
        <v>70</v>
      </c>
      <c r="J50" s="18">
        <f>+Prices!I13</f>
        <v>1280</v>
      </c>
      <c r="K50" s="18">
        <f>+Prices!J13</f>
        <v>280</v>
      </c>
      <c r="L50" s="18">
        <f>+Prices!K13</f>
        <v>-197.5</v>
      </c>
      <c r="O50" s="18"/>
      <c r="P50" s="18"/>
      <c r="R50" s="28"/>
      <c r="S50" s="18"/>
      <c r="T50" s="18"/>
      <c r="U50" s="18"/>
      <c r="V50" s="18"/>
      <c r="W50" s="18"/>
      <c r="X50" s="18"/>
      <c r="Y50" s="18"/>
      <c r="Z50" s="18"/>
    </row>
    <row r="51" spans="1:26" x14ac:dyDescent="0.2">
      <c r="A51" t="s">
        <v>8</v>
      </c>
      <c r="C51" s="18">
        <f>+Prices!B14</f>
        <v>61.4</v>
      </c>
      <c r="D51" s="18">
        <f>+Prices!C14</f>
        <v>0</v>
      </c>
      <c r="E51" s="18">
        <f>+Prices!D14</f>
        <v>103.48</v>
      </c>
      <c r="F51" s="18">
        <f>+Prices!E14</f>
        <v>1209.6600000000001</v>
      </c>
      <c r="G51" s="18">
        <f>+Prices!F14</f>
        <v>199.71</v>
      </c>
      <c r="H51" s="18">
        <f>+Prices!G14</f>
        <v>-53.34</v>
      </c>
      <c r="I51" s="18">
        <f>+Prices!H14</f>
        <v>70</v>
      </c>
      <c r="J51" s="18">
        <f>+Prices!I14</f>
        <v>1410</v>
      </c>
      <c r="K51" s="18">
        <f>+Prices!J14</f>
        <v>320</v>
      </c>
      <c r="L51" s="18">
        <f>+Prices!K14</f>
        <v>-197.5</v>
      </c>
      <c r="O51" s="18"/>
      <c r="P51" s="18"/>
      <c r="R51" s="28"/>
      <c r="S51" s="18"/>
      <c r="T51" s="18"/>
      <c r="U51" s="18"/>
      <c r="V51" s="18"/>
      <c r="W51" s="18"/>
      <c r="X51" s="18"/>
      <c r="Y51" s="18"/>
      <c r="Z51" s="18"/>
    </row>
    <row r="52" spans="1:26" x14ac:dyDescent="0.2">
      <c r="A52" t="s">
        <v>9</v>
      </c>
      <c r="C52" s="18">
        <f>+Prices!B15</f>
        <v>73.27</v>
      </c>
      <c r="D52" s="18">
        <f>+Prices!C15</f>
        <v>0</v>
      </c>
      <c r="E52" s="18">
        <f>+Prices!D15</f>
        <v>112.96</v>
      </c>
      <c r="F52" s="18">
        <f>+Prices!E15</f>
        <v>1305.82</v>
      </c>
      <c r="G52" s="18">
        <f>+Prices!F15</f>
        <v>179.62</v>
      </c>
      <c r="H52" s="18">
        <f>+Prices!G15</f>
        <v>-53.34</v>
      </c>
      <c r="I52" s="18">
        <f>+Prices!H15</f>
        <v>155</v>
      </c>
      <c r="J52" s="18">
        <f>+Prices!I15</f>
        <v>1520</v>
      </c>
      <c r="K52" s="18">
        <f>+Prices!J15</f>
        <v>400</v>
      </c>
      <c r="L52" s="18">
        <f>+Prices!K15</f>
        <v>-197.5</v>
      </c>
      <c r="O52" s="18"/>
      <c r="P52" s="18"/>
      <c r="R52" s="28"/>
      <c r="S52" s="18"/>
      <c r="T52" s="18"/>
      <c r="U52" s="18"/>
      <c r="V52" s="18"/>
      <c r="W52" s="18"/>
      <c r="X52" s="18"/>
      <c r="Y52" s="18"/>
      <c r="Z52" s="18"/>
    </row>
    <row r="53" spans="1:26" x14ac:dyDescent="0.2">
      <c r="A53" t="s">
        <v>2</v>
      </c>
      <c r="C53" s="18">
        <f>+Prices!B16</f>
        <v>76.39</v>
      </c>
      <c r="D53" s="18">
        <f>+Prices!C16</f>
        <v>0</v>
      </c>
      <c r="E53" s="18">
        <f>+Prices!D16</f>
        <v>122.77</v>
      </c>
      <c r="F53" s="18">
        <f>+Prices!E16</f>
        <v>1396</v>
      </c>
      <c r="G53" s="18">
        <f>+Prices!F16</f>
        <v>199.64</v>
      </c>
      <c r="H53" s="18">
        <f>+Prices!G16</f>
        <v>-53.34</v>
      </c>
      <c r="I53" s="18">
        <f>+Prices!H16</f>
        <v>200</v>
      </c>
      <c r="J53" s="18">
        <f>+Prices!I16</f>
        <v>1640</v>
      </c>
      <c r="K53" s="18">
        <f>+Prices!J16</f>
        <v>640</v>
      </c>
      <c r="L53" s="18">
        <f>+Prices!K16</f>
        <v>-197.5</v>
      </c>
      <c r="O53" s="62"/>
      <c r="P53" s="18"/>
      <c r="R53" s="28"/>
      <c r="S53" s="29"/>
      <c r="T53" s="29"/>
      <c r="U53" s="18"/>
      <c r="V53" s="29"/>
      <c r="W53" s="29"/>
      <c r="X53" s="29"/>
      <c r="Y53" s="29"/>
      <c r="Z53" s="29"/>
    </row>
    <row r="54" spans="1:26" x14ac:dyDescent="0.2">
      <c r="C54" s="63"/>
      <c r="D54" s="63"/>
      <c r="E54" s="63"/>
      <c r="F54" s="63"/>
      <c r="G54" s="63"/>
      <c r="H54" s="63"/>
      <c r="I54" s="63"/>
      <c r="J54" s="63"/>
      <c r="K54" s="63"/>
      <c r="L54" s="63"/>
      <c r="P54" s="4"/>
      <c r="Q54" s="4"/>
      <c r="R54" s="4"/>
      <c r="S54" s="4"/>
      <c r="T54" s="4"/>
    </row>
    <row r="55" spans="1:26" x14ac:dyDescent="0.2">
      <c r="C55"/>
      <c r="P55" s="4"/>
      <c r="Q55" s="4"/>
      <c r="R55" s="4"/>
      <c r="S55" s="4"/>
      <c r="T55" s="4"/>
      <c r="U55" s="4"/>
    </row>
    <row r="56" spans="1:26" x14ac:dyDescent="0.2">
      <c r="C56" s="288" t="s">
        <v>35</v>
      </c>
      <c r="D56" s="288"/>
      <c r="E56" s="288"/>
      <c r="F56" s="288"/>
      <c r="G56" s="288"/>
      <c r="H56" s="288"/>
      <c r="I56" s="288"/>
      <c r="J56" s="288"/>
      <c r="K56" s="288"/>
      <c r="L56" s="288"/>
      <c r="P56" s="4"/>
      <c r="Q56" s="4"/>
      <c r="R56" s="4"/>
      <c r="S56" s="4"/>
      <c r="T56" s="4"/>
      <c r="U56" s="4"/>
    </row>
    <row r="57" spans="1:26" x14ac:dyDescent="0.2">
      <c r="C57" s="24" t="s">
        <v>36</v>
      </c>
      <c r="D57" s="24" t="s">
        <v>37</v>
      </c>
      <c r="E57" s="24"/>
      <c r="F57" s="24" t="s">
        <v>38</v>
      </c>
      <c r="G57" s="24" t="s">
        <v>39</v>
      </c>
      <c r="H57" s="24"/>
      <c r="I57" s="24"/>
      <c r="J57" s="24" t="s">
        <v>0</v>
      </c>
      <c r="K57" s="24" t="s">
        <v>0</v>
      </c>
      <c r="L57" s="24" t="s">
        <v>40</v>
      </c>
      <c r="N57" s="99"/>
      <c r="P57" s="4"/>
      <c r="Q57" s="4"/>
      <c r="R57" s="4"/>
      <c r="S57" s="4"/>
      <c r="T57" s="4"/>
      <c r="U57" s="4"/>
    </row>
    <row r="58" spans="1:26" x14ac:dyDescent="0.2">
      <c r="C58" s="25" t="s">
        <v>41</v>
      </c>
      <c r="D58" s="25" t="s">
        <v>42</v>
      </c>
      <c r="E58" s="25" t="s">
        <v>19</v>
      </c>
      <c r="F58" s="25" t="s">
        <v>17</v>
      </c>
      <c r="G58" s="25" t="s">
        <v>18</v>
      </c>
      <c r="H58" s="25" t="s">
        <v>11</v>
      </c>
      <c r="I58" s="25" t="s">
        <v>1</v>
      </c>
      <c r="J58" s="25" t="s">
        <v>43</v>
      </c>
      <c r="K58" s="25" t="s">
        <v>44</v>
      </c>
      <c r="L58" s="25" t="s">
        <v>45</v>
      </c>
      <c r="M58" s="30" t="s">
        <v>3</v>
      </c>
      <c r="N58" s="30"/>
      <c r="P58" s="4"/>
      <c r="Q58" s="4"/>
      <c r="R58" s="4"/>
      <c r="S58" s="4"/>
      <c r="T58" s="4"/>
      <c r="U58" s="4"/>
    </row>
    <row r="59" spans="1:26" x14ac:dyDescent="0.2">
      <c r="A59" s="3" t="s">
        <v>50</v>
      </c>
      <c r="B59" s="3"/>
      <c r="P59" s="5"/>
      <c r="Q59" s="5"/>
      <c r="R59" s="5"/>
      <c r="S59" s="5"/>
      <c r="T59" s="5"/>
      <c r="U59" s="5"/>
      <c r="V59" s="5"/>
    </row>
    <row r="60" spans="1:26" x14ac:dyDescent="0.2">
      <c r="A60" t="s">
        <v>164</v>
      </c>
      <c r="C60" s="2">
        <f t="shared" ref="C60:L60" si="11">+$H9*C28</f>
        <v>101.0710089390773</v>
      </c>
      <c r="D60" s="2">
        <f t="shared" si="11"/>
        <v>0</v>
      </c>
      <c r="E60" s="2">
        <f t="shared" si="11"/>
        <v>210.53522347693229</v>
      </c>
      <c r="F60" s="2">
        <f t="shared" si="11"/>
        <v>9.215803024182927</v>
      </c>
      <c r="G60" s="2">
        <f t="shared" si="11"/>
        <v>10.666647933826242</v>
      </c>
      <c r="H60" s="2">
        <f t="shared" si="11"/>
        <v>72.750154721553898</v>
      </c>
      <c r="I60" s="2">
        <f t="shared" si="11"/>
        <v>19.624824291810825</v>
      </c>
      <c r="J60" s="2">
        <f t="shared" si="11"/>
        <v>4.1401057234681513</v>
      </c>
      <c r="K60" s="2">
        <f t="shared" si="11"/>
        <v>3.2090339122951828</v>
      </c>
      <c r="L60" s="2">
        <f t="shared" si="11"/>
        <v>4.9717426810207063E-2</v>
      </c>
      <c r="M60" s="6">
        <f t="shared" ref="M60" si="12">SUM(C60:L60)</f>
        <v>431.26251944995698</v>
      </c>
      <c r="N60" s="2"/>
      <c r="O60" s="6"/>
      <c r="P60" s="79"/>
      <c r="Q60" s="17"/>
      <c r="R60" s="76"/>
      <c r="S60" s="9"/>
      <c r="T60" s="76"/>
      <c r="U60" s="76"/>
      <c r="V60" s="18"/>
    </row>
    <row r="61" spans="1:26" x14ac:dyDescent="0.2">
      <c r="A61" t="s">
        <v>165</v>
      </c>
      <c r="C61" s="2">
        <f t="shared" ref="C61:L61" si="13">+$H10*C29</f>
        <v>92.896055973412643</v>
      </c>
      <c r="D61" s="2">
        <f t="shared" si="13"/>
        <v>0</v>
      </c>
      <c r="E61" s="2">
        <f t="shared" si="13"/>
        <v>216.71080216896979</v>
      </c>
      <c r="F61" s="2">
        <f t="shared" si="13"/>
        <v>9.808002798670632</v>
      </c>
      <c r="G61" s="2">
        <f t="shared" si="13"/>
        <v>10.814993877907995</v>
      </c>
      <c r="H61" s="2">
        <f t="shared" si="13"/>
        <v>84.040856393213247</v>
      </c>
      <c r="I61" s="2">
        <f t="shared" si="13"/>
        <v>23.065966066118595</v>
      </c>
      <c r="J61" s="2">
        <f t="shared" si="13"/>
        <v>4.5066237537169851</v>
      </c>
      <c r="K61" s="2">
        <f t="shared" si="13"/>
        <v>3.2873968864789229</v>
      </c>
      <c r="L61" s="2">
        <f t="shared" si="13"/>
        <v>5.4187860766136089E-2</v>
      </c>
      <c r="M61" s="6">
        <f t="shared" ref="M61:M66" si="14">SUM(C61:L61)</f>
        <v>445.18488577925496</v>
      </c>
      <c r="N61" s="2">
        <f>+M61+M60</f>
        <v>876.44740522921188</v>
      </c>
      <c r="O61" s="6"/>
      <c r="P61" s="79"/>
      <c r="Q61" s="17"/>
      <c r="R61" s="76"/>
      <c r="S61" s="9"/>
      <c r="T61" s="76"/>
      <c r="U61" s="76"/>
      <c r="V61" s="18"/>
    </row>
    <row r="62" spans="1:26" x14ac:dyDescent="0.2">
      <c r="A62" t="s">
        <v>166</v>
      </c>
      <c r="C62" s="2">
        <f t="shared" ref="C62:L62" si="15">+$H11*C30</f>
        <v>82.636611652346673</v>
      </c>
      <c r="D62" s="2">
        <f t="shared" si="15"/>
        <v>0</v>
      </c>
      <c r="E62" s="2">
        <f t="shared" si="15"/>
        <v>180.13868627895224</v>
      </c>
      <c r="F62" s="2">
        <f t="shared" si="15"/>
        <v>8.2912232698373973</v>
      </c>
      <c r="G62" s="2">
        <f t="shared" si="15"/>
        <v>9.8771738789452588</v>
      </c>
      <c r="H62" s="2">
        <f t="shared" si="15"/>
        <v>75.651199567786122</v>
      </c>
      <c r="I62" s="2">
        <f t="shared" si="15"/>
        <v>21.100824343400895</v>
      </c>
      <c r="J62" s="2">
        <f t="shared" si="15"/>
        <v>4.0529848899423131</v>
      </c>
      <c r="K62" s="2">
        <f t="shared" si="15"/>
        <v>2.7968758605064572</v>
      </c>
      <c r="L62" s="2">
        <f t="shared" si="15"/>
        <v>0</v>
      </c>
      <c r="M62" s="6">
        <f t="shared" si="14"/>
        <v>384.5455797417174</v>
      </c>
      <c r="N62" s="2">
        <f>+N61+M62</f>
        <v>1260.9929849709292</v>
      </c>
      <c r="O62" s="6"/>
      <c r="P62" s="79"/>
      <c r="Q62" s="17"/>
      <c r="R62" s="76"/>
      <c r="S62" s="9"/>
      <c r="T62" s="76"/>
      <c r="U62" s="76"/>
      <c r="V62" s="18"/>
    </row>
    <row r="63" spans="1:26" x14ac:dyDescent="0.2">
      <c r="A63" t="s">
        <v>167</v>
      </c>
      <c r="C63" s="2">
        <f t="shared" ref="C63:L63" si="16">+$H12*C31</f>
        <v>94.717341632524452</v>
      </c>
      <c r="D63" s="2">
        <f t="shared" si="16"/>
        <v>0</v>
      </c>
      <c r="E63" s="2">
        <f t="shared" si="16"/>
        <v>198.92589820359285</v>
      </c>
      <c r="F63" s="2">
        <f t="shared" si="16"/>
        <v>9.1967381027418877</v>
      </c>
      <c r="G63" s="2">
        <f t="shared" si="16"/>
        <v>11.2218326504885</v>
      </c>
      <c r="H63" s="2">
        <f t="shared" si="16"/>
        <v>75.535573589662789</v>
      </c>
      <c r="I63" s="2">
        <f t="shared" si="16"/>
        <v>20.962220296249612</v>
      </c>
      <c r="J63" s="2">
        <f t="shared" si="16"/>
        <v>4.7478726757012302</v>
      </c>
      <c r="K63" s="2">
        <f t="shared" si="16"/>
        <v>2.8179167979829822</v>
      </c>
      <c r="L63" s="2">
        <f t="shared" si="16"/>
        <v>0</v>
      </c>
      <c r="M63" s="6">
        <f t="shared" si="14"/>
        <v>418.12539394894435</v>
      </c>
      <c r="N63" s="2">
        <f t="shared" ref="N63:N71" si="17">+N62+M63</f>
        <v>1679.1183789198735</v>
      </c>
      <c r="O63" s="6"/>
      <c r="P63" s="79"/>
      <c r="Q63" s="17"/>
      <c r="R63" s="76"/>
      <c r="S63" s="9"/>
      <c r="T63" s="76"/>
      <c r="U63" s="76"/>
      <c r="V63" s="18"/>
    </row>
    <row r="64" spans="1:26" x14ac:dyDescent="0.2">
      <c r="A64" t="s">
        <v>168</v>
      </c>
      <c r="C64" s="2">
        <f t="shared" ref="C64:L64" si="18">+$H13*C32</f>
        <v>96.213420028060312</v>
      </c>
      <c r="D64" s="2">
        <f t="shared" si="18"/>
        <v>0</v>
      </c>
      <c r="E64" s="2">
        <f t="shared" si="18"/>
        <v>203.99568800420903</v>
      </c>
      <c r="F64" s="2">
        <f t="shared" si="18"/>
        <v>8.1558335671694131</v>
      </c>
      <c r="G64" s="2">
        <f t="shared" si="18"/>
        <v>10.084731322343035</v>
      </c>
      <c r="H64" s="2">
        <f t="shared" si="18"/>
        <v>65.459981936162748</v>
      </c>
      <c r="I64" s="2">
        <f t="shared" si="18"/>
        <v>20.36916029463346</v>
      </c>
      <c r="J64" s="2">
        <f t="shared" si="18"/>
        <v>4.8472065941774805</v>
      </c>
      <c r="K64" s="2">
        <f t="shared" si="18"/>
        <v>3.2632411434584356</v>
      </c>
      <c r="L64" s="2">
        <f t="shared" si="18"/>
        <v>0</v>
      </c>
      <c r="M64" s="6">
        <f t="shared" si="14"/>
        <v>412.3892628902139</v>
      </c>
      <c r="N64" s="2">
        <f t="shared" si="17"/>
        <v>2091.5076418100875</v>
      </c>
      <c r="O64" s="6"/>
      <c r="P64" s="79"/>
      <c r="Q64" s="17"/>
      <c r="R64" s="76"/>
      <c r="S64" s="9"/>
      <c r="T64" s="76"/>
      <c r="U64" s="76"/>
      <c r="V64" s="18"/>
    </row>
    <row r="65" spans="1:22" x14ac:dyDescent="0.2">
      <c r="A65" t="s">
        <v>169</v>
      </c>
      <c r="C65" s="2">
        <f t="shared" ref="C65:L65" si="19">+$H14*C33</f>
        <v>111.75216123619073</v>
      </c>
      <c r="D65" s="2">
        <f t="shared" si="19"/>
        <v>0</v>
      </c>
      <c r="E65" s="2">
        <f t="shared" si="19"/>
        <v>203.79668088379245</v>
      </c>
      <c r="F65" s="2">
        <f t="shared" si="19"/>
        <v>8.3878695287372391</v>
      </c>
      <c r="G65" s="2">
        <f t="shared" si="19"/>
        <v>12.244205006292825</v>
      </c>
      <c r="H65" s="2">
        <f t="shared" si="19"/>
        <v>78.721809537127655</v>
      </c>
      <c r="I65" s="2">
        <f t="shared" si="19"/>
        <v>16.56728849112012</v>
      </c>
      <c r="J65" s="2">
        <f t="shared" si="19"/>
        <v>4.6312278003076495</v>
      </c>
      <c r="K65" s="2">
        <f t="shared" si="19"/>
        <v>3.1403530974688847</v>
      </c>
      <c r="L65" s="2">
        <f t="shared" si="19"/>
        <v>0</v>
      </c>
      <c r="M65" s="6">
        <f t="shared" si="14"/>
        <v>439.24159558103759</v>
      </c>
      <c r="N65" s="2">
        <f t="shared" si="17"/>
        <v>2530.749237391125</v>
      </c>
      <c r="O65" s="6"/>
      <c r="P65" s="79"/>
      <c r="Q65" s="17"/>
      <c r="R65" s="76"/>
      <c r="S65" s="9"/>
      <c r="T65" s="76"/>
      <c r="U65" s="76"/>
      <c r="V65" s="18"/>
    </row>
    <row r="66" spans="1:22" x14ac:dyDescent="0.2">
      <c r="A66" t="s">
        <v>7</v>
      </c>
      <c r="C66" s="2">
        <f t="shared" ref="C66:L71" si="20">+$H15*C34</f>
        <v>118.72772798659824</v>
      </c>
      <c r="D66" s="2">
        <f t="shared" si="20"/>
        <v>0</v>
      </c>
      <c r="E66" s="2">
        <f t="shared" si="20"/>
        <v>226.12412434998078</v>
      </c>
      <c r="F66" s="2">
        <f t="shared" si="20"/>
        <v>9.6970484765993099</v>
      </c>
      <c r="G66" s="2">
        <f t="shared" si="20"/>
        <v>12.739259763375562</v>
      </c>
      <c r="H66" s="2">
        <f t="shared" si="20"/>
        <v>88.568186926325339</v>
      </c>
      <c r="I66" s="2">
        <f t="shared" si="20"/>
        <v>16.406210867971939</v>
      </c>
      <c r="J66" s="2">
        <f t="shared" si="20"/>
        <v>4.3958142253865216</v>
      </c>
      <c r="K66" s="2">
        <f t="shared" si="20"/>
        <v>3.3274185949115274</v>
      </c>
      <c r="L66" s="2">
        <f t="shared" si="20"/>
        <v>0</v>
      </c>
      <c r="M66" s="6">
        <f t="shared" si="14"/>
        <v>479.98579119114919</v>
      </c>
      <c r="N66" s="2">
        <f t="shared" si="17"/>
        <v>3010.735028582274</v>
      </c>
      <c r="O66" s="6"/>
      <c r="P66" s="79"/>
      <c r="Q66" s="17"/>
      <c r="R66" s="76"/>
      <c r="S66" s="9"/>
      <c r="T66" s="76"/>
      <c r="U66" s="76"/>
      <c r="V66" s="18"/>
    </row>
    <row r="67" spans="1:22" x14ac:dyDescent="0.2">
      <c r="A67" t="s">
        <v>32</v>
      </c>
      <c r="C67" s="2">
        <f t="shared" si="20"/>
        <v>94.197797943238967</v>
      </c>
      <c r="D67" s="2">
        <f t="shared" si="20"/>
        <v>0</v>
      </c>
      <c r="E67" s="2">
        <f t="shared" si="20"/>
        <v>253.44351476448171</v>
      </c>
      <c r="F67" s="2">
        <f t="shared" si="20"/>
        <v>8.4839200264490415</v>
      </c>
      <c r="G67" s="2">
        <f t="shared" si="20"/>
        <v>11.851202387374062</v>
      </c>
      <c r="H67" s="2">
        <f t="shared" si="20"/>
        <v>74.986613652577915</v>
      </c>
      <c r="I67" s="2">
        <f t="shared" si="20"/>
        <v>17.076608258365379</v>
      </c>
      <c r="J67" s="2">
        <f t="shared" si="20"/>
        <v>4.2147679618576976</v>
      </c>
      <c r="K67" s="2">
        <f t="shared" si="20"/>
        <v>2.6421609911430513</v>
      </c>
      <c r="L67" s="2">
        <f t="shared" si="20"/>
        <v>0</v>
      </c>
      <c r="M67" s="6">
        <f t="shared" ref="M67" si="21">SUM(C67:L67)</f>
        <v>466.89658598548783</v>
      </c>
      <c r="N67" s="2">
        <f t="shared" si="17"/>
        <v>3477.631614567762</v>
      </c>
      <c r="O67" s="6"/>
      <c r="P67" s="79"/>
      <c r="Q67" s="17"/>
      <c r="R67" s="76"/>
      <c r="S67" s="9"/>
      <c r="T67" s="76"/>
      <c r="U67" s="76"/>
      <c r="V67" s="18"/>
    </row>
    <row r="68" spans="1:22" x14ac:dyDescent="0.2">
      <c r="A68" t="s">
        <v>10</v>
      </c>
      <c r="C68" s="2">
        <f t="shared" si="20"/>
        <v>83.393098823979017</v>
      </c>
      <c r="D68" s="2">
        <f t="shared" si="20"/>
        <v>0</v>
      </c>
      <c r="E68" s="2">
        <f t="shared" si="20"/>
        <v>180.01019959351709</v>
      </c>
      <c r="F68" s="2">
        <f t="shared" si="20"/>
        <v>6.6821248284607497</v>
      </c>
      <c r="G68" s="2">
        <f t="shared" si="20"/>
        <v>9.3332589851824821</v>
      </c>
      <c r="H68" s="2">
        <f t="shared" si="20"/>
        <v>74.367479979849563</v>
      </c>
      <c r="I68" s="2">
        <f t="shared" si="20"/>
        <v>13.671889797974533</v>
      </c>
      <c r="J68" s="2">
        <f t="shared" si="20"/>
        <v>2.519934684802057</v>
      </c>
      <c r="K68" s="2">
        <f t="shared" si="20"/>
        <v>4.1576660239373249</v>
      </c>
      <c r="L68" s="2">
        <f t="shared" si="20"/>
        <v>0</v>
      </c>
      <c r="M68" s="6">
        <f t="shared" ref="M68" si="22">SUM(C68:L68)</f>
        <v>374.13565271770284</v>
      </c>
      <c r="N68" s="2">
        <f t="shared" si="17"/>
        <v>3851.7672672854646</v>
      </c>
      <c r="O68" s="6"/>
      <c r="P68" s="79"/>
      <c r="Q68" s="17"/>
      <c r="R68" s="76"/>
      <c r="S68" s="9"/>
      <c r="T68" s="76"/>
      <c r="U68" s="76"/>
      <c r="V68" s="18"/>
    </row>
    <row r="69" spans="1:22" x14ac:dyDescent="0.2">
      <c r="A69" t="s">
        <v>8</v>
      </c>
      <c r="C69" s="2">
        <f t="shared" si="20"/>
        <v>106.3402774030646</v>
      </c>
      <c r="D69" s="2">
        <f t="shared" si="20"/>
        <v>0</v>
      </c>
      <c r="E69" s="2">
        <f t="shared" si="20"/>
        <v>205.05576527965138</v>
      </c>
      <c r="F69" s="2">
        <f t="shared" si="20"/>
        <v>8.8948344920618467</v>
      </c>
      <c r="G69" s="2">
        <f t="shared" si="20"/>
        <v>11.385207360520219</v>
      </c>
      <c r="H69" s="2">
        <f t="shared" si="20"/>
        <v>79.859161910691441</v>
      </c>
      <c r="I69" s="2">
        <f t="shared" si="20"/>
        <v>17.893622842516695</v>
      </c>
      <c r="J69" s="2">
        <f t="shared" si="20"/>
        <v>4.9310286742070506</v>
      </c>
      <c r="K69" s="2">
        <f t="shared" si="20"/>
        <v>2.9468658987928475</v>
      </c>
      <c r="L69" s="2">
        <f t="shared" si="20"/>
        <v>0</v>
      </c>
      <c r="M69" s="6">
        <f t="shared" ref="M69" si="23">SUM(C69:L69)</f>
        <v>437.30676386150611</v>
      </c>
      <c r="N69" s="2">
        <f t="shared" si="17"/>
        <v>4289.0740311469708</v>
      </c>
      <c r="O69" s="6"/>
      <c r="P69" s="79"/>
      <c r="Q69" s="17"/>
      <c r="R69" s="76"/>
      <c r="S69" s="9"/>
      <c r="T69" s="76"/>
      <c r="U69" s="76"/>
      <c r="V69" s="18"/>
    </row>
    <row r="70" spans="1:22" x14ac:dyDescent="0.2">
      <c r="A70" t="s">
        <v>9</v>
      </c>
      <c r="C70" s="2">
        <f t="shared" si="20"/>
        <v>86.04047754884607</v>
      </c>
      <c r="D70" s="2">
        <f t="shared" si="20"/>
        <v>0</v>
      </c>
      <c r="E70" s="2">
        <f t="shared" si="20"/>
        <v>214.27026772979568</v>
      </c>
      <c r="F70" s="2">
        <f t="shared" si="20"/>
        <v>8.9884926022030136</v>
      </c>
      <c r="G70" s="2">
        <f t="shared" si="20"/>
        <v>10.496385819600293</v>
      </c>
      <c r="H70" s="2">
        <f t="shared" si="20"/>
        <v>81.018695032048512</v>
      </c>
      <c r="I70" s="2">
        <f t="shared" si="20"/>
        <v>16.926440980873988</v>
      </c>
      <c r="J70" s="2">
        <f t="shared" si="20"/>
        <v>3.8172792260237478</v>
      </c>
      <c r="K70" s="2">
        <f t="shared" si="20"/>
        <v>2.8618273675527983</v>
      </c>
      <c r="L70" s="2">
        <f t="shared" si="20"/>
        <v>0</v>
      </c>
      <c r="M70" s="6">
        <f t="shared" ref="M70" si="24">SUM(C70:L70)</f>
        <v>424.41986630694407</v>
      </c>
      <c r="N70" s="2">
        <f t="shared" si="17"/>
        <v>4713.4938974539145</v>
      </c>
      <c r="O70" s="6"/>
      <c r="P70" s="79"/>
      <c r="Q70" s="17"/>
      <c r="R70" s="76"/>
      <c r="S70" s="9"/>
      <c r="T70" s="76"/>
      <c r="U70" s="76"/>
      <c r="V70" s="18"/>
    </row>
    <row r="71" spans="1:22" ht="15" x14ac:dyDescent="0.35">
      <c r="A71" t="s">
        <v>2</v>
      </c>
      <c r="C71" s="12">
        <f t="shared" si="20"/>
        <v>70.876263984399074</v>
      </c>
      <c r="D71" s="12">
        <f t="shared" si="20"/>
        <v>0</v>
      </c>
      <c r="E71" s="12">
        <f t="shared" si="20"/>
        <v>193.61563686749466</v>
      </c>
      <c r="F71" s="12">
        <f t="shared" si="20"/>
        <v>8.3844303602586496</v>
      </c>
      <c r="G71" s="12">
        <f t="shared" si="20"/>
        <v>10.583476855178079</v>
      </c>
      <c r="H71" s="12">
        <f t="shared" si="20"/>
        <v>76.925904238940788</v>
      </c>
      <c r="I71" s="12">
        <f t="shared" si="20"/>
        <v>18.23489171713025</v>
      </c>
      <c r="J71" s="12">
        <f t="shared" si="20"/>
        <v>3.8008211023298784</v>
      </c>
      <c r="K71" s="12">
        <f t="shared" si="20"/>
        <v>2.7963183824284106</v>
      </c>
      <c r="L71" s="12">
        <f t="shared" si="20"/>
        <v>0</v>
      </c>
      <c r="M71" s="7">
        <f t="shared" ref="M71" si="25">SUM(C71:L71)</f>
        <v>385.21774350815986</v>
      </c>
      <c r="N71" s="2">
        <f t="shared" si="17"/>
        <v>5098.7116409620739</v>
      </c>
      <c r="O71" s="7"/>
      <c r="P71" s="79"/>
      <c r="Q71" s="78"/>
      <c r="R71" s="76"/>
      <c r="S71" s="9"/>
      <c r="T71" s="76"/>
      <c r="U71" s="76"/>
      <c r="V71" s="18"/>
    </row>
    <row r="72" spans="1:22" ht="15" x14ac:dyDescent="0.35">
      <c r="C72" s="15">
        <f t="shared" ref="C72:M72" si="26">SUM(C60:C71)</f>
        <v>1138.8622431517379</v>
      </c>
      <c r="D72" s="15">
        <f t="shared" si="26"/>
        <v>0</v>
      </c>
      <c r="E72" s="15">
        <f t="shared" si="26"/>
        <v>2486.6224876013703</v>
      </c>
      <c r="F72" s="15">
        <f t="shared" si="26"/>
        <v>104.1863210773721</v>
      </c>
      <c r="G72" s="15">
        <f t="shared" si="26"/>
        <v>131.29837584103456</v>
      </c>
      <c r="H72" s="15">
        <f t="shared" si="26"/>
        <v>927.88561748594009</v>
      </c>
      <c r="I72" s="15">
        <f t="shared" si="26"/>
        <v>221.89994824816628</v>
      </c>
      <c r="J72" s="15">
        <f t="shared" si="26"/>
        <v>50.605667311920762</v>
      </c>
      <c r="K72" s="15">
        <f t="shared" si="26"/>
        <v>37.247074956956823</v>
      </c>
      <c r="L72" s="15">
        <f t="shared" si="26"/>
        <v>0.10390528757634315</v>
      </c>
      <c r="M72" s="8">
        <f t="shared" si="26"/>
        <v>5098.7116409620739</v>
      </c>
      <c r="N72" s="8"/>
      <c r="O72" s="8"/>
      <c r="Q72" s="17"/>
    </row>
    <row r="73" spans="1:22" x14ac:dyDescent="0.2">
      <c r="C73" s="80">
        <f t="shared" ref="C73:M73" si="27">+C72/$M72</f>
        <v>0.22336274795427466</v>
      </c>
      <c r="D73" s="80">
        <f t="shared" si="27"/>
        <v>0</v>
      </c>
      <c r="E73" s="80">
        <f t="shared" si="27"/>
        <v>0.48769623832505471</v>
      </c>
      <c r="F73" s="80">
        <f t="shared" si="27"/>
        <v>2.0433852395251993E-2</v>
      </c>
      <c r="G73" s="80">
        <f t="shared" si="27"/>
        <v>2.5751284851296262E-2</v>
      </c>
      <c r="H73" s="80">
        <f t="shared" si="27"/>
        <v>0.18198432914532459</v>
      </c>
      <c r="I73" s="80">
        <f t="shared" si="27"/>
        <v>4.3520787970330495E-2</v>
      </c>
      <c r="J73" s="80">
        <f t="shared" si="27"/>
        <v>9.9251871600983498E-3</v>
      </c>
      <c r="K73" s="80">
        <f t="shared" si="27"/>
        <v>7.3051934645060037E-3</v>
      </c>
      <c r="L73" s="80">
        <f t="shared" si="27"/>
        <v>2.0378733863195548E-5</v>
      </c>
      <c r="M73" s="80">
        <f t="shared" si="27"/>
        <v>1</v>
      </c>
    </row>
    <row r="75" spans="1:22" x14ac:dyDescent="0.2">
      <c r="A75" s="3" t="s">
        <v>51</v>
      </c>
      <c r="B75" s="77">
        <v>1.35E-2</v>
      </c>
    </row>
    <row r="76" spans="1:22" x14ac:dyDescent="0.2">
      <c r="A76" t="s">
        <v>164</v>
      </c>
      <c r="C76" s="2">
        <f t="shared" ref="C76:L76" si="28">+$B$75*C60</f>
        <v>1.3644586206775435</v>
      </c>
      <c r="D76" s="2">
        <f t="shared" si="28"/>
        <v>0</v>
      </c>
      <c r="E76" s="2">
        <f t="shared" si="28"/>
        <v>2.8422255169385857</v>
      </c>
      <c r="F76" s="2">
        <f t="shared" si="28"/>
        <v>0.12441334082646952</v>
      </c>
      <c r="G76" s="2">
        <f t="shared" si="28"/>
        <v>0.14399974710665428</v>
      </c>
      <c r="H76" s="2">
        <f t="shared" si="28"/>
        <v>0.98212708874097765</v>
      </c>
      <c r="I76" s="2">
        <f t="shared" si="28"/>
        <v>0.26493512793944612</v>
      </c>
      <c r="J76" s="2">
        <f t="shared" si="28"/>
        <v>5.5891427266820039E-2</v>
      </c>
      <c r="K76" s="2">
        <f t="shared" si="28"/>
        <v>4.3321957815984968E-2</v>
      </c>
      <c r="L76" s="2">
        <f t="shared" si="28"/>
        <v>6.7118526193779538E-4</v>
      </c>
      <c r="M76" s="6">
        <f t="shared" ref="M76" si="29">SUM(C76:L76)</f>
        <v>5.8220440125744197</v>
      </c>
      <c r="N76" s="2"/>
      <c r="O76" s="6"/>
    </row>
    <row r="77" spans="1:22" x14ac:dyDescent="0.2">
      <c r="A77" t="s">
        <v>165</v>
      </c>
      <c r="C77" s="2">
        <f t="shared" ref="C77:L77" si="30">+$B$75*C61</f>
        <v>1.2540967556410707</v>
      </c>
      <c r="D77" s="2">
        <f t="shared" si="30"/>
        <v>0</v>
      </c>
      <c r="E77" s="2">
        <f t="shared" si="30"/>
        <v>2.9255958292810922</v>
      </c>
      <c r="F77" s="2">
        <f t="shared" si="30"/>
        <v>0.13240803778205354</v>
      </c>
      <c r="G77" s="2">
        <f t="shared" si="30"/>
        <v>0.14600241735175792</v>
      </c>
      <c r="H77" s="2">
        <f t="shared" si="30"/>
        <v>1.1345515613083788</v>
      </c>
      <c r="I77" s="2">
        <f t="shared" si="30"/>
        <v>0.31139054189260101</v>
      </c>
      <c r="J77" s="2">
        <f t="shared" si="30"/>
        <v>6.08394206751793E-2</v>
      </c>
      <c r="K77" s="2">
        <f t="shared" si="30"/>
        <v>4.4379857967465457E-2</v>
      </c>
      <c r="L77" s="2">
        <f t="shared" si="30"/>
        <v>7.3153612034283723E-4</v>
      </c>
      <c r="M77" s="6">
        <f t="shared" ref="M77:M87" si="31">SUM(C77:L77)</f>
        <v>6.0099959580199425</v>
      </c>
      <c r="N77" s="2">
        <f>+M77+M76</f>
        <v>11.832039970594362</v>
      </c>
      <c r="O77" s="6"/>
    </row>
    <row r="78" spans="1:22" x14ac:dyDescent="0.2">
      <c r="A78" t="s">
        <v>166</v>
      </c>
      <c r="C78" s="2">
        <f t="shared" ref="C78:L78" si="32">+$B$75*C62</f>
        <v>1.1155942573066802</v>
      </c>
      <c r="D78" s="2">
        <f t="shared" si="32"/>
        <v>0</v>
      </c>
      <c r="E78" s="2">
        <f t="shared" si="32"/>
        <v>2.4318722647658553</v>
      </c>
      <c r="F78" s="2">
        <f t="shared" si="32"/>
        <v>0.11193151414280486</v>
      </c>
      <c r="G78" s="2">
        <f t="shared" si="32"/>
        <v>0.13334184736576099</v>
      </c>
      <c r="H78" s="2">
        <f t="shared" si="32"/>
        <v>1.0212911941651126</v>
      </c>
      <c r="I78" s="2">
        <f t="shared" si="32"/>
        <v>0.28486112863591206</v>
      </c>
      <c r="J78" s="2">
        <f t="shared" si="32"/>
        <v>5.4715296014221225E-2</v>
      </c>
      <c r="K78" s="2">
        <f t="shared" si="32"/>
        <v>3.7757824116837174E-2</v>
      </c>
      <c r="L78" s="2">
        <f t="shared" si="32"/>
        <v>0</v>
      </c>
      <c r="M78" s="6">
        <f t="shared" si="31"/>
        <v>5.1913653265131838</v>
      </c>
      <c r="N78" s="2">
        <f>+M78+N77</f>
        <v>17.023405297107544</v>
      </c>
      <c r="O78" s="6"/>
    </row>
    <row r="79" spans="1:22" x14ac:dyDescent="0.2">
      <c r="A79" t="s">
        <v>167</v>
      </c>
      <c r="C79" s="2">
        <f t="shared" ref="C79:L79" si="33">+$B$75*C63</f>
        <v>1.2786841120390802</v>
      </c>
      <c r="D79" s="2">
        <f t="shared" si="33"/>
        <v>0</v>
      </c>
      <c r="E79" s="2">
        <f t="shared" si="33"/>
        <v>2.6854996257485033</v>
      </c>
      <c r="F79" s="2">
        <f t="shared" si="33"/>
        <v>0.12415596438701548</v>
      </c>
      <c r="G79" s="2">
        <f t="shared" si="33"/>
        <v>0.15149474078159475</v>
      </c>
      <c r="H79" s="2">
        <f t="shared" si="33"/>
        <v>1.0197302434604476</v>
      </c>
      <c r="I79" s="2">
        <f t="shared" si="33"/>
        <v>0.28298997399936976</v>
      </c>
      <c r="J79" s="2">
        <f t="shared" si="33"/>
        <v>6.4096281121966608E-2</v>
      </c>
      <c r="K79" s="2">
        <f t="shared" si="33"/>
        <v>3.804187677277026E-2</v>
      </c>
      <c r="L79" s="2">
        <f t="shared" si="33"/>
        <v>0</v>
      </c>
      <c r="M79" s="6">
        <f t="shared" si="31"/>
        <v>5.6446928183107481</v>
      </c>
      <c r="N79" s="2">
        <f t="shared" ref="N79:N87" si="34">+M79+N78</f>
        <v>22.668098115418292</v>
      </c>
      <c r="O79" s="6"/>
    </row>
    <row r="80" spans="1:22" x14ac:dyDescent="0.2">
      <c r="A80" t="s">
        <v>168</v>
      </c>
      <c r="C80" s="2">
        <f t="shared" ref="C80:L80" si="35">+$B$75*C64</f>
        <v>1.2988811703788141</v>
      </c>
      <c r="D80" s="2">
        <f t="shared" si="35"/>
        <v>0</v>
      </c>
      <c r="E80" s="2">
        <f t="shared" si="35"/>
        <v>2.7539417880568218</v>
      </c>
      <c r="F80" s="2">
        <f t="shared" si="35"/>
        <v>0.11010375315678708</v>
      </c>
      <c r="G80" s="2">
        <f t="shared" si="35"/>
        <v>0.13614387285163099</v>
      </c>
      <c r="H80" s="2">
        <f t="shared" si="35"/>
        <v>0.88370975613819713</v>
      </c>
      <c r="I80" s="2">
        <f t="shared" si="35"/>
        <v>0.2749836639775517</v>
      </c>
      <c r="J80" s="2">
        <f t="shared" si="35"/>
        <v>6.5437289021395992E-2</v>
      </c>
      <c r="K80" s="2">
        <f t="shared" si="35"/>
        <v>4.4053755436688879E-2</v>
      </c>
      <c r="L80" s="2">
        <f t="shared" si="35"/>
        <v>0</v>
      </c>
      <c r="M80" s="6">
        <f t="shared" si="31"/>
        <v>5.5672550490178878</v>
      </c>
      <c r="N80" s="2">
        <f t="shared" si="34"/>
        <v>28.23535316443618</v>
      </c>
      <c r="O80" s="6"/>
    </row>
    <row r="81" spans="1:17" x14ac:dyDescent="0.2">
      <c r="A81" t="s">
        <v>169</v>
      </c>
      <c r="C81" s="2">
        <f t="shared" ref="C81:L81" si="36">+$B$75*C65</f>
        <v>1.5086541766885748</v>
      </c>
      <c r="D81" s="2">
        <f t="shared" si="36"/>
        <v>0</v>
      </c>
      <c r="E81" s="2">
        <f t="shared" si="36"/>
        <v>2.7512551919311981</v>
      </c>
      <c r="F81" s="2">
        <f t="shared" si="36"/>
        <v>0.11323623863795272</v>
      </c>
      <c r="G81" s="2">
        <f t="shared" si="36"/>
        <v>0.16529676758495312</v>
      </c>
      <c r="H81" s="2">
        <f t="shared" si="36"/>
        <v>1.0627444287512233</v>
      </c>
      <c r="I81" s="2">
        <f t="shared" si="36"/>
        <v>0.22365839463012163</v>
      </c>
      <c r="J81" s="2">
        <f t="shared" si="36"/>
        <v>6.2521575304153268E-2</v>
      </c>
      <c r="K81" s="2">
        <f t="shared" si="36"/>
        <v>4.2394766815829946E-2</v>
      </c>
      <c r="L81" s="2">
        <f t="shared" si="36"/>
        <v>0</v>
      </c>
      <c r="M81" s="6">
        <f t="shared" si="31"/>
        <v>5.9297615403440078</v>
      </c>
      <c r="N81" s="2">
        <f t="shared" si="34"/>
        <v>34.165114704780187</v>
      </c>
      <c r="O81" s="6"/>
    </row>
    <row r="82" spans="1:17" x14ac:dyDescent="0.2">
      <c r="A82" t="s">
        <v>7</v>
      </c>
      <c r="C82" s="2">
        <f t="shared" ref="C82:L82" si="37">+$B$75*C66</f>
        <v>1.6028243278190761</v>
      </c>
      <c r="D82" s="2">
        <f t="shared" si="37"/>
        <v>0</v>
      </c>
      <c r="E82" s="2">
        <f t="shared" si="37"/>
        <v>3.0526756787247402</v>
      </c>
      <c r="F82" s="2">
        <f t="shared" si="37"/>
        <v>0.13091015443409068</v>
      </c>
      <c r="G82" s="2">
        <f t="shared" si="37"/>
        <v>0.1719800068055701</v>
      </c>
      <c r="H82" s="2">
        <f t="shared" si="37"/>
        <v>1.1956705235053922</v>
      </c>
      <c r="I82" s="2">
        <f t="shared" si="37"/>
        <v>0.22148384671762117</v>
      </c>
      <c r="J82" s="2">
        <f t="shared" si="37"/>
        <v>5.9343492042718042E-2</v>
      </c>
      <c r="K82" s="2">
        <f t="shared" si="37"/>
        <v>4.4920151031305616E-2</v>
      </c>
      <c r="L82" s="2">
        <f t="shared" si="37"/>
        <v>0</v>
      </c>
      <c r="M82" s="6">
        <f t="shared" si="31"/>
        <v>6.4798081810805144</v>
      </c>
      <c r="N82" s="2">
        <f t="shared" si="34"/>
        <v>40.644922885860701</v>
      </c>
      <c r="O82" s="6"/>
    </row>
    <row r="83" spans="1:17" x14ac:dyDescent="0.2">
      <c r="A83" t="s">
        <v>32</v>
      </c>
      <c r="C83" s="2">
        <f t="shared" ref="C83:L83" si="38">+$B$75*C67</f>
        <v>1.2716702722337261</v>
      </c>
      <c r="D83" s="2">
        <f t="shared" si="38"/>
        <v>0</v>
      </c>
      <c r="E83" s="2">
        <f t="shared" si="38"/>
        <v>3.421487449320503</v>
      </c>
      <c r="F83" s="2">
        <f t="shared" si="38"/>
        <v>0.11453292035706206</v>
      </c>
      <c r="G83" s="2">
        <f t="shared" si="38"/>
        <v>0.15999123222954983</v>
      </c>
      <c r="H83" s="2">
        <f t="shared" si="38"/>
        <v>1.0123192843098019</v>
      </c>
      <c r="I83" s="2">
        <f t="shared" si="38"/>
        <v>0.23053421148793263</v>
      </c>
      <c r="J83" s="2">
        <f t="shared" si="38"/>
        <v>5.6899367485078921E-2</v>
      </c>
      <c r="K83" s="2">
        <f t="shared" si="38"/>
        <v>3.5669173380431192E-2</v>
      </c>
      <c r="L83" s="2">
        <f t="shared" si="38"/>
        <v>0</v>
      </c>
      <c r="M83" s="6">
        <f t="shared" si="31"/>
        <v>6.3031039108040865</v>
      </c>
      <c r="N83" s="2">
        <f t="shared" si="34"/>
        <v>46.948026796664792</v>
      </c>
      <c r="O83" s="6"/>
    </row>
    <row r="84" spans="1:17" x14ac:dyDescent="0.2">
      <c r="A84" t="s">
        <v>10</v>
      </c>
      <c r="C84" s="2">
        <f t="shared" ref="C84:L84" si="39">+$B$75*C68</f>
        <v>1.1258068341237166</v>
      </c>
      <c r="D84" s="2">
        <f t="shared" si="39"/>
        <v>0</v>
      </c>
      <c r="E84" s="2">
        <f t="shared" si="39"/>
        <v>2.4301376945124806</v>
      </c>
      <c r="F84" s="2">
        <f t="shared" si="39"/>
        <v>9.0208685184220122E-2</v>
      </c>
      <c r="G84" s="2">
        <f t="shared" si="39"/>
        <v>0.1259989962999635</v>
      </c>
      <c r="H84" s="2">
        <f t="shared" si="39"/>
        <v>1.0039609797279692</v>
      </c>
      <c r="I84" s="2">
        <f t="shared" si="39"/>
        <v>0.1845705122726562</v>
      </c>
      <c r="J84" s="2">
        <f t="shared" si="39"/>
        <v>3.401911824482777E-2</v>
      </c>
      <c r="K84" s="2">
        <f t="shared" si="39"/>
        <v>5.6128491323153888E-2</v>
      </c>
      <c r="L84" s="2">
        <f t="shared" si="39"/>
        <v>0</v>
      </c>
      <c r="M84" s="6">
        <f t="shared" si="31"/>
        <v>5.050831311688988</v>
      </c>
      <c r="N84" s="2">
        <f t="shared" si="34"/>
        <v>51.99885810835378</v>
      </c>
      <c r="O84" s="6"/>
    </row>
    <row r="85" spans="1:17" x14ac:dyDescent="0.2">
      <c r="A85" t="s">
        <v>8</v>
      </c>
      <c r="C85" s="2">
        <f t="shared" ref="C85:L85" si="40">+$B$75*C69</f>
        <v>1.435593744941372</v>
      </c>
      <c r="D85" s="2">
        <f t="shared" si="40"/>
        <v>0</v>
      </c>
      <c r="E85" s="2">
        <f t="shared" si="40"/>
        <v>2.7682528312752934</v>
      </c>
      <c r="F85" s="2">
        <f t="shared" si="40"/>
        <v>0.12008026564283493</v>
      </c>
      <c r="G85" s="2">
        <f t="shared" si="40"/>
        <v>0.15370029936702295</v>
      </c>
      <c r="H85" s="2">
        <f t="shared" si="40"/>
        <v>1.0780986857943344</v>
      </c>
      <c r="I85" s="2">
        <f t="shared" si="40"/>
        <v>0.24156390837397537</v>
      </c>
      <c r="J85" s="2">
        <f t="shared" si="40"/>
        <v>6.6568887101795177E-2</v>
      </c>
      <c r="K85" s="2">
        <f t="shared" si="40"/>
        <v>3.978268963370344E-2</v>
      </c>
      <c r="L85" s="2">
        <f t="shared" si="40"/>
        <v>0</v>
      </c>
      <c r="M85" s="6">
        <f t="shared" si="31"/>
        <v>5.9036413121303317</v>
      </c>
      <c r="N85" s="2">
        <f t="shared" si="34"/>
        <v>57.902499420484112</v>
      </c>
      <c r="O85" s="6"/>
    </row>
    <row r="86" spans="1:17" x14ac:dyDescent="0.2">
      <c r="A86" t="s">
        <v>9</v>
      </c>
      <c r="C86" s="2">
        <f t="shared" ref="C86:L86" si="41">+$B$75*C70</f>
        <v>1.1615464469094219</v>
      </c>
      <c r="D86" s="2">
        <f t="shared" si="41"/>
        <v>0</v>
      </c>
      <c r="E86" s="2">
        <f t="shared" si="41"/>
        <v>2.8926486143522414</v>
      </c>
      <c r="F86" s="2">
        <f t="shared" si="41"/>
        <v>0.12134465012974069</v>
      </c>
      <c r="G86" s="2">
        <f t="shared" si="41"/>
        <v>0.14170120856460397</v>
      </c>
      <c r="H86" s="2">
        <f t="shared" si="41"/>
        <v>1.093752382932655</v>
      </c>
      <c r="I86" s="2">
        <f t="shared" si="41"/>
        <v>0.22850695324179884</v>
      </c>
      <c r="J86" s="2">
        <f t="shared" si="41"/>
        <v>5.1533269551320593E-2</v>
      </c>
      <c r="K86" s="2">
        <f t="shared" si="41"/>
        <v>3.8634669461962777E-2</v>
      </c>
      <c r="L86" s="2">
        <f t="shared" si="41"/>
        <v>0</v>
      </c>
      <c r="M86" s="6">
        <f t="shared" si="31"/>
        <v>5.7296681951437449</v>
      </c>
      <c r="N86" s="2">
        <f t="shared" si="34"/>
        <v>63.632167615627857</v>
      </c>
      <c r="O86" s="6"/>
    </row>
    <row r="87" spans="1:17" ht="15" x14ac:dyDescent="0.35">
      <c r="A87" t="s">
        <v>2</v>
      </c>
      <c r="C87" s="12">
        <f t="shared" ref="C87:L87" si="42">+$B$75*C71</f>
        <v>0.95682956378938744</v>
      </c>
      <c r="D87" s="12">
        <f t="shared" si="42"/>
        <v>0</v>
      </c>
      <c r="E87" s="12">
        <f t="shared" si="42"/>
        <v>2.6138110977111779</v>
      </c>
      <c r="F87" s="12">
        <f t="shared" si="42"/>
        <v>0.11318980986349177</v>
      </c>
      <c r="G87" s="12">
        <f t="shared" si="42"/>
        <v>0.14287693754490405</v>
      </c>
      <c r="H87" s="12">
        <f t="shared" si="42"/>
        <v>1.0384997072257007</v>
      </c>
      <c r="I87" s="12">
        <f t="shared" si="42"/>
        <v>0.24617103818125838</v>
      </c>
      <c r="J87" s="12">
        <f t="shared" si="42"/>
        <v>5.1311084881453355E-2</v>
      </c>
      <c r="K87" s="12">
        <f t="shared" si="42"/>
        <v>3.7750298162783545E-2</v>
      </c>
      <c r="L87" s="12">
        <f t="shared" si="42"/>
        <v>0</v>
      </c>
      <c r="M87" s="7">
        <f t="shared" si="31"/>
        <v>5.2004395373601566</v>
      </c>
      <c r="N87" s="2">
        <f t="shared" si="34"/>
        <v>68.832607152988018</v>
      </c>
      <c r="O87" s="7"/>
    </row>
    <row r="88" spans="1:17" ht="15" x14ac:dyDescent="0.35">
      <c r="C88" s="15">
        <f t="shared" ref="C88:M88" si="43">SUM(C76:C87)</f>
        <v>15.374640282548462</v>
      </c>
      <c r="D88" s="15">
        <f t="shared" si="43"/>
        <v>0</v>
      </c>
      <c r="E88" s="15">
        <f t="shared" si="43"/>
        <v>33.569403582618492</v>
      </c>
      <c r="F88" s="15">
        <f t="shared" si="43"/>
        <v>1.4065153345445236</v>
      </c>
      <c r="G88" s="15">
        <f t="shared" si="43"/>
        <v>1.7725280738539664</v>
      </c>
      <c r="H88" s="15">
        <f t="shared" si="43"/>
        <v>12.526455836060189</v>
      </c>
      <c r="I88" s="15">
        <f t="shared" si="43"/>
        <v>2.995649301350245</v>
      </c>
      <c r="J88" s="15">
        <f t="shared" si="43"/>
        <v>0.68317650871093027</v>
      </c>
      <c r="K88" s="15">
        <f t="shared" si="43"/>
        <v>0.50283551191891718</v>
      </c>
      <c r="L88" s="15">
        <f t="shared" si="43"/>
        <v>1.4027213822806325E-3</v>
      </c>
      <c r="M88" s="8">
        <f t="shared" si="43"/>
        <v>68.832607152988018</v>
      </c>
      <c r="N88" s="2"/>
      <c r="O88" s="8"/>
      <c r="P88" s="6"/>
      <c r="Q88" s="6"/>
    </row>
    <row r="89" spans="1:17" x14ac:dyDescent="0.2"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</row>
    <row r="91" spans="1:17" x14ac:dyDescent="0.2">
      <c r="A91" s="3" t="s">
        <v>52</v>
      </c>
    </row>
    <row r="92" spans="1:17" x14ac:dyDescent="0.2">
      <c r="A92" t="s">
        <v>164</v>
      </c>
      <c r="C92" s="2">
        <f t="shared" ref="C92:L92" si="44">+C60-C76</f>
        <v>99.706550318399763</v>
      </c>
      <c r="D92" s="2">
        <f t="shared" si="44"/>
        <v>0</v>
      </c>
      <c r="E92" s="2">
        <f t="shared" si="44"/>
        <v>207.6929979599937</v>
      </c>
      <c r="F92" s="2">
        <f t="shared" si="44"/>
        <v>9.0913896833564571</v>
      </c>
      <c r="G92" s="2">
        <f t="shared" si="44"/>
        <v>10.522648186719588</v>
      </c>
      <c r="H92" s="2">
        <f t="shared" si="44"/>
        <v>71.768027632812917</v>
      </c>
      <c r="I92" s="2">
        <f t="shared" si="44"/>
        <v>19.359889163871379</v>
      </c>
      <c r="J92" s="2">
        <f t="shared" si="44"/>
        <v>4.0842142962013313</v>
      </c>
      <c r="K92" s="2">
        <f t="shared" si="44"/>
        <v>3.1657119544791978</v>
      </c>
      <c r="L92" s="2">
        <f t="shared" si="44"/>
        <v>4.9046241548269268E-2</v>
      </c>
      <c r="M92" s="6">
        <f t="shared" ref="M92" si="45">SUM(C92:L92)</f>
        <v>425.44047543738264</v>
      </c>
      <c r="N92" s="2"/>
      <c r="O92" s="76"/>
    </row>
    <row r="93" spans="1:17" x14ac:dyDescent="0.2">
      <c r="A93" t="s">
        <v>165</v>
      </c>
      <c r="C93" s="2">
        <f t="shared" ref="C93:L93" si="46">+C61-C77</f>
        <v>91.641959217771571</v>
      </c>
      <c r="D93" s="2">
        <f t="shared" si="46"/>
        <v>0</v>
      </c>
      <c r="E93" s="2">
        <f t="shared" si="46"/>
        <v>213.7852063396887</v>
      </c>
      <c r="F93" s="2">
        <f t="shared" si="46"/>
        <v>9.6755947608885791</v>
      </c>
      <c r="G93" s="2">
        <f t="shared" si="46"/>
        <v>10.668991460556237</v>
      </c>
      <c r="H93" s="2">
        <f t="shared" si="46"/>
        <v>82.906304831904862</v>
      </c>
      <c r="I93" s="2">
        <f t="shared" si="46"/>
        <v>22.754575524225995</v>
      </c>
      <c r="J93" s="2">
        <f t="shared" si="46"/>
        <v>4.4457843330418054</v>
      </c>
      <c r="K93" s="2">
        <f t="shared" si="46"/>
        <v>3.2430170285114577</v>
      </c>
      <c r="L93" s="2">
        <f t="shared" si="46"/>
        <v>5.3456324645793252E-2</v>
      </c>
      <c r="M93" s="6">
        <f t="shared" ref="M93:M103" si="47">SUM(C93:L93)</f>
        <v>439.17488982123501</v>
      </c>
      <c r="N93" s="2">
        <f>+M93+M92</f>
        <v>864.61536525861766</v>
      </c>
      <c r="O93" s="76"/>
    </row>
    <row r="94" spans="1:17" x14ac:dyDescent="0.2">
      <c r="A94" t="s">
        <v>166</v>
      </c>
      <c r="C94" s="2">
        <f t="shared" ref="C94:L94" si="48">+C62-C78</f>
        <v>81.521017395039991</v>
      </c>
      <c r="D94" s="2">
        <f t="shared" si="48"/>
        <v>0</v>
      </c>
      <c r="E94" s="2">
        <f t="shared" si="48"/>
        <v>177.70681401418639</v>
      </c>
      <c r="F94" s="2">
        <f t="shared" si="48"/>
        <v>8.1792917556945923</v>
      </c>
      <c r="G94" s="2">
        <f t="shared" si="48"/>
        <v>9.7438320315794975</v>
      </c>
      <c r="H94" s="2">
        <f t="shared" si="48"/>
        <v>74.629908373621006</v>
      </c>
      <c r="I94" s="2">
        <f t="shared" si="48"/>
        <v>20.815963214764981</v>
      </c>
      <c r="J94" s="2">
        <f t="shared" si="48"/>
        <v>3.9982695939280917</v>
      </c>
      <c r="K94" s="2">
        <f t="shared" si="48"/>
        <v>2.7591180363896202</v>
      </c>
      <c r="L94" s="2">
        <f t="shared" si="48"/>
        <v>0</v>
      </c>
      <c r="M94" s="6">
        <f t="shared" si="47"/>
        <v>379.35421441520413</v>
      </c>
      <c r="N94" s="2">
        <f>+M94+N93</f>
        <v>1243.9695796738217</v>
      </c>
      <c r="O94" s="76"/>
    </row>
    <row r="95" spans="1:17" x14ac:dyDescent="0.2">
      <c r="A95" t="s">
        <v>167</v>
      </c>
      <c r="C95" s="2">
        <f t="shared" ref="C95:L95" si="49">+C63-C79</f>
        <v>93.438657520485378</v>
      </c>
      <c r="D95" s="2">
        <f t="shared" si="49"/>
        <v>0</v>
      </c>
      <c r="E95" s="2">
        <f t="shared" si="49"/>
        <v>196.24039857784436</v>
      </c>
      <c r="F95" s="2">
        <f t="shared" si="49"/>
        <v>9.072582138354873</v>
      </c>
      <c r="G95" s="2">
        <f t="shared" si="49"/>
        <v>11.070337909706904</v>
      </c>
      <c r="H95" s="2">
        <f t="shared" si="49"/>
        <v>74.515843346202345</v>
      </c>
      <c r="I95" s="2">
        <f t="shared" si="49"/>
        <v>20.679230322250241</v>
      </c>
      <c r="J95" s="2">
        <f t="shared" si="49"/>
        <v>4.6837763945792634</v>
      </c>
      <c r="K95" s="2">
        <f t="shared" si="49"/>
        <v>2.7798749212102121</v>
      </c>
      <c r="L95" s="2">
        <f t="shared" si="49"/>
        <v>0</v>
      </c>
      <c r="M95" s="6">
        <f t="shared" si="47"/>
        <v>412.48070113063352</v>
      </c>
      <c r="N95" s="2">
        <f t="shared" ref="N95:N103" si="50">+M95+N94</f>
        <v>1656.4502808044554</v>
      </c>
      <c r="O95" s="76"/>
    </row>
    <row r="96" spans="1:17" x14ac:dyDescent="0.2">
      <c r="A96" t="s">
        <v>168</v>
      </c>
      <c r="C96" s="2">
        <f t="shared" ref="C96:L96" si="51">+C64-C80</f>
        <v>94.914538857681492</v>
      </c>
      <c r="D96" s="2">
        <f t="shared" si="51"/>
        <v>0</v>
      </c>
      <c r="E96" s="2">
        <f t="shared" si="51"/>
        <v>201.24174621615219</v>
      </c>
      <c r="F96" s="2">
        <f t="shared" si="51"/>
        <v>8.0457298140126259</v>
      </c>
      <c r="G96" s="2">
        <f t="shared" si="51"/>
        <v>9.9485874494914039</v>
      </c>
      <c r="H96" s="2">
        <f t="shared" si="51"/>
        <v>64.576272180024546</v>
      </c>
      <c r="I96" s="2">
        <f t="shared" si="51"/>
        <v>20.094176630655909</v>
      </c>
      <c r="J96" s="2">
        <f t="shared" si="51"/>
        <v>4.7817693051560841</v>
      </c>
      <c r="K96" s="2">
        <f t="shared" si="51"/>
        <v>3.219187388021747</v>
      </c>
      <c r="L96" s="2">
        <f t="shared" si="51"/>
        <v>0</v>
      </c>
      <c r="M96" s="6">
        <f t="shared" si="47"/>
        <v>406.82200784119607</v>
      </c>
      <c r="N96" s="2">
        <f t="shared" si="50"/>
        <v>2063.2722886456513</v>
      </c>
      <c r="O96" s="76"/>
    </row>
    <row r="97" spans="1:16" x14ac:dyDescent="0.2">
      <c r="A97" t="s">
        <v>169</v>
      </c>
      <c r="C97" s="2">
        <f t="shared" ref="C97:L97" si="52">+C65-C81</f>
        <v>110.24350705950215</v>
      </c>
      <c r="D97" s="2">
        <f t="shared" si="52"/>
        <v>0</v>
      </c>
      <c r="E97" s="2">
        <f t="shared" si="52"/>
        <v>201.04542569186125</v>
      </c>
      <c r="F97" s="2">
        <f t="shared" si="52"/>
        <v>8.2746332900992865</v>
      </c>
      <c r="G97" s="2">
        <f t="shared" si="52"/>
        <v>12.078908238707871</v>
      </c>
      <c r="H97" s="2">
        <f t="shared" si="52"/>
        <v>77.659065108376439</v>
      </c>
      <c r="I97" s="2">
        <f t="shared" si="52"/>
        <v>16.343630096489999</v>
      </c>
      <c r="J97" s="2">
        <f t="shared" si="52"/>
        <v>4.5687062250034964</v>
      </c>
      <c r="K97" s="2">
        <f t="shared" si="52"/>
        <v>3.0979583306530549</v>
      </c>
      <c r="L97" s="2">
        <f t="shared" si="52"/>
        <v>0</v>
      </c>
      <c r="M97" s="6">
        <f t="shared" si="47"/>
        <v>433.31183404069355</v>
      </c>
      <c r="N97" s="2">
        <f t="shared" si="50"/>
        <v>2496.5841226863449</v>
      </c>
      <c r="O97" s="76"/>
    </row>
    <row r="98" spans="1:16" x14ac:dyDescent="0.2">
      <c r="A98" t="s">
        <v>7</v>
      </c>
      <c r="C98" s="2">
        <f t="shared" ref="C98:L98" si="53">+C66-C82</f>
        <v>117.12490365877916</v>
      </c>
      <c r="D98" s="2">
        <f t="shared" si="53"/>
        <v>0</v>
      </c>
      <c r="E98" s="2">
        <f t="shared" si="53"/>
        <v>223.07144867125604</v>
      </c>
      <c r="F98" s="2">
        <f t="shared" si="53"/>
        <v>9.5661383221652194</v>
      </c>
      <c r="G98" s="2">
        <f t="shared" si="53"/>
        <v>12.567279756569992</v>
      </c>
      <c r="H98" s="2">
        <f t="shared" si="53"/>
        <v>87.37251640281994</v>
      </c>
      <c r="I98" s="2">
        <f t="shared" si="53"/>
        <v>16.184727021254318</v>
      </c>
      <c r="J98" s="2">
        <f t="shared" si="53"/>
        <v>4.3364707333438037</v>
      </c>
      <c r="K98" s="2">
        <f t="shared" si="53"/>
        <v>3.2824984438802218</v>
      </c>
      <c r="L98" s="2">
        <f t="shared" si="53"/>
        <v>0</v>
      </c>
      <c r="M98" s="6">
        <f t="shared" si="47"/>
        <v>473.50598301006869</v>
      </c>
      <c r="N98" s="2">
        <f t="shared" si="50"/>
        <v>2970.0901056964135</v>
      </c>
      <c r="O98" s="76"/>
    </row>
    <row r="99" spans="1:16" x14ac:dyDescent="0.2">
      <c r="A99" t="s">
        <v>32</v>
      </c>
      <c r="C99" s="2">
        <f t="shared" ref="C99:L99" si="54">+C67-C83</f>
        <v>92.926127671005247</v>
      </c>
      <c r="D99" s="2">
        <f t="shared" si="54"/>
        <v>0</v>
      </c>
      <c r="E99" s="2">
        <f t="shared" si="54"/>
        <v>250.02202731516121</v>
      </c>
      <c r="F99" s="2">
        <f t="shared" si="54"/>
        <v>8.3693871060919793</v>
      </c>
      <c r="G99" s="2">
        <f t="shared" si="54"/>
        <v>11.691211155144513</v>
      </c>
      <c r="H99" s="2">
        <f t="shared" si="54"/>
        <v>73.974294368268119</v>
      </c>
      <c r="I99" s="2">
        <f t="shared" si="54"/>
        <v>16.846074046877447</v>
      </c>
      <c r="J99" s="2">
        <f t="shared" si="54"/>
        <v>4.1578685943726184</v>
      </c>
      <c r="K99" s="2">
        <f t="shared" si="54"/>
        <v>2.60649181776262</v>
      </c>
      <c r="L99" s="2">
        <f t="shared" si="54"/>
        <v>0</v>
      </c>
      <c r="M99" s="6">
        <f t="shared" si="47"/>
        <v>460.59348207468383</v>
      </c>
      <c r="N99" s="2">
        <f t="shared" si="50"/>
        <v>3430.6835877710973</v>
      </c>
      <c r="O99" s="76"/>
    </row>
    <row r="100" spans="1:16" x14ac:dyDescent="0.2">
      <c r="A100" t="s">
        <v>10</v>
      </c>
      <c r="C100" s="2">
        <f t="shared" ref="C100:L100" si="55">+C68-C84</f>
        <v>82.267291989855295</v>
      </c>
      <c r="D100" s="2">
        <f t="shared" si="55"/>
        <v>0</v>
      </c>
      <c r="E100" s="2">
        <f t="shared" si="55"/>
        <v>177.58006189900462</v>
      </c>
      <c r="F100" s="2">
        <f t="shared" si="55"/>
        <v>6.5919161432765296</v>
      </c>
      <c r="G100" s="2">
        <f t="shared" si="55"/>
        <v>9.2072599888825177</v>
      </c>
      <c r="H100" s="2">
        <f t="shared" si="55"/>
        <v>73.363519000121599</v>
      </c>
      <c r="I100" s="2">
        <f t="shared" si="55"/>
        <v>13.487319285701876</v>
      </c>
      <c r="J100" s="2">
        <f t="shared" si="55"/>
        <v>2.485915566557229</v>
      </c>
      <c r="K100" s="2">
        <f t="shared" si="55"/>
        <v>4.101537532614171</v>
      </c>
      <c r="L100" s="2">
        <f t="shared" si="55"/>
        <v>0</v>
      </c>
      <c r="M100" s="6">
        <f t="shared" si="47"/>
        <v>369.08482140601382</v>
      </c>
      <c r="N100" s="2">
        <f t="shared" si="50"/>
        <v>3799.7684091771112</v>
      </c>
      <c r="O100" s="76"/>
    </row>
    <row r="101" spans="1:16" x14ac:dyDescent="0.2">
      <c r="A101" t="s">
        <v>8</v>
      </c>
      <c r="C101" s="2">
        <f t="shared" ref="C101:L101" si="56">+C69-C85</f>
        <v>104.90468365812323</v>
      </c>
      <c r="D101" s="2">
        <f t="shared" si="56"/>
        <v>0</v>
      </c>
      <c r="E101" s="2">
        <f t="shared" si="56"/>
        <v>202.28751244837608</v>
      </c>
      <c r="F101" s="2">
        <f t="shared" si="56"/>
        <v>8.7747542264190113</v>
      </c>
      <c r="G101" s="2">
        <f t="shared" si="56"/>
        <v>11.231507061153197</v>
      </c>
      <c r="H101" s="2">
        <f t="shared" si="56"/>
        <v>78.78106322489711</v>
      </c>
      <c r="I101" s="2">
        <f t="shared" si="56"/>
        <v>17.652058934142719</v>
      </c>
      <c r="J101" s="2">
        <f t="shared" si="56"/>
        <v>4.8644597871052557</v>
      </c>
      <c r="K101" s="2">
        <f t="shared" si="56"/>
        <v>2.9070832091591443</v>
      </c>
      <c r="L101" s="2">
        <f t="shared" si="56"/>
        <v>0</v>
      </c>
      <c r="M101" s="6">
        <f t="shared" si="47"/>
        <v>431.40312254937578</v>
      </c>
      <c r="N101" s="2">
        <f t="shared" si="50"/>
        <v>4231.171531726487</v>
      </c>
      <c r="O101" s="76"/>
    </row>
    <row r="102" spans="1:16" x14ac:dyDescent="0.2">
      <c r="A102" t="s">
        <v>9</v>
      </c>
      <c r="C102" s="2">
        <f t="shared" ref="C102:L102" si="57">+C70-C86</f>
        <v>84.878931101936644</v>
      </c>
      <c r="D102" s="2">
        <f t="shared" si="57"/>
        <v>0</v>
      </c>
      <c r="E102" s="2">
        <f t="shared" si="57"/>
        <v>211.37761911544342</v>
      </c>
      <c r="F102" s="2">
        <f t="shared" si="57"/>
        <v>8.8671479520732728</v>
      </c>
      <c r="G102" s="2">
        <f t="shared" si="57"/>
        <v>10.35468461103569</v>
      </c>
      <c r="H102" s="2">
        <f t="shared" si="57"/>
        <v>79.924942649115863</v>
      </c>
      <c r="I102" s="2">
        <f t="shared" si="57"/>
        <v>16.69793402763219</v>
      </c>
      <c r="J102" s="2">
        <f t="shared" si="57"/>
        <v>3.7657459564724274</v>
      </c>
      <c r="K102" s="2">
        <f t="shared" si="57"/>
        <v>2.8231926980908355</v>
      </c>
      <c r="L102" s="2">
        <f t="shared" si="57"/>
        <v>0</v>
      </c>
      <c r="M102" s="6">
        <f t="shared" si="47"/>
        <v>418.69019811180033</v>
      </c>
      <c r="N102" s="2">
        <f t="shared" si="50"/>
        <v>4649.8617298382869</v>
      </c>
      <c r="O102" s="76"/>
    </row>
    <row r="103" spans="1:16" ht="15" x14ac:dyDescent="0.35">
      <c r="A103" t="s">
        <v>2</v>
      </c>
      <c r="C103" s="12">
        <f t="shared" ref="C103:L103" si="58">+C71-C87</f>
        <v>69.91943442060969</v>
      </c>
      <c r="D103" s="12">
        <f t="shared" si="58"/>
        <v>0</v>
      </c>
      <c r="E103" s="12">
        <f t="shared" si="58"/>
        <v>191.00182576978347</v>
      </c>
      <c r="F103" s="12">
        <f t="shared" si="58"/>
        <v>8.2712405503951576</v>
      </c>
      <c r="G103" s="12">
        <f t="shared" si="58"/>
        <v>10.440599917633175</v>
      </c>
      <c r="H103" s="12">
        <f t="shared" si="58"/>
        <v>75.887404531715092</v>
      </c>
      <c r="I103" s="12">
        <f t="shared" si="58"/>
        <v>17.98872067894899</v>
      </c>
      <c r="J103" s="12">
        <f t="shared" si="58"/>
        <v>3.7495100174484248</v>
      </c>
      <c r="K103" s="12">
        <f t="shared" si="58"/>
        <v>2.7585680842656268</v>
      </c>
      <c r="L103" s="12">
        <f t="shared" si="58"/>
        <v>0</v>
      </c>
      <c r="M103" s="7">
        <f t="shared" si="47"/>
        <v>380.01730397079956</v>
      </c>
      <c r="N103" s="2">
        <f t="shared" si="50"/>
        <v>5029.8790338090866</v>
      </c>
      <c r="O103" s="76"/>
    </row>
    <row r="104" spans="1:16" ht="15" x14ac:dyDescent="0.35">
      <c r="C104" s="15">
        <f t="shared" ref="C104:M104" si="59">SUM(C92:C103)</f>
        <v>1123.4876028691895</v>
      </c>
      <c r="D104" s="15">
        <f t="shared" si="59"/>
        <v>0</v>
      </c>
      <c r="E104" s="15">
        <f t="shared" si="59"/>
        <v>2453.0530840187516</v>
      </c>
      <c r="F104" s="15">
        <f t="shared" si="59"/>
        <v>102.77980574282758</v>
      </c>
      <c r="G104" s="15">
        <f t="shared" si="59"/>
        <v>129.52584776718058</v>
      </c>
      <c r="H104" s="15">
        <f t="shared" si="59"/>
        <v>915.35916164988009</v>
      </c>
      <c r="I104" s="15">
        <f t="shared" si="59"/>
        <v>218.90429894681606</v>
      </c>
      <c r="J104" s="15">
        <f t="shared" si="59"/>
        <v>49.922490803209826</v>
      </c>
      <c r="K104" s="15">
        <f t="shared" si="59"/>
        <v>36.744239445037906</v>
      </c>
      <c r="L104" s="15">
        <f t="shared" si="59"/>
        <v>0.10250256619406252</v>
      </c>
      <c r="M104" s="8">
        <f t="shared" si="59"/>
        <v>5029.8790338090866</v>
      </c>
      <c r="N104" s="8"/>
      <c r="O104" s="8"/>
      <c r="P104" s="6"/>
    </row>
    <row r="105" spans="1:16" x14ac:dyDescent="0.2"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</row>
    <row r="106" spans="1:16" x14ac:dyDescent="0.2"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</row>
    <row r="107" spans="1:16" x14ac:dyDescent="0.2">
      <c r="C107" s="288" t="s">
        <v>35</v>
      </c>
      <c r="D107" s="288"/>
      <c r="E107" s="288"/>
      <c r="F107" s="288"/>
      <c r="G107" s="288"/>
      <c r="H107" s="288"/>
      <c r="I107" s="288"/>
      <c r="J107" s="288"/>
      <c r="K107" s="288"/>
      <c r="L107" s="288"/>
    </row>
    <row r="108" spans="1:16" x14ac:dyDescent="0.2">
      <c r="C108" s="24" t="s">
        <v>36</v>
      </c>
      <c r="D108" s="24" t="s">
        <v>37</v>
      </c>
      <c r="E108" s="24"/>
      <c r="F108" s="24" t="s">
        <v>38</v>
      </c>
      <c r="G108" s="24" t="s">
        <v>39</v>
      </c>
      <c r="H108" s="24"/>
      <c r="I108" s="24"/>
      <c r="J108" s="24" t="s">
        <v>0</v>
      </c>
      <c r="K108" s="24" t="s">
        <v>0</v>
      </c>
      <c r="L108" s="24" t="s">
        <v>40</v>
      </c>
    </row>
    <row r="109" spans="1:16" x14ac:dyDescent="0.2">
      <c r="C109" s="25" t="s">
        <v>41</v>
      </c>
      <c r="D109" s="25" t="s">
        <v>42</v>
      </c>
      <c r="E109" s="25" t="s">
        <v>19</v>
      </c>
      <c r="F109" s="25" t="s">
        <v>17</v>
      </c>
      <c r="G109" s="25" t="s">
        <v>18</v>
      </c>
      <c r="H109" s="25" t="s">
        <v>11</v>
      </c>
      <c r="I109" s="25" t="s">
        <v>1</v>
      </c>
      <c r="J109" s="25" t="s">
        <v>43</v>
      </c>
      <c r="K109" s="25" t="s">
        <v>44</v>
      </c>
      <c r="L109" s="25" t="s">
        <v>45</v>
      </c>
      <c r="M109" s="30" t="s">
        <v>3</v>
      </c>
    </row>
    <row r="110" spans="1:16" x14ac:dyDescent="0.2">
      <c r="A110" s="3" t="s">
        <v>53</v>
      </c>
    </row>
    <row r="111" spans="1:16" x14ac:dyDescent="0.2">
      <c r="A111" t="s">
        <v>164</v>
      </c>
      <c r="C111" s="9">
        <f t="shared" ref="C111:L111" si="60">+C76*C42</f>
        <v>29.363149516980737</v>
      </c>
      <c r="D111" s="9">
        <f t="shared" si="60"/>
        <v>0</v>
      </c>
      <c r="E111" s="9">
        <f t="shared" si="60"/>
        <v>234.56887191294149</v>
      </c>
      <c r="F111" s="9">
        <f t="shared" si="60"/>
        <v>91.422655239514597</v>
      </c>
      <c r="G111" s="9">
        <f t="shared" si="60"/>
        <v>11.106700494336245</v>
      </c>
      <c r="H111" s="9">
        <f t="shared" si="60"/>
        <v>-52.386658913443753</v>
      </c>
      <c r="I111" s="9">
        <f t="shared" si="60"/>
        <v>22.336680636574702</v>
      </c>
      <c r="J111" s="9">
        <f t="shared" si="60"/>
        <v>39.123999086774027</v>
      </c>
      <c r="K111" s="9">
        <f t="shared" si="60"/>
        <v>2.5993174689590983</v>
      </c>
      <c r="L111" s="9">
        <f t="shared" si="60"/>
        <v>-0.13255908923271459</v>
      </c>
      <c r="M111" s="9">
        <f t="shared" ref="M111" si="61">SUM(C111:L111)</f>
        <v>378.00215635340442</v>
      </c>
    </row>
    <row r="112" spans="1:16" x14ac:dyDescent="0.2">
      <c r="A112" t="s">
        <v>165</v>
      </c>
      <c r="C112" s="9">
        <f t="shared" ref="C112:L112" si="62">+C77*C43</f>
        <v>28.254799904593323</v>
      </c>
      <c r="D112" s="9">
        <f t="shared" si="62"/>
        <v>0</v>
      </c>
      <c r="E112" s="9">
        <f t="shared" si="62"/>
        <v>203.35816609332872</v>
      </c>
      <c r="F112" s="9">
        <f t="shared" si="62"/>
        <v>106.42560852808117</v>
      </c>
      <c r="G112" s="9">
        <f t="shared" si="62"/>
        <v>11.446589520377822</v>
      </c>
      <c r="H112" s="9">
        <f t="shared" si="62"/>
        <v>-60.516980280188925</v>
      </c>
      <c r="I112" s="9">
        <f t="shared" si="62"/>
        <v>13.168706016638097</v>
      </c>
      <c r="J112" s="9">
        <f t="shared" si="62"/>
        <v>44.114663931572508</v>
      </c>
      <c r="K112" s="9">
        <f t="shared" si="62"/>
        <v>2.6627914780479274</v>
      </c>
      <c r="L112" s="9">
        <f t="shared" si="62"/>
        <v>-0.14447838376771036</v>
      </c>
      <c r="M112" s="9">
        <f t="shared" ref="M112:M122" si="63">SUM(C112:L112)</f>
        <v>348.76986680868299</v>
      </c>
      <c r="N112" s="158">
        <f>+M112+M111</f>
        <v>726.77202316208741</v>
      </c>
    </row>
    <row r="113" spans="1:14" x14ac:dyDescent="0.2">
      <c r="A113" t="s">
        <v>166</v>
      </c>
      <c r="C113" s="9">
        <f t="shared" ref="C113:L113" si="64">+C78*C44</f>
        <v>48.137892202783249</v>
      </c>
      <c r="D113" s="9">
        <f t="shared" si="64"/>
        <v>0</v>
      </c>
      <c r="E113" s="9">
        <f t="shared" si="64"/>
        <v>198.29486446900785</v>
      </c>
      <c r="F113" s="9">
        <f t="shared" si="64"/>
        <v>101.14467412486276</v>
      </c>
      <c r="G113" s="9">
        <f t="shared" si="64"/>
        <v>11.751417008344516</v>
      </c>
      <c r="H113" s="9">
        <f t="shared" si="64"/>
        <v>-54.475672296767108</v>
      </c>
      <c r="I113" s="9">
        <f t="shared" si="64"/>
        <v>9.68527837362101</v>
      </c>
      <c r="J113" s="9">
        <f t="shared" si="64"/>
        <v>42.677930891092558</v>
      </c>
      <c r="K113" s="9">
        <f t="shared" si="64"/>
        <v>2.2654694470102306</v>
      </c>
      <c r="L113" s="9">
        <f t="shared" si="64"/>
        <v>0</v>
      </c>
      <c r="M113" s="9">
        <f t="shared" si="63"/>
        <v>359.48185421995504</v>
      </c>
      <c r="N113" s="158">
        <f>+M113+N112</f>
        <v>1086.2538773820424</v>
      </c>
    </row>
    <row r="114" spans="1:14" x14ac:dyDescent="0.2">
      <c r="A114" t="s">
        <v>167</v>
      </c>
      <c r="C114" s="9">
        <f t="shared" ref="C114:L114" si="65">+C79*C45</f>
        <v>67.284357975496391</v>
      </c>
      <c r="D114" s="9">
        <f t="shared" si="65"/>
        <v>0</v>
      </c>
      <c r="E114" s="9">
        <f t="shared" si="65"/>
        <v>240.96988141841322</v>
      </c>
      <c r="F114" s="9">
        <f t="shared" si="65"/>
        <v>104.78390926370946</v>
      </c>
      <c r="G114" s="9">
        <f t="shared" si="65"/>
        <v>15.090391129254654</v>
      </c>
      <c r="H114" s="9">
        <f t="shared" si="65"/>
        <v>-54.392411186180276</v>
      </c>
      <c r="I114" s="9">
        <f t="shared" si="65"/>
        <v>5.7248871740072502</v>
      </c>
      <c r="J114" s="9">
        <f t="shared" si="65"/>
        <v>60.891467065868277</v>
      </c>
      <c r="K114" s="9">
        <f t="shared" si="65"/>
        <v>3.8041876772770258</v>
      </c>
      <c r="L114" s="9">
        <f t="shared" si="65"/>
        <v>0</v>
      </c>
      <c r="M114" s="9">
        <f t="shared" si="63"/>
        <v>444.15667051784601</v>
      </c>
      <c r="N114" s="158">
        <f t="shared" ref="N114:N122" si="66">+M114+N113</f>
        <v>1530.4105478998886</v>
      </c>
    </row>
    <row r="115" spans="1:14" x14ac:dyDescent="0.2">
      <c r="A115" t="s">
        <v>168</v>
      </c>
      <c r="C115" s="9">
        <f t="shared" ref="C115:L115" si="67">+C80*C46</f>
        <v>71.321565065500678</v>
      </c>
      <c r="D115" s="9">
        <f t="shared" si="67"/>
        <v>0</v>
      </c>
      <c r="E115" s="9">
        <f t="shared" si="67"/>
        <v>255.29040375286738</v>
      </c>
      <c r="F115" s="9">
        <f t="shared" si="67"/>
        <v>91.245182316092595</v>
      </c>
      <c r="G115" s="9">
        <f t="shared" si="67"/>
        <v>14.390407360417395</v>
      </c>
      <c r="H115" s="9">
        <f t="shared" si="67"/>
        <v>-47.137078392411439</v>
      </c>
      <c r="I115" s="9">
        <f t="shared" si="67"/>
        <v>5.4996732795510344</v>
      </c>
      <c r="J115" s="9">
        <f t="shared" si="67"/>
        <v>73.289763703963516</v>
      </c>
      <c r="K115" s="9">
        <f t="shared" si="67"/>
        <v>9.6918261960715526</v>
      </c>
      <c r="L115" s="9">
        <f t="shared" si="67"/>
        <v>0</v>
      </c>
      <c r="M115" s="9">
        <f t="shared" si="63"/>
        <v>473.59174328205262</v>
      </c>
      <c r="N115" s="158">
        <f t="shared" si="66"/>
        <v>2004.0022911819412</v>
      </c>
    </row>
    <row r="116" spans="1:14" x14ac:dyDescent="0.2">
      <c r="A116" t="s">
        <v>169</v>
      </c>
      <c r="C116" s="9">
        <f t="shared" ref="C116:L116" si="68">+C81*C47</f>
        <v>81.829402543588301</v>
      </c>
      <c r="D116" s="9">
        <f t="shared" si="68"/>
        <v>0</v>
      </c>
      <c r="E116" s="9">
        <f t="shared" si="68"/>
        <v>279.14235177333933</v>
      </c>
      <c r="F116" s="9">
        <f t="shared" si="68"/>
        <v>110.50271583723254</v>
      </c>
      <c r="G116" s="9">
        <f t="shared" si="68"/>
        <v>18.304964042357707</v>
      </c>
      <c r="H116" s="9">
        <f t="shared" si="68"/>
        <v>-56.686787829590259</v>
      </c>
      <c r="I116" s="9">
        <f t="shared" si="68"/>
        <v>8.2149728347643673</v>
      </c>
      <c r="J116" s="9">
        <f t="shared" si="68"/>
        <v>75.025890364983923</v>
      </c>
      <c r="K116" s="9">
        <f t="shared" si="68"/>
        <v>11.870534708432384</v>
      </c>
      <c r="L116" s="9">
        <f t="shared" si="68"/>
        <v>0</v>
      </c>
      <c r="M116" s="9">
        <f t="shared" si="63"/>
        <v>528.20404427510834</v>
      </c>
      <c r="N116" s="158">
        <f t="shared" si="66"/>
        <v>2532.2063354570496</v>
      </c>
    </row>
    <row r="117" spans="1:14" x14ac:dyDescent="0.2">
      <c r="A117" t="s">
        <v>7</v>
      </c>
      <c r="C117" s="9">
        <f t="shared" ref="C117:L117" si="69">+C82*C48</f>
        <v>92.595161418108034</v>
      </c>
      <c r="D117" s="9">
        <f t="shared" si="69"/>
        <v>0</v>
      </c>
      <c r="E117" s="9">
        <f t="shared" si="69"/>
        <v>334.39009384750807</v>
      </c>
      <c r="F117" s="9">
        <f t="shared" si="69"/>
        <v>135.14117062540049</v>
      </c>
      <c r="G117" s="9">
        <f t="shared" si="69"/>
        <v>23.700564737875617</v>
      </c>
      <c r="H117" s="9">
        <f t="shared" si="69"/>
        <v>-63.777065723777625</v>
      </c>
      <c r="I117" s="9">
        <f t="shared" si="69"/>
        <v>8.9457325689247185</v>
      </c>
      <c r="J117" s="9">
        <f t="shared" si="69"/>
        <v>71.212190451261648</v>
      </c>
      <c r="K117" s="9">
        <f t="shared" si="69"/>
        <v>12.577642288765572</v>
      </c>
      <c r="L117" s="9">
        <f t="shared" si="69"/>
        <v>0</v>
      </c>
      <c r="M117" s="9">
        <f t="shared" si="63"/>
        <v>614.78549021406673</v>
      </c>
      <c r="N117" s="158">
        <f t="shared" si="66"/>
        <v>3146.9918256711162</v>
      </c>
    </row>
    <row r="118" spans="1:14" x14ac:dyDescent="0.2">
      <c r="A118" t="s">
        <v>32</v>
      </c>
      <c r="C118" s="9">
        <f t="shared" ref="C118:L118" si="70">+C83*C49</f>
        <v>75.575364278850344</v>
      </c>
      <c r="D118" s="9">
        <f t="shared" si="70"/>
        <v>0</v>
      </c>
      <c r="E118" s="9">
        <f t="shared" si="70"/>
        <v>389.50213123064606</v>
      </c>
      <c r="F118" s="9">
        <f t="shared" si="70"/>
        <v>120.77725517492908</v>
      </c>
      <c r="G118" s="9">
        <f t="shared" si="70"/>
        <v>33.342172796638188</v>
      </c>
      <c r="H118" s="9">
        <f t="shared" si="70"/>
        <v>-53.997110625084836</v>
      </c>
      <c r="I118" s="9">
        <f t="shared" si="70"/>
        <v>11.526710574396631</v>
      </c>
      <c r="J118" s="9">
        <f t="shared" si="70"/>
        <v>70.555215681497856</v>
      </c>
      <c r="K118" s="9">
        <f t="shared" si="70"/>
        <v>9.9873685465207345</v>
      </c>
      <c r="L118" s="9">
        <f t="shared" si="70"/>
        <v>0</v>
      </c>
      <c r="M118" s="9">
        <f t="shared" si="63"/>
        <v>657.2691076583942</v>
      </c>
      <c r="N118" s="158">
        <f t="shared" si="66"/>
        <v>3804.2609333295104</v>
      </c>
    </row>
    <row r="119" spans="1:14" x14ac:dyDescent="0.2">
      <c r="A119" t="s">
        <v>10</v>
      </c>
      <c r="C119" s="9">
        <f t="shared" ref="C119:L119" si="71">+C84*C50</f>
        <v>61.750504851685861</v>
      </c>
      <c r="D119" s="9">
        <f t="shared" si="71"/>
        <v>0</v>
      </c>
      <c r="E119" s="9">
        <f t="shared" si="71"/>
        <v>247.97125034805353</v>
      </c>
      <c r="F119" s="9">
        <f t="shared" si="71"/>
        <v>94.68935057732034</v>
      </c>
      <c r="G119" s="9">
        <f t="shared" si="71"/>
        <v>20.19889909684715</v>
      </c>
      <c r="H119" s="9">
        <f t="shared" si="71"/>
        <v>-53.551278658689881</v>
      </c>
      <c r="I119" s="9">
        <f t="shared" si="71"/>
        <v>12.919935859085934</v>
      </c>
      <c r="J119" s="9">
        <f t="shared" si="71"/>
        <v>43.544471353379549</v>
      </c>
      <c r="K119" s="9">
        <f t="shared" si="71"/>
        <v>15.715977570483089</v>
      </c>
      <c r="L119" s="9">
        <f t="shared" si="71"/>
        <v>0</v>
      </c>
      <c r="M119" s="9">
        <f t="shared" si="63"/>
        <v>443.23911099816553</v>
      </c>
      <c r="N119" s="158">
        <f t="shared" si="66"/>
        <v>4247.5000443276758</v>
      </c>
    </row>
    <row r="120" spans="1:14" x14ac:dyDescent="0.2">
      <c r="A120" t="s">
        <v>8</v>
      </c>
      <c r="C120" s="9">
        <f t="shared" ref="C120:L120" si="72">+C85*C51</f>
        <v>88.145455939400236</v>
      </c>
      <c r="D120" s="9">
        <f t="shared" si="72"/>
        <v>0</v>
      </c>
      <c r="E120" s="9">
        <f t="shared" si="72"/>
        <v>286.45880298036735</v>
      </c>
      <c r="F120" s="9">
        <f t="shared" si="72"/>
        <v>145.2562941375117</v>
      </c>
      <c r="G120" s="9">
        <f t="shared" si="72"/>
        <v>30.695486786588155</v>
      </c>
      <c r="H120" s="9">
        <f t="shared" si="72"/>
        <v>-57.505783900269805</v>
      </c>
      <c r="I120" s="9">
        <f t="shared" si="72"/>
        <v>16.909473586178276</v>
      </c>
      <c r="J120" s="9">
        <f t="shared" si="72"/>
        <v>93.862130813531195</v>
      </c>
      <c r="K120" s="9">
        <f t="shared" si="72"/>
        <v>12.7304606827851</v>
      </c>
      <c r="L120" s="9">
        <f t="shared" si="72"/>
        <v>0</v>
      </c>
      <c r="M120" s="9">
        <f t="shared" si="63"/>
        <v>616.55232102609216</v>
      </c>
      <c r="N120" s="158">
        <f t="shared" si="66"/>
        <v>4864.0523653537675</v>
      </c>
    </row>
    <row r="121" spans="1:14" x14ac:dyDescent="0.2">
      <c r="A121" t="s">
        <v>9</v>
      </c>
      <c r="C121" s="9">
        <f t="shared" ref="C121:L121" si="73">+C86*C52</f>
        <v>85.106508165053341</v>
      </c>
      <c r="D121" s="9">
        <f t="shared" si="73"/>
        <v>0</v>
      </c>
      <c r="E121" s="9">
        <f t="shared" si="73"/>
        <v>326.75358747722919</v>
      </c>
      <c r="F121" s="9">
        <f t="shared" si="73"/>
        <v>158.45427103241798</v>
      </c>
      <c r="G121" s="9">
        <f t="shared" si="73"/>
        <v>25.452371082374167</v>
      </c>
      <c r="H121" s="9">
        <f t="shared" si="73"/>
        <v>-58.340752105627821</v>
      </c>
      <c r="I121" s="9">
        <f t="shared" si="73"/>
        <v>35.418577752478818</v>
      </c>
      <c r="J121" s="9">
        <f t="shared" si="73"/>
        <v>78.330569718007297</v>
      </c>
      <c r="K121" s="9">
        <f t="shared" si="73"/>
        <v>15.45386778478511</v>
      </c>
      <c r="L121" s="9">
        <f t="shared" si="73"/>
        <v>0</v>
      </c>
      <c r="M121" s="9">
        <f t="shared" si="63"/>
        <v>666.62900090671792</v>
      </c>
      <c r="N121" s="158">
        <f t="shared" si="66"/>
        <v>5530.6813662604854</v>
      </c>
    </row>
    <row r="122" spans="1:14" ht="15" x14ac:dyDescent="0.35">
      <c r="A122" t="s">
        <v>2</v>
      </c>
      <c r="C122" s="10">
        <f t="shared" ref="C122:L122" si="74">+C87*C53</f>
        <v>73.092210377871311</v>
      </c>
      <c r="D122" s="10">
        <f t="shared" si="74"/>
        <v>0</v>
      </c>
      <c r="E122" s="10">
        <f t="shared" si="74"/>
        <v>320.89758846600131</v>
      </c>
      <c r="F122" s="10">
        <f t="shared" si="74"/>
        <v>158.0129745694345</v>
      </c>
      <c r="G122" s="10">
        <f t="shared" si="74"/>
        <v>28.523951811464642</v>
      </c>
      <c r="H122" s="10">
        <f t="shared" si="74"/>
        <v>-55.39357438341888</v>
      </c>
      <c r="I122" s="10">
        <f t="shared" si="74"/>
        <v>49.234207636251675</v>
      </c>
      <c r="J122" s="10">
        <f t="shared" si="74"/>
        <v>84.150179205583498</v>
      </c>
      <c r="K122" s="10">
        <f t="shared" si="74"/>
        <v>24.16019082418147</v>
      </c>
      <c r="L122" s="10">
        <f t="shared" si="74"/>
        <v>0</v>
      </c>
      <c r="M122" s="10">
        <f t="shared" si="63"/>
        <v>682.67772850736935</v>
      </c>
      <c r="N122" s="158">
        <f t="shared" si="66"/>
        <v>6213.3590947678549</v>
      </c>
    </row>
    <row r="123" spans="1:14" ht="15" x14ac:dyDescent="0.35">
      <c r="C123" s="11">
        <f t="shared" ref="C123:M123" si="75">SUM(C111:C122)</f>
        <v>802.45637223991173</v>
      </c>
      <c r="D123" s="11">
        <f t="shared" si="75"/>
        <v>0</v>
      </c>
      <c r="E123" s="11">
        <f t="shared" si="75"/>
        <v>3317.5979937697039</v>
      </c>
      <c r="F123" s="11">
        <f t="shared" si="75"/>
        <v>1417.856061426507</v>
      </c>
      <c r="G123" s="11">
        <f t="shared" si="75"/>
        <v>244.00391586687624</v>
      </c>
      <c r="H123" s="11">
        <f t="shared" si="75"/>
        <v>-668.16115429545061</v>
      </c>
      <c r="I123" s="11">
        <f t="shared" si="75"/>
        <v>199.58483629247252</v>
      </c>
      <c r="J123" s="11">
        <f t="shared" si="75"/>
        <v>776.77847226751589</v>
      </c>
      <c r="K123" s="11">
        <f t="shared" si="75"/>
        <v>123.51963467331929</v>
      </c>
      <c r="L123" s="11">
        <f t="shared" si="75"/>
        <v>-0.27703747300042492</v>
      </c>
      <c r="M123" s="11">
        <f t="shared" si="75"/>
        <v>6213.3590947678549</v>
      </c>
    </row>
    <row r="124" spans="1:14" ht="15" x14ac:dyDescent="0.35">
      <c r="C124" s="15"/>
      <c r="D124" s="15"/>
      <c r="E124" s="15"/>
      <c r="F124" s="15"/>
      <c r="G124" s="15"/>
      <c r="H124" s="15"/>
      <c r="I124" s="15"/>
      <c r="J124" s="15"/>
      <c r="K124" s="15"/>
      <c r="L124" s="15"/>
    </row>
    <row r="126" spans="1:14" x14ac:dyDescent="0.2">
      <c r="A126" s="3" t="s">
        <v>54</v>
      </c>
    </row>
    <row r="127" spans="1:14" x14ac:dyDescent="0.2">
      <c r="A127" t="s">
        <v>164</v>
      </c>
      <c r="C127" s="9">
        <f t="shared" ref="C127:L127" si="76">+C92*C42</f>
        <v>2145.6849628519631</v>
      </c>
      <c r="D127" s="9">
        <f t="shared" si="76"/>
        <v>0</v>
      </c>
      <c r="E127" s="9">
        <f t="shared" si="76"/>
        <v>17140.903121638279</v>
      </c>
      <c r="F127" s="9">
        <f t="shared" si="76"/>
        <v>6680.6258810208255</v>
      </c>
      <c r="G127" s="9">
        <f t="shared" si="76"/>
        <v>811.6118546416817</v>
      </c>
      <c r="H127" s="9">
        <f t="shared" si="76"/>
        <v>-3828.1065939342411</v>
      </c>
      <c r="I127" s="9">
        <f t="shared" si="76"/>
        <v>1632.2322554059961</v>
      </c>
      <c r="J127" s="9">
        <f t="shared" si="76"/>
        <v>2858.9500073409317</v>
      </c>
      <c r="K127" s="9">
        <f t="shared" si="76"/>
        <v>189.94271726875186</v>
      </c>
      <c r="L127" s="9">
        <f t="shared" si="76"/>
        <v>-9.6866327057831807</v>
      </c>
      <c r="M127" s="9">
        <f t="shared" ref="M127" si="77">SUM(C127:L127)</f>
        <v>27622.157573528402</v>
      </c>
    </row>
    <row r="128" spans="1:14" x14ac:dyDescent="0.2">
      <c r="A128" t="s">
        <v>165</v>
      </c>
      <c r="C128" s="9">
        <f t="shared" ref="C128:L128" si="78">+C93*C43</f>
        <v>2064.6933411763935</v>
      </c>
      <c r="D128" s="9">
        <f t="shared" si="78"/>
        <v>0</v>
      </c>
      <c r="E128" s="9">
        <f t="shared" si="78"/>
        <v>14860.209692671762</v>
      </c>
      <c r="F128" s="9">
        <f t="shared" si="78"/>
        <v>7776.9528009594133</v>
      </c>
      <c r="G128" s="9">
        <f t="shared" si="78"/>
        <v>836.44893050760902</v>
      </c>
      <c r="H128" s="9">
        <f t="shared" si="78"/>
        <v>-4422.2222997338058</v>
      </c>
      <c r="I128" s="9">
        <f t="shared" si="78"/>
        <v>962.29099891951728</v>
      </c>
      <c r="J128" s="9">
        <f t="shared" si="78"/>
        <v>3223.6382198886131</v>
      </c>
      <c r="K128" s="9">
        <f t="shared" si="78"/>
        <v>194.58102171068745</v>
      </c>
      <c r="L128" s="9">
        <f t="shared" si="78"/>
        <v>-10.557624117544167</v>
      </c>
      <c r="M128" s="9">
        <f t="shared" ref="M128:M138" si="79">SUM(C128:L128)</f>
        <v>25486.035081982649</v>
      </c>
      <c r="N128" s="158">
        <f>+M128+M127</f>
        <v>53108.192655511055</v>
      </c>
    </row>
    <row r="129" spans="1:16" x14ac:dyDescent="0.2">
      <c r="A129" t="s">
        <v>166</v>
      </c>
      <c r="C129" s="9">
        <f t="shared" ref="C129:L129" si="80">+C94*C44</f>
        <v>3517.6319005959754</v>
      </c>
      <c r="D129" s="9">
        <f t="shared" si="80"/>
        <v>0</v>
      </c>
      <c r="E129" s="9">
        <f t="shared" si="80"/>
        <v>14490.21361471676</v>
      </c>
      <c r="F129" s="9">
        <f t="shared" si="80"/>
        <v>7391.0534091983045</v>
      </c>
      <c r="G129" s="9">
        <f t="shared" si="80"/>
        <v>858.72391694310102</v>
      </c>
      <c r="H129" s="9">
        <f t="shared" si="80"/>
        <v>-3980.7593126489446</v>
      </c>
      <c r="I129" s="9">
        <f t="shared" si="80"/>
        <v>707.74274930200932</v>
      </c>
      <c r="J129" s="9">
        <f t="shared" si="80"/>
        <v>3118.6502832639117</v>
      </c>
      <c r="K129" s="9">
        <f t="shared" si="80"/>
        <v>165.5470821833772</v>
      </c>
      <c r="L129" s="9">
        <f t="shared" si="80"/>
        <v>0</v>
      </c>
      <c r="M129" s="9">
        <f t="shared" si="79"/>
        <v>26268.803643554496</v>
      </c>
      <c r="N129" s="158">
        <f>+M129+N128</f>
        <v>79376.996299065548</v>
      </c>
    </row>
    <row r="130" spans="1:16" x14ac:dyDescent="0.2">
      <c r="A130" t="s">
        <v>167</v>
      </c>
      <c r="C130" s="9">
        <f t="shared" ref="C130:L130" si="81">+C95*C45</f>
        <v>4916.7421587279405</v>
      </c>
      <c r="D130" s="9">
        <f t="shared" si="81"/>
        <v>0</v>
      </c>
      <c r="E130" s="9">
        <f t="shared" si="81"/>
        <v>17608.650964389974</v>
      </c>
      <c r="F130" s="9">
        <f t="shared" si="81"/>
        <v>7656.9871473073626</v>
      </c>
      <c r="G130" s="9">
        <f t="shared" si="81"/>
        <v>1102.7163591859046</v>
      </c>
      <c r="H130" s="9">
        <f t="shared" si="81"/>
        <v>-3974.6750840864333</v>
      </c>
      <c r="I130" s="9">
        <f t="shared" si="81"/>
        <v>418.34082941912237</v>
      </c>
      <c r="J130" s="9">
        <f t="shared" si="81"/>
        <v>4449.5875748503004</v>
      </c>
      <c r="K130" s="9">
        <f t="shared" si="81"/>
        <v>277.98749212102121</v>
      </c>
      <c r="L130" s="9">
        <f t="shared" si="81"/>
        <v>0</v>
      </c>
      <c r="M130" s="9">
        <f t="shared" si="79"/>
        <v>32456.337441915195</v>
      </c>
      <c r="N130" s="158">
        <f t="shared" ref="N130:N138" si="82">+M130+N129</f>
        <v>111833.33374098074</v>
      </c>
    </row>
    <row r="131" spans="1:16" x14ac:dyDescent="0.2">
      <c r="A131" t="s">
        <v>168</v>
      </c>
      <c r="C131" s="9">
        <f t="shared" ref="C131:L131" si="83">+C96*C46</f>
        <v>5211.7573286752904</v>
      </c>
      <c r="D131" s="9">
        <f t="shared" si="83"/>
        <v>0</v>
      </c>
      <c r="E131" s="9">
        <f t="shared" si="83"/>
        <v>18655.109874237311</v>
      </c>
      <c r="F131" s="9">
        <f t="shared" si="83"/>
        <v>6667.6572114685432</v>
      </c>
      <c r="G131" s="9">
        <f t="shared" si="83"/>
        <v>1051.5656934112415</v>
      </c>
      <c r="H131" s="9">
        <f t="shared" si="83"/>
        <v>-3444.4983580825096</v>
      </c>
      <c r="I131" s="9">
        <f t="shared" si="83"/>
        <v>401.88353261311818</v>
      </c>
      <c r="J131" s="9">
        <f t="shared" si="83"/>
        <v>5355.5816217748143</v>
      </c>
      <c r="K131" s="9">
        <f t="shared" si="83"/>
        <v>708.22122536478435</v>
      </c>
      <c r="L131" s="9">
        <f t="shared" si="83"/>
        <v>0</v>
      </c>
      <c r="M131" s="9">
        <f t="shared" si="79"/>
        <v>34607.278129462597</v>
      </c>
      <c r="N131" s="158">
        <f t="shared" si="82"/>
        <v>146440.61187044333</v>
      </c>
    </row>
    <row r="132" spans="1:16" x14ac:dyDescent="0.2">
      <c r="A132" t="s">
        <v>169</v>
      </c>
      <c r="C132" s="9">
        <f t="shared" ref="C132:L132" si="84">+C97*C47</f>
        <v>5979.6078229073964</v>
      </c>
      <c r="D132" s="9">
        <f t="shared" si="84"/>
        <v>0</v>
      </c>
      <c r="E132" s="9">
        <f t="shared" si="84"/>
        <v>20398.068890696242</v>
      </c>
      <c r="F132" s="9">
        <f t="shared" si="84"/>
        <v>8074.8836424762894</v>
      </c>
      <c r="G132" s="9">
        <f t="shared" si="84"/>
        <v>1337.6182983545095</v>
      </c>
      <c r="H132" s="9">
        <f t="shared" si="84"/>
        <v>-4142.3345328807991</v>
      </c>
      <c r="I132" s="9">
        <f t="shared" si="84"/>
        <v>600.30153344407756</v>
      </c>
      <c r="J132" s="9">
        <f t="shared" si="84"/>
        <v>5482.4474700041956</v>
      </c>
      <c r="K132" s="9">
        <f t="shared" si="84"/>
        <v>867.42833258285543</v>
      </c>
      <c r="L132" s="9">
        <f t="shared" si="84"/>
        <v>0</v>
      </c>
      <c r="M132" s="9">
        <f t="shared" si="79"/>
        <v>38598.021457584771</v>
      </c>
      <c r="N132" s="158">
        <f t="shared" si="82"/>
        <v>185038.63332802811</v>
      </c>
    </row>
    <row r="133" spans="1:16" x14ac:dyDescent="0.2">
      <c r="A133" t="s">
        <v>7</v>
      </c>
      <c r="C133" s="9">
        <f t="shared" ref="C133:L133" si="85">+C98*C48</f>
        <v>6766.3056843676723</v>
      </c>
      <c r="D133" s="9">
        <f t="shared" si="85"/>
        <v>0</v>
      </c>
      <c r="E133" s="9">
        <f t="shared" si="85"/>
        <v>24435.246487449389</v>
      </c>
      <c r="F133" s="9">
        <f t="shared" si="85"/>
        <v>9875.3159127375984</v>
      </c>
      <c r="G133" s="9">
        <f t="shared" si="85"/>
        <v>1731.8968232529105</v>
      </c>
      <c r="H133" s="9">
        <f t="shared" si="85"/>
        <v>-4660.4500249264156</v>
      </c>
      <c r="I133" s="9">
        <f t="shared" si="85"/>
        <v>653.70112438846195</v>
      </c>
      <c r="J133" s="9">
        <f t="shared" si="85"/>
        <v>5203.7648800125644</v>
      </c>
      <c r="K133" s="9">
        <f t="shared" si="85"/>
        <v>919.09956428646205</v>
      </c>
      <c r="L133" s="9">
        <f t="shared" si="85"/>
        <v>0</v>
      </c>
      <c r="M133" s="9">
        <f t="shared" si="79"/>
        <v>44924.880451568642</v>
      </c>
      <c r="N133" s="158">
        <f t="shared" si="82"/>
        <v>229963.51377959675</v>
      </c>
    </row>
    <row r="134" spans="1:16" x14ac:dyDescent="0.2">
      <c r="A134" t="s">
        <v>32</v>
      </c>
      <c r="C134" s="9">
        <f t="shared" ref="C134:L134" si="86">+C99*C49</f>
        <v>5522.5997674878417</v>
      </c>
      <c r="D134" s="9">
        <f t="shared" si="86"/>
        <v>0</v>
      </c>
      <c r="E134" s="9">
        <f t="shared" si="86"/>
        <v>28462.507589557954</v>
      </c>
      <c r="F134" s="9">
        <f t="shared" si="86"/>
        <v>8825.6860911161148</v>
      </c>
      <c r="G134" s="9">
        <f t="shared" si="86"/>
        <v>2436.4484047321166</v>
      </c>
      <c r="H134" s="9">
        <f t="shared" si="86"/>
        <v>-3945.7888616034215</v>
      </c>
      <c r="I134" s="9">
        <f t="shared" si="86"/>
        <v>842.30370234387237</v>
      </c>
      <c r="J134" s="9">
        <f t="shared" si="86"/>
        <v>5155.7570570220469</v>
      </c>
      <c r="K134" s="9">
        <f t="shared" si="86"/>
        <v>729.81770897353363</v>
      </c>
      <c r="L134" s="9">
        <f t="shared" si="86"/>
        <v>0</v>
      </c>
      <c r="M134" s="9">
        <f t="shared" si="79"/>
        <v>48029.331459630055</v>
      </c>
      <c r="N134" s="158">
        <f t="shared" si="82"/>
        <v>277992.84523922682</v>
      </c>
    </row>
    <row r="135" spans="1:16" x14ac:dyDescent="0.2">
      <c r="A135" t="s">
        <v>10</v>
      </c>
      <c r="C135" s="9">
        <f t="shared" ref="C135:L135" si="87">+C100*C50</f>
        <v>4512.3609656435628</v>
      </c>
      <c r="D135" s="9">
        <f t="shared" si="87"/>
        <v>0</v>
      </c>
      <c r="E135" s="9">
        <f t="shared" si="87"/>
        <v>18120.269516174434</v>
      </c>
      <c r="F135" s="9">
        <f t="shared" si="87"/>
        <v>6919.336618113075</v>
      </c>
      <c r="G135" s="9">
        <f t="shared" si="87"/>
        <v>1476.0158488177565</v>
      </c>
      <c r="H135" s="9">
        <f t="shared" si="87"/>
        <v>-3913.2101034664865</v>
      </c>
      <c r="I135" s="9">
        <f t="shared" si="87"/>
        <v>944.11234999913131</v>
      </c>
      <c r="J135" s="9">
        <f t="shared" si="87"/>
        <v>3181.9719251932529</v>
      </c>
      <c r="K135" s="9">
        <f t="shared" si="87"/>
        <v>1148.4305091319679</v>
      </c>
      <c r="L135" s="9">
        <f t="shared" si="87"/>
        <v>0</v>
      </c>
      <c r="M135" s="9">
        <f t="shared" si="79"/>
        <v>32389.28762960669</v>
      </c>
      <c r="N135" s="158">
        <f t="shared" si="82"/>
        <v>310382.13286883349</v>
      </c>
    </row>
    <row r="136" spans="1:16" x14ac:dyDescent="0.2">
      <c r="A136" t="s">
        <v>8</v>
      </c>
      <c r="C136" s="9">
        <f t="shared" ref="C136:L136" si="88">+C101*C51</f>
        <v>6441.147576608766</v>
      </c>
      <c r="D136" s="9">
        <f t="shared" si="88"/>
        <v>0</v>
      </c>
      <c r="E136" s="9">
        <f t="shared" si="88"/>
        <v>20932.711788157958</v>
      </c>
      <c r="F136" s="9">
        <f t="shared" si="88"/>
        <v>10614.469197530021</v>
      </c>
      <c r="G136" s="9">
        <f t="shared" si="88"/>
        <v>2243.044275182905</v>
      </c>
      <c r="H136" s="9">
        <f t="shared" si="88"/>
        <v>-4202.181912416012</v>
      </c>
      <c r="I136" s="9">
        <f t="shared" si="88"/>
        <v>1235.6441253899902</v>
      </c>
      <c r="J136" s="9">
        <f t="shared" si="88"/>
        <v>6858.8882998184108</v>
      </c>
      <c r="K136" s="9">
        <f t="shared" si="88"/>
        <v>930.26662693092612</v>
      </c>
      <c r="L136" s="9">
        <f t="shared" si="88"/>
        <v>0</v>
      </c>
      <c r="M136" s="9">
        <f t="shared" si="79"/>
        <v>45053.989977202968</v>
      </c>
      <c r="N136" s="158">
        <f t="shared" si="82"/>
        <v>355436.12284603645</v>
      </c>
    </row>
    <row r="137" spans="1:16" x14ac:dyDescent="0.2">
      <c r="A137" t="s">
        <v>9</v>
      </c>
      <c r="C137" s="9">
        <f t="shared" ref="C137:L137" si="89">+C102*C52</f>
        <v>6219.0792818388973</v>
      </c>
      <c r="D137" s="9">
        <f t="shared" si="89"/>
        <v>0</v>
      </c>
      <c r="E137" s="9">
        <f t="shared" si="89"/>
        <v>23877.215855280487</v>
      </c>
      <c r="F137" s="9">
        <f t="shared" si="89"/>
        <v>11578.89913877632</v>
      </c>
      <c r="G137" s="9">
        <f t="shared" si="89"/>
        <v>1859.9084498342306</v>
      </c>
      <c r="H137" s="9">
        <f t="shared" si="89"/>
        <v>-4263.1964409038401</v>
      </c>
      <c r="I137" s="9">
        <f t="shared" si="89"/>
        <v>2588.1797742829895</v>
      </c>
      <c r="J137" s="9">
        <f t="shared" si="89"/>
        <v>5723.9338538380898</v>
      </c>
      <c r="K137" s="9">
        <f t="shared" si="89"/>
        <v>1129.2770792363342</v>
      </c>
      <c r="L137" s="9">
        <f t="shared" si="89"/>
        <v>0</v>
      </c>
      <c r="M137" s="9">
        <f t="shared" si="79"/>
        <v>48713.296992183503</v>
      </c>
      <c r="N137" s="158">
        <f t="shared" si="82"/>
        <v>404149.41983821994</v>
      </c>
    </row>
    <row r="138" spans="1:16" ht="15" x14ac:dyDescent="0.35">
      <c r="A138" t="s">
        <v>2</v>
      </c>
      <c r="C138" s="10">
        <f t="shared" ref="C138:L138" si="90">+C103*C53</f>
        <v>5341.1455953903742</v>
      </c>
      <c r="D138" s="10">
        <f t="shared" si="90"/>
        <v>0</v>
      </c>
      <c r="E138" s="10">
        <f t="shared" si="90"/>
        <v>23449.294149756315</v>
      </c>
      <c r="F138" s="10">
        <f t="shared" si="90"/>
        <v>11546.65180835164</v>
      </c>
      <c r="G138" s="10">
        <f t="shared" si="90"/>
        <v>2084.361367556287</v>
      </c>
      <c r="H138" s="10">
        <f t="shared" si="90"/>
        <v>-4047.8341577216834</v>
      </c>
      <c r="I138" s="10">
        <f t="shared" si="90"/>
        <v>3597.7441357897978</v>
      </c>
      <c r="J138" s="10">
        <f t="shared" si="90"/>
        <v>6149.1964286154171</v>
      </c>
      <c r="K138" s="10">
        <f t="shared" si="90"/>
        <v>1765.4835739300011</v>
      </c>
      <c r="L138" s="10">
        <f t="shared" si="90"/>
        <v>0</v>
      </c>
      <c r="M138" s="10">
        <f t="shared" si="79"/>
        <v>49886.042901668152</v>
      </c>
      <c r="N138" s="158">
        <f t="shared" si="82"/>
        <v>454035.46273988811</v>
      </c>
    </row>
    <row r="139" spans="1:16" ht="15" x14ac:dyDescent="0.35">
      <c r="C139" s="11">
        <f t="shared" ref="C139:M139" si="91">SUM(C127:C138)</f>
        <v>58638.756386272071</v>
      </c>
      <c r="D139" s="11">
        <f t="shared" si="91"/>
        <v>0</v>
      </c>
      <c r="E139" s="11">
        <f t="shared" si="91"/>
        <v>242430.40154472686</v>
      </c>
      <c r="F139" s="11">
        <f t="shared" si="91"/>
        <v>103608.51885905552</v>
      </c>
      <c r="G139" s="11">
        <f t="shared" si="91"/>
        <v>17830.360222420255</v>
      </c>
      <c r="H139" s="11">
        <f t="shared" si="91"/>
        <v>-48825.257682404597</v>
      </c>
      <c r="I139" s="11">
        <f t="shared" si="91"/>
        <v>14584.477111298085</v>
      </c>
      <c r="J139" s="11">
        <f t="shared" si="91"/>
        <v>56762.36762162255</v>
      </c>
      <c r="K139" s="11">
        <f t="shared" si="91"/>
        <v>9026.0829337207033</v>
      </c>
      <c r="L139" s="11">
        <f t="shared" si="91"/>
        <v>-20.244256823327348</v>
      </c>
      <c r="M139" s="11">
        <f t="shared" si="91"/>
        <v>454035.46273988811</v>
      </c>
      <c r="N139" s="11"/>
      <c r="P139" s="63"/>
    </row>
    <row r="140" spans="1:16" ht="15" x14ac:dyDescent="0.35"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1:16" ht="15" x14ac:dyDescent="0.35">
      <c r="A141" s="128" t="s">
        <v>99</v>
      </c>
      <c r="B141" s="129"/>
      <c r="C141" s="81">
        <f t="shared" ref="C141:M141" si="92">+C139/C104</f>
        <v>52.193505505996697</v>
      </c>
      <c r="D141" s="81" t="e">
        <f t="shared" si="92"/>
        <v>#DIV/0!</v>
      </c>
      <c r="E141" s="81">
        <f t="shared" si="92"/>
        <v>98.828029089187737</v>
      </c>
      <c r="F141" s="81">
        <f t="shared" si="92"/>
        <v>1008.0629955489653</v>
      </c>
      <c r="G141" s="81">
        <f t="shared" si="92"/>
        <v>137.65870310665616</v>
      </c>
      <c r="H141" s="81">
        <f t="shared" si="92"/>
        <v>-53.339999999999989</v>
      </c>
      <c r="I141" s="81">
        <f t="shared" si="92"/>
        <v>66.624900385539988</v>
      </c>
      <c r="J141" s="81">
        <f t="shared" si="92"/>
        <v>1137.0099269560674</v>
      </c>
      <c r="K141" s="81">
        <f t="shared" si="92"/>
        <v>245.64620386882501</v>
      </c>
      <c r="L141" s="81">
        <f t="shared" si="92"/>
        <v>-197.5</v>
      </c>
      <c r="M141" s="81">
        <f t="shared" si="92"/>
        <v>90.267670392870414</v>
      </c>
    </row>
    <row r="142" spans="1:16" x14ac:dyDescent="0.2">
      <c r="A142" s="129"/>
      <c r="B142" s="129"/>
    </row>
    <row r="143" spans="1:16" x14ac:dyDescent="0.2"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30"/>
    </row>
  </sheetData>
  <mergeCells count="3">
    <mergeCell ref="C23:L23"/>
    <mergeCell ref="C56:L56"/>
    <mergeCell ref="C107:L107"/>
  </mergeCells>
  <pageMargins left="0.45" right="0.45" top="0.5" bottom="0.5" header="0.3" footer="0"/>
  <pageSetup scale="79" fitToHeight="3" orientation="landscape" r:id="rId1"/>
  <headerFooter>
    <oddFooter>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A39"/>
  <sheetViews>
    <sheetView zoomScaleNormal="100" workbookViewId="0">
      <pane xSplit="1" ySplit="2" topLeftCell="B22" activePane="bottomRight" state="frozen"/>
      <selection pane="topRight" activeCell="B1" sqref="B1"/>
      <selection pane="bottomLeft" activeCell="A6" sqref="A6"/>
      <selection pane="bottomRight" activeCell="A28" sqref="A28"/>
    </sheetView>
  </sheetViews>
  <sheetFormatPr defaultRowHeight="12.75" x14ac:dyDescent="0.2"/>
  <cols>
    <col min="1" max="1" width="16.85546875" style="84" customWidth="1"/>
    <col min="2" max="2" width="9.140625" style="84" bestFit="1" customWidth="1"/>
    <col min="3" max="3" width="7" style="84" bestFit="1" customWidth="1"/>
    <col min="4" max="4" width="9" style="84" bestFit="1" customWidth="1"/>
    <col min="5" max="5" width="6.7109375" style="84" bestFit="1" customWidth="1"/>
    <col min="6" max="6" width="9" style="84" bestFit="1" customWidth="1"/>
    <col min="7" max="7" width="6.7109375" style="84" bestFit="1" customWidth="1"/>
    <col min="8" max="8" width="9" style="84" bestFit="1" customWidth="1"/>
    <col min="9" max="9" width="6.7109375" style="84" bestFit="1" customWidth="1"/>
    <col min="10" max="10" width="9.5703125" style="84" bestFit="1" customWidth="1"/>
    <col min="11" max="11" width="6.7109375" style="84" bestFit="1" customWidth="1"/>
    <col min="12" max="12" width="9.5703125" style="84" bestFit="1" customWidth="1"/>
    <col min="13" max="13" width="6.7109375" style="84" bestFit="1" customWidth="1"/>
    <col min="14" max="14" width="9" style="84" bestFit="1" customWidth="1"/>
    <col min="15" max="15" width="6.7109375" style="84" customWidth="1"/>
    <col min="16" max="16" width="9" style="84" bestFit="1" customWidth="1"/>
    <col min="17" max="17" width="6.7109375" style="84" customWidth="1"/>
    <col min="18" max="18" width="7.5703125" style="84" bestFit="1" customWidth="1"/>
    <col min="19" max="19" width="6.7109375" style="84" customWidth="1"/>
    <col min="20" max="20" width="9" style="84" bestFit="1" customWidth="1"/>
    <col min="21" max="21" width="6.7109375" style="84" customWidth="1"/>
    <col min="22" max="22" width="9" style="84" bestFit="1" customWidth="1"/>
    <col min="23" max="23" width="6.7109375" style="84" customWidth="1"/>
    <col min="24" max="24" width="9" style="84" bestFit="1" customWidth="1"/>
    <col min="25" max="25" width="6.7109375" style="84" customWidth="1"/>
    <col min="26" max="26" width="10" bestFit="1" customWidth="1"/>
    <col min="27" max="27" width="6.7109375" bestFit="1" customWidth="1"/>
    <col min="29" max="29" width="10" style="84" bestFit="1" customWidth="1"/>
    <col min="30" max="172" width="9.140625" style="84"/>
    <col min="173" max="173" width="18.42578125" style="84" customWidth="1"/>
    <col min="174" max="183" width="9.140625" style="84"/>
    <col min="184" max="184" width="10.28515625" style="84" bestFit="1" customWidth="1"/>
    <col min="185" max="428" width="9.140625" style="84"/>
    <col min="429" max="429" width="18.42578125" style="84" customWidth="1"/>
    <col min="430" max="439" width="9.140625" style="84"/>
    <col min="440" max="440" width="10.28515625" style="84" bestFit="1" customWidth="1"/>
    <col min="441" max="684" width="9.140625" style="84"/>
    <col min="685" max="685" width="18.42578125" style="84" customWidth="1"/>
    <col min="686" max="695" width="9.140625" style="84"/>
    <col min="696" max="696" width="10.28515625" style="84" bestFit="1" customWidth="1"/>
    <col min="697" max="940" width="9.140625" style="84"/>
    <col min="941" max="941" width="18.42578125" style="84" customWidth="1"/>
    <col min="942" max="951" width="9.140625" style="84"/>
    <col min="952" max="952" width="10.28515625" style="84" bestFit="1" customWidth="1"/>
    <col min="953" max="1196" width="9.140625" style="84"/>
    <col min="1197" max="1197" width="18.42578125" style="84" customWidth="1"/>
    <col min="1198" max="1207" width="9.140625" style="84"/>
    <col min="1208" max="1208" width="10.28515625" style="84" bestFit="1" customWidth="1"/>
    <col min="1209" max="1452" width="9.140625" style="84"/>
    <col min="1453" max="1453" width="18.42578125" style="84" customWidth="1"/>
    <col min="1454" max="1463" width="9.140625" style="84"/>
    <col min="1464" max="1464" width="10.28515625" style="84" bestFit="1" customWidth="1"/>
    <col min="1465" max="1708" width="9.140625" style="84"/>
    <col min="1709" max="1709" width="18.42578125" style="84" customWidth="1"/>
    <col min="1710" max="1719" width="9.140625" style="84"/>
    <col min="1720" max="1720" width="10.28515625" style="84" bestFit="1" customWidth="1"/>
    <col min="1721" max="1964" width="9.140625" style="84"/>
    <col min="1965" max="1965" width="18.42578125" style="84" customWidth="1"/>
    <col min="1966" max="1975" width="9.140625" style="84"/>
    <col min="1976" max="1976" width="10.28515625" style="84" bestFit="1" customWidth="1"/>
    <col min="1977" max="2220" width="9.140625" style="84"/>
    <col min="2221" max="2221" width="18.42578125" style="84" customWidth="1"/>
    <col min="2222" max="2231" width="9.140625" style="84"/>
    <col min="2232" max="2232" width="10.28515625" style="84" bestFit="1" customWidth="1"/>
    <col min="2233" max="2476" width="9.140625" style="84"/>
    <col min="2477" max="2477" width="18.42578125" style="84" customWidth="1"/>
    <col min="2478" max="2487" width="9.140625" style="84"/>
    <col min="2488" max="2488" width="10.28515625" style="84" bestFit="1" customWidth="1"/>
    <col min="2489" max="2732" width="9.140625" style="84"/>
    <col min="2733" max="2733" width="18.42578125" style="84" customWidth="1"/>
    <col min="2734" max="2743" width="9.140625" style="84"/>
    <col min="2744" max="2744" width="10.28515625" style="84" bestFit="1" customWidth="1"/>
    <col min="2745" max="2988" width="9.140625" style="84"/>
    <col min="2989" max="2989" width="18.42578125" style="84" customWidth="1"/>
    <col min="2990" max="2999" width="9.140625" style="84"/>
    <col min="3000" max="3000" width="10.28515625" style="84" bestFit="1" customWidth="1"/>
    <col min="3001" max="3244" width="9.140625" style="84"/>
    <col min="3245" max="3245" width="18.42578125" style="84" customWidth="1"/>
    <col min="3246" max="3255" width="9.140625" style="84"/>
    <col min="3256" max="3256" width="10.28515625" style="84" bestFit="1" customWidth="1"/>
    <col min="3257" max="3500" width="9.140625" style="84"/>
    <col min="3501" max="3501" width="18.42578125" style="84" customWidth="1"/>
    <col min="3502" max="3511" width="9.140625" style="84"/>
    <col min="3512" max="3512" width="10.28515625" style="84" bestFit="1" customWidth="1"/>
    <col min="3513" max="3756" width="9.140625" style="84"/>
    <col min="3757" max="3757" width="18.42578125" style="84" customWidth="1"/>
    <col min="3758" max="3767" width="9.140625" style="84"/>
    <col min="3768" max="3768" width="10.28515625" style="84" bestFit="1" customWidth="1"/>
    <col min="3769" max="4012" width="9.140625" style="84"/>
    <col min="4013" max="4013" width="18.42578125" style="84" customWidth="1"/>
    <col min="4014" max="4023" width="9.140625" style="84"/>
    <col min="4024" max="4024" width="10.28515625" style="84" bestFit="1" customWidth="1"/>
    <col min="4025" max="4268" width="9.140625" style="84"/>
    <col min="4269" max="4269" width="18.42578125" style="84" customWidth="1"/>
    <col min="4270" max="4279" width="9.140625" style="84"/>
    <col min="4280" max="4280" width="10.28515625" style="84" bestFit="1" customWidth="1"/>
    <col min="4281" max="4524" width="9.140625" style="84"/>
    <col min="4525" max="4525" width="18.42578125" style="84" customWidth="1"/>
    <col min="4526" max="4535" width="9.140625" style="84"/>
    <col min="4536" max="4536" width="10.28515625" style="84" bestFit="1" customWidth="1"/>
    <col min="4537" max="4780" width="9.140625" style="84"/>
    <col min="4781" max="4781" width="18.42578125" style="84" customWidth="1"/>
    <col min="4782" max="4791" width="9.140625" style="84"/>
    <col min="4792" max="4792" width="10.28515625" style="84" bestFit="1" customWidth="1"/>
    <col min="4793" max="5036" width="9.140625" style="84"/>
    <col min="5037" max="5037" width="18.42578125" style="84" customWidth="1"/>
    <col min="5038" max="5047" width="9.140625" style="84"/>
    <col min="5048" max="5048" width="10.28515625" style="84" bestFit="1" customWidth="1"/>
    <col min="5049" max="5292" width="9.140625" style="84"/>
    <col min="5293" max="5293" width="18.42578125" style="84" customWidth="1"/>
    <col min="5294" max="5303" width="9.140625" style="84"/>
    <col min="5304" max="5304" width="10.28515625" style="84" bestFit="1" customWidth="1"/>
    <col min="5305" max="5548" width="9.140625" style="84"/>
    <col min="5549" max="5549" width="18.42578125" style="84" customWidth="1"/>
    <col min="5550" max="5559" width="9.140625" style="84"/>
    <col min="5560" max="5560" width="10.28515625" style="84" bestFit="1" customWidth="1"/>
    <col min="5561" max="5804" width="9.140625" style="84"/>
    <col min="5805" max="5805" width="18.42578125" style="84" customWidth="1"/>
    <col min="5806" max="5815" width="9.140625" style="84"/>
    <col min="5816" max="5816" width="10.28515625" style="84" bestFit="1" customWidth="1"/>
    <col min="5817" max="6060" width="9.140625" style="84"/>
    <col min="6061" max="6061" width="18.42578125" style="84" customWidth="1"/>
    <col min="6062" max="6071" width="9.140625" style="84"/>
    <col min="6072" max="6072" width="10.28515625" style="84" bestFit="1" customWidth="1"/>
    <col min="6073" max="6316" width="9.140625" style="84"/>
    <col min="6317" max="6317" width="18.42578125" style="84" customWidth="1"/>
    <col min="6318" max="6327" width="9.140625" style="84"/>
    <col min="6328" max="6328" width="10.28515625" style="84" bestFit="1" customWidth="1"/>
    <col min="6329" max="6572" width="9.140625" style="84"/>
    <col min="6573" max="6573" width="18.42578125" style="84" customWidth="1"/>
    <col min="6574" max="6583" width="9.140625" style="84"/>
    <col min="6584" max="6584" width="10.28515625" style="84" bestFit="1" customWidth="1"/>
    <col min="6585" max="6828" width="9.140625" style="84"/>
    <col min="6829" max="6829" width="18.42578125" style="84" customWidth="1"/>
    <col min="6830" max="6839" width="9.140625" style="84"/>
    <col min="6840" max="6840" width="10.28515625" style="84" bestFit="1" customWidth="1"/>
    <col min="6841" max="7084" width="9.140625" style="84"/>
    <col min="7085" max="7085" width="18.42578125" style="84" customWidth="1"/>
    <col min="7086" max="7095" width="9.140625" style="84"/>
    <col min="7096" max="7096" width="10.28515625" style="84" bestFit="1" customWidth="1"/>
    <col min="7097" max="7340" width="9.140625" style="84"/>
    <col min="7341" max="7341" width="18.42578125" style="84" customWidth="1"/>
    <col min="7342" max="7351" width="9.140625" style="84"/>
    <col min="7352" max="7352" width="10.28515625" style="84" bestFit="1" customWidth="1"/>
    <col min="7353" max="7596" width="9.140625" style="84"/>
    <col min="7597" max="7597" width="18.42578125" style="84" customWidth="1"/>
    <col min="7598" max="7607" width="9.140625" style="84"/>
    <col min="7608" max="7608" width="10.28515625" style="84" bestFit="1" customWidth="1"/>
    <col min="7609" max="7852" width="9.140625" style="84"/>
    <col min="7853" max="7853" width="18.42578125" style="84" customWidth="1"/>
    <col min="7854" max="7863" width="9.140625" style="84"/>
    <col min="7864" max="7864" width="10.28515625" style="84" bestFit="1" customWidth="1"/>
    <col min="7865" max="8108" width="9.140625" style="84"/>
    <col min="8109" max="8109" width="18.42578125" style="84" customWidth="1"/>
    <col min="8110" max="8119" width="9.140625" style="84"/>
    <col min="8120" max="8120" width="10.28515625" style="84" bestFit="1" customWidth="1"/>
    <col min="8121" max="8364" width="9.140625" style="84"/>
    <col min="8365" max="8365" width="18.42578125" style="84" customWidth="1"/>
    <col min="8366" max="8375" width="9.140625" style="84"/>
    <col min="8376" max="8376" width="10.28515625" style="84" bestFit="1" customWidth="1"/>
    <col min="8377" max="8620" width="9.140625" style="84"/>
    <col min="8621" max="8621" width="18.42578125" style="84" customWidth="1"/>
    <col min="8622" max="8631" width="9.140625" style="84"/>
    <col min="8632" max="8632" width="10.28515625" style="84" bestFit="1" customWidth="1"/>
    <col min="8633" max="8876" width="9.140625" style="84"/>
    <col min="8877" max="8877" width="18.42578125" style="84" customWidth="1"/>
    <col min="8878" max="8887" width="9.140625" style="84"/>
    <col min="8888" max="8888" width="10.28515625" style="84" bestFit="1" customWidth="1"/>
    <col min="8889" max="9132" width="9.140625" style="84"/>
    <col min="9133" max="9133" width="18.42578125" style="84" customWidth="1"/>
    <col min="9134" max="9143" width="9.140625" style="84"/>
    <col min="9144" max="9144" width="10.28515625" style="84" bestFit="1" customWidth="1"/>
    <col min="9145" max="9388" width="9.140625" style="84"/>
    <col min="9389" max="9389" width="18.42578125" style="84" customWidth="1"/>
    <col min="9390" max="9399" width="9.140625" style="84"/>
    <col min="9400" max="9400" width="10.28515625" style="84" bestFit="1" customWidth="1"/>
    <col min="9401" max="9644" width="9.140625" style="84"/>
    <col min="9645" max="9645" width="18.42578125" style="84" customWidth="1"/>
    <col min="9646" max="9655" width="9.140625" style="84"/>
    <col min="9656" max="9656" width="10.28515625" style="84" bestFit="1" customWidth="1"/>
    <col min="9657" max="9900" width="9.140625" style="84"/>
    <col min="9901" max="9901" width="18.42578125" style="84" customWidth="1"/>
    <col min="9902" max="9911" width="9.140625" style="84"/>
    <col min="9912" max="9912" width="10.28515625" style="84" bestFit="1" customWidth="1"/>
    <col min="9913" max="10156" width="9.140625" style="84"/>
    <col min="10157" max="10157" width="18.42578125" style="84" customWidth="1"/>
    <col min="10158" max="10167" width="9.140625" style="84"/>
    <col min="10168" max="10168" width="10.28515625" style="84" bestFit="1" customWidth="1"/>
    <col min="10169" max="10412" width="9.140625" style="84"/>
    <col min="10413" max="10413" width="18.42578125" style="84" customWidth="1"/>
    <col min="10414" max="10423" width="9.140625" style="84"/>
    <col min="10424" max="10424" width="10.28515625" style="84" bestFit="1" customWidth="1"/>
    <col min="10425" max="10668" width="9.140625" style="84"/>
    <col min="10669" max="10669" width="18.42578125" style="84" customWidth="1"/>
    <col min="10670" max="10679" width="9.140625" style="84"/>
    <col min="10680" max="10680" width="10.28515625" style="84" bestFit="1" customWidth="1"/>
    <col min="10681" max="10924" width="9.140625" style="84"/>
    <col min="10925" max="10925" width="18.42578125" style="84" customWidth="1"/>
    <col min="10926" max="10935" width="9.140625" style="84"/>
    <col min="10936" max="10936" width="10.28515625" style="84" bestFit="1" customWidth="1"/>
    <col min="10937" max="11180" width="9.140625" style="84"/>
    <col min="11181" max="11181" width="18.42578125" style="84" customWidth="1"/>
    <col min="11182" max="11191" width="9.140625" style="84"/>
    <col min="11192" max="11192" width="10.28515625" style="84" bestFit="1" customWidth="1"/>
    <col min="11193" max="11436" width="9.140625" style="84"/>
    <col min="11437" max="11437" width="18.42578125" style="84" customWidth="1"/>
    <col min="11438" max="11447" width="9.140625" style="84"/>
    <col min="11448" max="11448" width="10.28515625" style="84" bestFit="1" customWidth="1"/>
    <col min="11449" max="11692" width="9.140625" style="84"/>
    <col min="11693" max="11693" width="18.42578125" style="84" customWidth="1"/>
    <col min="11694" max="11703" width="9.140625" style="84"/>
    <col min="11704" max="11704" width="10.28515625" style="84" bestFit="1" customWidth="1"/>
    <col min="11705" max="11948" width="9.140625" style="84"/>
    <col min="11949" max="11949" width="18.42578125" style="84" customWidth="1"/>
    <col min="11950" max="11959" width="9.140625" style="84"/>
    <col min="11960" max="11960" width="10.28515625" style="84" bestFit="1" customWidth="1"/>
    <col min="11961" max="12204" width="9.140625" style="84"/>
    <col min="12205" max="12205" width="18.42578125" style="84" customWidth="1"/>
    <col min="12206" max="12215" width="9.140625" style="84"/>
    <col min="12216" max="12216" width="10.28515625" style="84" bestFit="1" customWidth="1"/>
    <col min="12217" max="12460" width="9.140625" style="84"/>
    <col min="12461" max="12461" width="18.42578125" style="84" customWidth="1"/>
    <col min="12462" max="12471" width="9.140625" style="84"/>
    <col min="12472" max="12472" width="10.28515625" style="84" bestFit="1" customWidth="1"/>
    <col min="12473" max="12716" width="9.140625" style="84"/>
    <col min="12717" max="12717" width="18.42578125" style="84" customWidth="1"/>
    <col min="12718" max="12727" width="9.140625" style="84"/>
    <col min="12728" max="12728" width="10.28515625" style="84" bestFit="1" customWidth="1"/>
    <col min="12729" max="12972" width="9.140625" style="84"/>
    <col min="12973" max="12973" width="18.42578125" style="84" customWidth="1"/>
    <col min="12974" max="12983" width="9.140625" style="84"/>
    <col min="12984" max="12984" width="10.28515625" style="84" bestFit="1" customWidth="1"/>
    <col min="12985" max="13228" width="9.140625" style="84"/>
    <col min="13229" max="13229" width="18.42578125" style="84" customWidth="1"/>
    <col min="13230" max="13239" width="9.140625" style="84"/>
    <col min="13240" max="13240" width="10.28515625" style="84" bestFit="1" customWidth="1"/>
    <col min="13241" max="13484" width="9.140625" style="84"/>
    <col min="13485" max="13485" width="18.42578125" style="84" customWidth="1"/>
    <col min="13486" max="13495" width="9.140625" style="84"/>
    <col min="13496" max="13496" width="10.28515625" style="84" bestFit="1" customWidth="1"/>
    <col min="13497" max="13740" width="9.140625" style="84"/>
    <col min="13741" max="13741" width="18.42578125" style="84" customWidth="1"/>
    <col min="13742" max="13751" width="9.140625" style="84"/>
    <col min="13752" max="13752" width="10.28515625" style="84" bestFit="1" customWidth="1"/>
    <col min="13753" max="13996" width="9.140625" style="84"/>
    <col min="13997" max="13997" width="18.42578125" style="84" customWidth="1"/>
    <col min="13998" max="14007" width="9.140625" style="84"/>
    <col min="14008" max="14008" width="10.28515625" style="84" bestFit="1" customWidth="1"/>
    <col min="14009" max="14252" width="9.140625" style="84"/>
    <col min="14253" max="14253" width="18.42578125" style="84" customWidth="1"/>
    <col min="14254" max="14263" width="9.140625" style="84"/>
    <col min="14264" max="14264" width="10.28515625" style="84" bestFit="1" customWidth="1"/>
    <col min="14265" max="14508" width="9.140625" style="84"/>
    <col min="14509" max="14509" width="18.42578125" style="84" customWidth="1"/>
    <col min="14510" max="14519" width="9.140625" style="84"/>
    <col min="14520" max="14520" width="10.28515625" style="84" bestFit="1" customWidth="1"/>
    <col min="14521" max="14764" width="9.140625" style="84"/>
    <col min="14765" max="14765" width="18.42578125" style="84" customWidth="1"/>
    <col min="14766" max="14775" width="9.140625" style="84"/>
    <col min="14776" max="14776" width="10.28515625" style="84" bestFit="1" customWidth="1"/>
    <col min="14777" max="15020" width="9.140625" style="84"/>
    <col min="15021" max="15021" width="18.42578125" style="84" customWidth="1"/>
    <col min="15022" max="15031" width="9.140625" style="84"/>
    <col min="15032" max="15032" width="10.28515625" style="84" bestFit="1" customWidth="1"/>
    <col min="15033" max="15276" width="9.140625" style="84"/>
    <col min="15277" max="15277" width="18.42578125" style="84" customWidth="1"/>
    <col min="15278" max="15287" width="9.140625" style="84"/>
    <col min="15288" max="15288" width="10.28515625" style="84" bestFit="1" customWidth="1"/>
    <col min="15289" max="15532" width="9.140625" style="84"/>
    <col min="15533" max="15533" width="18.42578125" style="84" customWidth="1"/>
    <col min="15534" max="15543" width="9.140625" style="84"/>
    <col min="15544" max="15544" width="10.28515625" style="84" bestFit="1" customWidth="1"/>
    <col min="15545" max="15788" width="9.140625" style="84"/>
    <col min="15789" max="15789" width="18.42578125" style="84" customWidth="1"/>
    <col min="15790" max="15799" width="9.140625" style="84"/>
    <col min="15800" max="15800" width="10.28515625" style="84" bestFit="1" customWidth="1"/>
    <col min="15801" max="16044" width="9.140625" style="84"/>
    <col min="16045" max="16045" width="18.42578125" style="84" customWidth="1"/>
    <col min="16046" max="16055" width="9.140625" style="84"/>
    <col min="16056" max="16056" width="10.28515625" style="84" bestFit="1" customWidth="1"/>
    <col min="16057" max="16384" width="9.140625" style="84"/>
  </cols>
  <sheetData>
    <row r="1" spans="1:53" ht="12" x14ac:dyDescent="0.2">
      <c r="A1" s="83" t="s">
        <v>65</v>
      </c>
      <c r="Z1" s="84"/>
      <c r="AA1" s="84"/>
      <c r="AB1" s="84"/>
    </row>
    <row r="2" spans="1:53" s="85" customFormat="1" ht="12" hidden="1" x14ac:dyDescent="0.2"/>
    <row r="3" spans="1:53" ht="12" hidden="1" x14ac:dyDescent="0.2">
      <c r="A3" s="86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4"/>
      <c r="AA3" s="84"/>
      <c r="AB3" s="84"/>
    </row>
    <row r="4" spans="1:53" hidden="1" x14ac:dyDescent="0.2">
      <c r="A4" s="85"/>
      <c r="B4" s="289">
        <v>43070</v>
      </c>
      <c r="C4" s="289"/>
      <c r="D4" s="289">
        <v>43101</v>
      </c>
      <c r="E4" s="289"/>
      <c r="F4" s="289">
        <v>43132</v>
      </c>
      <c r="G4" s="289"/>
      <c r="H4" s="289">
        <v>43160</v>
      </c>
      <c r="I4" s="289"/>
      <c r="J4" s="289">
        <v>43191</v>
      </c>
      <c r="K4" s="289"/>
      <c r="L4" s="289">
        <v>43221</v>
      </c>
      <c r="M4" s="289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89" t="s">
        <v>3</v>
      </c>
      <c r="AA4" s="289"/>
    </row>
    <row r="5" spans="1:53" hidden="1" x14ac:dyDescent="0.2">
      <c r="A5" s="85"/>
      <c r="B5" s="87" t="s">
        <v>12</v>
      </c>
      <c r="C5" s="87" t="s">
        <v>4</v>
      </c>
      <c r="D5" s="87" t="s">
        <v>12</v>
      </c>
      <c r="E5" s="87" t="s">
        <v>4</v>
      </c>
      <c r="F5" s="87" t="s">
        <v>12</v>
      </c>
      <c r="G5" s="87" t="s">
        <v>4</v>
      </c>
      <c r="H5" s="87" t="s">
        <v>12</v>
      </c>
      <c r="I5" s="87" t="s">
        <v>4</v>
      </c>
      <c r="J5" s="87" t="s">
        <v>12</v>
      </c>
      <c r="K5" s="87" t="s">
        <v>4</v>
      </c>
      <c r="L5" s="87" t="s">
        <v>12</v>
      </c>
      <c r="M5" s="87" t="s">
        <v>4</v>
      </c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 t="s">
        <v>12</v>
      </c>
      <c r="AA5" s="87" t="s">
        <v>4</v>
      </c>
    </row>
    <row r="6" spans="1:53" hidden="1" x14ac:dyDescent="0.2">
      <c r="A6" s="85" t="s">
        <v>36</v>
      </c>
      <c r="B6" s="88">
        <v>464.47</v>
      </c>
      <c r="C6" s="89">
        <f>+B6/B$16</f>
        <v>0.42682411321448271</v>
      </c>
      <c r="D6" s="137">
        <v>429.16</v>
      </c>
      <c r="E6" s="89">
        <f>+D6/D$16</f>
        <v>0.38245463943250274</v>
      </c>
      <c r="F6" s="137">
        <v>324.49</v>
      </c>
      <c r="G6" s="89">
        <f>+F6/F$16</f>
        <v>0.38597138133244524</v>
      </c>
      <c r="H6" s="137">
        <v>325.77</v>
      </c>
      <c r="I6" s="89">
        <f>+H6/H$16</f>
        <v>0.34665602553870706</v>
      </c>
      <c r="J6" s="137">
        <v>299.68</v>
      </c>
      <c r="K6" s="89">
        <f>+J6/J$16</f>
        <v>0.33496523819104462</v>
      </c>
      <c r="L6" s="137">
        <v>319.27</v>
      </c>
      <c r="M6" s="89">
        <f>+L6/L$16</f>
        <v>0.33040121700075542</v>
      </c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8" t="e">
        <f>+#REF!+#REF!+#REF!+#REF!+#REF!+#REF!+B6+D6+F6+H6+J6+L6</f>
        <v>#REF!</v>
      </c>
      <c r="AA6" s="89" t="e">
        <f>+Z6/Z$16</f>
        <v>#REF!</v>
      </c>
      <c r="AC6" s="137" t="e">
        <f>+Z6/7*12</f>
        <v>#REF!</v>
      </c>
      <c r="AD6" s="89"/>
      <c r="AE6" s="88"/>
      <c r="AF6" s="89"/>
      <c r="AG6" s="88"/>
      <c r="AH6" s="89"/>
      <c r="AI6" s="88"/>
      <c r="AJ6" s="89"/>
      <c r="AK6" s="88"/>
      <c r="AL6" s="89"/>
      <c r="AM6" s="88"/>
      <c r="AN6" s="121"/>
      <c r="AO6" s="88"/>
      <c r="AP6" s="89"/>
      <c r="AQ6" s="88"/>
      <c r="AR6" s="89"/>
      <c r="AS6" s="88"/>
      <c r="AT6" s="89"/>
      <c r="AU6" s="88"/>
      <c r="AV6" s="89"/>
      <c r="AW6" s="88"/>
      <c r="AX6" s="89"/>
      <c r="AY6" s="88"/>
      <c r="AZ6" s="89"/>
      <c r="BA6" s="88"/>
    </row>
    <row r="7" spans="1:53" hidden="1" x14ac:dyDescent="0.2">
      <c r="A7" s="85" t="s">
        <v>66</v>
      </c>
      <c r="B7" s="88">
        <v>0</v>
      </c>
      <c r="C7" s="89">
        <f t="shared" ref="C7:E7" si="0">+B7/B$16</f>
        <v>0</v>
      </c>
      <c r="D7" s="137">
        <v>0</v>
      </c>
      <c r="E7" s="89">
        <f t="shared" si="0"/>
        <v>0</v>
      </c>
      <c r="F7" s="137">
        <v>0</v>
      </c>
      <c r="G7" s="89">
        <f t="shared" ref="G7" si="1">+F7/F$16</f>
        <v>0</v>
      </c>
      <c r="H7" s="137">
        <v>0</v>
      </c>
      <c r="I7" s="89">
        <f t="shared" ref="I7" si="2">+H7/H$16</f>
        <v>0</v>
      </c>
      <c r="J7" s="137">
        <v>0</v>
      </c>
      <c r="K7" s="89">
        <f t="shared" ref="K7" si="3">+J7/J$16</f>
        <v>0</v>
      </c>
      <c r="L7" s="137">
        <v>0</v>
      </c>
      <c r="M7" s="89">
        <f t="shared" ref="M7" si="4">+L7/L$16</f>
        <v>0</v>
      </c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8" t="e">
        <f>+#REF!+#REF!+#REF!+#REF!+#REF!+#REF!+B7+D7+F7+H7+J7+L7</f>
        <v>#REF!</v>
      </c>
      <c r="AA7" s="89" t="e">
        <f t="shared" ref="AA7" si="5">+Z7/Z$16</f>
        <v>#REF!</v>
      </c>
      <c r="AC7" s="137" t="e">
        <f t="shared" ref="AC7:AC15" si="6">+Z7/7*12</f>
        <v>#REF!</v>
      </c>
      <c r="AD7" s="89"/>
      <c r="AE7" s="88"/>
      <c r="AF7" s="89"/>
      <c r="AG7" s="88"/>
      <c r="AH7" s="89"/>
      <c r="AI7" s="88"/>
      <c r="AJ7" s="89"/>
      <c r="AK7" s="88"/>
      <c r="AL7" s="89"/>
      <c r="AM7" s="88"/>
      <c r="AN7" s="121"/>
      <c r="AO7" s="88"/>
      <c r="AP7" s="89"/>
      <c r="AQ7" s="88"/>
      <c r="AR7" s="89"/>
      <c r="AS7" s="88"/>
      <c r="AT7" s="89"/>
      <c r="AU7" s="88"/>
      <c r="AV7" s="89"/>
      <c r="AW7" s="88"/>
      <c r="AX7" s="89"/>
      <c r="AY7" s="88"/>
      <c r="AZ7" s="89"/>
      <c r="BA7" s="88"/>
    </row>
    <row r="8" spans="1:53" hidden="1" x14ac:dyDescent="0.2">
      <c r="A8" s="85" t="s">
        <v>19</v>
      </c>
      <c r="B8" s="88">
        <v>375.59</v>
      </c>
      <c r="C8" s="89">
        <f t="shared" ref="C8:E8" si="7">+B8/B$16</f>
        <v>0.34514795074434851</v>
      </c>
      <c r="D8" s="137">
        <v>415.2</v>
      </c>
      <c r="E8" s="89">
        <f t="shared" si="7"/>
        <v>0.37001390225644309</v>
      </c>
      <c r="F8" s="137">
        <v>281.02</v>
      </c>
      <c r="G8" s="89">
        <f t="shared" ref="G8" si="8">+F8/F$16</f>
        <v>0.33426508546347733</v>
      </c>
      <c r="H8" s="137">
        <v>354.22</v>
      </c>
      <c r="I8" s="89">
        <f t="shared" ref="I8" si="9">+H8/H$16</f>
        <v>0.37693003458366592</v>
      </c>
      <c r="J8" s="137">
        <v>354.01</v>
      </c>
      <c r="K8" s="89">
        <f t="shared" ref="K8" si="10">+J8/J$16</f>
        <v>0.39569221827286338</v>
      </c>
      <c r="L8" s="137">
        <v>400</v>
      </c>
      <c r="M8" s="89">
        <f t="shared" ref="M8" si="11">+L8/L$16</f>
        <v>0.41394583518746569</v>
      </c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8" t="e">
        <f>+#REF!+#REF!+#REF!+#REF!+#REF!+#REF!+B8+D8+F8+H8+J8+L8</f>
        <v>#REF!</v>
      </c>
      <c r="AA8" s="89" t="e">
        <f t="shared" ref="AA8" si="12">+Z8/Z$16</f>
        <v>#REF!</v>
      </c>
      <c r="AC8" s="137" t="e">
        <f t="shared" si="6"/>
        <v>#REF!</v>
      </c>
      <c r="AD8" s="89"/>
      <c r="AE8" s="88"/>
      <c r="AF8" s="89"/>
      <c r="AG8" s="88"/>
      <c r="AH8" s="89"/>
      <c r="AI8" s="88"/>
      <c r="AJ8" s="89"/>
      <c r="AK8" s="88"/>
      <c r="AL8" s="89"/>
      <c r="AM8" s="88"/>
      <c r="AN8" s="121"/>
      <c r="AO8" s="88"/>
      <c r="AP8" s="89"/>
      <c r="AQ8" s="88"/>
      <c r="AR8" s="89"/>
      <c r="AS8" s="88"/>
      <c r="AT8" s="89"/>
      <c r="AU8" s="88"/>
      <c r="AV8" s="89"/>
      <c r="AW8" s="88"/>
      <c r="AX8" s="89"/>
      <c r="AY8" s="88"/>
      <c r="AZ8" s="89"/>
      <c r="BA8" s="88"/>
    </row>
    <row r="9" spans="1:53" hidden="1" x14ac:dyDescent="0.2">
      <c r="A9" s="85" t="s">
        <v>17</v>
      </c>
      <c r="B9" s="88">
        <v>13.48</v>
      </c>
      <c r="C9" s="89">
        <f t="shared" ref="C9:E9" si="13">+B9/B$16</f>
        <v>1.2387428781473996E-2</v>
      </c>
      <c r="D9" s="137">
        <v>13.71</v>
      </c>
      <c r="E9" s="89">
        <f t="shared" si="13"/>
        <v>1.2217944604855095E-2</v>
      </c>
      <c r="F9" s="137">
        <v>10.28</v>
      </c>
      <c r="G9" s="89">
        <f t="shared" ref="G9" si="14">+F9/F$16</f>
        <v>1.2227759869634E-2</v>
      </c>
      <c r="H9" s="137">
        <v>12.41</v>
      </c>
      <c r="I9" s="89">
        <f t="shared" ref="I9" si="15">+H9/H$16</f>
        <v>1.3205639797818568E-2</v>
      </c>
      <c r="J9" s="137">
        <v>12.7</v>
      </c>
      <c r="K9" s="89">
        <f t="shared" ref="K9" si="16">+J9/J$16</f>
        <v>1.4195336775981934E-2</v>
      </c>
      <c r="L9" s="137">
        <v>14.34</v>
      </c>
      <c r="M9" s="89">
        <f t="shared" ref="M9" si="17">+L9/L$16</f>
        <v>1.4839958191470645E-2</v>
      </c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8" t="e">
        <f>+#REF!+#REF!+#REF!+#REF!+#REF!+#REF!+B9+D9+F9+H9+J9+L9</f>
        <v>#REF!</v>
      </c>
      <c r="AA9" s="89" t="e">
        <f t="shared" ref="AA9" si="18">+Z9/Z$16</f>
        <v>#REF!</v>
      </c>
      <c r="AC9" s="137" t="e">
        <f t="shared" si="6"/>
        <v>#REF!</v>
      </c>
      <c r="AD9" s="89"/>
      <c r="AE9" s="88"/>
      <c r="AF9" s="89"/>
      <c r="AG9" s="88"/>
      <c r="AH9" s="89"/>
      <c r="AI9" s="88"/>
      <c r="AJ9" s="89"/>
      <c r="AK9" s="88"/>
      <c r="AL9" s="89"/>
      <c r="AM9" s="88"/>
      <c r="AN9" s="121"/>
      <c r="AO9" s="88"/>
      <c r="AP9" s="89"/>
      <c r="AQ9" s="88"/>
      <c r="AR9" s="89"/>
      <c r="AS9" s="122"/>
      <c r="AT9" s="89"/>
      <c r="AU9" s="122"/>
      <c r="AV9" s="89"/>
      <c r="AW9" s="88"/>
      <c r="AX9" s="89"/>
      <c r="AY9" s="88"/>
      <c r="AZ9" s="89"/>
      <c r="BA9" s="88"/>
    </row>
    <row r="10" spans="1:53" hidden="1" x14ac:dyDescent="0.2">
      <c r="A10" s="85" t="s">
        <v>11</v>
      </c>
      <c r="B10" s="88">
        <v>154.78</v>
      </c>
      <c r="C10" s="89">
        <f t="shared" ref="C10:E10" si="19">+B10/B$16</f>
        <v>0.14223488329351225</v>
      </c>
      <c r="D10" s="137">
        <v>166.16</v>
      </c>
      <c r="E10" s="89">
        <f t="shared" si="19"/>
        <v>0.14807685452536268</v>
      </c>
      <c r="F10" s="137">
        <v>159.09</v>
      </c>
      <c r="G10" s="89">
        <f t="shared" ref="G10" si="20">+F10/F$16</f>
        <v>0.18923291027821723</v>
      </c>
      <c r="H10" s="137">
        <v>172.66</v>
      </c>
      <c r="I10" s="89">
        <f t="shared" ref="I10" si="21">+H10/H$16</f>
        <v>0.18372971534982707</v>
      </c>
      <c r="J10" s="137">
        <v>153.04</v>
      </c>
      <c r="K10" s="89">
        <f t="shared" ref="K10" si="22">+J10/J$16</f>
        <v>0.17105939686584845</v>
      </c>
      <c r="L10" s="137">
        <v>154.36000000000001</v>
      </c>
      <c r="M10" s="89">
        <f t="shared" ref="M10" si="23">+L10/L$16</f>
        <v>0.15974169779884304</v>
      </c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8" t="e">
        <f>+#REF!+#REF!+#REF!+#REF!+#REF!+#REF!+B10+D10+F10+H10+J10+L10</f>
        <v>#REF!</v>
      </c>
      <c r="AA10" s="89" t="e">
        <f t="shared" ref="AA10" si="24">+Z10/Z$16</f>
        <v>#REF!</v>
      </c>
      <c r="AC10" s="137" t="e">
        <f t="shared" si="6"/>
        <v>#REF!</v>
      </c>
      <c r="AD10" s="89"/>
      <c r="AE10" s="88"/>
      <c r="AF10" s="89"/>
      <c r="AG10" s="88"/>
      <c r="AH10" s="89"/>
      <c r="AI10" s="88"/>
      <c r="AJ10" s="89"/>
      <c r="AK10" s="88"/>
      <c r="AL10" s="89"/>
      <c r="AM10" s="88"/>
      <c r="AN10" s="121"/>
      <c r="AO10" s="88"/>
      <c r="AP10" s="89"/>
      <c r="AQ10" s="88"/>
      <c r="AR10" s="89"/>
      <c r="AS10" s="122"/>
      <c r="AT10" s="89"/>
      <c r="AU10" s="122"/>
      <c r="AV10" s="89"/>
      <c r="AW10" s="88"/>
      <c r="AX10" s="89"/>
      <c r="AY10" s="88"/>
      <c r="AZ10" s="89"/>
      <c r="BA10" s="88"/>
    </row>
    <row r="11" spans="1:53" hidden="1" x14ac:dyDescent="0.2">
      <c r="A11" s="85" t="s">
        <v>97</v>
      </c>
      <c r="B11" s="88">
        <v>28.96</v>
      </c>
      <c r="C11" s="89">
        <f t="shared" ref="C11:E11" si="25">+B11/B$16</f>
        <v>2.6612755008270542E-2</v>
      </c>
      <c r="D11" s="137">
        <v>30.9</v>
      </c>
      <c r="E11" s="89">
        <f t="shared" si="25"/>
        <v>2.7537161800876907E-2</v>
      </c>
      <c r="F11" s="137">
        <v>22.92</v>
      </c>
      <c r="G11" s="89">
        <f t="shared" ref="G11" si="26">+F11/F$16</f>
        <v>2.7262670837744293E-2</v>
      </c>
      <c r="H11" s="137">
        <v>23.83</v>
      </c>
      <c r="I11" s="89">
        <f t="shared" ref="I11" si="27">+H11/H$16</f>
        <v>2.5357807927640329E-2</v>
      </c>
      <c r="J11" s="137">
        <v>24.01</v>
      </c>
      <c r="K11" s="89">
        <f t="shared" ref="K11" si="28">+J11/J$16</f>
        <v>2.6837010707978448E-2</v>
      </c>
      <c r="L11" s="137">
        <v>24.89</v>
      </c>
      <c r="M11" s="89">
        <f t="shared" ref="M11" si="29">+L11/L$16</f>
        <v>2.5757779594540054E-2</v>
      </c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8" t="e">
        <f>+#REF!+#REF!+#REF!+#REF!+#REF!+#REF!+B11+D11+F11+H11+J11+L11</f>
        <v>#REF!</v>
      </c>
      <c r="AA11" s="89" t="e">
        <f t="shared" ref="AA11" si="30">+Z11/Z$16</f>
        <v>#REF!</v>
      </c>
      <c r="AC11" s="137" t="e">
        <f t="shared" si="6"/>
        <v>#REF!</v>
      </c>
      <c r="AD11" s="89"/>
      <c r="AE11" s="88"/>
      <c r="AF11" s="89"/>
      <c r="AG11" s="88"/>
      <c r="AH11" s="89"/>
      <c r="AI11" s="88"/>
      <c r="AJ11" s="89"/>
      <c r="AK11" s="88"/>
      <c r="AL11" s="89"/>
      <c r="AM11" s="88"/>
      <c r="AN11" s="121"/>
      <c r="AO11" s="88"/>
      <c r="AP11" s="89"/>
      <c r="AQ11" s="88"/>
      <c r="AR11" s="89"/>
      <c r="AS11" s="122"/>
      <c r="AT11" s="89"/>
      <c r="AU11" s="122"/>
      <c r="AV11" s="89"/>
      <c r="AW11" s="88"/>
      <c r="AX11" s="89"/>
      <c r="AY11" s="88"/>
      <c r="AZ11" s="89"/>
      <c r="BA11" s="88"/>
    </row>
    <row r="12" spans="1:53" hidden="1" x14ac:dyDescent="0.2">
      <c r="A12" s="85" t="s">
        <v>1</v>
      </c>
      <c r="B12" s="88">
        <v>33.950000000000003</v>
      </c>
      <c r="C12" s="89">
        <f t="shared" ref="C12:E12" si="31">+B12/B$16</f>
        <v>3.1198309134350313E-2</v>
      </c>
      <c r="D12" s="137">
        <v>46.94</v>
      </c>
      <c r="E12" s="89">
        <f t="shared" si="31"/>
        <v>4.1831533169357997E-2</v>
      </c>
      <c r="F12" s="137">
        <v>25.65</v>
      </c>
      <c r="G12" s="89">
        <f t="shared" ref="G12" si="32">+F12/F$16</f>
        <v>3.0509926133863045E-2</v>
      </c>
      <c r="H12" s="137">
        <v>30.53</v>
      </c>
      <c r="I12" s="89">
        <f t="shared" ref="I12" si="33">+H12/H$16</f>
        <v>3.2487363660548017E-2</v>
      </c>
      <c r="J12" s="137">
        <v>32.119999999999997</v>
      </c>
      <c r="K12" s="89">
        <f t="shared" ref="K12" si="34">+J12/J$16</f>
        <v>3.5901906869648802E-2</v>
      </c>
      <c r="L12" s="137">
        <v>35.21</v>
      </c>
      <c r="M12" s="89">
        <f t="shared" ref="M12" si="35">+L12/L$16</f>
        <v>3.6437582142376669E-2</v>
      </c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8" t="e">
        <f>+#REF!+#REF!+#REF!+#REF!+#REF!+#REF!+B12+D12+F12+H12+J12+L12</f>
        <v>#REF!</v>
      </c>
      <c r="AA12" s="89" t="e">
        <f t="shared" ref="AA12" si="36">+Z12/Z$16</f>
        <v>#REF!</v>
      </c>
      <c r="AC12" s="137" t="e">
        <f t="shared" si="6"/>
        <v>#REF!</v>
      </c>
      <c r="AD12" s="89"/>
      <c r="AE12" s="88"/>
      <c r="AF12" s="89"/>
      <c r="AG12" s="88"/>
      <c r="AH12" s="89"/>
      <c r="AI12" s="88"/>
      <c r="AJ12" s="89"/>
      <c r="AK12" s="88"/>
      <c r="AL12" s="89"/>
      <c r="AM12" s="88"/>
      <c r="AN12" s="121"/>
      <c r="AO12" s="88"/>
      <c r="AP12" s="89"/>
      <c r="AQ12" s="88"/>
      <c r="AR12" s="89"/>
      <c r="AS12" s="122"/>
      <c r="AT12" s="89"/>
      <c r="AU12" s="122"/>
      <c r="AV12" s="89"/>
      <c r="AW12" s="88"/>
      <c r="AX12" s="89"/>
      <c r="AY12" s="88"/>
      <c r="AZ12" s="89"/>
      <c r="BA12" s="88"/>
    </row>
    <row r="13" spans="1:53" hidden="1" x14ac:dyDescent="0.2">
      <c r="A13" s="85" t="s">
        <v>67</v>
      </c>
      <c r="B13" s="88">
        <v>9.36</v>
      </c>
      <c r="C13" s="89">
        <f t="shared" ref="C13:E13" si="37">+B13/B$16</f>
        <v>8.6013600441095395E-3</v>
      </c>
      <c r="D13" s="137">
        <v>10.220000000000001</v>
      </c>
      <c r="E13" s="89">
        <f t="shared" si="37"/>
        <v>9.1077603108401951E-3</v>
      </c>
      <c r="F13" s="137">
        <v>8.02</v>
      </c>
      <c r="G13" s="89">
        <f t="shared" ref="G13" si="38">+F13/F$16</f>
        <v>9.5395558516016225E-3</v>
      </c>
      <c r="H13" s="137">
        <v>9.7799999999999994</v>
      </c>
      <c r="I13" s="89">
        <f t="shared" ref="I13" si="39">+H13/H$16</f>
        <v>1.0407023144453312E-2</v>
      </c>
      <c r="J13" s="137">
        <v>8.9600000000000009</v>
      </c>
      <c r="K13" s="89">
        <f t="shared" ref="K13" si="40">+J13/J$16</f>
        <v>1.001497775691324E-2</v>
      </c>
      <c r="L13" s="137">
        <v>9.52</v>
      </c>
      <c r="M13" s="89">
        <f t="shared" ref="M13" si="41">+L13/L$16</f>
        <v>9.8519108774616834E-3</v>
      </c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8" t="e">
        <f>+#REF!+#REF!+#REF!+#REF!+#REF!+#REF!+B13+D13+F13+H13+J13+L13</f>
        <v>#REF!</v>
      </c>
      <c r="AA13" s="89" t="e">
        <f t="shared" ref="AA13" si="42">+Z13/Z$16</f>
        <v>#REF!</v>
      </c>
      <c r="AC13" s="137" t="e">
        <f t="shared" si="6"/>
        <v>#REF!</v>
      </c>
      <c r="AD13" s="89"/>
      <c r="AE13" s="88"/>
      <c r="AF13" s="89"/>
      <c r="AG13" s="88"/>
      <c r="AH13" s="89"/>
      <c r="AI13" s="88"/>
      <c r="AJ13" s="89"/>
      <c r="AK13" s="88"/>
      <c r="AL13" s="89"/>
      <c r="AM13" s="88"/>
      <c r="AN13" s="121"/>
      <c r="AO13" s="88"/>
      <c r="AP13" s="89"/>
      <c r="AQ13" s="88"/>
      <c r="AR13" s="89"/>
      <c r="AS13" s="122"/>
      <c r="AT13" s="89"/>
      <c r="AU13" s="122"/>
      <c r="AV13" s="89"/>
      <c r="AW13" s="88"/>
      <c r="AX13" s="89"/>
      <c r="AY13" s="88"/>
      <c r="AZ13" s="89"/>
      <c r="BA13" s="88"/>
    </row>
    <row r="14" spans="1:53" hidden="1" x14ac:dyDescent="0.2">
      <c r="A14" s="85" t="s">
        <v>68</v>
      </c>
      <c r="B14" s="88">
        <v>7.61</v>
      </c>
      <c r="C14" s="89">
        <f t="shared" ref="C14:E14" si="43">+B14/B$16</f>
        <v>6.9931997794523077E-3</v>
      </c>
      <c r="D14" s="137">
        <v>7.76</v>
      </c>
      <c r="E14" s="89">
        <f t="shared" si="43"/>
        <v>6.9154814101878579E-3</v>
      </c>
      <c r="F14" s="137">
        <v>6.32</v>
      </c>
      <c r="G14" s="89">
        <f t="shared" ref="G14" si="44">+F14/F$16</f>
        <v>7.5174554840551451E-3</v>
      </c>
      <c r="H14" s="137">
        <v>7.47</v>
      </c>
      <c r="I14" s="89">
        <f t="shared" ref="I14" si="45">+H14/H$16</f>
        <v>7.9489225857940944E-3</v>
      </c>
      <c r="J14" s="137">
        <v>7.9</v>
      </c>
      <c r="K14" s="89">
        <f t="shared" ref="K14" si="46">+J14/J$16</f>
        <v>8.8301701204927009E-3</v>
      </c>
      <c r="L14" s="137">
        <v>8.49</v>
      </c>
      <c r="M14" s="89">
        <f t="shared" ref="M14" si="47">+L14/L$16</f>
        <v>8.7860003518539596E-3</v>
      </c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8" t="e">
        <f>+#REF!+#REF!+#REF!+#REF!+#REF!+#REF!+B14+D14+F14+H14+J14+L14</f>
        <v>#REF!</v>
      </c>
      <c r="AA14" s="89" t="e">
        <f t="shared" ref="AA14" si="48">+Z14/Z$16</f>
        <v>#REF!</v>
      </c>
      <c r="AC14" s="137" t="e">
        <f t="shared" si="6"/>
        <v>#REF!</v>
      </c>
      <c r="AD14" s="89"/>
      <c r="AE14" s="88"/>
      <c r="AF14" s="89"/>
      <c r="AG14" s="88"/>
      <c r="AH14" s="89"/>
      <c r="AI14" s="88"/>
      <c r="AJ14" s="89"/>
      <c r="AK14" s="88"/>
      <c r="AL14" s="89"/>
      <c r="AM14" s="88"/>
      <c r="AN14" s="121"/>
      <c r="AO14" s="88"/>
      <c r="AP14" s="89"/>
      <c r="AQ14" s="88"/>
      <c r="AR14" s="89"/>
      <c r="AS14" s="122"/>
      <c r="AT14" s="89"/>
      <c r="AU14" s="122"/>
      <c r="AV14" s="89"/>
      <c r="AW14" s="88"/>
      <c r="AX14" s="89"/>
      <c r="AY14" s="88"/>
      <c r="AZ14" s="89"/>
      <c r="BA14" s="88"/>
    </row>
    <row r="15" spans="1:53" ht="15" hidden="1" x14ac:dyDescent="0.35">
      <c r="A15" s="85" t="s">
        <v>69</v>
      </c>
      <c r="B15" s="88">
        <v>0</v>
      </c>
      <c r="C15" s="89">
        <f t="shared" ref="C15:E15" si="49">+B15/B$16</f>
        <v>0</v>
      </c>
      <c r="D15" s="137">
        <v>2.0699999999999998</v>
      </c>
      <c r="E15" s="89">
        <f t="shared" si="49"/>
        <v>1.8447224895733073E-3</v>
      </c>
      <c r="F15" s="137">
        <v>2.92</v>
      </c>
      <c r="G15" s="89">
        <f t="shared" ref="G15" si="50">+F15/F$16</f>
        <v>3.4732547489621868E-3</v>
      </c>
      <c r="H15" s="137">
        <v>3.08</v>
      </c>
      <c r="I15" s="89">
        <f t="shared" ref="I15" si="51">+H15/H$16</f>
        <v>3.277467411545624E-3</v>
      </c>
      <c r="J15" s="137">
        <v>2.2400000000000002</v>
      </c>
      <c r="K15" s="89">
        <f t="shared" ref="K15" si="52">+J15/J$16</f>
        <v>2.50374443922831E-3</v>
      </c>
      <c r="L15" s="137">
        <v>0.23</v>
      </c>
      <c r="M15" s="89">
        <f t="shared" ref="M15" si="53">+L15/L$16</f>
        <v>2.3801885523279278E-4</v>
      </c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8" t="e">
        <f>+#REF!+#REF!+#REF!+#REF!+#REF!+#REF!+B15+D15+F15+H15+J15+L15</f>
        <v>#REF!</v>
      </c>
      <c r="AA15" s="89" t="e">
        <f t="shared" ref="AA15" si="54">+Z15/Z$16</f>
        <v>#REF!</v>
      </c>
      <c r="AC15" s="148" t="e">
        <f t="shared" si="6"/>
        <v>#REF!</v>
      </c>
      <c r="AD15" s="89"/>
      <c r="AE15" s="88"/>
      <c r="AF15" s="89"/>
      <c r="AG15" s="88"/>
      <c r="AH15" s="89"/>
      <c r="AI15" s="88"/>
      <c r="AJ15" s="89"/>
      <c r="AK15" s="88"/>
      <c r="AL15" s="89"/>
      <c r="AM15" s="88"/>
      <c r="AN15" s="121"/>
      <c r="AO15" s="88"/>
      <c r="AP15" s="89"/>
      <c r="AQ15" s="88"/>
      <c r="AR15" s="89"/>
      <c r="AS15" s="122"/>
      <c r="AT15" s="89"/>
      <c r="AU15" s="122"/>
      <c r="AV15" s="89"/>
      <c r="AW15" s="88"/>
      <c r="AX15" s="89"/>
      <c r="AY15" s="88"/>
      <c r="AZ15" s="89"/>
      <c r="BA15" s="88"/>
    </row>
    <row r="16" spans="1:53" s="123" customFormat="1" ht="13.5" hidden="1" thickBot="1" x14ac:dyDescent="0.25">
      <c r="A16" s="90"/>
      <c r="B16" s="91">
        <f t="shared" ref="B16:AA16" si="55">SUM(B6:B15)</f>
        <v>1088.1999999999998</v>
      </c>
      <c r="C16" s="102">
        <f t="shared" si="55"/>
        <v>1.0000000000000002</v>
      </c>
      <c r="D16" s="91">
        <f t="shared" si="55"/>
        <v>1122.1200000000001</v>
      </c>
      <c r="E16" s="102">
        <f t="shared" si="55"/>
        <v>0.99999999999999989</v>
      </c>
      <c r="F16" s="91">
        <f t="shared" si="55"/>
        <v>840.70999999999992</v>
      </c>
      <c r="G16" s="102">
        <f t="shared" si="55"/>
        <v>1</v>
      </c>
      <c r="H16" s="91">
        <f t="shared" si="55"/>
        <v>939.75</v>
      </c>
      <c r="I16" s="102">
        <f t="shared" si="55"/>
        <v>0.99999999999999989</v>
      </c>
      <c r="J16" s="91">
        <f t="shared" si="55"/>
        <v>894.66000000000008</v>
      </c>
      <c r="K16" s="102">
        <f t="shared" si="55"/>
        <v>0.99999999999999989</v>
      </c>
      <c r="L16" s="91">
        <f t="shared" si="55"/>
        <v>966.31000000000006</v>
      </c>
      <c r="M16" s="102">
        <f t="shared" si="55"/>
        <v>1.0000000000000002</v>
      </c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91" t="e">
        <f t="shared" si="55"/>
        <v>#REF!</v>
      </c>
      <c r="AA16" s="102" t="e">
        <f t="shared" si="55"/>
        <v>#REF!</v>
      </c>
      <c r="AB16" s="1"/>
      <c r="AC16" s="138" t="e">
        <f>SUM(AC6:AC15)</f>
        <v>#REF!</v>
      </c>
    </row>
    <row r="17" spans="1:29" hidden="1" x14ac:dyDescent="0.2"/>
    <row r="18" spans="1:29" ht="15" hidden="1" x14ac:dyDescent="0.35">
      <c r="A18" s="85" t="s">
        <v>70</v>
      </c>
      <c r="B18" s="126">
        <v>153.16999999999999</v>
      </c>
      <c r="C18" s="127">
        <f>+B18/B20</f>
        <v>0.12338786985346835</v>
      </c>
      <c r="D18" s="136">
        <v>166.01</v>
      </c>
      <c r="E18" s="127">
        <f>+D18/D20</f>
        <v>0.12887674380691388</v>
      </c>
      <c r="F18" s="136">
        <v>98.34</v>
      </c>
      <c r="G18" s="127">
        <f>+F18/F20</f>
        <v>0.10472285820776317</v>
      </c>
      <c r="H18" s="136">
        <v>153.34</v>
      </c>
      <c r="I18" s="127">
        <f>+H18/H20</f>
        <v>0.14028122112543343</v>
      </c>
      <c r="J18" s="136">
        <v>165.76</v>
      </c>
      <c r="K18" s="127">
        <f>+J18/J20</f>
        <v>0.15631542219120723</v>
      </c>
      <c r="L18" s="148">
        <f>169.25+9.98+1.26</f>
        <v>180.48999999999998</v>
      </c>
      <c r="M18" s="127">
        <f>+L18/L20</f>
        <v>0.15738576909661667</v>
      </c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6" t="e">
        <f>+L18+J18+H18+F18+D18+B18+#REF!+#REF!+#REF!+#REF!+#REF!+#REF!</f>
        <v>#REF!</v>
      </c>
      <c r="AA18" s="127" t="e">
        <f>+Z18/Z20</f>
        <v>#REF!</v>
      </c>
      <c r="AC18" s="137" t="e">
        <f t="shared" ref="AC18" si="56">+Z18/7*12</f>
        <v>#REF!</v>
      </c>
    </row>
    <row r="19" spans="1:29" hidden="1" x14ac:dyDescent="0.2"/>
    <row r="20" spans="1:29" ht="15" hidden="1" x14ac:dyDescent="0.35">
      <c r="A20" s="86" t="s">
        <v>95</v>
      </c>
      <c r="B20" s="125">
        <f t="shared" ref="B20" si="57">+B18+B16</f>
        <v>1241.3699999999999</v>
      </c>
      <c r="C20" s="125"/>
      <c r="D20" s="125">
        <f t="shared" ref="D20" si="58">+D18+D16</f>
        <v>1288.1300000000001</v>
      </c>
      <c r="E20" s="125"/>
      <c r="F20" s="125">
        <f t="shared" ref="F20" si="59">+F18+F16</f>
        <v>939.05</v>
      </c>
      <c r="G20" s="125"/>
      <c r="H20" s="125">
        <f t="shared" ref="H20" si="60">+H18+H16</f>
        <v>1093.0899999999999</v>
      </c>
      <c r="I20" s="125"/>
      <c r="J20" s="125">
        <f t="shared" ref="J20" si="61">+J18+J16</f>
        <v>1060.42</v>
      </c>
      <c r="K20" s="125"/>
      <c r="L20" s="125">
        <f t="shared" ref="L20" si="62">+L18+L16</f>
        <v>1146.8</v>
      </c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 t="e">
        <f t="shared" ref="Z20" si="63">+Z18+Z16</f>
        <v>#REF!</v>
      </c>
    </row>
    <row r="21" spans="1:29" hidden="1" x14ac:dyDescent="0.2"/>
    <row r="23" spans="1:29" x14ac:dyDescent="0.2">
      <c r="A23" s="85"/>
      <c r="B23" s="289">
        <v>43983</v>
      </c>
      <c r="C23" s="289"/>
      <c r="D23" s="289">
        <v>44013</v>
      </c>
      <c r="E23" s="289"/>
      <c r="F23" s="289">
        <v>44044</v>
      </c>
      <c r="G23" s="289"/>
      <c r="H23" s="289">
        <v>44075</v>
      </c>
      <c r="I23" s="289"/>
      <c r="J23" s="289">
        <v>44105</v>
      </c>
      <c r="K23" s="289"/>
      <c r="L23" s="289">
        <v>44136</v>
      </c>
      <c r="M23" s="289"/>
      <c r="N23" s="289">
        <v>44166</v>
      </c>
      <c r="O23" s="289"/>
      <c r="P23" s="289">
        <v>44197</v>
      </c>
      <c r="Q23" s="289"/>
      <c r="R23" s="289">
        <v>44228</v>
      </c>
      <c r="S23" s="289"/>
      <c r="T23" s="289">
        <v>44256</v>
      </c>
      <c r="U23" s="289"/>
      <c r="V23" s="289">
        <v>44287</v>
      </c>
      <c r="W23" s="289"/>
      <c r="X23" s="289">
        <v>44317</v>
      </c>
      <c r="Y23" s="289"/>
      <c r="Z23" s="289" t="s">
        <v>3</v>
      </c>
      <c r="AA23" s="289"/>
    </row>
    <row r="24" spans="1:29" x14ac:dyDescent="0.2">
      <c r="A24" s="85"/>
      <c r="B24" s="87" t="s">
        <v>12</v>
      </c>
      <c r="C24" s="87" t="s">
        <v>4</v>
      </c>
      <c r="D24" s="87" t="s">
        <v>12</v>
      </c>
      <c r="E24" s="87" t="s">
        <v>4</v>
      </c>
      <c r="F24" s="87" t="s">
        <v>12</v>
      </c>
      <c r="G24" s="87" t="s">
        <v>4</v>
      </c>
      <c r="H24" s="87" t="s">
        <v>12</v>
      </c>
      <c r="I24" s="87" t="s">
        <v>4</v>
      </c>
      <c r="J24" s="87" t="s">
        <v>12</v>
      </c>
      <c r="K24" s="87" t="s">
        <v>4</v>
      </c>
      <c r="L24" s="87" t="s">
        <v>12</v>
      </c>
      <c r="M24" s="87" t="s">
        <v>4</v>
      </c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 t="s">
        <v>12</v>
      </c>
      <c r="AA24" s="87" t="s">
        <v>4</v>
      </c>
    </row>
    <row r="25" spans="1:29" x14ac:dyDescent="0.2">
      <c r="A25" s="85" t="s">
        <v>36</v>
      </c>
      <c r="B25" s="88">
        <v>223.62</v>
      </c>
      <c r="C25" s="89">
        <f>+B25/B$35</f>
        <v>0.23436075332487921</v>
      </c>
      <c r="D25" s="137">
        <v>205.72</v>
      </c>
      <c r="E25" s="89">
        <f>+D25/D$35</f>
        <v>0.20866848570298313</v>
      </c>
      <c r="F25" s="137">
        <v>182.89</v>
      </c>
      <c r="G25" s="89">
        <f>+F25/F$35</f>
        <v>0.21489419201710785</v>
      </c>
      <c r="H25" s="137">
        <v>209.07</v>
      </c>
      <c r="I25" s="89">
        <f>+H25/H$35</f>
        <v>0.22652855579513073</v>
      </c>
      <c r="J25" s="137">
        <v>211.99</v>
      </c>
      <c r="K25" s="89">
        <f>+J25/J$35</f>
        <v>0.23330728679440474</v>
      </c>
      <c r="L25" s="174">
        <v>246.61</v>
      </c>
      <c r="M25" s="89">
        <f>+L25/L$35</f>
        <v>0.25442071598060456</v>
      </c>
      <c r="N25" s="174">
        <v>262.26</v>
      </c>
      <c r="O25" s="89">
        <f>+N25/N$35</f>
        <v>0.24735675548219763</v>
      </c>
      <c r="P25" s="174">
        <v>207.85</v>
      </c>
      <c r="Q25" s="89">
        <f>+P25/P$35</f>
        <v>0.20175302362602163</v>
      </c>
      <c r="R25" s="174">
        <v>184.33</v>
      </c>
      <c r="S25" s="89">
        <f>+R25/R$35</f>
        <v>0.22289535418027037</v>
      </c>
      <c r="T25" s="174">
        <v>235.28</v>
      </c>
      <c r="U25" s="89">
        <f>+T25/T$35</f>
        <v>0.24317089556095295</v>
      </c>
      <c r="V25" s="174">
        <v>190.01</v>
      </c>
      <c r="W25" s="89">
        <f>+V25/V$35</f>
        <v>0.20272490611130078</v>
      </c>
      <c r="X25" s="174">
        <v>156.63999999999999</v>
      </c>
      <c r="Y25" s="89">
        <f>+X25/X$35</f>
        <v>0.18399013331767197</v>
      </c>
      <c r="Z25" s="88">
        <f>+B25+D25+F25+H25+J25+L25+N25+P25+R25+T25+V25+X25</f>
        <v>2516.27</v>
      </c>
      <c r="AA25" s="89">
        <f>+Z25/Z$35</f>
        <v>0.22335872035222276</v>
      </c>
    </row>
    <row r="26" spans="1:29" x14ac:dyDescent="0.2">
      <c r="A26" s="85" t="s">
        <v>66</v>
      </c>
      <c r="B26" s="88">
        <v>0</v>
      </c>
      <c r="C26" s="89">
        <f t="shared" ref="C26" si="64">+B26/B$35</f>
        <v>0</v>
      </c>
      <c r="D26" s="137">
        <v>0</v>
      </c>
      <c r="E26" s="89">
        <f t="shared" ref="E26" si="65">+D26/D$35</f>
        <v>0</v>
      </c>
      <c r="F26" s="137">
        <v>0</v>
      </c>
      <c r="G26" s="89">
        <f t="shared" ref="G26" si="66">+F26/F$35</f>
        <v>0</v>
      </c>
      <c r="H26" s="137">
        <v>0</v>
      </c>
      <c r="I26" s="89">
        <f t="shared" ref="I26" si="67">+H26/H$35</f>
        <v>0</v>
      </c>
      <c r="J26" s="137">
        <v>0</v>
      </c>
      <c r="K26" s="89">
        <f t="shared" ref="K26" si="68">+J26/J$35</f>
        <v>0</v>
      </c>
      <c r="L26" s="174">
        <v>0</v>
      </c>
      <c r="M26" s="89">
        <f t="shared" ref="M26" si="69">+L26/L$35</f>
        <v>0</v>
      </c>
      <c r="N26" s="174">
        <v>0</v>
      </c>
      <c r="O26" s="89">
        <f t="shared" ref="O26:O34" si="70">+N26/N$35</f>
        <v>0</v>
      </c>
      <c r="P26" s="174">
        <v>0</v>
      </c>
      <c r="Q26" s="89">
        <f t="shared" ref="Q26:Q34" si="71">+P26/P$35</f>
        <v>0</v>
      </c>
      <c r="R26" s="174">
        <v>0</v>
      </c>
      <c r="S26" s="89">
        <f t="shared" ref="S26:S34" si="72">+R26/R$35</f>
        <v>0</v>
      </c>
      <c r="T26" s="174">
        <v>0</v>
      </c>
      <c r="U26" s="89">
        <f t="shared" ref="U26:U34" si="73">+T26/T$35</f>
        <v>0</v>
      </c>
      <c r="V26" s="174">
        <v>0</v>
      </c>
      <c r="W26" s="89">
        <f t="shared" ref="W26:W34" si="74">+V26/V$35</f>
        <v>0</v>
      </c>
      <c r="X26" s="174">
        <f t="shared" ref="X26:X34" si="75">+V26</f>
        <v>0</v>
      </c>
      <c r="Y26" s="89">
        <f t="shared" ref="Y26:Y34" si="76">+X26/X$35</f>
        <v>0</v>
      </c>
      <c r="Z26" s="88">
        <f t="shared" ref="Z26:Z34" si="77">+B26+D26+F26+H26+J26+L26+N26+P26+R26+T26+V26+X26</f>
        <v>0</v>
      </c>
      <c r="AA26" s="89">
        <f t="shared" ref="AA26" si="78">+Z26/Z$35</f>
        <v>0</v>
      </c>
    </row>
    <row r="27" spans="1:29" x14ac:dyDescent="0.2">
      <c r="A27" s="85" t="s">
        <v>19</v>
      </c>
      <c r="B27" s="88">
        <v>465.81</v>
      </c>
      <c r="C27" s="89">
        <f t="shared" ref="C27" si="79">+B27/B$35</f>
        <v>0.48818344739407021</v>
      </c>
      <c r="D27" s="137">
        <v>479.91</v>
      </c>
      <c r="E27" s="89">
        <f t="shared" ref="E27" si="80">+D27/D$35</f>
        <v>0.48678831894671709</v>
      </c>
      <c r="F27" s="137">
        <v>398.68</v>
      </c>
      <c r="G27" s="89">
        <f t="shared" ref="G27" si="81">+F27/F$35</f>
        <v>0.46844560376937266</v>
      </c>
      <c r="H27" s="137">
        <v>439.09</v>
      </c>
      <c r="I27" s="89">
        <f t="shared" ref="I27" si="82">+H27/H$35</f>
        <v>0.47575655791880206</v>
      </c>
      <c r="J27" s="137">
        <v>449.47</v>
      </c>
      <c r="K27" s="89">
        <f t="shared" ref="K27" si="83">+J27/J$35</f>
        <v>0.49466779657286242</v>
      </c>
      <c r="L27" s="174">
        <v>449.73</v>
      </c>
      <c r="M27" s="89">
        <f t="shared" ref="M27" si="84">+L27/L$35</f>
        <v>0.46397400185701021</v>
      </c>
      <c r="N27" s="174">
        <v>499.49</v>
      </c>
      <c r="O27" s="89">
        <f t="shared" si="70"/>
        <v>0.47110587125677916</v>
      </c>
      <c r="P27" s="174">
        <v>559.23</v>
      </c>
      <c r="Q27" s="89">
        <f t="shared" si="71"/>
        <v>0.54282580419716175</v>
      </c>
      <c r="R27" s="174">
        <v>397.89</v>
      </c>
      <c r="S27" s="89">
        <f t="shared" si="72"/>
        <v>0.48113618225350058</v>
      </c>
      <c r="T27" s="174">
        <v>453.69</v>
      </c>
      <c r="U27" s="89">
        <f t="shared" si="73"/>
        <v>0.46890599968993851</v>
      </c>
      <c r="V27" s="174">
        <v>473.19</v>
      </c>
      <c r="W27" s="89">
        <f t="shared" si="74"/>
        <v>0.50485447251621718</v>
      </c>
      <c r="X27" s="174">
        <v>427.9</v>
      </c>
      <c r="Y27" s="89">
        <f t="shared" si="76"/>
        <v>0.50261349621189888</v>
      </c>
      <c r="Z27" s="88">
        <f t="shared" si="77"/>
        <v>5494.079999999999</v>
      </c>
      <c r="AA27" s="89">
        <f t="shared" ref="AA27" si="85">+Z27/Z$35</f>
        <v>0.48768640818065623</v>
      </c>
    </row>
    <row r="28" spans="1:29" x14ac:dyDescent="0.2">
      <c r="A28" s="85" t="s">
        <v>17</v>
      </c>
      <c r="B28" s="88">
        <v>20.39</v>
      </c>
      <c r="C28" s="89">
        <f t="shared" ref="C28" si="86">+B28/B$35</f>
        <v>2.1369357661632622E-2</v>
      </c>
      <c r="D28" s="137">
        <v>21.72</v>
      </c>
      <c r="E28" s="89">
        <f t="shared" ref="E28" si="87">+D28/D$35</f>
        <v>2.2031302301520481E-2</v>
      </c>
      <c r="F28" s="137">
        <v>18.350000000000001</v>
      </c>
      <c r="G28" s="89">
        <f t="shared" ref="G28" si="88">+F28/F$35</f>
        <v>2.1561093682070806E-2</v>
      </c>
      <c r="H28" s="137">
        <v>20.3</v>
      </c>
      <c r="I28" s="89">
        <f t="shared" ref="I28" si="89">+H28/H$35</f>
        <v>2.1995167564170633E-2</v>
      </c>
      <c r="J28" s="137">
        <v>17.97</v>
      </c>
      <c r="K28" s="89">
        <f t="shared" ref="K28" si="90">+J28/J$35</f>
        <v>1.9777026952664999E-2</v>
      </c>
      <c r="L28" s="174">
        <v>18.510000000000002</v>
      </c>
      <c r="M28" s="89">
        <f t="shared" ref="M28" si="91">+L28/L$35</f>
        <v>1.909625502940266E-2</v>
      </c>
      <c r="N28" s="174">
        <v>21.42</v>
      </c>
      <c r="O28" s="89">
        <f t="shared" si="70"/>
        <v>2.0202782362650325E-2</v>
      </c>
      <c r="P28" s="174">
        <v>18.72</v>
      </c>
      <c r="Q28" s="89">
        <f t="shared" si="71"/>
        <v>1.8170876123546426E-2</v>
      </c>
      <c r="R28" s="174">
        <v>14.77</v>
      </c>
      <c r="S28" s="89">
        <f t="shared" si="72"/>
        <v>1.786016590485864E-2</v>
      </c>
      <c r="T28" s="174">
        <v>19.68</v>
      </c>
      <c r="U28" s="89">
        <f t="shared" si="73"/>
        <v>2.034003410676451E-2</v>
      </c>
      <c r="V28" s="174">
        <v>19.850000000000001</v>
      </c>
      <c r="W28" s="89">
        <f t="shared" si="74"/>
        <v>2.1178303175145102E-2</v>
      </c>
      <c r="X28" s="174">
        <v>18.53</v>
      </c>
      <c r="Y28" s="89">
        <f t="shared" si="76"/>
        <v>2.17654313737006E-2</v>
      </c>
      <c r="Z28" s="88">
        <f t="shared" si="77"/>
        <v>230.21000000000004</v>
      </c>
      <c r="AA28" s="89">
        <f t="shared" ref="AA28" si="92">+Z28/Z$35</f>
        <v>2.0434774889930417E-2</v>
      </c>
    </row>
    <row r="29" spans="1:29" x14ac:dyDescent="0.2">
      <c r="A29" s="85" t="s">
        <v>11</v>
      </c>
      <c r="B29" s="88">
        <v>160.96</v>
      </c>
      <c r="C29" s="89">
        <f t="shared" ref="C29" si="93">+B29/B$35</f>
        <v>0.16869111374283408</v>
      </c>
      <c r="D29" s="137">
        <v>186.11</v>
      </c>
      <c r="E29" s="89">
        <f t="shared" ref="E29" si="94">+D29/D$35</f>
        <v>0.18877742501546857</v>
      </c>
      <c r="F29" s="137">
        <v>167.43</v>
      </c>
      <c r="G29" s="89">
        <f t="shared" ref="G29" si="95">+F29/F$35</f>
        <v>0.19672882371602807</v>
      </c>
      <c r="H29" s="137">
        <v>166.73</v>
      </c>
      <c r="I29" s="89">
        <f t="shared" ref="I29" si="96">+H29/H$35</f>
        <v>0.18065292058986054</v>
      </c>
      <c r="J29" s="137">
        <v>144.22999999999999</v>
      </c>
      <c r="K29" s="89">
        <f t="shared" ref="K29" si="97">+J29/J$35</f>
        <v>0.15873347787328174</v>
      </c>
      <c r="L29" s="174">
        <v>173.72</v>
      </c>
      <c r="M29" s="89">
        <f t="shared" ref="M29" si="98">+L29/L$35</f>
        <v>0.17922211905498811</v>
      </c>
      <c r="N29" s="174">
        <v>195.64</v>
      </c>
      <c r="O29" s="89">
        <f t="shared" si="70"/>
        <v>0.18452251827399202</v>
      </c>
      <c r="P29" s="174">
        <v>165.46</v>
      </c>
      <c r="Q29" s="89">
        <f t="shared" si="71"/>
        <v>0.16060647240395257</v>
      </c>
      <c r="R29" s="174">
        <v>164.38</v>
      </c>
      <c r="S29" s="89">
        <f t="shared" si="72"/>
        <v>0.19877143340830489</v>
      </c>
      <c r="T29" s="174">
        <v>176.69</v>
      </c>
      <c r="U29" s="89">
        <f t="shared" si="73"/>
        <v>0.18261588548395433</v>
      </c>
      <c r="V29" s="174">
        <v>178.92</v>
      </c>
      <c r="W29" s="89">
        <f t="shared" si="74"/>
        <v>0.19089279617616933</v>
      </c>
      <c r="X29" s="174">
        <v>170.01</v>
      </c>
      <c r="Y29" s="89">
        <f t="shared" si="76"/>
        <v>0.19969460268984557</v>
      </c>
      <c r="Z29" s="88">
        <f t="shared" si="77"/>
        <v>2050.2800000000007</v>
      </c>
      <c r="AA29" s="89">
        <f t="shared" ref="AA29" si="99">+Z29/Z$35</f>
        <v>0.18199474506462163</v>
      </c>
    </row>
    <row r="30" spans="1:29" x14ac:dyDescent="0.2">
      <c r="A30" s="85" t="s">
        <v>97</v>
      </c>
      <c r="B30" s="88">
        <v>23.6</v>
      </c>
      <c r="C30" s="89">
        <f t="shared" ref="C30" si="100">+B30/B$35</f>
        <v>2.4733538048775375E-2</v>
      </c>
      <c r="D30" s="137">
        <v>23.95</v>
      </c>
      <c r="E30" s="89">
        <f t="shared" ref="E30" si="101">+D30/D$35</f>
        <v>2.4293263817744729E-2</v>
      </c>
      <c r="F30" s="137">
        <v>21.86</v>
      </c>
      <c r="G30" s="89">
        <f t="shared" ref="G30" si="102">+F30/F$35</f>
        <v>2.5685313781475084E-2</v>
      </c>
      <c r="H30" s="137">
        <v>24.77</v>
      </c>
      <c r="I30" s="89">
        <f t="shared" ref="I30" si="103">+H30/H$35</f>
        <v>2.6838438451453523E-2</v>
      </c>
      <c r="J30" s="137">
        <v>22.22</v>
      </c>
      <c r="K30" s="89">
        <f t="shared" ref="K30" si="104">+J30/J$35</f>
        <v>2.4454398379978644E-2</v>
      </c>
      <c r="L30" s="174">
        <v>27.02</v>
      </c>
      <c r="M30" s="89">
        <f t="shared" ref="M30" si="105">+L30/L$35</f>
        <v>2.7875786650159908E-2</v>
      </c>
      <c r="N30" s="174">
        <v>28.14</v>
      </c>
      <c r="O30" s="89">
        <f t="shared" si="70"/>
        <v>2.6540910162697485E-2</v>
      </c>
      <c r="P30" s="174">
        <v>26.15</v>
      </c>
      <c r="Q30" s="89">
        <f t="shared" si="71"/>
        <v>2.538292791830871E-2</v>
      </c>
      <c r="R30" s="174">
        <v>20.63</v>
      </c>
      <c r="S30" s="89">
        <f t="shared" si="72"/>
        <v>2.4946189750659018E-2</v>
      </c>
      <c r="T30" s="174">
        <v>25.19</v>
      </c>
      <c r="U30" s="89">
        <f t="shared" si="73"/>
        <v>2.60348302413312E-2</v>
      </c>
      <c r="V30" s="174">
        <v>23.18</v>
      </c>
      <c r="W30" s="89">
        <f t="shared" si="74"/>
        <v>2.4731136906794127E-2</v>
      </c>
      <c r="X30" s="174">
        <v>23.39</v>
      </c>
      <c r="Y30" s="89">
        <f t="shared" si="76"/>
        <v>2.7474011863510901E-2</v>
      </c>
      <c r="Z30" s="88">
        <f t="shared" si="77"/>
        <v>290.09999999999997</v>
      </c>
      <c r="AA30" s="89">
        <f t="shared" ref="AA30" si="106">+Z30/Z$35</f>
        <v>2.5750958670643379E-2</v>
      </c>
    </row>
    <row r="31" spans="1:29" x14ac:dyDescent="0.2">
      <c r="A31" s="85" t="s">
        <v>1</v>
      </c>
      <c r="B31" s="88">
        <v>43.42</v>
      </c>
      <c r="C31" s="89">
        <f t="shared" ref="C31" si="107">+B31/B$35</f>
        <v>4.5505517884653679E-2</v>
      </c>
      <c r="D31" s="137">
        <v>51.08</v>
      </c>
      <c r="E31" s="89">
        <f t="shared" ref="E31" si="108">+D31/D$35</f>
        <v>5.1812105044275608E-2</v>
      </c>
      <c r="F31" s="137">
        <v>46.7</v>
      </c>
      <c r="G31" s="89">
        <f t="shared" ref="G31" si="109">+F31/F$35</f>
        <v>5.4872102177259213E-2</v>
      </c>
      <c r="H31" s="137">
        <v>46.27</v>
      </c>
      <c r="I31" s="89">
        <f t="shared" ref="I31" si="110">+H31/H$35</f>
        <v>5.0133812965230305E-2</v>
      </c>
      <c r="J31" s="137">
        <v>44.88</v>
      </c>
      <c r="K31" s="89">
        <f t="shared" ref="K31" si="111">+J31/J$35</f>
        <v>4.9393042272432117E-2</v>
      </c>
      <c r="L31" s="174">
        <v>36.56</v>
      </c>
      <c r="M31" s="89">
        <f t="shared" ref="M31" si="112">+L31/L$35</f>
        <v>3.7717940782007631E-2</v>
      </c>
      <c r="N31" s="174">
        <v>36.24</v>
      </c>
      <c r="O31" s="89">
        <f t="shared" si="70"/>
        <v>3.4180617778825757E-2</v>
      </c>
      <c r="P31" s="174">
        <v>37.68</v>
      </c>
      <c r="Q31" s="89">
        <f t="shared" si="71"/>
        <v>3.6574712197394728E-2</v>
      </c>
      <c r="R31" s="174">
        <v>30.22</v>
      </c>
      <c r="S31" s="89">
        <f t="shared" si="72"/>
        <v>3.6542600788410838E-2</v>
      </c>
      <c r="T31" s="174">
        <v>39.590000000000003</v>
      </c>
      <c r="U31" s="89">
        <f t="shared" si="73"/>
        <v>4.091778202676865E-2</v>
      </c>
      <c r="V31" s="174">
        <v>37.380000000000003</v>
      </c>
      <c r="W31" s="89">
        <f t="shared" si="74"/>
        <v>3.9881358825537727E-2</v>
      </c>
      <c r="X31" s="174">
        <v>40.299999999999997</v>
      </c>
      <c r="Y31" s="89">
        <f t="shared" si="76"/>
        <v>4.7336583073941396E-2</v>
      </c>
      <c r="Z31" s="88">
        <f t="shared" si="77"/>
        <v>490.32</v>
      </c>
      <c r="AA31" s="89">
        <f t="shared" ref="AA31" si="113">+Z31/Z$35</f>
        <v>4.3523647209203251E-2</v>
      </c>
    </row>
    <row r="32" spans="1:29" x14ac:dyDescent="0.2">
      <c r="A32" s="85" t="s">
        <v>67</v>
      </c>
      <c r="B32" s="88">
        <v>9.16</v>
      </c>
      <c r="C32" s="89">
        <f t="shared" ref="C32" si="114">+B32/B$35</f>
        <v>9.599966462999255E-3</v>
      </c>
      <c r="D32" s="137">
        <v>9.98</v>
      </c>
      <c r="E32" s="89">
        <f t="shared" ref="E32" si="115">+D32/D$35</f>
        <v>1.0123038534492377E-2</v>
      </c>
      <c r="F32" s="137">
        <v>8.9700000000000006</v>
      </c>
      <c r="G32" s="89">
        <f t="shared" ref="G32" si="116">+F32/F$35</f>
        <v>1.0539673587366492E-2</v>
      </c>
      <c r="H32" s="137">
        <v>10.48</v>
      </c>
      <c r="I32" s="89">
        <f t="shared" ref="I32" si="117">+H32/H$35</f>
        <v>1.1355140693227007E-2</v>
      </c>
      <c r="J32" s="137">
        <v>10.68</v>
      </c>
      <c r="K32" s="89">
        <f t="shared" ref="K32" si="118">+J32/J$35</f>
        <v>1.1753959257343471E-2</v>
      </c>
      <c r="L32" s="174">
        <v>10.220000000000001</v>
      </c>
      <c r="M32" s="89">
        <f t="shared" ref="M32" si="119">+L32/L$35</f>
        <v>1.0543691323635614E-2</v>
      </c>
      <c r="N32" s="174">
        <v>9.7100000000000009</v>
      </c>
      <c r="O32" s="89">
        <f t="shared" si="70"/>
        <v>9.1582174015562394E-3</v>
      </c>
      <c r="P32" s="174">
        <v>9.3000000000000007</v>
      </c>
      <c r="Q32" s="89">
        <f t="shared" si="71"/>
        <v>9.0271980741977453E-3</v>
      </c>
      <c r="R32" s="174">
        <v>5.57</v>
      </c>
      <c r="S32" s="89">
        <f t="shared" si="72"/>
        <v>6.7353503107693046E-3</v>
      </c>
      <c r="T32" s="174">
        <v>10.91</v>
      </c>
      <c r="U32" s="89">
        <f t="shared" si="73"/>
        <v>1.1275903054105732E-2</v>
      </c>
      <c r="V32" s="174">
        <v>8.43</v>
      </c>
      <c r="W32" s="89">
        <f t="shared" si="74"/>
        <v>8.9941106179583473E-3</v>
      </c>
      <c r="X32" s="174">
        <v>8.4</v>
      </c>
      <c r="Y32" s="89">
        <f t="shared" si="76"/>
        <v>9.8666823280671896E-3</v>
      </c>
      <c r="Z32" s="88">
        <f t="shared" si="77"/>
        <v>111.81</v>
      </c>
      <c r="AA32" s="89">
        <f t="shared" ref="AA32" si="120">+Z32/Z$35</f>
        <v>9.924904132935666E-3</v>
      </c>
    </row>
    <row r="33" spans="1:27" x14ac:dyDescent="0.2">
      <c r="A33" s="85" t="s">
        <v>68</v>
      </c>
      <c r="B33" s="88">
        <v>7.1</v>
      </c>
      <c r="C33" s="89">
        <f t="shared" ref="C33" si="121">+B33/B$35</f>
        <v>7.4410220400976754E-3</v>
      </c>
      <c r="D33" s="137">
        <v>7.28</v>
      </c>
      <c r="E33" s="89">
        <f t="shared" ref="E33" si="122">+D33/D$35</f>
        <v>7.3843407345796095E-3</v>
      </c>
      <c r="F33" s="137">
        <v>6.19</v>
      </c>
      <c r="G33" s="89">
        <f t="shared" ref="G33" si="123">+F33/F$35</f>
        <v>7.2731972693197977E-3</v>
      </c>
      <c r="H33" s="137">
        <v>6.22</v>
      </c>
      <c r="I33" s="89">
        <f t="shared" ref="I33" si="124">+H33/H$35</f>
        <v>6.7394060221251887E-3</v>
      </c>
      <c r="J33" s="137">
        <v>7.19</v>
      </c>
      <c r="K33" s="89">
        <f t="shared" ref="K33" si="125">+J33/J$35</f>
        <v>7.9130118970317954E-3</v>
      </c>
      <c r="L33" s="174">
        <v>6.93</v>
      </c>
      <c r="M33" s="89">
        <f t="shared" ref="M33" si="126">+L33/L$35</f>
        <v>7.1494893221912712E-3</v>
      </c>
      <c r="N33" s="174">
        <v>7.35</v>
      </c>
      <c r="O33" s="89">
        <f t="shared" si="70"/>
        <v>6.9323272813015813E-3</v>
      </c>
      <c r="P33" s="174">
        <v>5.83</v>
      </c>
      <c r="Q33" s="89">
        <f t="shared" si="71"/>
        <v>5.6589854594164355E-3</v>
      </c>
      <c r="R33" s="174">
        <v>9.19</v>
      </c>
      <c r="S33" s="89">
        <f t="shared" si="72"/>
        <v>1.1112723403226193E-2</v>
      </c>
      <c r="T33" s="174">
        <v>6.52</v>
      </c>
      <c r="U33" s="89">
        <f t="shared" si="73"/>
        <v>6.7386698361841767E-3</v>
      </c>
      <c r="V33" s="174">
        <v>6.32</v>
      </c>
      <c r="W33" s="89">
        <f t="shared" si="74"/>
        <v>6.742915670877433E-3</v>
      </c>
      <c r="X33" s="174">
        <v>6.18</v>
      </c>
      <c r="Y33" s="89">
        <f t="shared" si="76"/>
        <v>7.2590591413637176E-3</v>
      </c>
      <c r="Z33" s="88">
        <f t="shared" si="77"/>
        <v>82.300000000000011</v>
      </c>
      <c r="AA33" s="89">
        <f t="shared" ref="AA33" si="127">+Z33/Z$35</f>
        <v>7.3054253657151005E-3</v>
      </c>
    </row>
    <row r="34" spans="1:27" x14ac:dyDescent="0.2">
      <c r="A34" s="85" t="s">
        <v>69</v>
      </c>
      <c r="B34" s="88">
        <v>0.11</v>
      </c>
      <c r="C34" s="89">
        <f t="shared" ref="C34" si="128">+B34/B$35</f>
        <v>1.1528344005785132E-4</v>
      </c>
      <c r="D34" s="137">
        <v>0.12</v>
      </c>
      <c r="E34" s="89">
        <f t="shared" ref="E34" si="129">+D34/D$35</f>
        <v>1.217199022183452E-4</v>
      </c>
      <c r="F34" s="137">
        <v>0</v>
      </c>
      <c r="G34" s="89">
        <f t="shared" ref="G34" si="130">+F34/F$35</f>
        <v>0</v>
      </c>
      <c r="H34" s="137">
        <v>0</v>
      </c>
      <c r="I34" s="89">
        <f t="shared" ref="I34" si="131">+H34/H$35</f>
        <v>0</v>
      </c>
      <c r="J34" s="137">
        <v>0</v>
      </c>
      <c r="K34" s="89">
        <f t="shared" ref="K34" si="132">+J34/J$35</f>
        <v>0</v>
      </c>
      <c r="L34" s="174">
        <v>0</v>
      </c>
      <c r="M34" s="89">
        <f t="shared" ref="M34" si="133">+L34/L$35</f>
        <v>0</v>
      </c>
      <c r="N34" s="174">
        <v>0</v>
      </c>
      <c r="O34" s="89">
        <f t="shared" si="70"/>
        <v>0</v>
      </c>
      <c r="P34" s="174">
        <v>0</v>
      </c>
      <c r="Q34" s="89">
        <f t="shared" si="71"/>
        <v>0</v>
      </c>
      <c r="R34" s="174">
        <v>0</v>
      </c>
      <c r="S34" s="89">
        <f t="shared" si="72"/>
        <v>0</v>
      </c>
      <c r="T34" s="174">
        <v>0</v>
      </c>
      <c r="U34" s="89">
        <f t="shared" si="73"/>
        <v>0</v>
      </c>
      <c r="V34" s="174">
        <v>0</v>
      </c>
      <c r="W34" s="89">
        <f t="shared" si="74"/>
        <v>0</v>
      </c>
      <c r="X34" s="174">
        <f t="shared" si="75"/>
        <v>0</v>
      </c>
      <c r="Y34" s="89">
        <f t="shared" si="76"/>
        <v>0</v>
      </c>
      <c r="Z34" s="88">
        <f t="shared" si="77"/>
        <v>0.22999999999999998</v>
      </c>
      <c r="AA34" s="89">
        <f t="shared" ref="AA34" si="134">+Z34/Z$35</f>
        <v>2.0416134071864795E-5</v>
      </c>
    </row>
    <row r="35" spans="1:27" ht="13.5" thickBot="1" x14ac:dyDescent="0.25">
      <c r="A35" s="90"/>
      <c r="B35" s="91">
        <f t="shared" ref="B35:AA35" si="135">SUM(B25:B34)</f>
        <v>954.17000000000007</v>
      </c>
      <c r="C35" s="102">
        <f t="shared" si="135"/>
        <v>0.99999999999999989</v>
      </c>
      <c r="D35" s="91">
        <f t="shared" si="135"/>
        <v>985.87000000000012</v>
      </c>
      <c r="E35" s="102">
        <f t="shared" si="135"/>
        <v>1</v>
      </c>
      <c r="F35" s="91">
        <f t="shared" si="135"/>
        <v>851.07</v>
      </c>
      <c r="G35" s="102">
        <f t="shared" si="135"/>
        <v>1</v>
      </c>
      <c r="H35" s="91">
        <f t="shared" si="135"/>
        <v>922.93</v>
      </c>
      <c r="I35" s="102">
        <f t="shared" si="135"/>
        <v>0.99999999999999989</v>
      </c>
      <c r="J35" s="91">
        <f t="shared" si="135"/>
        <v>908.63000000000011</v>
      </c>
      <c r="K35" s="102">
        <f t="shared" si="135"/>
        <v>0.99999999999999989</v>
      </c>
      <c r="L35" s="91">
        <f t="shared" si="135"/>
        <v>969.30000000000007</v>
      </c>
      <c r="M35" s="102">
        <f t="shared" si="135"/>
        <v>1</v>
      </c>
      <c r="N35" s="91">
        <f t="shared" si="135"/>
        <v>1060.2499999999998</v>
      </c>
      <c r="O35" s="102">
        <f t="shared" si="135"/>
        <v>1</v>
      </c>
      <c r="P35" s="91">
        <f t="shared" si="135"/>
        <v>1030.22</v>
      </c>
      <c r="Q35" s="102">
        <f t="shared" si="135"/>
        <v>1</v>
      </c>
      <c r="R35" s="91">
        <f t="shared" si="135"/>
        <v>826.98000000000013</v>
      </c>
      <c r="S35" s="102">
        <f t="shared" si="135"/>
        <v>0.99999999999999978</v>
      </c>
      <c r="T35" s="91">
        <f t="shared" si="135"/>
        <v>967.55</v>
      </c>
      <c r="U35" s="102">
        <f t="shared" si="135"/>
        <v>1.0000000000000002</v>
      </c>
      <c r="V35" s="91">
        <f t="shared" si="135"/>
        <v>937.28</v>
      </c>
      <c r="W35" s="102">
        <f t="shared" si="135"/>
        <v>1</v>
      </c>
      <c r="X35" s="281">
        <f t="shared" si="135"/>
        <v>851.3499999999998</v>
      </c>
      <c r="Y35" s="102">
        <f t="shared" si="135"/>
        <v>1.0000000000000002</v>
      </c>
      <c r="Z35" s="91">
        <f t="shared" si="135"/>
        <v>11265.599999999997</v>
      </c>
      <c r="AA35" s="102">
        <f t="shared" si="135"/>
        <v>1.0000000000000002</v>
      </c>
    </row>
    <row r="36" spans="1:27" ht="13.5" thickTop="1" x14ac:dyDescent="0.2">
      <c r="X36" s="251"/>
    </row>
    <row r="37" spans="1:27" ht="15" x14ac:dyDescent="0.35">
      <c r="A37" s="85" t="s">
        <v>70</v>
      </c>
      <c r="B37" s="126">
        <f>186.41+4.12+0.92</f>
        <v>191.45</v>
      </c>
      <c r="C37" s="127"/>
      <c r="D37" s="148">
        <f>182.83+5.4+0.12</f>
        <v>188.35000000000002</v>
      </c>
      <c r="E37" s="127"/>
      <c r="F37" s="136">
        <f>175.16+3.4+1.34</f>
        <v>179.9</v>
      </c>
      <c r="G37" s="127"/>
      <c r="H37" s="136">
        <f>163.11+3.93+1.2</f>
        <v>168.24</v>
      </c>
      <c r="I37" s="127"/>
      <c r="J37" s="136">
        <f>175.28+4.14+1.31</f>
        <v>180.73</v>
      </c>
      <c r="K37" s="127"/>
      <c r="L37" s="181">
        <f>160.76+3.86+1.48</f>
        <v>166.1</v>
      </c>
      <c r="M37" s="127"/>
      <c r="N37" s="247">
        <f>180.95+2.74+1.37</f>
        <v>185.06</v>
      </c>
      <c r="O37" s="127"/>
      <c r="P37" s="247">
        <f>206.98+0.37+1.74</f>
        <v>209.09</v>
      </c>
      <c r="Q37" s="127"/>
      <c r="R37" s="247">
        <f>1.56+149.43</f>
        <v>150.99</v>
      </c>
      <c r="S37" s="127"/>
      <c r="T37" s="247">
        <f>154.31+2.81</f>
        <v>157.12</v>
      </c>
      <c r="U37" s="127"/>
      <c r="V37" s="247">
        <f>3.66+168.28</f>
        <v>171.94</v>
      </c>
      <c r="W37" s="127"/>
      <c r="X37" s="280">
        <f>157.55+3.75</f>
        <v>161.30000000000001</v>
      </c>
      <c r="Y37" s="127"/>
      <c r="Z37" s="126">
        <f t="shared" ref="Z37" si="136">+B37+D37+F37+H37+J37+L37+N37+P37+R37+T37+V37+X37</f>
        <v>2110.27</v>
      </c>
      <c r="AA37" s="127"/>
    </row>
    <row r="38" spans="1:27" x14ac:dyDescent="0.2">
      <c r="X38" s="251"/>
    </row>
    <row r="39" spans="1:27" ht="15" x14ac:dyDescent="0.35">
      <c r="A39" s="86" t="s">
        <v>95</v>
      </c>
      <c r="B39" s="125">
        <f t="shared" ref="B39" si="137">+B37+B35</f>
        <v>1145.6200000000001</v>
      </c>
      <c r="C39" s="125"/>
      <c r="D39" s="125">
        <f t="shared" ref="D39" si="138">+D37+D35</f>
        <v>1174.2200000000003</v>
      </c>
      <c r="E39" s="125"/>
      <c r="F39" s="125">
        <f t="shared" ref="F39" si="139">+F37+F35</f>
        <v>1030.97</v>
      </c>
      <c r="G39" s="125"/>
      <c r="H39" s="125">
        <f t="shared" ref="H39" si="140">+H37+H35</f>
        <v>1091.17</v>
      </c>
      <c r="I39" s="125"/>
      <c r="J39" s="125">
        <f t="shared" ref="J39" si="141">+J37+J35</f>
        <v>1089.3600000000001</v>
      </c>
      <c r="K39" s="125"/>
      <c r="L39" s="125">
        <f t="shared" ref="L39" si="142">+L37+L35</f>
        <v>1135.4000000000001</v>
      </c>
      <c r="M39" s="125"/>
      <c r="N39" s="125">
        <f t="shared" ref="N39" si="143">+N37+N35</f>
        <v>1245.3099999999997</v>
      </c>
      <c r="O39" s="125"/>
      <c r="P39" s="125">
        <f t="shared" ref="P39" si="144">+P37+P35</f>
        <v>1239.31</v>
      </c>
      <c r="Q39" s="125"/>
      <c r="R39" s="125">
        <f t="shared" ref="R39" si="145">+R37+R35</f>
        <v>977.97000000000014</v>
      </c>
      <c r="S39" s="125"/>
      <c r="T39" s="125">
        <f t="shared" ref="T39" si="146">+T37+T35</f>
        <v>1124.67</v>
      </c>
      <c r="U39" s="125"/>
      <c r="V39" s="125">
        <f t="shared" ref="V39" si="147">+V37+V35</f>
        <v>1109.22</v>
      </c>
      <c r="W39" s="125"/>
      <c r="X39" s="125">
        <f t="shared" ref="X39" si="148">+X37+X35</f>
        <v>1012.6499999999999</v>
      </c>
      <c r="Y39" s="125"/>
      <c r="Z39" s="125">
        <f t="shared" ref="Z39" si="149">+Z37+Z35</f>
        <v>13375.869999999997</v>
      </c>
    </row>
  </sheetData>
  <mergeCells count="20">
    <mergeCell ref="R23:S23"/>
    <mergeCell ref="T23:U23"/>
    <mergeCell ref="V23:W23"/>
    <mergeCell ref="X23:Y23"/>
    <mergeCell ref="B23:C23"/>
    <mergeCell ref="Z4:AA4"/>
    <mergeCell ref="D4:E4"/>
    <mergeCell ref="F4:G4"/>
    <mergeCell ref="H4:I4"/>
    <mergeCell ref="B4:C4"/>
    <mergeCell ref="J4:K4"/>
    <mergeCell ref="L4:M4"/>
    <mergeCell ref="Z23:AA23"/>
    <mergeCell ref="D23:E23"/>
    <mergeCell ref="F23:G23"/>
    <mergeCell ref="H23:I23"/>
    <mergeCell ref="J23:K23"/>
    <mergeCell ref="L23:M23"/>
    <mergeCell ref="N23:O23"/>
    <mergeCell ref="P23:Q23"/>
  </mergeCells>
  <pageMargins left="0.2" right="0.2" top="0.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24"/>
  <sheetViews>
    <sheetView workbookViewId="0">
      <selection activeCell="C17" sqref="C17"/>
    </sheetView>
  </sheetViews>
  <sheetFormatPr defaultRowHeight="12" x14ac:dyDescent="0.2"/>
  <cols>
    <col min="1" max="1" width="9.140625" style="85" customWidth="1"/>
    <col min="2" max="2" width="8.5703125" style="85" bestFit="1" customWidth="1"/>
    <col min="3" max="3" width="11.140625" style="85" bestFit="1" customWidth="1"/>
    <col min="4" max="4" width="8.5703125" style="85" bestFit="1" customWidth="1"/>
    <col min="5" max="5" width="10" style="85" bestFit="1" customWidth="1"/>
    <col min="6" max="6" width="11" style="85" bestFit="1" customWidth="1"/>
    <col min="7" max="7" width="8.140625" style="85" bestFit="1" customWidth="1"/>
    <col min="8" max="8" width="11" style="85" bestFit="1" customWidth="1"/>
    <col min="9" max="9" width="11.7109375" style="85" bestFit="1" customWidth="1"/>
    <col min="10" max="10" width="12.140625" style="85" bestFit="1" customWidth="1"/>
    <col min="11" max="11" width="11" style="85" bestFit="1" customWidth="1"/>
    <col min="12" max="221" width="9.140625" style="85"/>
    <col min="222" max="222" width="12.140625" style="85" customWidth="1"/>
    <col min="223" max="223" width="13.5703125" style="85" customWidth="1"/>
    <col min="224" max="224" width="10.7109375" style="85" customWidth="1"/>
    <col min="225" max="226" width="12.140625" style="85" customWidth="1"/>
    <col min="227" max="227" width="10" style="85" customWidth="1"/>
    <col min="228" max="228" width="10.85546875" style="85" customWidth="1"/>
    <col min="229" max="229" width="9.5703125" style="85" customWidth="1"/>
    <col min="230" max="230" width="10.140625" style="85" customWidth="1"/>
    <col min="231" max="231" width="11.5703125" style="85" customWidth="1"/>
    <col min="232" max="232" width="13.42578125" style="85" customWidth="1"/>
    <col min="233" max="233" width="15.140625" style="85" customWidth="1"/>
    <col min="234" max="234" width="9.140625" style="85"/>
    <col min="235" max="235" width="17.28515625" style="85" customWidth="1"/>
    <col min="236" max="236" width="10.42578125" style="85" bestFit="1" customWidth="1"/>
    <col min="237" max="477" width="9.140625" style="85"/>
    <col min="478" max="478" width="12.140625" style="85" customWidth="1"/>
    <col min="479" max="479" width="13.5703125" style="85" customWidth="1"/>
    <col min="480" max="480" width="10.7109375" style="85" customWidth="1"/>
    <col min="481" max="482" width="12.140625" style="85" customWidth="1"/>
    <col min="483" max="483" width="10" style="85" customWidth="1"/>
    <col min="484" max="484" width="10.85546875" style="85" customWidth="1"/>
    <col min="485" max="485" width="9.5703125" style="85" customWidth="1"/>
    <col min="486" max="486" width="10.140625" style="85" customWidth="1"/>
    <col min="487" max="487" width="11.5703125" style="85" customWidth="1"/>
    <col min="488" max="488" width="13.42578125" style="85" customWidth="1"/>
    <col min="489" max="489" width="15.140625" style="85" customWidth="1"/>
    <col min="490" max="490" width="9.140625" style="85"/>
    <col min="491" max="491" width="17.28515625" style="85" customWidth="1"/>
    <col min="492" max="492" width="10.42578125" style="85" bestFit="1" customWidth="1"/>
    <col min="493" max="733" width="9.140625" style="85"/>
    <col min="734" max="734" width="12.140625" style="85" customWidth="1"/>
    <col min="735" max="735" width="13.5703125" style="85" customWidth="1"/>
    <col min="736" max="736" width="10.7109375" style="85" customWidth="1"/>
    <col min="737" max="738" width="12.140625" style="85" customWidth="1"/>
    <col min="739" max="739" width="10" style="85" customWidth="1"/>
    <col min="740" max="740" width="10.85546875" style="85" customWidth="1"/>
    <col min="741" max="741" width="9.5703125" style="85" customWidth="1"/>
    <col min="742" max="742" width="10.140625" style="85" customWidth="1"/>
    <col min="743" max="743" width="11.5703125" style="85" customWidth="1"/>
    <col min="744" max="744" width="13.42578125" style="85" customWidth="1"/>
    <col min="745" max="745" width="15.140625" style="85" customWidth="1"/>
    <col min="746" max="746" width="9.140625" style="85"/>
    <col min="747" max="747" width="17.28515625" style="85" customWidth="1"/>
    <col min="748" max="748" width="10.42578125" style="85" bestFit="1" customWidth="1"/>
    <col min="749" max="989" width="9.140625" style="85"/>
    <col min="990" max="990" width="12.140625" style="85" customWidth="1"/>
    <col min="991" max="991" width="13.5703125" style="85" customWidth="1"/>
    <col min="992" max="992" width="10.7109375" style="85" customWidth="1"/>
    <col min="993" max="994" width="12.140625" style="85" customWidth="1"/>
    <col min="995" max="995" width="10" style="85" customWidth="1"/>
    <col min="996" max="996" width="10.85546875" style="85" customWidth="1"/>
    <col min="997" max="997" width="9.5703125" style="85" customWidth="1"/>
    <col min="998" max="998" width="10.140625" style="85" customWidth="1"/>
    <col min="999" max="999" width="11.5703125" style="85" customWidth="1"/>
    <col min="1000" max="1000" width="13.42578125" style="85" customWidth="1"/>
    <col min="1001" max="1001" width="15.140625" style="85" customWidth="1"/>
    <col min="1002" max="1002" width="9.140625" style="85"/>
    <col min="1003" max="1003" width="17.28515625" style="85" customWidth="1"/>
    <col min="1004" max="1004" width="10.42578125" style="85" bestFit="1" customWidth="1"/>
    <col min="1005" max="1245" width="9.140625" style="85"/>
    <col min="1246" max="1246" width="12.140625" style="85" customWidth="1"/>
    <col min="1247" max="1247" width="13.5703125" style="85" customWidth="1"/>
    <col min="1248" max="1248" width="10.7109375" style="85" customWidth="1"/>
    <col min="1249" max="1250" width="12.140625" style="85" customWidth="1"/>
    <col min="1251" max="1251" width="10" style="85" customWidth="1"/>
    <col min="1252" max="1252" width="10.85546875" style="85" customWidth="1"/>
    <col min="1253" max="1253" width="9.5703125" style="85" customWidth="1"/>
    <col min="1254" max="1254" width="10.140625" style="85" customWidth="1"/>
    <col min="1255" max="1255" width="11.5703125" style="85" customWidth="1"/>
    <col min="1256" max="1256" width="13.42578125" style="85" customWidth="1"/>
    <col min="1257" max="1257" width="15.140625" style="85" customWidth="1"/>
    <col min="1258" max="1258" width="9.140625" style="85"/>
    <col min="1259" max="1259" width="17.28515625" style="85" customWidth="1"/>
    <col min="1260" max="1260" width="10.42578125" style="85" bestFit="1" customWidth="1"/>
    <col min="1261" max="1501" width="9.140625" style="85"/>
    <col min="1502" max="1502" width="12.140625" style="85" customWidth="1"/>
    <col min="1503" max="1503" width="13.5703125" style="85" customWidth="1"/>
    <col min="1504" max="1504" width="10.7109375" style="85" customWidth="1"/>
    <col min="1505" max="1506" width="12.140625" style="85" customWidth="1"/>
    <col min="1507" max="1507" width="10" style="85" customWidth="1"/>
    <col min="1508" max="1508" width="10.85546875" style="85" customWidth="1"/>
    <col min="1509" max="1509" width="9.5703125" style="85" customWidth="1"/>
    <col min="1510" max="1510" width="10.140625" style="85" customWidth="1"/>
    <col min="1511" max="1511" width="11.5703125" style="85" customWidth="1"/>
    <col min="1512" max="1512" width="13.42578125" style="85" customWidth="1"/>
    <col min="1513" max="1513" width="15.140625" style="85" customWidth="1"/>
    <col min="1514" max="1514" width="9.140625" style="85"/>
    <col min="1515" max="1515" width="17.28515625" style="85" customWidth="1"/>
    <col min="1516" max="1516" width="10.42578125" style="85" bestFit="1" customWidth="1"/>
    <col min="1517" max="1757" width="9.140625" style="85"/>
    <col min="1758" max="1758" width="12.140625" style="85" customWidth="1"/>
    <col min="1759" max="1759" width="13.5703125" style="85" customWidth="1"/>
    <col min="1760" max="1760" width="10.7109375" style="85" customWidth="1"/>
    <col min="1761" max="1762" width="12.140625" style="85" customWidth="1"/>
    <col min="1763" max="1763" width="10" style="85" customWidth="1"/>
    <col min="1764" max="1764" width="10.85546875" style="85" customWidth="1"/>
    <col min="1765" max="1765" width="9.5703125" style="85" customWidth="1"/>
    <col min="1766" max="1766" width="10.140625" style="85" customWidth="1"/>
    <col min="1767" max="1767" width="11.5703125" style="85" customWidth="1"/>
    <col min="1768" max="1768" width="13.42578125" style="85" customWidth="1"/>
    <col min="1769" max="1769" width="15.140625" style="85" customWidth="1"/>
    <col min="1770" max="1770" width="9.140625" style="85"/>
    <col min="1771" max="1771" width="17.28515625" style="85" customWidth="1"/>
    <col min="1772" max="1772" width="10.42578125" style="85" bestFit="1" customWidth="1"/>
    <col min="1773" max="2013" width="9.140625" style="85"/>
    <col min="2014" max="2014" width="12.140625" style="85" customWidth="1"/>
    <col min="2015" max="2015" width="13.5703125" style="85" customWidth="1"/>
    <col min="2016" max="2016" width="10.7109375" style="85" customWidth="1"/>
    <col min="2017" max="2018" width="12.140625" style="85" customWidth="1"/>
    <col min="2019" max="2019" width="10" style="85" customWidth="1"/>
    <col min="2020" max="2020" width="10.85546875" style="85" customWidth="1"/>
    <col min="2021" max="2021" width="9.5703125" style="85" customWidth="1"/>
    <col min="2022" max="2022" width="10.140625" style="85" customWidth="1"/>
    <col min="2023" max="2023" width="11.5703125" style="85" customWidth="1"/>
    <col min="2024" max="2024" width="13.42578125" style="85" customWidth="1"/>
    <col min="2025" max="2025" width="15.140625" style="85" customWidth="1"/>
    <col min="2026" max="2026" width="9.140625" style="85"/>
    <col min="2027" max="2027" width="17.28515625" style="85" customWidth="1"/>
    <col min="2028" max="2028" width="10.42578125" style="85" bestFit="1" customWidth="1"/>
    <col min="2029" max="2269" width="9.140625" style="85"/>
    <col min="2270" max="2270" width="12.140625" style="85" customWidth="1"/>
    <col min="2271" max="2271" width="13.5703125" style="85" customWidth="1"/>
    <col min="2272" max="2272" width="10.7109375" style="85" customWidth="1"/>
    <col min="2273" max="2274" width="12.140625" style="85" customWidth="1"/>
    <col min="2275" max="2275" width="10" style="85" customWidth="1"/>
    <col min="2276" max="2276" width="10.85546875" style="85" customWidth="1"/>
    <col min="2277" max="2277" width="9.5703125" style="85" customWidth="1"/>
    <col min="2278" max="2278" width="10.140625" style="85" customWidth="1"/>
    <col min="2279" max="2279" width="11.5703125" style="85" customWidth="1"/>
    <col min="2280" max="2280" width="13.42578125" style="85" customWidth="1"/>
    <col min="2281" max="2281" width="15.140625" style="85" customWidth="1"/>
    <col min="2282" max="2282" width="9.140625" style="85"/>
    <col min="2283" max="2283" width="17.28515625" style="85" customWidth="1"/>
    <col min="2284" max="2284" width="10.42578125" style="85" bestFit="1" customWidth="1"/>
    <col min="2285" max="2525" width="9.140625" style="85"/>
    <col min="2526" max="2526" width="12.140625" style="85" customWidth="1"/>
    <col min="2527" max="2527" width="13.5703125" style="85" customWidth="1"/>
    <col min="2528" max="2528" width="10.7109375" style="85" customWidth="1"/>
    <col min="2529" max="2530" width="12.140625" style="85" customWidth="1"/>
    <col min="2531" max="2531" width="10" style="85" customWidth="1"/>
    <col min="2532" max="2532" width="10.85546875" style="85" customWidth="1"/>
    <col min="2533" max="2533" width="9.5703125" style="85" customWidth="1"/>
    <col min="2534" max="2534" width="10.140625" style="85" customWidth="1"/>
    <col min="2535" max="2535" width="11.5703125" style="85" customWidth="1"/>
    <col min="2536" max="2536" width="13.42578125" style="85" customWidth="1"/>
    <col min="2537" max="2537" width="15.140625" style="85" customWidth="1"/>
    <col min="2538" max="2538" width="9.140625" style="85"/>
    <col min="2539" max="2539" width="17.28515625" style="85" customWidth="1"/>
    <col min="2540" max="2540" width="10.42578125" style="85" bestFit="1" customWidth="1"/>
    <col min="2541" max="2781" width="9.140625" style="85"/>
    <col min="2782" max="2782" width="12.140625" style="85" customWidth="1"/>
    <col min="2783" max="2783" width="13.5703125" style="85" customWidth="1"/>
    <col min="2784" max="2784" width="10.7109375" style="85" customWidth="1"/>
    <col min="2785" max="2786" width="12.140625" style="85" customWidth="1"/>
    <col min="2787" max="2787" width="10" style="85" customWidth="1"/>
    <col min="2788" max="2788" width="10.85546875" style="85" customWidth="1"/>
    <col min="2789" max="2789" width="9.5703125" style="85" customWidth="1"/>
    <col min="2790" max="2790" width="10.140625" style="85" customWidth="1"/>
    <col min="2791" max="2791" width="11.5703125" style="85" customWidth="1"/>
    <col min="2792" max="2792" width="13.42578125" style="85" customWidth="1"/>
    <col min="2793" max="2793" width="15.140625" style="85" customWidth="1"/>
    <col min="2794" max="2794" width="9.140625" style="85"/>
    <col min="2795" max="2795" width="17.28515625" style="85" customWidth="1"/>
    <col min="2796" max="2796" width="10.42578125" style="85" bestFit="1" customWidth="1"/>
    <col min="2797" max="3037" width="9.140625" style="85"/>
    <col min="3038" max="3038" width="12.140625" style="85" customWidth="1"/>
    <col min="3039" max="3039" width="13.5703125" style="85" customWidth="1"/>
    <col min="3040" max="3040" width="10.7109375" style="85" customWidth="1"/>
    <col min="3041" max="3042" width="12.140625" style="85" customWidth="1"/>
    <col min="3043" max="3043" width="10" style="85" customWidth="1"/>
    <col min="3044" max="3044" width="10.85546875" style="85" customWidth="1"/>
    <col min="3045" max="3045" width="9.5703125" style="85" customWidth="1"/>
    <col min="3046" max="3046" width="10.140625" style="85" customWidth="1"/>
    <col min="3047" max="3047" width="11.5703125" style="85" customWidth="1"/>
    <col min="3048" max="3048" width="13.42578125" style="85" customWidth="1"/>
    <col min="3049" max="3049" width="15.140625" style="85" customWidth="1"/>
    <col min="3050" max="3050" width="9.140625" style="85"/>
    <col min="3051" max="3051" width="17.28515625" style="85" customWidth="1"/>
    <col min="3052" max="3052" width="10.42578125" style="85" bestFit="1" customWidth="1"/>
    <col min="3053" max="3293" width="9.140625" style="85"/>
    <col min="3294" max="3294" width="12.140625" style="85" customWidth="1"/>
    <col min="3295" max="3295" width="13.5703125" style="85" customWidth="1"/>
    <col min="3296" max="3296" width="10.7109375" style="85" customWidth="1"/>
    <col min="3297" max="3298" width="12.140625" style="85" customWidth="1"/>
    <col min="3299" max="3299" width="10" style="85" customWidth="1"/>
    <col min="3300" max="3300" width="10.85546875" style="85" customWidth="1"/>
    <col min="3301" max="3301" width="9.5703125" style="85" customWidth="1"/>
    <col min="3302" max="3302" width="10.140625" style="85" customWidth="1"/>
    <col min="3303" max="3303" width="11.5703125" style="85" customWidth="1"/>
    <col min="3304" max="3304" width="13.42578125" style="85" customWidth="1"/>
    <col min="3305" max="3305" width="15.140625" style="85" customWidth="1"/>
    <col min="3306" max="3306" width="9.140625" style="85"/>
    <col min="3307" max="3307" width="17.28515625" style="85" customWidth="1"/>
    <col min="3308" max="3308" width="10.42578125" style="85" bestFit="1" customWidth="1"/>
    <col min="3309" max="3549" width="9.140625" style="85"/>
    <col min="3550" max="3550" width="12.140625" style="85" customWidth="1"/>
    <col min="3551" max="3551" width="13.5703125" style="85" customWidth="1"/>
    <col min="3552" max="3552" width="10.7109375" style="85" customWidth="1"/>
    <col min="3553" max="3554" width="12.140625" style="85" customWidth="1"/>
    <col min="3555" max="3555" width="10" style="85" customWidth="1"/>
    <col min="3556" max="3556" width="10.85546875" style="85" customWidth="1"/>
    <col min="3557" max="3557" width="9.5703125" style="85" customWidth="1"/>
    <col min="3558" max="3558" width="10.140625" style="85" customWidth="1"/>
    <col min="3559" max="3559" width="11.5703125" style="85" customWidth="1"/>
    <col min="3560" max="3560" width="13.42578125" style="85" customWidth="1"/>
    <col min="3561" max="3561" width="15.140625" style="85" customWidth="1"/>
    <col min="3562" max="3562" width="9.140625" style="85"/>
    <col min="3563" max="3563" width="17.28515625" style="85" customWidth="1"/>
    <col min="3564" max="3564" width="10.42578125" style="85" bestFit="1" customWidth="1"/>
    <col min="3565" max="3805" width="9.140625" style="85"/>
    <col min="3806" max="3806" width="12.140625" style="85" customWidth="1"/>
    <col min="3807" max="3807" width="13.5703125" style="85" customWidth="1"/>
    <col min="3808" max="3808" width="10.7109375" style="85" customWidth="1"/>
    <col min="3809" max="3810" width="12.140625" style="85" customWidth="1"/>
    <col min="3811" max="3811" width="10" style="85" customWidth="1"/>
    <col min="3812" max="3812" width="10.85546875" style="85" customWidth="1"/>
    <col min="3813" max="3813" width="9.5703125" style="85" customWidth="1"/>
    <col min="3814" max="3814" width="10.140625" style="85" customWidth="1"/>
    <col min="3815" max="3815" width="11.5703125" style="85" customWidth="1"/>
    <col min="3816" max="3816" width="13.42578125" style="85" customWidth="1"/>
    <col min="3817" max="3817" width="15.140625" style="85" customWidth="1"/>
    <col min="3818" max="3818" width="9.140625" style="85"/>
    <col min="3819" max="3819" width="17.28515625" style="85" customWidth="1"/>
    <col min="3820" max="3820" width="10.42578125" style="85" bestFit="1" customWidth="1"/>
    <col min="3821" max="4061" width="9.140625" style="85"/>
    <col min="4062" max="4062" width="12.140625" style="85" customWidth="1"/>
    <col min="4063" max="4063" width="13.5703125" style="85" customWidth="1"/>
    <col min="4064" max="4064" width="10.7109375" style="85" customWidth="1"/>
    <col min="4065" max="4066" width="12.140625" style="85" customWidth="1"/>
    <col min="4067" max="4067" width="10" style="85" customWidth="1"/>
    <col min="4068" max="4068" width="10.85546875" style="85" customWidth="1"/>
    <col min="4069" max="4069" width="9.5703125" style="85" customWidth="1"/>
    <col min="4070" max="4070" width="10.140625" style="85" customWidth="1"/>
    <col min="4071" max="4071" width="11.5703125" style="85" customWidth="1"/>
    <col min="4072" max="4072" width="13.42578125" style="85" customWidth="1"/>
    <col min="4073" max="4073" width="15.140625" style="85" customWidth="1"/>
    <col min="4074" max="4074" width="9.140625" style="85"/>
    <col min="4075" max="4075" width="17.28515625" style="85" customWidth="1"/>
    <col min="4076" max="4076" width="10.42578125" style="85" bestFit="1" customWidth="1"/>
    <col min="4077" max="4317" width="9.140625" style="85"/>
    <col min="4318" max="4318" width="12.140625" style="85" customWidth="1"/>
    <col min="4319" max="4319" width="13.5703125" style="85" customWidth="1"/>
    <col min="4320" max="4320" width="10.7109375" style="85" customWidth="1"/>
    <col min="4321" max="4322" width="12.140625" style="85" customWidth="1"/>
    <col min="4323" max="4323" width="10" style="85" customWidth="1"/>
    <col min="4324" max="4324" width="10.85546875" style="85" customWidth="1"/>
    <col min="4325" max="4325" width="9.5703125" style="85" customWidth="1"/>
    <col min="4326" max="4326" width="10.140625" style="85" customWidth="1"/>
    <col min="4327" max="4327" width="11.5703125" style="85" customWidth="1"/>
    <col min="4328" max="4328" width="13.42578125" style="85" customWidth="1"/>
    <col min="4329" max="4329" width="15.140625" style="85" customWidth="1"/>
    <col min="4330" max="4330" width="9.140625" style="85"/>
    <col min="4331" max="4331" width="17.28515625" style="85" customWidth="1"/>
    <col min="4332" max="4332" width="10.42578125" style="85" bestFit="1" customWidth="1"/>
    <col min="4333" max="4573" width="9.140625" style="85"/>
    <col min="4574" max="4574" width="12.140625" style="85" customWidth="1"/>
    <col min="4575" max="4575" width="13.5703125" style="85" customWidth="1"/>
    <col min="4576" max="4576" width="10.7109375" style="85" customWidth="1"/>
    <col min="4577" max="4578" width="12.140625" style="85" customWidth="1"/>
    <col min="4579" max="4579" width="10" style="85" customWidth="1"/>
    <col min="4580" max="4580" width="10.85546875" style="85" customWidth="1"/>
    <col min="4581" max="4581" width="9.5703125" style="85" customWidth="1"/>
    <col min="4582" max="4582" width="10.140625" style="85" customWidth="1"/>
    <col min="4583" max="4583" width="11.5703125" style="85" customWidth="1"/>
    <col min="4584" max="4584" width="13.42578125" style="85" customWidth="1"/>
    <col min="4585" max="4585" width="15.140625" style="85" customWidth="1"/>
    <col min="4586" max="4586" width="9.140625" style="85"/>
    <col min="4587" max="4587" width="17.28515625" style="85" customWidth="1"/>
    <col min="4588" max="4588" width="10.42578125" style="85" bestFit="1" customWidth="1"/>
    <col min="4589" max="4829" width="9.140625" style="85"/>
    <col min="4830" max="4830" width="12.140625" style="85" customWidth="1"/>
    <col min="4831" max="4831" width="13.5703125" style="85" customWidth="1"/>
    <col min="4832" max="4832" width="10.7109375" style="85" customWidth="1"/>
    <col min="4833" max="4834" width="12.140625" style="85" customWidth="1"/>
    <col min="4835" max="4835" width="10" style="85" customWidth="1"/>
    <col min="4836" max="4836" width="10.85546875" style="85" customWidth="1"/>
    <col min="4837" max="4837" width="9.5703125" style="85" customWidth="1"/>
    <col min="4838" max="4838" width="10.140625" style="85" customWidth="1"/>
    <col min="4839" max="4839" width="11.5703125" style="85" customWidth="1"/>
    <col min="4840" max="4840" width="13.42578125" style="85" customWidth="1"/>
    <col min="4841" max="4841" width="15.140625" style="85" customWidth="1"/>
    <col min="4842" max="4842" width="9.140625" style="85"/>
    <col min="4843" max="4843" width="17.28515625" style="85" customWidth="1"/>
    <col min="4844" max="4844" width="10.42578125" style="85" bestFit="1" customWidth="1"/>
    <col min="4845" max="5085" width="9.140625" style="85"/>
    <col min="5086" max="5086" width="12.140625" style="85" customWidth="1"/>
    <col min="5087" max="5087" width="13.5703125" style="85" customWidth="1"/>
    <col min="5088" max="5088" width="10.7109375" style="85" customWidth="1"/>
    <col min="5089" max="5090" width="12.140625" style="85" customWidth="1"/>
    <col min="5091" max="5091" width="10" style="85" customWidth="1"/>
    <col min="5092" max="5092" width="10.85546875" style="85" customWidth="1"/>
    <col min="5093" max="5093" width="9.5703125" style="85" customWidth="1"/>
    <col min="5094" max="5094" width="10.140625" style="85" customWidth="1"/>
    <col min="5095" max="5095" width="11.5703125" style="85" customWidth="1"/>
    <col min="5096" max="5096" width="13.42578125" style="85" customWidth="1"/>
    <col min="5097" max="5097" width="15.140625" style="85" customWidth="1"/>
    <col min="5098" max="5098" width="9.140625" style="85"/>
    <col min="5099" max="5099" width="17.28515625" style="85" customWidth="1"/>
    <col min="5100" max="5100" width="10.42578125" style="85" bestFit="1" customWidth="1"/>
    <col min="5101" max="5341" width="9.140625" style="85"/>
    <col min="5342" max="5342" width="12.140625" style="85" customWidth="1"/>
    <col min="5343" max="5343" width="13.5703125" style="85" customWidth="1"/>
    <col min="5344" max="5344" width="10.7109375" style="85" customWidth="1"/>
    <col min="5345" max="5346" width="12.140625" style="85" customWidth="1"/>
    <col min="5347" max="5347" width="10" style="85" customWidth="1"/>
    <col min="5348" max="5348" width="10.85546875" style="85" customWidth="1"/>
    <col min="5349" max="5349" width="9.5703125" style="85" customWidth="1"/>
    <col min="5350" max="5350" width="10.140625" style="85" customWidth="1"/>
    <col min="5351" max="5351" width="11.5703125" style="85" customWidth="1"/>
    <col min="5352" max="5352" width="13.42578125" style="85" customWidth="1"/>
    <col min="5353" max="5353" width="15.140625" style="85" customWidth="1"/>
    <col min="5354" max="5354" width="9.140625" style="85"/>
    <col min="5355" max="5355" width="17.28515625" style="85" customWidth="1"/>
    <col min="5356" max="5356" width="10.42578125" style="85" bestFit="1" customWidth="1"/>
    <col min="5357" max="5597" width="9.140625" style="85"/>
    <col min="5598" max="5598" width="12.140625" style="85" customWidth="1"/>
    <col min="5599" max="5599" width="13.5703125" style="85" customWidth="1"/>
    <col min="5600" max="5600" width="10.7109375" style="85" customWidth="1"/>
    <col min="5601" max="5602" width="12.140625" style="85" customWidth="1"/>
    <col min="5603" max="5603" width="10" style="85" customWidth="1"/>
    <col min="5604" max="5604" width="10.85546875" style="85" customWidth="1"/>
    <col min="5605" max="5605" width="9.5703125" style="85" customWidth="1"/>
    <col min="5606" max="5606" width="10.140625" style="85" customWidth="1"/>
    <col min="5607" max="5607" width="11.5703125" style="85" customWidth="1"/>
    <col min="5608" max="5608" width="13.42578125" style="85" customWidth="1"/>
    <col min="5609" max="5609" width="15.140625" style="85" customWidth="1"/>
    <col min="5610" max="5610" width="9.140625" style="85"/>
    <col min="5611" max="5611" width="17.28515625" style="85" customWidth="1"/>
    <col min="5612" max="5612" width="10.42578125" style="85" bestFit="1" customWidth="1"/>
    <col min="5613" max="5853" width="9.140625" style="85"/>
    <col min="5854" max="5854" width="12.140625" style="85" customWidth="1"/>
    <col min="5855" max="5855" width="13.5703125" style="85" customWidth="1"/>
    <col min="5856" max="5856" width="10.7109375" style="85" customWidth="1"/>
    <col min="5857" max="5858" width="12.140625" style="85" customWidth="1"/>
    <col min="5859" max="5859" width="10" style="85" customWidth="1"/>
    <col min="5860" max="5860" width="10.85546875" style="85" customWidth="1"/>
    <col min="5861" max="5861" width="9.5703125" style="85" customWidth="1"/>
    <col min="5862" max="5862" width="10.140625" style="85" customWidth="1"/>
    <col min="5863" max="5863" width="11.5703125" style="85" customWidth="1"/>
    <col min="5864" max="5864" width="13.42578125" style="85" customWidth="1"/>
    <col min="5865" max="5865" width="15.140625" style="85" customWidth="1"/>
    <col min="5866" max="5866" width="9.140625" style="85"/>
    <col min="5867" max="5867" width="17.28515625" style="85" customWidth="1"/>
    <col min="5868" max="5868" width="10.42578125" style="85" bestFit="1" customWidth="1"/>
    <col min="5869" max="6109" width="9.140625" style="85"/>
    <col min="6110" max="6110" width="12.140625" style="85" customWidth="1"/>
    <col min="6111" max="6111" width="13.5703125" style="85" customWidth="1"/>
    <col min="6112" max="6112" width="10.7109375" style="85" customWidth="1"/>
    <col min="6113" max="6114" width="12.140625" style="85" customWidth="1"/>
    <col min="6115" max="6115" width="10" style="85" customWidth="1"/>
    <col min="6116" max="6116" width="10.85546875" style="85" customWidth="1"/>
    <col min="6117" max="6117" width="9.5703125" style="85" customWidth="1"/>
    <col min="6118" max="6118" width="10.140625" style="85" customWidth="1"/>
    <col min="6119" max="6119" width="11.5703125" style="85" customWidth="1"/>
    <col min="6120" max="6120" width="13.42578125" style="85" customWidth="1"/>
    <col min="6121" max="6121" width="15.140625" style="85" customWidth="1"/>
    <col min="6122" max="6122" width="9.140625" style="85"/>
    <col min="6123" max="6123" width="17.28515625" style="85" customWidth="1"/>
    <col min="6124" max="6124" width="10.42578125" style="85" bestFit="1" customWidth="1"/>
    <col min="6125" max="6365" width="9.140625" style="85"/>
    <col min="6366" max="6366" width="12.140625" style="85" customWidth="1"/>
    <col min="6367" max="6367" width="13.5703125" style="85" customWidth="1"/>
    <col min="6368" max="6368" width="10.7109375" style="85" customWidth="1"/>
    <col min="6369" max="6370" width="12.140625" style="85" customWidth="1"/>
    <col min="6371" max="6371" width="10" style="85" customWidth="1"/>
    <col min="6372" max="6372" width="10.85546875" style="85" customWidth="1"/>
    <col min="6373" max="6373" width="9.5703125" style="85" customWidth="1"/>
    <col min="6374" max="6374" width="10.140625" style="85" customWidth="1"/>
    <col min="6375" max="6375" width="11.5703125" style="85" customWidth="1"/>
    <col min="6376" max="6376" width="13.42578125" style="85" customWidth="1"/>
    <col min="6377" max="6377" width="15.140625" style="85" customWidth="1"/>
    <col min="6378" max="6378" width="9.140625" style="85"/>
    <col min="6379" max="6379" width="17.28515625" style="85" customWidth="1"/>
    <col min="6380" max="6380" width="10.42578125" style="85" bestFit="1" customWidth="1"/>
    <col min="6381" max="6621" width="9.140625" style="85"/>
    <col min="6622" max="6622" width="12.140625" style="85" customWidth="1"/>
    <col min="6623" max="6623" width="13.5703125" style="85" customWidth="1"/>
    <col min="6624" max="6624" width="10.7109375" style="85" customWidth="1"/>
    <col min="6625" max="6626" width="12.140625" style="85" customWidth="1"/>
    <col min="6627" max="6627" width="10" style="85" customWidth="1"/>
    <col min="6628" max="6628" width="10.85546875" style="85" customWidth="1"/>
    <col min="6629" max="6629" width="9.5703125" style="85" customWidth="1"/>
    <col min="6630" max="6630" width="10.140625" style="85" customWidth="1"/>
    <col min="6631" max="6631" width="11.5703125" style="85" customWidth="1"/>
    <col min="6632" max="6632" width="13.42578125" style="85" customWidth="1"/>
    <col min="6633" max="6633" width="15.140625" style="85" customWidth="1"/>
    <col min="6634" max="6634" width="9.140625" style="85"/>
    <col min="6635" max="6635" width="17.28515625" style="85" customWidth="1"/>
    <col min="6636" max="6636" width="10.42578125" style="85" bestFit="1" customWidth="1"/>
    <col min="6637" max="6877" width="9.140625" style="85"/>
    <col min="6878" max="6878" width="12.140625" style="85" customWidth="1"/>
    <col min="6879" max="6879" width="13.5703125" style="85" customWidth="1"/>
    <col min="6880" max="6880" width="10.7109375" style="85" customWidth="1"/>
    <col min="6881" max="6882" width="12.140625" style="85" customWidth="1"/>
    <col min="6883" max="6883" width="10" style="85" customWidth="1"/>
    <col min="6884" max="6884" width="10.85546875" style="85" customWidth="1"/>
    <col min="6885" max="6885" width="9.5703125" style="85" customWidth="1"/>
    <col min="6886" max="6886" width="10.140625" style="85" customWidth="1"/>
    <col min="6887" max="6887" width="11.5703125" style="85" customWidth="1"/>
    <col min="6888" max="6888" width="13.42578125" style="85" customWidth="1"/>
    <col min="6889" max="6889" width="15.140625" style="85" customWidth="1"/>
    <col min="6890" max="6890" width="9.140625" style="85"/>
    <col min="6891" max="6891" width="17.28515625" style="85" customWidth="1"/>
    <col min="6892" max="6892" width="10.42578125" style="85" bestFit="1" customWidth="1"/>
    <col min="6893" max="7133" width="9.140625" style="85"/>
    <col min="7134" max="7134" width="12.140625" style="85" customWidth="1"/>
    <col min="7135" max="7135" width="13.5703125" style="85" customWidth="1"/>
    <col min="7136" max="7136" width="10.7109375" style="85" customWidth="1"/>
    <col min="7137" max="7138" width="12.140625" style="85" customWidth="1"/>
    <col min="7139" max="7139" width="10" style="85" customWidth="1"/>
    <col min="7140" max="7140" width="10.85546875" style="85" customWidth="1"/>
    <col min="7141" max="7141" width="9.5703125" style="85" customWidth="1"/>
    <col min="7142" max="7142" width="10.140625" style="85" customWidth="1"/>
    <col min="7143" max="7143" width="11.5703125" style="85" customWidth="1"/>
    <col min="7144" max="7144" width="13.42578125" style="85" customWidth="1"/>
    <col min="7145" max="7145" width="15.140625" style="85" customWidth="1"/>
    <col min="7146" max="7146" width="9.140625" style="85"/>
    <col min="7147" max="7147" width="17.28515625" style="85" customWidth="1"/>
    <col min="7148" max="7148" width="10.42578125" style="85" bestFit="1" customWidth="1"/>
    <col min="7149" max="7389" width="9.140625" style="85"/>
    <col min="7390" max="7390" width="12.140625" style="85" customWidth="1"/>
    <col min="7391" max="7391" width="13.5703125" style="85" customWidth="1"/>
    <col min="7392" max="7392" width="10.7109375" style="85" customWidth="1"/>
    <col min="7393" max="7394" width="12.140625" style="85" customWidth="1"/>
    <col min="7395" max="7395" width="10" style="85" customWidth="1"/>
    <col min="7396" max="7396" width="10.85546875" style="85" customWidth="1"/>
    <col min="7397" max="7397" width="9.5703125" style="85" customWidth="1"/>
    <col min="7398" max="7398" width="10.140625" style="85" customWidth="1"/>
    <col min="7399" max="7399" width="11.5703125" style="85" customWidth="1"/>
    <col min="7400" max="7400" width="13.42578125" style="85" customWidth="1"/>
    <col min="7401" max="7401" width="15.140625" style="85" customWidth="1"/>
    <col min="7402" max="7402" width="9.140625" style="85"/>
    <col min="7403" max="7403" width="17.28515625" style="85" customWidth="1"/>
    <col min="7404" max="7404" width="10.42578125" style="85" bestFit="1" customWidth="1"/>
    <col min="7405" max="7645" width="9.140625" style="85"/>
    <col min="7646" max="7646" width="12.140625" style="85" customWidth="1"/>
    <col min="7647" max="7647" width="13.5703125" style="85" customWidth="1"/>
    <col min="7648" max="7648" width="10.7109375" style="85" customWidth="1"/>
    <col min="7649" max="7650" width="12.140625" style="85" customWidth="1"/>
    <col min="7651" max="7651" width="10" style="85" customWidth="1"/>
    <col min="7652" max="7652" width="10.85546875" style="85" customWidth="1"/>
    <col min="7653" max="7653" width="9.5703125" style="85" customWidth="1"/>
    <col min="7654" max="7654" width="10.140625" style="85" customWidth="1"/>
    <col min="7655" max="7655" width="11.5703125" style="85" customWidth="1"/>
    <col min="7656" max="7656" width="13.42578125" style="85" customWidth="1"/>
    <col min="7657" max="7657" width="15.140625" style="85" customWidth="1"/>
    <col min="7658" max="7658" width="9.140625" style="85"/>
    <col min="7659" max="7659" width="17.28515625" style="85" customWidth="1"/>
    <col min="7660" max="7660" width="10.42578125" style="85" bestFit="1" customWidth="1"/>
    <col min="7661" max="7901" width="9.140625" style="85"/>
    <col min="7902" max="7902" width="12.140625" style="85" customWidth="1"/>
    <col min="7903" max="7903" width="13.5703125" style="85" customWidth="1"/>
    <col min="7904" max="7904" width="10.7109375" style="85" customWidth="1"/>
    <col min="7905" max="7906" width="12.140625" style="85" customWidth="1"/>
    <col min="7907" max="7907" width="10" style="85" customWidth="1"/>
    <col min="7908" max="7908" width="10.85546875" style="85" customWidth="1"/>
    <col min="7909" max="7909" width="9.5703125" style="85" customWidth="1"/>
    <col min="7910" max="7910" width="10.140625" style="85" customWidth="1"/>
    <col min="7911" max="7911" width="11.5703125" style="85" customWidth="1"/>
    <col min="7912" max="7912" width="13.42578125" style="85" customWidth="1"/>
    <col min="7913" max="7913" width="15.140625" style="85" customWidth="1"/>
    <col min="7914" max="7914" width="9.140625" style="85"/>
    <col min="7915" max="7915" width="17.28515625" style="85" customWidth="1"/>
    <col min="7916" max="7916" width="10.42578125" style="85" bestFit="1" customWidth="1"/>
    <col min="7917" max="8157" width="9.140625" style="85"/>
    <col min="8158" max="8158" width="12.140625" style="85" customWidth="1"/>
    <col min="8159" max="8159" width="13.5703125" style="85" customWidth="1"/>
    <col min="8160" max="8160" width="10.7109375" style="85" customWidth="1"/>
    <col min="8161" max="8162" width="12.140625" style="85" customWidth="1"/>
    <col min="8163" max="8163" width="10" style="85" customWidth="1"/>
    <col min="8164" max="8164" width="10.85546875" style="85" customWidth="1"/>
    <col min="8165" max="8165" width="9.5703125" style="85" customWidth="1"/>
    <col min="8166" max="8166" width="10.140625" style="85" customWidth="1"/>
    <col min="8167" max="8167" width="11.5703125" style="85" customWidth="1"/>
    <col min="8168" max="8168" width="13.42578125" style="85" customWidth="1"/>
    <col min="8169" max="8169" width="15.140625" style="85" customWidth="1"/>
    <col min="8170" max="8170" width="9.140625" style="85"/>
    <col min="8171" max="8171" width="17.28515625" style="85" customWidth="1"/>
    <col min="8172" max="8172" width="10.42578125" style="85" bestFit="1" customWidth="1"/>
    <col min="8173" max="8413" width="9.140625" style="85"/>
    <col min="8414" max="8414" width="12.140625" style="85" customWidth="1"/>
    <col min="8415" max="8415" width="13.5703125" style="85" customWidth="1"/>
    <col min="8416" max="8416" width="10.7109375" style="85" customWidth="1"/>
    <col min="8417" max="8418" width="12.140625" style="85" customWidth="1"/>
    <col min="8419" max="8419" width="10" style="85" customWidth="1"/>
    <col min="8420" max="8420" width="10.85546875" style="85" customWidth="1"/>
    <col min="8421" max="8421" width="9.5703125" style="85" customWidth="1"/>
    <col min="8422" max="8422" width="10.140625" style="85" customWidth="1"/>
    <col min="8423" max="8423" width="11.5703125" style="85" customWidth="1"/>
    <col min="8424" max="8424" width="13.42578125" style="85" customWidth="1"/>
    <col min="8425" max="8425" width="15.140625" style="85" customWidth="1"/>
    <col min="8426" max="8426" width="9.140625" style="85"/>
    <col min="8427" max="8427" width="17.28515625" style="85" customWidth="1"/>
    <col min="8428" max="8428" width="10.42578125" style="85" bestFit="1" customWidth="1"/>
    <col min="8429" max="8669" width="9.140625" style="85"/>
    <col min="8670" max="8670" width="12.140625" style="85" customWidth="1"/>
    <col min="8671" max="8671" width="13.5703125" style="85" customWidth="1"/>
    <col min="8672" max="8672" width="10.7109375" style="85" customWidth="1"/>
    <col min="8673" max="8674" width="12.140625" style="85" customWidth="1"/>
    <col min="8675" max="8675" width="10" style="85" customWidth="1"/>
    <col min="8676" max="8676" width="10.85546875" style="85" customWidth="1"/>
    <col min="8677" max="8677" width="9.5703125" style="85" customWidth="1"/>
    <col min="8678" max="8678" width="10.140625" style="85" customWidth="1"/>
    <col min="8679" max="8679" width="11.5703125" style="85" customWidth="1"/>
    <col min="8680" max="8680" width="13.42578125" style="85" customWidth="1"/>
    <col min="8681" max="8681" width="15.140625" style="85" customWidth="1"/>
    <col min="8682" max="8682" width="9.140625" style="85"/>
    <col min="8683" max="8683" width="17.28515625" style="85" customWidth="1"/>
    <col min="8684" max="8684" width="10.42578125" style="85" bestFit="1" customWidth="1"/>
    <col min="8685" max="8925" width="9.140625" style="85"/>
    <col min="8926" max="8926" width="12.140625" style="85" customWidth="1"/>
    <col min="8927" max="8927" width="13.5703125" style="85" customWidth="1"/>
    <col min="8928" max="8928" width="10.7109375" style="85" customWidth="1"/>
    <col min="8929" max="8930" width="12.140625" style="85" customWidth="1"/>
    <col min="8931" max="8931" width="10" style="85" customWidth="1"/>
    <col min="8932" max="8932" width="10.85546875" style="85" customWidth="1"/>
    <col min="8933" max="8933" width="9.5703125" style="85" customWidth="1"/>
    <col min="8934" max="8934" width="10.140625" style="85" customWidth="1"/>
    <col min="8935" max="8935" width="11.5703125" style="85" customWidth="1"/>
    <col min="8936" max="8936" width="13.42578125" style="85" customWidth="1"/>
    <col min="8937" max="8937" width="15.140625" style="85" customWidth="1"/>
    <col min="8938" max="8938" width="9.140625" style="85"/>
    <col min="8939" max="8939" width="17.28515625" style="85" customWidth="1"/>
    <col min="8940" max="8940" width="10.42578125" style="85" bestFit="1" customWidth="1"/>
    <col min="8941" max="9181" width="9.140625" style="85"/>
    <col min="9182" max="9182" width="12.140625" style="85" customWidth="1"/>
    <col min="9183" max="9183" width="13.5703125" style="85" customWidth="1"/>
    <col min="9184" max="9184" width="10.7109375" style="85" customWidth="1"/>
    <col min="9185" max="9186" width="12.140625" style="85" customWidth="1"/>
    <col min="9187" max="9187" width="10" style="85" customWidth="1"/>
    <col min="9188" max="9188" width="10.85546875" style="85" customWidth="1"/>
    <col min="9189" max="9189" width="9.5703125" style="85" customWidth="1"/>
    <col min="9190" max="9190" width="10.140625" style="85" customWidth="1"/>
    <col min="9191" max="9191" width="11.5703125" style="85" customWidth="1"/>
    <col min="9192" max="9192" width="13.42578125" style="85" customWidth="1"/>
    <col min="9193" max="9193" width="15.140625" style="85" customWidth="1"/>
    <col min="9194" max="9194" width="9.140625" style="85"/>
    <col min="9195" max="9195" width="17.28515625" style="85" customWidth="1"/>
    <col min="9196" max="9196" width="10.42578125" style="85" bestFit="1" customWidth="1"/>
    <col min="9197" max="9437" width="9.140625" style="85"/>
    <col min="9438" max="9438" width="12.140625" style="85" customWidth="1"/>
    <col min="9439" max="9439" width="13.5703125" style="85" customWidth="1"/>
    <col min="9440" max="9440" width="10.7109375" style="85" customWidth="1"/>
    <col min="9441" max="9442" width="12.140625" style="85" customWidth="1"/>
    <col min="9443" max="9443" width="10" style="85" customWidth="1"/>
    <col min="9444" max="9444" width="10.85546875" style="85" customWidth="1"/>
    <col min="9445" max="9445" width="9.5703125" style="85" customWidth="1"/>
    <col min="9446" max="9446" width="10.140625" style="85" customWidth="1"/>
    <col min="9447" max="9447" width="11.5703125" style="85" customWidth="1"/>
    <col min="9448" max="9448" width="13.42578125" style="85" customWidth="1"/>
    <col min="9449" max="9449" width="15.140625" style="85" customWidth="1"/>
    <col min="9450" max="9450" width="9.140625" style="85"/>
    <col min="9451" max="9451" width="17.28515625" style="85" customWidth="1"/>
    <col min="9452" max="9452" width="10.42578125" style="85" bestFit="1" customWidth="1"/>
    <col min="9453" max="9693" width="9.140625" style="85"/>
    <col min="9694" max="9694" width="12.140625" style="85" customWidth="1"/>
    <col min="9695" max="9695" width="13.5703125" style="85" customWidth="1"/>
    <col min="9696" max="9696" width="10.7109375" style="85" customWidth="1"/>
    <col min="9697" max="9698" width="12.140625" style="85" customWidth="1"/>
    <col min="9699" max="9699" width="10" style="85" customWidth="1"/>
    <col min="9700" max="9700" width="10.85546875" style="85" customWidth="1"/>
    <col min="9701" max="9701" width="9.5703125" style="85" customWidth="1"/>
    <col min="9702" max="9702" width="10.140625" style="85" customWidth="1"/>
    <col min="9703" max="9703" width="11.5703125" style="85" customWidth="1"/>
    <col min="9704" max="9704" width="13.42578125" style="85" customWidth="1"/>
    <col min="9705" max="9705" width="15.140625" style="85" customWidth="1"/>
    <col min="9706" max="9706" width="9.140625" style="85"/>
    <col min="9707" max="9707" width="17.28515625" style="85" customWidth="1"/>
    <col min="9708" max="9708" width="10.42578125" style="85" bestFit="1" customWidth="1"/>
    <col min="9709" max="9949" width="9.140625" style="85"/>
    <col min="9950" max="9950" width="12.140625" style="85" customWidth="1"/>
    <col min="9951" max="9951" width="13.5703125" style="85" customWidth="1"/>
    <col min="9952" max="9952" width="10.7109375" style="85" customWidth="1"/>
    <col min="9953" max="9954" width="12.140625" style="85" customWidth="1"/>
    <col min="9955" max="9955" width="10" style="85" customWidth="1"/>
    <col min="9956" max="9956" width="10.85546875" style="85" customWidth="1"/>
    <col min="9957" max="9957" width="9.5703125" style="85" customWidth="1"/>
    <col min="9958" max="9958" width="10.140625" style="85" customWidth="1"/>
    <col min="9959" max="9959" width="11.5703125" style="85" customWidth="1"/>
    <col min="9960" max="9960" width="13.42578125" style="85" customWidth="1"/>
    <col min="9961" max="9961" width="15.140625" style="85" customWidth="1"/>
    <col min="9962" max="9962" width="9.140625" style="85"/>
    <col min="9963" max="9963" width="17.28515625" style="85" customWidth="1"/>
    <col min="9964" max="9964" width="10.42578125" style="85" bestFit="1" customWidth="1"/>
    <col min="9965" max="10205" width="9.140625" style="85"/>
    <col min="10206" max="10206" width="12.140625" style="85" customWidth="1"/>
    <col min="10207" max="10207" width="13.5703125" style="85" customWidth="1"/>
    <col min="10208" max="10208" width="10.7109375" style="85" customWidth="1"/>
    <col min="10209" max="10210" width="12.140625" style="85" customWidth="1"/>
    <col min="10211" max="10211" width="10" style="85" customWidth="1"/>
    <col min="10212" max="10212" width="10.85546875" style="85" customWidth="1"/>
    <col min="10213" max="10213" width="9.5703125" style="85" customWidth="1"/>
    <col min="10214" max="10214" width="10.140625" style="85" customWidth="1"/>
    <col min="10215" max="10215" width="11.5703125" style="85" customWidth="1"/>
    <col min="10216" max="10216" width="13.42578125" style="85" customWidth="1"/>
    <col min="10217" max="10217" width="15.140625" style="85" customWidth="1"/>
    <col min="10218" max="10218" width="9.140625" style="85"/>
    <col min="10219" max="10219" width="17.28515625" style="85" customWidth="1"/>
    <col min="10220" max="10220" width="10.42578125" style="85" bestFit="1" customWidth="1"/>
    <col min="10221" max="10461" width="9.140625" style="85"/>
    <col min="10462" max="10462" width="12.140625" style="85" customWidth="1"/>
    <col min="10463" max="10463" width="13.5703125" style="85" customWidth="1"/>
    <col min="10464" max="10464" width="10.7109375" style="85" customWidth="1"/>
    <col min="10465" max="10466" width="12.140625" style="85" customWidth="1"/>
    <col min="10467" max="10467" width="10" style="85" customWidth="1"/>
    <col min="10468" max="10468" width="10.85546875" style="85" customWidth="1"/>
    <col min="10469" max="10469" width="9.5703125" style="85" customWidth="1"/>
    <col min="10470" max="10470" width="10.140625" style="85" customWidth="1"/>
    <col min="10471" max="10471" width="11.5703125" style="85" customWidth="1"/>
    <col min="10472" max="10472" width="13.42578125" style="85" customWidth="1"/>
    <col min="10473" max="10473" width="15.140625" style="85" customWidth="1"/>
    <col min="10474" max="10474" width="9.140625" style="85"/>
    <col min="10475" max="10475" width="17.28515625" style="85" customWidth="1"/>
    <col min="10476" max="10476" width="10.42578125" style="85" bestFit="1" customWidth="1"/>
    <col min="10477" max="10717" width="9.140625" style="85"/>
    <col min="10718" max="10718" width="12.140625" style="85" customWidth="1"/>
    <col min="10719" max="10719" width="13.5703125" style="85" customWidth="1"/>
    <col min="10720" max="10720" width="10.7109375" style="85" customWidth="1"/>
    <col min="10721" max="10722" width="12.140625" style="85" customWidth="1"/>
    <col min="10723" max="10723" width="10" style="85" customWidth="1"/>
    <col min="10724" max="10724" width="10.85546875" style="85" customWidth="1"/>
    <col min="10725" max="10725" width="9.5703125" style="85" customWidth="1"/>
    <col min="10726" max="10726" width="10.140625" style="85" customWidth="1"/>
    <col min="10727" max="10727" width="11.5703125" style="85" customWidth="1"/>
    <col min="10728" max="10728" width="13.42578125" style="85" customWidth="1"/>
    <col min="10729" max="10729" width="15.140625" style="85" customWidth="1"/>
    <col min="10730" max="10730" width="9.140625" style="85"/>
    <col min="10731" max="10731" width="17.28515625" style="85" customWidth="1"/>
    <col min="10732" max="10732" width="10.42578125" style="85" bestFit="1" customWidth="1"/>
    <col min="10733" max="10973" width="9.140625" style="85"/>
    <col min="10974" max="10974" width="12.140625" style="85" customWidth="1"/>
    <col min="10975" max="10975" width="13.5703125" style="85" customWidth="1"/>
    <col min="10976" max="10976" width="10.7109375" style="85" customWidth="1"/>
    <col min="10977" max="10978" width="12.140625" style="85" customWidth="1"/>
    <col min="10979" max="10979" width="10" style="85" customWidth="1"/>
    <col min="10980" max="10980" width="10.85546875" style="85" customWidth="1"/>
    <col min="10981" max="10981" width="9.5703125" style="85" customWidth="1"/>
    <col min="10982" max="10982" width="10.140625" style="85" customWidth="1"/>
    <col min="10983" max="10983" width="11.5703125" style="85" customWidth="1"/>
    <col min="10984" max="10984" width="13.42578125" style="85" customWidth="1"/>
    <col min="10985" max="10985" width="15.140625" style="85" customWidth="1"/>
    <col min="10986" max="10986" width="9.140625" style="85"/>
    <col min="10987" max="10987" width="17.28515625" style="85" customWidth="1"/>
    <col min="10988" max="10988" width="10.42578125" style="85" bestFit="1" customWidth="1"/>
    <col min="10989" max="11229" width="9.140625" style="85"/>
    <col min="11230" max="11230" width="12.140625" style="85" customWidth="1"/>
    <col min="11231" max="11231" width="13.5703125" style="85" customWidth="1"/>
    <col min="11232" max="11232" width="10.7109375" style="85" customWidth="1"/>
    <col min="11233" max="11234" width="12.140625" style="85" customWidth="1"/>
    <col min="11235" max="11235" width="10" style="85" customWidth="1"/>
    <col min="11236" max="11236" width="10.85546875" style="85" customWidth="1"/>
    <col min="11237" max="11237" width="9.5703125" style="85" customWidth="1"/>
    <col min="11238" max="11238" width="10.140625" style="85" customWidth="1"/>
    <col min="11239" max="11239" width="11.5703125" style="85" customWidth="1"/>
    <col min="11240" max="11240" width="13.42578125" style="85" customWidth="1"/>
    <col min="11241" max="11241" width="15.140625" style="85" customWidth="1"/>
    <col min="11242" max="11242" width="9.140625" style="85"/>
    <col min="11243" max="11243" width="17.28515625" style="85" customWidth="1"/>
    <col min="11244" max="11244" width="10.42578125" style="85" bestFit="1" customWidth="1"/>
    <col min="11245" max="11485" width="9.140625" style="85"/>
    <col min="11486" max="11486" width="12.140625" style="85" customWidth="1"/>
    <col min="11487" max="11487" width="13.5703125" style="85" customWidth="1"/>
    <col min="11488" max="11488" width="10.7109375" style="85" customWidth="1"/>
    <col min="11489" max="11490" width="12.140625" style="85" customWidth="1"/>
    <col min="11491" max="11491" width="10" style="85" customWidth="1"/>
    <col min="11492" max="11492" width="10.85546875" style="85" customWidth="1"/>
    <col min="11493" max="11493" width="9.5703125" style="85" customWidth="1"/>
    <col min="11494" max="11494" width="10.140625" style="85" customWidth="1"/>
    <col min="11495" max="11495" width="11.5703125" style="85" customWidth="1"/>
    <col min="11496" max="11496" width="13.42578125" style="85" customWidth="1"/>
    <col min="11497" max="11497" width="15.140625" style="85" customWidth="1"/>
    <col min="11498" max="11498" width="9.140625" style="85"/>
    <col min="11499" max="11499" width="17.28515625" style="85" customWidth="1"/>
    <col min="11500" max="11500" width="10.42578125" style="85" bestFit="1" customWidth="1"/>
    <col min="11501" max="11741" width="9.140625" style="85"/>
    <col min="11742" max="11742" width="12.140625" style="85" customWidth="1"/>
    <col min="11743" max="11743" width="13.5703125" style="85" customWidth="1"/>
    <col min="11744" max="11744" width="10.7109375" style="85" customWidth="1"/>
    <col min="11745" max="11746" width="12.140625" style="85" customWidth="1"/>
    <col min="11747" max="11747" width="10" style="85" customWidth="1"/>
    <col min="11748" max="11748" width="10.85546875" style="85" customWidth="1"/>
    <col min="11749" max="11749" width="9.5703125" style="85" customWidth="1"/>
    <col min="11750" max="11750" width="10.140625" style="85" customWidth="1"/>
    <col min="11751" max="11751" width="11.5703125" style="85" customWidth="1"/>
    <col min="11752" max="11752" width="13.42578125" style="85" customWidth="1"/>
    <col min="11753" max="11753" width="15.140625" style="85" customWidth="1"/>
    <col min="11754" max="11754" width="9.140625" style="85"/>
    <col min="11755" max="11755" width="17.28515625" style="85" customWidth="1"/>
    <col min="11756" max="11756" width="10.42578125" style="85" bestFit="1" customWidth="1"/>
    <col min="11757" max="11997" width="9.140625" style="85"/>
    <col min="11998" max="11998" width="12.140625" style="85" customWidth="1"/>
    <col min="11999" max="11999" width="13.5703125" style="85" customWidth="1"/>
    <col min="12000" max="12000" width="10.7109375" style="85" customWidth="1"/>
    <col min="12001" max="12002" width="12.140625" style="85" customWidth="1"/>
    <col min="12003" max="12003" width="10" style="85" customWidth="1"/>
    <col min="12004" max="12004" width="10.85546875" style="85" customWidth="1"/>
    <col min="12005" max="12005" width="9.5703125" style="85" customWidth="1"/>
    <col min="12006" max="12006" width="10.140625" style="85" customWidth="1"/>
    <col min="12007" max="12007" width="11.5703125" style="85" customWidth="1"/>
    <col min="12008" max="12008" width="13.42578125" style="85" customWidth="1"/>
    <col min="12009" max="12009" width="15.140625" style="85" customWidth="1"/>
    <col min="12010" max="12010" width="9.140625" style="85"/>
    <col min="12011" max="12011" width="17.28515625" style="85" customWidth="1"/>
    <col min="12012" max="12012" width="10.42578125" style="85" bestFit="1" customWidth="1"/>
    <col min="12013" max="12253" width="9.140625" style="85"/>
    <col min="12254" max="12254" width="12.140625" style="85" customWidth="1"/>
    <col min="12255" max="12255" width="13.5703125" style="85" customWidth="1"/>
    <col min="12256" max="12256" width="10.7109375" style="85" customWidth="1"/>
    <col min="12257" max="12258" width="12.140625" style="85" customWidth="1"/>
    <col min="12259" max="12259" width="10" style="85" customWidth="1"/>
    <col min="12260" max="12260" width="10.85546875" style="85" customWidth="1"/>
    <col min="12261" max="12261" width="9.5703125" style="85" customWidth="1"/>
    <col min="12262" max="12262" width="10.140625" style="85" customWidth="1"/>
    <col min="12263" max="12263" width="11.5703125" style="85" customWidth="1"/>
    <col min="12264" max="12264" width="13.42578125" style="85" customWidth="1"/>
    <col min="12265" max="12265" width="15.140625" style="85" customWidth="1"/>
    <col min="12266" max="12266" width="9.140625" style="85"/>
    <col min="12267" max="12267" width="17.28515625" style="85" customWidth="1"/>
    <col min="12268" max="12268" width="10.42578125" style="85" bestFit="1" customWidth="1"/>
    <col min="12269" max="12509" width="9.140625" style="85"/>
    <col min="12510" max="12510" width="12.140625" style="85" customWidth="1"/>
    <col min="12511" max="12511" width="13.5703125" style="85" customWidth="1"/>
    <col min="12512" max="12512" width="10.7109375" style="85" customWidth="1"/>
    <col min="12513" max="12514" width="12.140625" style="85" customWidth="1"/>
    <col min="12515" max="12515" width="10" style="85" customWidth="1"/>
    <col min="12516" max="12516" width="10.85546875" style="85" customWidth="1"/>
    <col min="12517" max="12517" width="9.5703125" style="85" customWidth="1"/>
    <col min="12518" max="12518" width="10.140625" style="85" customWidth="1"/>
    <col min="12519" max="12519" width="11.5703125" style="85" customWidth="1"/>
    <col min="12520" max="12520" width="13.42578125" style="85" customWidth="1"/>
    <col min="12521" max="12521" width="15.140625" style="85" customWidth="1"/>
    <col min="12522" max="12522" width="9.140625" style="85"/>
    <col min="12523" max="12523" width="17.28515625" style="85" customWidth="1"/>
    <col min="12524" max="12524" width="10.42578125" style="85" bestFit="1" customWidth="1"/>
    <col min="12525" max="12765" width="9.140625" style="85"/>
    <col min="12766" max="12766" width="12.140625" style="85" customWidth="1"/>
    <col min="12767" max="12767" width="13.5703125" style="85" customWidth="1"/>
    <col min="12768" max="12768" width="10.7109375" style="85" customWidth="1"/>
    <col min="12769" max="12770" width="12.140625" style="85" customWidth="1"/>
    <col min="12771" max="12771" width="10" style="85" customWidth="1"/>
    <col min="12772" max="12772" width="10.85546875" style="85" customWidth="1"/>
    <col min="12773" max="12773" width="9.5703125" style="85" customWidth="1"/>
    <col min="12774" max="12774" width="10.140625" style="85" customWidth="1"/>
    <col min="12775" max="12775" width="11.5703125" style="85" customWidth="1"/>
    <col min="12776" max="12776" width="13.42578125" style="85" customWidth="1"/>
    <col min="12777" max="12777" width="15.140625" style="85" customWidth="1"/>
    <col min="12778" max="12778" width="9.140625" style="85"/>
    <col min="12779" max="12779" width="17.28515625" style="85" customWidth="1"/>
    <col min="12780" max="12780" width="10.42578125" style="85" bestFit="1" customWidth="1"/>
    <col min="12781" max="13021" width="9.140625" style="85"/>
    <col min="13022" max="13022" width="12.140625" style="85" customWidth="1"/>
    <col min="13023" max="13023" width="13.5703125" style="85" customWidth="1"/>
    <col min="13024" max="13024" width="10.7109375" style="85" customWidth="1"/>
    <col min="13025" max="13026" width="12.140625" style="85" customWidth="1"/>
    <col min="13027" max="13027" width="10" style="85" customWidth="1"/>
    <col min="13028" max="13028" width="10.85546875" style="85" customWidth="1"/>
    <col min="13029" max="13029" width="9.5703125" style="85" customWidth="1"/>
    <col min="13030" max="13030" width="10.140625" style="85" customWidth="1"/>
    <col min="13031" max="13031" width="11.5703125" style="85" customWidth="1"/>
    <col min="13032" max="13032" width="13.42578125" style="85" customWidth="1"/>
    <col min="13033" max="13033" width="15.140625" style="85" customWidth="1"/>
    <col min="13034" max="13034" width="9.140625" style="85"/>
    <col min="13035" max="13035" width="17.28515625" style="85" customWidth="1"/>
    <col min="13036" max="13036" width="10.42578125" style="85" bestFit="1" customWidth="1"/>
    <col min="13037" max="13277" width="9.140625" style="85"/>
    <col min="13278" max="13278" width="12.140625" style="85" customWidth="1"/>
    <col min="13279" max="13279" width="13.5703125" style="85" customWidth="1"/>
    <col min="13280" max="13280" width="10.7109375" style="85" customWidth="1"/>
    <col min="13281" max="13282" width="12.140625" style="85" customWidth="1"/>
    <col min="13283" max="13283" width="10" style="85" customWidth="1"/>
    <col min="13284" max="13284" width="10.85546875" style="85" customWidth="1"/>
    <col min="13285" max="13285" width="9.5703125" style="85" customWidth="1"/>
    <col min="13286" max="13286" width="10.140625" style="85" customWidth="1"/>
    <col min="13287" max="13287" width="11.5703125" style="85" customWidth="1"/>
    <col min="13288" max="13288" width="13.42578125" style="85" customWidth="1"/>
    <col min="13289" max="13289" width="15.140625" style="85" customWidth="1"/>
    <col min="13290" max="13290" width="9.140625" style="85"/>
    <col min="13291" max="13291" width="17.28515625" style="85" customWidth="1"/>
    <col min="13292" max="13292" width="10.42578125" style="85" bestFit="1" customWidth="1"/>
    <col min="13293" max="13533" width="9.140625" style="85"/>
    <col min="13534" max="13534" width="12.140625" style="85" customWidth="1"/>
    <col min="13535" max="13535" width="13.5703125" style="85" customWidth="1"/>
    <col min="13536" max="13536" width="10.7109375" style="85" customWidth="1"/>
    <col min="13537" max="13538" width="12.140625" style="85" customWidth="1"/>
    <col min="13539" max="13539" width="10" style="85" customWidth="1"/>
    <col min="13540" max="13540" width="10.85546875" style="85" customWidth="1"/>
    <col min="13541" max="13541" width="9.5703125" style="85" customWidth="1"/>
    <col min="13542" max="13542" width="10.140625" style="85" customWidth="1"/>
    <col min="13543" max="13543" width="11.5703125" style="85" customWidth="1"/>
    <col min="13544" max="13544" width="13.42578125" style="85" customWidth="1"/>
    <col min="13545" max="13545" width="15.140625" style="85" customWidth="1"/>
    <col min="13546" max="13546" width="9.140625" style="85"/>
    <col min="13547" max="13547" width="17.28515625" style="85" customWidth="1"/>
    <col min="13548" max="13548" width="10.42578125" style="85" bestFit="1" customWidth="1"/>
    <col min="13549" max="13789" width="9.140625" style="85"/>
    <col min="13790" max="13790" width="12.140625" style="85" customWidth="1"/>
    <col min="13791" max="13791" width="13.5703125" style="85" customWidth="1"/>
    <col min="13792" max="13792" width="10.7109375" style="85" customWidth="1"/>
    <col min="13793" max="13794" width="12.140625" style="85" customWidth="1"/>
    <col min="13795" max="13795" width="10" style="85" customWidth="1"/>
    <col min="13796" max="13796" width="10.85546875" style="85" customWidth="1"/>
    <col min="13797" max="13797" width="9.5703125" style="85" customWidth="1"/>
    <col min="13798" max="13798" width="10.140625" style="85" customWidth="1"/>
    <col min="13799" max="13799" width="11.5703125" style="85" customWidth="1"/>
    <col min="13800" max="13800" width="13.42578125" style="85" customWidth="1"/>
    <col min="13801" max="13801" width="15.140625" style="85" customWidth="1"/>
    <col min="13802" max="13802" width="9.140625" style="85"/>
    <col min="13803" max="13803" width="17.28515625" style="85" customWidth="1"/>
    <col min="13804" max="13804" width="10.42578125" style="85" bestFit="1" customWidth="1"/>
    <col min="13805" max="14045" width="9.140625" style="85"/>
    <col min="14046" max="14046" width="12.140625" style="85" customWidth="1"/>
    <col min="14047" max="14047" width="13.5703125" style="85" customWidth="1"/>
    <col min="14048" max="14048" width="10.7109375" style="85" customWidth="1"/>
    <col min="14049" max="14050" width="12.140625" style="85" customWidth="1"/>
    <col min="14051" max="14051" width="10" style="85" customWidth="1"/>
    <col min="14052" max="14052" width="10.85546875" style="85" customWidth="1"/>
    <col min="14053" max="14053" width="9.5703125" style="85" customWidth="1"/>
    <col min="14054" max="14054" width="10.140625" style="85" customWidth="1"/>
    <col min="14055" max="14055" width="11.5703125" style="85" customWidth="1"/>
    <col min="14056" max="14056" width="13.42578125" style="85" customWidth="1"/>
    <col min="14057" max="14057" width="15.140625" style="85" customWidth="1"/>
    <col min="14058" max="14058" width="9.140625" style="85"/>
    <col min="14059" max="14059" width="17.28515625" style="85" customWidth="1"/>
    <col min="14060" max="14060" width="10.42578125" style="85" bestFit="1" customWidth="1"/>
    <col min="14061" max="14301" width="9.140625" style="85"/>
    <col min="14302" max="14302" width="12.140625" style="85" customWidth="1"/>
    <col min="14303" max="14303" width="13.5703125" style="85" customWidth="1"/>
    <col min="14304" max="14304" width="10.7109375" style="85" customWidth="1"/>
    <col min="14305" max="14306" width="12.140625" style="85" customWidth="1"/>
    <col min="14307" max="14307" width="10" style="85" customWidth="1"/>
    <col min="14308" max="14308" width="10.85546875" style="85" customWidth="1"/>
    <col min="14309" max="14309" width="9.5703125" style="85" customWidth="1"/>
    <col min="14310" max="14310" width="10.140625" style="85" customWidth="1"/>
    <col min="14311" max="14311" width="11.5703125" style="85" customWidth="1"/>
    <col min="14312" max="14312" width="13.42578125" style="85" customWidth="1"/>
    <col min="14313" max="14313" width="15.140625" style="85" customWidth="1"/>
    <col min="14314" max="14314" width="9.140625" style="85"/>
    <col min="14315" max="14315" width="17.28515625" style="85" customWidth="1"/>
    <col min="14316" max="14316" width="10.42578125" style="85" bestFit="1" customWidth="1"/>
    <col min="14317" max="14557" width="9.140625" style="85"/>
    <col min="14558" max="14558" width="12.140625" style="85" customWidth="1"/>
    <col min="14559" max="14559" width="13.5703125" style="85" customWidth="1"/>
    <col min="14560" max="14560" width="10.7109375" style="85" customWidth="1"/>
    <col min="14561" max="14562" width="12.140625" style="85" customWidth="1"/>
    <col min="14563" max="14563" width="10" style="85" customWidth="1"/>
    <col min="14564" max="14564" width="10.85546875" style="85" customWidth="1"/>
    <col min="14565" max="14565" width="9.5703125" style="85" customWidth="1"/>
    <col min="14566" max="14566" width="10.140625" style="85" customWidth="1"/>
    <col min="14567" max="14567" width="11.5703125" style="85" customWidth="1"/>
    <col min="14568" max="14568" width="13.42578125" style="85" customWidth="1"/>
    <col min="14569" max="14569" width="15.140625" style="85" customWidth="1"/>
    <col min="14570" max="14570" width="9.140625" style="85"/>
    <col min="14571" max="14571" width="17.28515625" style="85" customWidth="1"/>
    <col min="14572" max="14572" width="10.42578125" style="85" bestFit="1" customWidth="1"/>
    <col min="14573" max="14813" width="9.140625" style="85"/>
    <col min="14814" max="14814" width="12.140625" style="85" customWidth="1"/>
    <col min="14815" max="14815" width="13.5703125" style="85" customWidth="1"/>
    <col min="14816" max="14816" width="10.7109375" style="85" customWidth="1"/>
    <col min="14817" max="14818" width="12.140625" style="85" customWidth="1"/>
    <col min="14819" max="14819" width="10" style="85" customWidth="1"/>
    <col min="14820" max="14820" width="10.85546875" style="85" customWidth="1"/>
    <col min="14821" max="14821" width="9.5703125" style="85" customWidth="1"/>
    <col min="14822" max="14822" width="10.140625" style="85" customWidth="1"/>
    <col min="14823" max="14823" width="11.5703125" style="85" customWidth="1"/>
    <col min="14824" max="14824" width="13.42578125" style="85" customWidth="1"/>
    <col min="14825" max="14825" width="15.140625" style="85" customWidth="1"/>
    <col min="14826" max="14826" width="9.140625" style="85"/>
    <col min="14827" max="14827" width="17.28515625" style="85" customWidth="1"/>
    <col min="14828" max="14828" width="10.42578125" style="85" bestFit="1" customWidth="1"/>
    <col min="14829" max="15069" width="9.140625" style="85"/>
    <col min="15070" max="15070" width="12.140625" style="85" customWidth="1"/>
    <col min="15071" max="15071" width="13.5703125" style="85" customWidth="1"/>
    <col min="15072" max="15072" width="10.7109375" style="85" customWidth="1"/>
    <col min="15073" max="15074" width="12.140625" style="85" customWidth="1"/>
    <col min="15075" max="15075" width="10" style="85" customWidth="1"/>
    <col min="15076" max="15076" width="10.85546875" style="85" customWidth="1"/>
    <col min="15077" max="15077" width="9.5703125" style="85" customWidth="1"/>
    <col min="15078" max="15078" width="10.140625" style="85" customWidth="1"/>
    <col min="15079" max="15079" width="11.5703125" style="85" customWidth="1"/>
    <col min="15080" max="15080" width="13.42578125" style="85" customWidth="1"/>
    <col min="15081" max="15081" width="15.140625" style="85" customWidth="1"/>
    <col min="15082" max="15082" width="9.140625" style="85"/>
    <col min="15083" max="15083" width="17.28515625" style="85" customWidth="1"/>
    <col min="15084" max="15084" width="10.42578125" style="85" bestFit="1" customWidth="1"/>
    <col min="15085" max="15325" width="9.140625" style="85"/>
    <col min="15326" max="15326" width="12.140625" style="85" customWidth="1"/>
    <col min="15327" max="15327" width="13.5703125" style="85" customWidth="1"/>
    <col min="15328" max="15328" width="10.7109375" style="85" customWidth="1"/>
    <col min="15329" max="15330" width="12.140625" style="85" customWidth="1"/>
    <col min="15331" max="15331" width="10" style="85" customWidth="1"/>
    <col min="15332" max="15332" width="10.85546875" style="85" customWidth="1"/>
    <col min="15333" max="15333" width="9.5703125" style="85" customWidth="1"/>
    <col min="15334" max="15334" width="10.140625" style="85" customWidth="1"/>
    <col min="15335" max="15335" width="11.5703125" style="85" customWidth="1"/>
    <col min="15336" max="15336" width="13.42578125" style="85" customWidth="1"/>
    <col min="15337" max="15337" width="15.140625" style="85" customWidth="1"/>
    <col min="15338" max="15338" width="9.140625" style="85"/>
    <col min="15339" max="15339" width="17.28515625" style="85" customWidth="1"/>
    <col min="15340" max="15340" width="10.42578125" style="85" bestFit="1" customWidth="1"/>
    <col min="15341" max="15581" width="9.140625" style="85"/>
    <col min="15582" max="15582" width="12.140625" style="85" customWidth="1"/>
    <col min="15583" max="15583" width="13.5703125" style="85" customWidth="1"/>
    <col min="15584" max="15584" width="10.7109375" style="85" customWidth="1"/>
    <col min="15585" max="15586" width="12.140625" style="85" customWidth="1"/>
    <col min="15587" max="15587" width="10" style="85" customWidth="1"/>
    <col min="15588" max="15588" width="10.85546875" style="85" customWidth="1"/>
    <col min="15589" max="15589" width="9.5703125" style="85" customWidth="1"/>
    <col min="15590" max="15590" width="10.140625" style="85" customWidth="1"/>
    <col min="15591" max="15591" width="11.5703125" style="85" customWidth="1"/>
    <col min="15592" max="15592" width="13.42578125" style="85" customWidth="1"/>
    <col min="15593" max="15593" width="15.140625" style="85" customWidth="1"/>
    <col min="15594" max="15594" width="9.140625" style="85"/>
    <col min="15595" max="15595" width="17.28515625" style="85" customWidth="1"/>
    <col min="15596" max="15596" width="10.42578125" style="85" bestFit="1" customWidth="1"/>
    <col min="15597" max="15837" width="9.140625" style="85"/>
    <col min="15838" max="15838" width="12.140625" style="85" customWidth="1"/>
    <col min="15839" max="15839" width="13.5703125" style="85" customWidth="1"/>
    <col min="15840" max="15840" width="10.7109375" style="85" customWidth="1"/>
    <col min="15841" max="15842" width="12.140625" style="85" customWidth="1"/>
    <col min="15843" max="15843" width="10" style="85" customWidth="1"/>
    <col min="15844" max="15844" width="10.85546875" style="85" customWidth="1"/>
    <col min="15845" max="15845" width="9.5703125" style="85" customWidth="1"/>
    <col min="15846" max="15846" width="10.140625" style="85" customWidth="1"/>
    <col min="15847" max="15847" width="11.5703125" style="85" customWidth="1"/>
    <col min="15848" max="15848" width="13.42578125" style="85" customWidth="1"/>
    <col min="15849" max="15849" width="15.140625" style="85" customWidth="1"/>
    <col min="15850" max="15850" width="9.140625" style="85"/>
    <col min="15851" max="15851" width="17.28515625" style="85" customWidth="1"/>
    <col min="15852" max="15852" width="10.42578125" style="85" bestFit="1" customWidth="1"/>
    <col min="15853" max="16093" width="9.140625" style="85"/>
    <col min="16094" max="16094" width="12.140625" style="85" customWidth="1"/>
    <col min="16095" max="16095" width="13.5703125" style="85" customWidth="1"/>
    <col min="16096" max="16096" width="10.7109375" style="85" customWidth="1"/>
    <col min="16097" max="16098" width="12.140625" style="85" customWidth="1"/>
    <col min="16099" max="16099" width="10" style="85" customWidth="1"/>
    <col min="16100" max="16100" width="10.85546875" style="85" customWidth="1"/>
    <col min="16101" max="16101" width="9.5703125" style="85" customWidth="1"/>
    <col min="16102" max="16102" width="10.140625" style="85" customWidth="1"/>
    <col min="16103" max="16103" width="11.5703125" style="85" customWidth="1"/>
    <col min="16104" max="16104" width="13.42578125" style="85" customWidth="1"/>
    <col min="16105" max="16105" width="15.140625" style="85" customWidth="1"/>
    <col min="16106" max="16106" width="9.140625" style="85"/>
    <col min="16107" max="16107" width="17.28515625" style="85" customWidth="1"/>
    <col min="16108" max="16108" width="10.42578125" style="85" bestFit="1" customWidth="1"/>
    <col min="16109" max="16384" width="9.140625" style="85"/>
  </cols>
  <sheetData>
    <row r="2" spans="1:11" x14ac:dyDescent="0.2">
      <c r="A2" s="92" t="s">
        <v>71</v>
      </c>
      <c r="C2" s="93"/>
      <c r="D2" s="93"/>
      <c r="E2" s="94"/>
      <c r="F2" s="93"/>
      <c r="G2" s="93"/>
      <c r="H2" s="93"/>
      <c r="J2" s="94"/>
      <c r="K2" s="94"/>
    </row>
    <row r="3" spans="1:11" x14ac:dyDescent="0.2">
      <c r="A3" s="86"/>
      <c r="C3" s="93"/>
      <c r="D3" s="93"/>
      <c r="E3" s="93"/>
      <c r="F3" s="93"/>
      <c r="G3" s="93"/>
      <c r="H3" s="93"/>
      <c r="J3" s="93"/>
      <c r="K3" s="93"/>
    </row>
    <row r="4" spans="1:11" x14ac:dyDescent="0.2">
      <c r="A4" s="93"/>
      <c r="B4" s="95" t="s">
        <v>72</v>
      </c>
      <c r="C4" s="95" t="s">
        <v>73</v>
      </c>
      <c r="D4" s="95" t="s">
        <v>19</v>
      </c>
      <c r="E4" s="95" t="s">
        <v>74</v>
      </c>
      <c r="F4" s="95" t="s">
        <v>18</v>
      </c>
      <c r="G4" s="95" t="s">
        <v>11</v>
      </c>
      <c r="H4" s="95" t="s">
        <v>1</v>
      </c>
      <c r="I4" s="95" t="s">
        <v>75</v>
      </c>
      <c r="J4" s="95" t="s">
        <v>76</v>
      </c>
      <c r="K4" s="96" t="s">
        <v>77</v>
      </c>
    </row>
    <row r="5" spans="1:11" x14ac:dyDescent="0.2">
      <c r="A5" s="97">
        <v>43983</v>
      </c>
      <c r="B5" s="98">
        <v>21.52</v>
      </c>
      <c r="C5" s="98"/>
      <c r="D5" s="98">
        <v>82.53</v>
      </c>
      <c r="E5" s="98">
        <v>734.83</v>
      </c>
      <c r="F5" s="98">
        <v>77.13</v>
      </c>
      <c r="G5" s="98">
        <v>-53.34</v>
      </c>
      <c r="H5" s="98">
        <v>84.31</v>
      </c>
      <c r="I5" s="98">
        <v>700</v>
      </c>
      <c r="J5" s="98">
        <v>60</v>
      </c>
      <c r="K5" s="98">
        <v>-197.5</v>
      </c>
    </row>
    <row r="6" spans="1:11" x14ac:dyDescent="0.2">
      <c r="A6" s="97">
        <v>44013</v>
      </c>
      <c r="B6" s="98">
        <v>22.53</v>
      </c>
      <c r="C6" s="98"/>
      <c r="D6" s="98">
        <v>69.510000000000005</v>
      </c>
      <c r="E6" s="98">
        <v>803.77</v>
      </c>
      <c r="F6" s="98">
        <v>78.400000000000006</v>
      </c>
      <c r="G6" s="98">
        <v>-53.34</v>
      </c>
      <c r="H6" s="98">
        <v>42.29</v>
      </c>
      <c r="I6" s="98">
        <v>725.1</v>
      </c>
      <c r="J6" s="98">
        <v>60</v>
      </c>
      <c r="K6" s="98">
        <v>-197.5</v>
      </c>
    </row>
    <row r="7" spans="1:11" x14ac:dyDescent="0.2">
      <c r="A7" s="97">
        <v>44044</v>
      </c>
      <c r="B7" s="98">
        <v>43.15</v>
      </c>
      <c r="C7" s="98"/>
      <c r="D7" s="98">
        <v>81.540000000000006</v>
      </c>
      <c r="E7" s="98">
        <v>903.63</v>
      </c>
      <c r="F7" s="98">
        <v>88.13</v>
      </c>
      <c r="G7" s="98">
        <v>-53.34</v>
      </c>
      <c r="H7" s="98">
        <v>34</v>
      </c>
      <c r="I7" s="98">
        <v>780</v>
      </c>
      <c r="J7" s="98">
        <v>60</v>
      </c>
      <c r="K7" s="98">
        <v>-197.5</v>
      </c>
    </row>
    <row r="8" spans="1:11" x14ac:dyDescent="0.2">
      <c r="A8" s="97">
        <v>44075</v>
      </c>
      <c r="B8" s="98">
        <v>52.62</v>
      </c>
      <c r="C8" s="98"/>
      <c r="D8" s="98">
        <v>89.73</v>
      </c>
      <c r="E8" s="98">
        <v>843.97</v>
      </c>
      <c r="F8" s="98">
        <v>99.61</v>
      </c>
      <c r="G8" s="98">
        <v>-53.34</v>
      </c>
      <c r="H8" s="98">
        <v>20.23</v>
      </c>
      <c r="I8" s="98">
        <v>950</v>
      </c>
      <c r="J8" s="98">
        <v>100</v>
      </c>
      <c r="K8" s="98">
        <v>-197.5</v>
      </c>
    </row>
    <row r="9" spans="1:11" x14ac:dyDescent="0.2">
      <c r="A9" s="97">
        <v>44105</v>
      </c>
      <c r="B9" s="98">
        <v>54.91</v>
      </c>
      <c r="C9" s="98"/>
      <c r="D9" s="98">
        <v>92.7</v>
      </c>
      <c r="E9" s="98">
        <v>828.72</v>
      </c>
      <c r="F9" s="98">
        <v>105.7</v>
      </c>
      <c r="G9" s="98">
        <v>-53.34</v>
      </c>
      <c r="H9" s="98">
        <v>20</v>
      </c>
      <c r="I9" s="98">
        <v>1120</v>
      </c>
      <c r="J9" s="98">
        <v>220</v>
      </c>
      <c r="K9" s="98">
        <v>-197.5</v>
      </c>
    </row>
    <row r="10" spans="1:11" x14ac:dyDescent="0.2">
      <c r="A10" s="97">
        <v>44136</v>
      </c>
      <c r="B10" s="98">
        <v>54.24</v>
      </c>
      <c r="C10" s="98"/>
      <c r="D10" s="98">
        <v>101.46</v>
      </c>
      <c r="E10" s="98">
        <v>975.86</v>
      </c>
      <c r="F10" s="98">
        <v>110.74</v>
      </c>
      <c r="G10" s="98">
        <v>-53.34</v>
      </c>
      <c r="H10" s="98">
        <v>36.729999999999997</v>
      </c>
      <c r="I10" s="98">
        <v>1200</v>
      </c>
      <c r="J10" s="98">
        <v>280</v>
      </c>
      <c r="K10" s="98">
        <v>-197.5</v>
      </c>
    </row>
    <row r="11" spans="1:11" ht="11.25" customHeight="1" x14ac:dyDescent="0.2">
      <c r="A11" s="97">
        <v>44166</v>
      </c>
      <c r="B11" s="98">
        <v>57.77</v>
      </c>
      <c r="C11" s="98"/>
      <c r="D11" s="98">
        <v>109.54</v>
      </c>
      <c r="E11" s="98">
        <v>1032.32</v>
      </c>
      <c r="F11" s="98">
        <v>137.81</v>
      </c>
      <c r="G11" s="98">
        <v>-53.34</v>
      </c>
      <c r="H11" s="98">
        <v>40.39</v>
      </c>
      <c r="I11" s="98">
        <v>1200</v>
      </c>
      <c r="J11" s="98">
        <v>280</v>
      </c>
      <c r="K11" s="98">
        <v>-197.5</v>
      </c>
    </row>
    <row r="12" spans="1:11" ht="11.25" customHeight="1" x14ac:dyDescent="0.2">
      <c r="A12" s="97">
        <v>44197</v>
      </c>
      <c r="B12" s="98">
        <v>59.43</v>
      </c>
      <c r="C12" s="98"/>
      <c r="D12" s="98">
        <v>113.84</v>
      </c>
      <c r="E12" s="98">
        <v>1054.52</v>
      </c>
      <c r="F12" s="98">
        <v>208.4</v>
      </c>
      <c r="G12" s="98">
        <v>-53.34</v>
      </c>
      <c r="H12" s="98">
        <v>50</v>
      </c>
      <c r="I12" s="98">
        <v>1240</v>
      </c>
      <c r="J12" s="98">
        <v>280</v>
      </c>
      <c r="K12" s="98">
        <v>-197.5</v>
      </c>
    </row>
    <row r="13" spans="1:11" ht="11.25" customHeight="1" x14ac:dyDescent="0.2">
      <c r="A13" s="97">
        <v>44228</v>
      </c>
      <c r="B13" s="98">
        <v>54.85</v>
      </c>
      <c r="C13" s="98"/>
      <c r="D13" s="98">
        <v>102.04</v>
      </c>
      <c r="E13" s="98">
        <v>1049.67</v>
      </c>
      <c r="F13" s="98">
        <v>160.31</v>
      </c>
      <c r="G13" s="98">
        <v>-53.34</v>
      </c>
      <c r="H13" s="98">
        <v>70</v>
      </c>
      <c r="I13" s="98">
        <v>1280</v>
      </c>
      <c r="J13" s="98">
        <v>280</v>
      </c>
      <c r="K13" s="98">
        <v>-197.5</v>
      </c>
    </row>
    <row r="14" spans="1:11" ht="11.25" customHeight="1" x14ac:dyDescent="0.2">
      <c r="A14" s="97">
        <v>44256</v>
      </c>
      <c r="B14" s="98">
        <v>61.4</v>
      </c>
      <c r="C14" s="98"/>
      <c r="D14" s="98">
        <v>103.48</v>
      </c>
      <c r="E14" s="98">
        <v>1209.6600000000001</v>
      </c>
      <c r="F14" s="98">
        <v>199.71</v>
      </c>
      <c r="G14" s="98">
        <v>-53.34</v>
      </c>
      <c r="H14" s="98">
        <v>70</v>
      </c>
      <c r="I14" s="98">
        <v>1410</v>
      </c>
      <c r="J14" s="98">
        <v>320</v>
      </c>
      <c r="K14" s="98">
        <v>-197.5</v>
      </c>
    </row>
    <row r="15" spans="1:11" ht="11.25" customHeight="1" x14ac:dyDescent="0.2">
      <c r="A15" s="97">
        <v>44287</v>
      </c>
      <c r="B15" s="98">
        <v>73.27</v>
      </c>
      <c r="C15" s="98"/>
      <c r="D15" s="98">
        <v>112.96</v>
      </c>
      <c r="E15" s="98">
        <v>1305.82</v>
      </c>
      <c r="F15" s="98">
        <v>179.62</v>
      </c>
      <c r="G15" s="98">
        <v>-53.34</v>
      </c>
      <c r="H15" s="98">
        <v>155</v>
      </c>
      <c r="I15" s="98">
        <v>1520</v>
      </c>
      <c r="J15" s="98">
        <v>400</v>
      </c>
      <c r="K15" s="98">
        <v>-197.5</v>
      </c>
    </row>
    <row r="16" spans="1:11" ht="14.25" x14ac:dyDescent="0.35">
      <c r="A16" s="97">
        <v>44317</v>
      </c>
      <c r="B16" s="279">
        <v>76.39</v>
      </c>
      <c r="C16" s="279">
        <f t="shared" ref="C16:K16" si="0">+C15</f>
        <v>0</v>
      </c>
      <c r="D16" s="279">
        <v>122.77</v>
      </c>
      <c r="E16" s="279">
        <v>1396</v>
      </c>
      <c r="F16" s="279">
        <v>199.64</v>
      </c>
      <c r="G16" s="279">
        <f t="shared" si="0"/>
        <v>-53.34</v>
      </c>
      <c r="H16" s="279">
        <v>200</v>
      </c>
      <c r="I16" s="279">
        <v>1640</v>
      </c>
      <c r="J16" s="279">
        <v>640</v>
      </c>
      <c r="K16" s="279">
        <f t="shared" si="0"/>
        <v>-197.5</v>
      </c>
    </row>
    <row r="17" spans="1:13" x14ac:dyDescent="0.2">
      <c r="A17" s="90" t="s">
        <v>130</v>
      </c>
      <c r="B17" s="154">
        <f t="shared" ref="B17:K17" si="1">AVERAGE(B5:B15)</f>
        <v>50.517272727272733</v>
      </c>
      <c r="C17" s="154" t="e">
        <f t="shared" si="1"/>
        <v>#DIV/0!</v>
      </c>
      <c r="D17" s="154">
        <f t="shared" si="1"/>
        <v>96.302727272727267</v>
      </c>
      <c r="E17" s="154">
        <f t="shared" si="1"/>
        <v>976.61545454545444</v>
      </c>
      <c r="F17" s="154">
        <f t="shared" si="1"/>
        <v>131.41454545454545</v>
      </c>
      <c r="G17" s="154">
        <f t="shared" si="1"/>
        <v>-53.340000000000025</v>
      </c>
      <c r="H17" s="154">
        <f t="shared" si="1"/>
        <v>56.631818181818183</v>
      </c>
      <c r="I17" s="154">
        <f t="shared" si="1"/>
        <v>1102.2818181818182</v>
      </c>
      <c r="J17" s="154">
        <f t="shared" si="1"/>
        <v>212.72727272727272</v>
      </c>
      <c r="K17" s="154">
        <f t="shared" si="1"/>
        <v>-197.5</v>
      </c>
    </row>
    <row r="19" spans="1:13" x14ac:dyDescent="0.2">
      <c r="A19" s="97"/>
      <c r="B19" s="245"/>
      <c r="C19" s="98"/>
      <c r="D19" s="245"/>
      <c r="E19" s="245"/>
      <c r="F19" s="245"/>
      <c r="G19" s="98"/>
      <c r="H19" s="245"/>
      <c r="I19" s="245"/>
      <c r="J19" s="245"/>
      <c r="K19" s="245"/>
      <c r="L19" s="245"/>
      <c r="M19" s="245"/>
    </row>
    <row r="20" spans="1:13" ht="12.75" customHeight="1" x14ac:dyDescent="0.2">
      <c r="H20" s="169"/>
    </row>
    <row r="21" spans="1:13" ht="12.75" customHeight="1" x14ac:dyDescent="0.2"/>
    <row r="22" spans="1:13" x14ac:dyDescent="0.2">
      <c r="H22" s="168"/>
      <c r="I22" s="168"/>
      <c r="J22" s="168"/>
      <c r="K22" s="168"/>
    </row>
    <row r="24" spans="1:13" x14ac:dyDescent="0.2">
      <c r="K24" s="169"/>
    </row>
  </sheetData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32"/>
  <sheetViews>
    <sheetView topLeftCell="B1" workbookViewId="0">
      <selection activeCell="M9" sqref="M9"/>
    </sheetView>
  </sheetViews>
  <sheetFormatPr defaultRowHeight="12.75" x14ac:dyDescent="0.2"/>
  <cols>
    <col min="1" max="1" width="38.85546875" bestFit="1" customWidth="1"/>
    <col min="2" max="2" width="4.7109375" customWidth="1"/>
    <col min="3" max="6" width="10.28515625" bestFit="1" customWidth="1"/>
    <col min="7" max="12" width="10.28515625" customWidth="1"/>
    <col min="13" max="14" width="10.28515625" bestFit="1" customWidth="1"/>
    <col min="15" max="15" width="3.7109375" customWidth="1"/>
    <col min="16" max="16" width="11.28515625" bestFit="1" customWidth="1"/>
  </cols>
  <sheetData>
    <row r="1" spans="1:19" ht="23.25" x14ac:dyDescent="0.35">
      <c r="A1" s="22" t="s">
        <v>31</v>
      </c>
    </row>
    <row r="2" spans="1:19" x14ac:dyDescent="0.2">
      <c r="A2" s="1" t="s">
        <v>94</v>
      </c>
    </row>
    <row r="4" spans="1:19" x14ac:dyDescent="0.2">
      <c r="A4" s="3"/>
      <c r="B4" s="3"/>
      <c r="C4" s="106">
        <v>43983</v>
      </c>
      <c r="D4" s="106">
        <v>44013</v>
      </c>
      <c r="E4" s="106">
        <v>44044</v>
      </c>
      <c r="F4" s="106">
        <v>44075</v>
      </c>
      <c r="G4" s="106">
        <v>44105</v>
      </c>
      <c r="H4" s="106">
        <v>44136</v>
      </c>
      <c r="I4" s="106">
        <v>44166</v>
      </c>
      <c r="J4" s="106">
        <v>44197</v>
      </c>
      <c r="K4" s="106">
        <v>44228</v>
      </c>
      <c r="L4" s="106">
        <v>44256</v>
      </c>
      <c r="M4" s="106">
        <v>44287</v>
      </c>
      <c r="N4" s="106">
        <v>44317</v>
      </c>
      <c r="O4" s="107"/>
      <c r="P4" s="101" t="s">
        <v>130</v>
      </c>
    </row>
    <row r="5" spans="1:19" x14ac:dyDescent="0.2">
      <c r="A5" s="3" t="s">
        <v>88</v>
      </c>
      <c r="B5" s="1"/>
      <c r="N5" s="63"/>
    </row>
    <row r="6" spans="1:19" x14ac:dyDescent="0.2">
      <c r="A6" s="105" t="s">
        <v>81</v>
      </c>
      <c r="B6" s="104"/>
      <c r="C6" s="75">
        <v>804</v>
      </c>
      <c r="D6" s="147">
        <v>815</v>
      </c>
      <c r="E6" s="147">
        <v>817</v>
      </c>
      <c r="F6" s="147">
        <v>805</v>
      </c>
      <c r="G6" s="147">
        <v>810</v>
      </c>
      <c r="H6" s="147">
        <v>813</v>
      </c>
      <c r="I6" s="147">
        <v>813</v>
      </c>
      <c r="J6" s="147">
        <v>822</v>
      </c>
      <c r="K6" s="147">
        <v>831</v>
      </c>
      <c r="L6" s="147">
        <v>837</v>
      </c>
      <c r="M6" s="147">
        <v>848</v>
      </c>
      <c r="N6" s="147">
        <v>847</v>
      </c>
      <c r="O6" s="103"/>
      <c r="P6" s="103"/>
    </row>
    <row r="7" spans="1:19" x14ac:dyDescent="0.2">
      <c r="A7" s="105" t="s">
        <v>80</v>
      </c>
      <c r="B7" s="104"/>
      <c r="C7" s="75">
        <v>1482</v>
      </c>
      <c r="D7" s="147">
        <v>1484</v>
      </c>
      <c r="E7" s="147">
        <v>1482</v>
      </c>
      <c r="F7" s="147">
        <v>1484</v>
      </c>
      <c r="G7" s="147">
        <v>1480</v>
      </c>
      <c r="H7" s="147">
        <v>1487</v>
      </c>
      <c r="I7" s="147">
        <v>1492</v>
      </c>
      <c r="J7" s="147">
        <v>1496</v>
      </c>
      <c r="K7" s="147">
        <v>1495</v>
      </c>
      <c r="L7" s="147">
        <v>1462</v>
      </c>
      <c r="M7" s="147">
        <v>1471</v>
      </c>
      <c r="N7" s="147">
        <v>1487</v>
      </c>
      <c r="O7" s="103"/>
      <c r="P7" s="103"/>
    </row>
    <row r="8" spans="1:19" x14ac:dyDescent="0.2">
      <c r="A8" s="105" t="s">
        <v>82</v>
      </c>
      <c r="B8" s="104"/>
      <c r="C8" s="75">
        <v>3690</v>
      </c>
      <c r="D8" s="147">
        <v>3718</v>
      </c>
      <c r="E8" s="147">
        <v>3743</v>
      </c>
      <c r="F8" s="147">
        <v>3727</v>
      </c>
      <c r="G8" s="147">
        <v>3714</v>
      </c>
      <c r="H8" s="147">
        <v>3730</v>
      </c>
      <c r="I8" s="147">
        <v>3743</v>
      </c>
      <c r="J8" s="147">
        <v>3762</v>
      </c>
      <c r="K8" s="147">
        <v>3779</v>
      </c>
      <c r="L8" s="147">
        <v>3817</v>
      </c>
      <c r="M8" s="147">
        <v>3852</v>
      </c>
      <c r="N8" s="147">
        <v>3884</v>
      </c>
      <c r="O8" s="103"/>
      <c r="P8" s="103"/>
    </row>
    <row r="9" spans="1:19" ht="15" x14ac:dyDescent="0.35">
      <c r="A9" s="105" t="s">
        <v>83</v>
      </c>
      <c r="B9" s="104"/>
      <c r="C9" s="108">
        <v>25229</v>
      </c>
      <c r="D9" s="108">
        <v>25337</v>
      </c>
      <c r="E9" s="108">
        <v>25411</v>
      </c>
      <c r="F9" s="108">
        <v>25223</v>
      </c>
      <c r="G9" s="108">
        <v>25137</v>
      </c>
      <c r="H9" s="108">
        <v>25254</v>
      </c>
      <c r="I9" s="108">
        <v>25315</v>
      </c>
      <c r="J9" s="108">
        <v>25344</v>
      </c>
      <c r="K9" s="108">
        <v>25418</v>
      </c>
      <c r="L9" s="108">
        <v>25572</v>
      </c>
      <c r="M9" s="108">
        <v>25671</v>
      </c>
      <c r="N9" s="108">
        <v>25789</v>
      </c>
      <c r="O9" s="103"/>
      <c r="P9" s="103"/>
    </row>
    <row r="10" spans="1:19" ht="15" x14ac:dyDescent="0.35">
      <c r="A10" s="104" t="s">
        <v>87</v>
      </c>
      <c r="B10" s="104"/>
      <c r="C10" s="112">
        <f t="shared" ref="C10:N10" si="0">SUM(C6:C9)</f>
        <v>31205</v>
      </c>
      <c r="D10" s="112">
        <f t="shared" si="0"/>
        <v>31354</v>
      </c>
      <c r="E10" s="112">
        <f t="shared" si="0"/>
        <v>31453</v>
      </c>
      <c r="F10" s="112">
        <f t="shared" si="0"/>
        <v>31239</v>
      </c>
      <c r="G10" s="112">
        <f t="shared" si="0"/>
        <v>31141</v>
      </c>
      <c r="H10" s="112">
        <f t="shared" si="0"/>
        <v>31284</v>
      </c>
      <c r="I10" s="112">
        <f t="shared" si="0"/>
        <v>31363</v>
      </c>
      <c r="J10" s="112">
        <f t="shared" si="0"/>
        <v>31424</v>
      </c>
      <c r="K10" s="112">
        <f t="shared" si="0"/>
        <v>31523</v>
      </c>
      <c r="L10" s="112">
        <f t="shared" si="0"/>
        <v>31688</v>
      </c>
      <c r="M10" s="112">
        <f t="shared" si="0"/>
        <v>31842</v>
      </c>
      <c r="N10" s="112">
        <f t="shared" si="0"/>
        <v>32007</v>
      </c>
      <c r="O10" s="103"/>
      <c r="P10" s="103"/>
    </row>
    <row r="11" spans="1:19" x14ac:dyDescent="0.2">
      <c r="A11" s="104"/>
      <c r="B11" s="104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3"/>
      <c r="P11" s="103"/>
    </row>
    <row r="12" spans="1:19" x14ac:dyDescent="0.2">
      <c r="A12" s="104" t="s">
        <v>86</v>
      </c>
      <c r="B12" s="110"/>
      <c r="C12" s="111">
        <f>25734+2</f>
        <v>25736</v>
      </c>
      <c r="D12" s="111">
        <f>2+25814</f>
        <v>25816</v>
      </c>
      <c r="E12" s="111">
        <f>25924+2</f>
        <v>25926</v>
      </c>
      <c r="F12" s="111">
        <f>25873+2</f>
        <v>25875</v>
      </c>
      <c r="G12" s="111">
        <f>25877+2</f>
        <v>25879</v>
      </c>
      <c r="H12" s="111">
        <f>25922+2</f>
        <v>25924</v>
      </c>
      <c r="I12" s="111">
        <f>25941+2</f>
        <v>25943</v>
      </c>
      <c r="J12" s="111">
        <f>26043+2</f>
        <v>26045</v>
      </c>
      <c r="K12" s="111">
        <f>2+26042</f>
        <v>26044</v>
      </c>
      <c r="L12" s="111">
        <f>2+26132</f>
        <v>26134</v>
      </c>
      <c r="M12" s="111">
        <f>2+26349</f>
        <v>26351</v>
      </c>
      <c r="N12" s="111">
        <f>2+26449</f>
        <v>26451</v>
      </c>
      <c r="O12" s="110"/>
      <c r="P12" s="111">
        <f>AVERAGE(C12:N12)</f>
        <v>26010.333333333332</v>
      </c>
      <c r="Q12" s="6"/>
    </row>
    <row r="13" spans="1:19" x14ac:dyDescent="0.2">
      <c r="N13" s="63"/>
      <c r="R13" s="13"/>
      <c r="S13" s="6"/>
    </row>
    <row r="14" spans="1:19" ht="15" x14ac:dyDescent="0.35">
      <c r="C14" s="14">
        <f t="shared" ref="C14:N14" si="1">+C12+C10</f>
        <v>56941</v>
      </c>
      <c r="D14" s="14">
        <f t="shared" si="1"/>
        <v>57170</v>
      </c>
      <c r="E14" s="14">
        <f t="shared" si="1"/>
        <v>57379</v>
      </c>
      <c r="F14" s="14">
        <f t="shared" si="1"/>
        <v>57114</v>
      </c>
      <c r="G14" s="14">
        <f t="shared" si="1"/>
        <v>57020</v>
      </c>
      <c r="H14" s="14">
        <f t="shared" si="1"/>
        <v>57208</v>
      </c>
      <c r="I14" s="14">
        <f t="shared" si="1"/>
        <v>57306</v>
      </c>
      <c r="J14" s="14">
        <f t="shared" si="1"/>
        <v>57469</v>
      </c>
      <c r="K14" s="14">
        <f t="shared" si="1"/>
        <v>57567</v>
      </c>
      <c r="L14" s="14">
        <f t="shared" si="1"/>
        <v>57822</v>
      </c>
      <c r="M14" s="14">
        <f t="shared" si="1"/>
        <v>58193</v>
      </c>
      <c r="N14" s="14">
        <f t="shared" si="1"/>
        <v>58458</v>
      </c>
    </row>
    <row r="16" spans="1:19" x14ac:dyDescent="0.2">
      <c r="A16" s="1" t="s">
        <v>89</v>
      </c>
      <c r="C16" s="100">
        <f t="shared" ref="C16:F16" si="2">+C12/C14</f>
        <v>0.4519766073655187</v>
      </c>
      <c r="D16" s="100">
        <f t="shared" si="2"/>
        <v>0.45156550638446735</v>
      </c>
      <c r="E16" s="100">
        <f t="shared" si="2"/>
        <v>0.45183778037261019</v>
      </c>
      <c r="F16" s="100">
        <f t="shared" si="2"/>
        <v>0.45304128584935394</v>
      </c>
      <c r="G16" s="100">
        <f t="shared" ref="G16:N16" si="3">+G12/G14</f>
        <v>0.45385829533497019</v>
      </c>
      <c r="H16" s="100">
        <f t="shared" si="3"/>
        <v>0.45315340511816526</v>
      </c>
      <c r="I16" s="100">
        <f t="shared" si="3"/>
        <v>0.45271001291313301</v>
      </c>
      <c r="J16" s="100">
        <f t="shared" si="3"/>
        <v>0.4532008561137309</v>
      </c>
      <c r="K16" s="100">
        <f t="shared" si="3"/>
        <v>0.4524119721368145</v>
      </c>
      <c r="L16" s="100">
        <f t="shared" si="3"/>
        <v>0.45197329736086611</v>
      </c>
      <c r="M16" s="100">
        <f t="shared" si="3"/>
        <v>0.4528207860051896</v>
      </c>
      <c r="N16" s="100">
        <f t="shared" si="3"/>
        <v>0.4524787026583188</v>
      </c>
    </row>
    <row r="18" spans="1:29" x14ac:dyDescent="0.2">
      <c r="A18" s="1" t="s">
        <v>90</v>
      </c>
      <c r="C18" s="114">
        <f t="shared" ref="C18:F18" si="4">1-C16</f>
        <v>0.5480233926344813</v>
      </c>
      <c r="D18" s="114">
        <f t="shared" si="4"/>
        <v>0.54843449361553265</v>
      </c>
      <c r="E18" s="114">
        <f t="shared" si="4"/>
        <v>0.54816221962738987</v>
      </c>
      <c r="F18" s="114">
        <f t="shared" si="4"/>
        <v>0.54695871415064601</v>
      </c>
      <c r="G18" s="114">
        <f t="shared" ref="G18:N18" si="5">1-G16</f>
        <v>0.54614170466502987</v>
      </c>
      <c r="H18" s="114">
        <f t="shared" si="5"/>
        <v>0.54684659488183474</v>
      </c>
      <c r="I18" s="114">
        <f t="shared" si="5"/>
        <v>0.54728998708686705</v>
      </c>
      <c r="J18" s="114">
        <f t="shared" si="5"/>
        <v>0.54679914388626916</v>
      </c>
      <c r="K18" s="114">
        <f t="shared" si="5"/>
        <v>0.5475880278631855</v>
      </c>
      <c r="L18" s="114">
        <f t="shared" si="5"/>
        <v>0.54802670263913389</v>
      </c>
      <c r="M18" s="114">
        <f t="shared" si="5"/>
        <v>0.5471792139948104</v>
      </c>
      <c r="N18" s="114">
        <f t="shared" si="5"/>
        <v>0.5475212973416812</v>
      </c>
    </row>
    <row r="20" spans="1:29" x14ac:dyDescent="0.2"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</row>
    <row r="21" spans="1:29" x14ac:dyDescent="0.2">
      <c r="A21" s="1" t="s">
        <v>93</v>
      </c>
      <c r="B21" s="1"/>
      <c r="C21" s="120">
        <f>SUM(C28:C32)</f>
        <v>-443.69000000000005</v>
      </c>
      <c r="D21" s="120">
        <f t="shared" ref="D21:N21" si="6">SUM(D28:D32)</f>
        <v>-448.21000000000004</v>
      </c>
      <c r="E21" s="120">
        <f t="shared" si="6"/>
        <v>-98.789999999999992</v>
      </c>
      <c r="F21" s="120">
        <f t="shared" si="6"/>
        <v>-99.47</v>
      </c>
      <c r="G21" s="120">
        <f t="shared" si="6"/>
        <v>-99.39</v>
      </c>
      <c r="H21" s="120">
        <f t="shared" si="6"/>
        <v>-99.39</v>
      </c>
      <c r="I21" s="120">
        <f t="shared" si="6"/>
        <v>-98.58</v>
      </c>
      <c r="J21" s="120">
        <f t="shared" si="6"/>
        <v>-99.92</v>
      </c>
      <c r="K21" s="120">
        <f t="shared" si="6"/>
        <v>-102.67</v>
      </c>
      <c r="L21" s="120">
        <f t="shared" si="6"/>
        <v>-101.28</v>
      </c>
      <c r="M21" s="120">
        <f t="shared" si="6"/>
        <v>-90.17</v>
      </c>
      <c r="N21" s="120">
        <f t="shared" si="6"/>
        <v>-90.17</v>
      </c>
      <c r="O21" s="120"/>
      <c r="P21" s="120">
        <f>SUM(C21:N21)</f>
        <v>-1871.7300000000005</v>
      </c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</row>
    <row r="22" spans="1:29" x14ac:dyDescent="0.2">
      <c r="A22" s="6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P22" s="13"/>
    </row>
    <row r="23" spans="1:29" ht="15" x14ac:dyDescent="0.35">
      <c r="A23" s="1" t="s">
        <v>91</v>
      </c>
      <c r="C23" s="115">
        <v>0.21</v>
      </c>
      <c r="D23" s="115">
        <v>0.21</v>
      </c>
      <c r="E23" s="115">
        <v>0.04</v>
      </c>
      <c r="F23" s="115">
        <v>0.04</v>
      </c>
      <c r="G23" s="115">
        <v>0.04</v>
      </c>
      <c r="H23" s="115">
        <v>0.04</v>
      </c>
      <c r="I23" s="115">
        <v>0.04</v>
      </c>
      <c r="J23" s="115">
        <v>0.04</v>
      </c>
      <c r="K23" s="115">
        <v>0.04</v>
      </c>
      <c r="L23" s="115">
        <v>0.04</v>
      </c>
      <c r="M23" s="115">
        <v>0.04</v>
      </c>
      <c r="N23" s="115">
        <v>0.04</v>
      </c>
      <c r="O23" s="115"/>
      <c r="P23" s="115"/>
    </row>
    <row r="25" spans="1:29" ht="15" x14ac:dyDescent="0.35">
      <c r="A25" s="1" t="s">
        <v>92</v>
      </c>
      <c r="B25" s="116"/>
      <c r="C25" s="117">
        <f t="shared" ref="C25:N25" si="7">-(C21)/C23</f>
        <v>2112.8095238095243</v>
      </c>
      <c r="D25" s="117">
        <f t="shared" si="7"/>
        <v>2134.3333333333335</v>
      </c>
      <c r="E25" s="117">
        <f t="shared" si="7"/>
        <v>2469.7499999999995</v>
      </c>
      <c r="F25" s="117">
        <f t="shared" si="7"/>
        <v>2486.75</v>
      </c>
      <c r="G25" s="117">
        <f t="shared" si="7"/>
        <v>2484.75</v>
      </c>
      <c r="H25" s="117">
        <f t="shared" si="7"/>
        <v>2484.75</v>
      </c>
      <c r="I25" s="117">
        <f t="shared" si="7"/>
        <v>2464.5</v>
      </c>
      <c r="J25" s="117">
        <f t="shared" si="7"/>
        <v>2498</v>
      </c>
      <c r="K25" s="117">
        <f t="shared" si="7"/>
        <v>2566.75</v>
      </c>
      <c r="L25" s="117">
        <f t="shared" si="7"/>
        <v>2532</v>
      </c>
      <c r="M25" s="117">
        <f t="shared" si="7"/>
        <v>2254.25</v>
      </c>
      <c r="N25" s="117">
        <f t="shared" si="7"/>
        <v>2254.25</v>
      </c>
      <c r="O25" s="118"/>
      <c r="P25" s="14">
        <f>SUM(C25:O25)</f>
        <v>28742.892857142855</v>
      </c>
    </row>
    <row r="28" spans="1:29" x14ac:dyDescent="0.2">
      <c r="A28" s="17" t="s">
        <v>171</v>
      </c>
      <c r="B28" t="s">
        <v>170</v>
      </c>
      <c r="C28">
        <v>-15.47</v>
      </c>
      <c r="D28">
        <v>-15.47</v>
      </c>
      <c r="E28">
        <v>-2.89</v>
      </c>
      <c r="F28">
        <v>-2.89</v>
      </c>
      <c r="G28">
        <v>-2.89</v>
      </c>
      <c r="H28">
        <v>-2.89</v>
      </c>
      <c r="I28">
        <v>-2.89</v>
      </c>
      <c r="J28">
        <v>-2.89</v>
      </c>
      <c r="K28">
        <v>-2.89</v>
      </c>
      <c r="L28">
        <v>-2.89</v>
      </c>
      <c r="M28">
        <v>-3.06</v>
      </c>
      <c r="N28" s="63">
        <f>+M28</f>
        <v>-3.06</v>
      </c>
    </row>
    <row r="29" spans="1:29" x14ac:dyDescent="0.2">
      <c r="A29" s="17" t="s">
        <v>184</v>
      </c>
      <c r="B29" t="s">
        <v>170</v>
      </c>
      <c r="C29">
        <v>-14.56</v>
      </c>
      <c r="D29">
        <v>-14.56</v>
      </c>
      <c r="E29">
        <v>-2.72</v>
      </c>
      <c r="F29">
        <v>-2.72</v>
      </c>
      <c r="G29">
        <v>-2.72</v>
      </c>
      <c r="H29">
        <v>-2.72</v>
      </c>
      <c r="I29">
        <v>-2.72</v>
      </c>
      <c r="J29">
        <v>-2.72</v>
      </c>
      <c r="K29">
        <v>-2.72</v>
      </c>
      <c r="L29">
        <v>-2.72</v>
      </c>
      <c r="M29">
        <v>-2.72</v>
      </c>
      <c r="N29" s="63">
        <f t="shared" ref="N29:N32" si="8">+M29</f>
        <v>-2.72</v>
      </c>
    </row>
    <row r="30" spans="1:29" x14ac:dyDescent="0.2">
      <c r="A30" s="17" t="s">
        <v>172</v>
      </c>
      <c r="B30" t="s">
        <v>170</v>
      </c>
      <c r="C30">
        <v>-1.82</v>
      </c>
      <c r="D30">
        <v>-1.82</v>
      </c>
      <c r="E30">
        <v>-0.34</v>
      </c>
      <c r="F30">
        <v>-0.34</v>
      </c>
      <c r="G30">
        <v>-0.34</v>
      </c>
      <c r="H30">
        <v>-0.34</v>
      </c>
      <c r="I30">
        <v>-0.34</v>
      </c>
      <c r="J30">
        <v>-0.34</v>
      </c>
      <c r="K30">
        <v>-0.34</v>
      </c>
      <c r="L30">
        <v>-0.34</v>
      </c>
      <c r="M30">
        <v>-0.34</v>
      </c>
      <c r="N30" s="63">
        <f t="shared" si="8"/>
        <v>-0.34</v>
      </c>
    </row>
    <row r="31" spans="1:29" x14ac:dyDescent="0.2">
      <c r="A31" s="17" t="s">
        <v>173</v>
      </c>
      <c r="B31" t="s">
        <v>170</v>
      </c>
      <c r="C31">
        <v>-13.68</v>
      </c>
      <c r="D31">
        <v>-16.38</v>
      </c>
      <c r="E31">
        <v>-16.38</v>
      </c>
      <c r="F31">
        <v>-16.38</v>
      </c>
      <c r="G31">
        <v>-16.38</v>
      </c>
      <c r="H31">
        <v>-16.38</v>
      </c>
      <c r="I31">
        <v>-16.38</v>
      </c>
      <c r="J31">
        <v>-16.38</v>
      </c>
      <c r="K31">
        <v>-16.38</v>
      </c>
      <c r="L31">
        <v>-16.38</v>
      </c>
      <c r="M31">
        <v>-4.08</v>
      </c>
      <c r="N31" s="63">
        <f t="shared" si="8"/>
        <v>-4.08</v>
      </c>
    </row>
    <row r="32" spans="1:29" x14ac:dyDescent="0.2">
      <c r="A32" s="17" t="s">
        <v>174</v>
      </c>
      <c r="B32" t="s">
        <v>170</v>
      </c>
      <c r="C32">
        <v>-398.16</v>
      </c>
      <c r="D32">
        <v>-399.98</v>
      </c>
      <c r="E32">
        <v>-76.459999999999994</v>
      </c>
      <c r="F32">
        <v>-77.14</v>
      </c>
      <c r="G32">
        <v>-77.06</v>
      </c>
      <c r="H32">
        <v>-77.06</v>
      </c>
      <c r="I32">
        <v>-76.25</v>
      </c>
      <c r="J32">
        <v>-77.59</v>
      </c>
      <c r="K32">
        <v>-80.34</v>
      </c>
      <c r="L32">
        <v>-78.95</v>
      </c>
      <c r="M32">
        <v>-79.97</v>
      </c>
      <c r="N32" s="63">
        <f t="shared" si="8"/>
        <v>-79.97</v>
      </c>
    </row>
  </sheetData>
  <pageMargins left="0.7" right="0.7" top="0.75" bottom="0.75" header="0.3" footer="0.3"/>
  <pageSetup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972C6-4FDC-4553-BACD-0BF8FB87639D}">
  <dimension ref="A1:D47"/>
  <sheetViews>
    <sheetView topLeftCell="A35" workbookViewId="0">
      <selection sqref="A1:XFD1048576"/>
    </sheetView>
  </sheetViews>
  <sheetFormatPr defaultRowHeight="12.75" x14ac:dyDescent="0.2"/>
  <cols>
    <col min="1" max="1" width="61.42578125" bestFit="1" customWidth="1"/>
    <col min="4" max="4" width="10.28515625" bestFit="1" customWidth="1"/>
  </cols>
  <sheetData>
    <row r="1" spans="1:4" ht="23.25" x14ac:dyDescent="0.35">
      <c r="A1" s="140" t="s">
        <v>137</v>
      </c>
      <c r="B1" s="140"/>
      <c r="C1" s="141"/>
      <c r="D1" s="141"/>
    </row>
    <row r="2" spans="1:4" ht="15.75" x14ac:dyDescent="0.25">
      <c r="A2" s="142" t="s">
        <v>179</v>
      </c>
      <c r="B2" s="142"/>
      <c r="C2" s="143"/>
      <c r="D2" s="144"/>
    </row>
    <row r="3" spans="1:4" x14ac:dyDescent="0.2">
      <c r="A3" s="196"/>
      <c r="B3" s="196"/>
      <c r="C3" s="197"/>
      <c r="D3" s="198"/>
    </row>
    <row r="4" spans="1:4" ht="15" x14ac:dyDescent="0.35">
      <c r="A4" s="183"/>
      <c r="B4" s="183"/>
      <c r="C4" s="197"/>
      <c r="D4" s="199" t="s">
        <v>106</v>
      </c>
    </row>
    <row r="5" spans="1:4" x14ac:dyDescent="0.2">
      <c r="A5" s="200" t="s">
        <v>107</v>
      </c>
      <c r="B5" s="200"/>
      <c r="C5" s="197"/>
      <c r="D5" s="201"/>
    </row>
    <row r="6" spans="1:4" ht="15" x14ac:dyDescent="0.35">
      <c r="A6" s="183" t="s">
        <v>21</v>
      </c>
      <c r="B6" s="183"/>
      <c r="C6" s="197"/>
      <c r="D6" s="202">
        <v>25579</v>
      </c>
    </row>
    <row r="7" spans="1:4" x14ac:dyDescent="0.2">
      <c r="A7" s="183"/>
      <c r="B7" s="183"/>
      <c r="C7" s="197"/>
      <c r="D7" s="203"/>
    </row>
    <row r="8" spans="1:4" x14ac:dyDescent="0.2">
      <c r="A8" s="200" t="s">
        <v>108</v>
      </c>
      <c r="B8" s="200"/>
      <c r="C8" s="197"/>
      <c r="D8" s="203"/>
    </row>
    <row r="9" spans="1:4" ht="15" x14ac:dyDescent="0.35">
      <c r="A9" s="204" t="s">
        <v>134</v>
      </c>
      <c r="B9" s="204"/>
      <c r="C9" s="197"/>
      <c r="D9" s="205">
        <v>10415</v>
      </c>
    </row>
    <row r="10" spans="1:4" x14ac:dyDescent="0.2">
      <c r="A10" s="184"/>
      <c r="B10" s="184"/>
      <c r="C10" s="197"/>
      <c r="D10" s="203"/>
    </row>
    <row r="11" spans="1:4" x14ac:dyDescent="0.2">
      <c r="A11" s="200" t="s">
        <v>109</v>
      </c>
      <c r="B11" s="200"/>
      <c r="C11" s="197"/>
      <c r="D11" s="201"/>
    </row>
    <row r="12" spans="1:4" ht="34.5" customHeight="1" x14ac:dyDescent="0.35">
      <c r="A12" s="206" t="s">
        <v>178</v>
      </c>
      <c r="B12" s="206"/>
      <c r="C12" s="186"/>
      <c r="D12" s="207">
        <f>ROUND((+'Rebate Calculation'!F94+'Rebate Calculation'!F125)*2, -3)</f>
        <v>645000</v>
      </c>
    </row>
    <row r="13" spans="1:4" x14ac:dyDescent="0.2">
      <c r="A13" s="206"/>
      <c r="B13" s="206"/>
      <c r="C13" s="186"/>
      <c r="D13" s="208"/>
    </row>
    <row r="14" spans="1:4" x14ac:dyDescent="0.2">
      <c r="A14" s="200" t="s">
        <v>110</v>
      </c>
      <c r="B14" s="206"/>
      <c r="C14" s="186"/>
      <c r="D14" s="208"/>
    </row>
    <row r="15" spans="1:4" x14ac:dyDescent="0.2">
      <c r="A15" s="206" t="s">
        <v>111</v>
      </c>
      <c r="B15" s="206"/>
      <c r="C15" s="209">
        <v>0.5</v>
      </c>
      <c r="D15" s="210">
        <f>ROUND(+D12*C15,-2)</f>
        <v>322500</v>
      </c>
    </row>
    <row r="16" spans="1:4" x14ac:dyDescent="0.2">
      <c r="A16" s="211" t="s">
        <v>135</v>
      </c>
      <c r="B16" s="183"/>
      <c r="C16" s="212">
        <v>0.05</v>
      </c>
      <c r="D16" s="213">
        <f>-ROUND(+D28*C16,-2)</f>
        <v>-14700</v>
      </c>
    </row>
    <row r="17" spans="1:4" ht="15" x14ac:dyDescent="0.35">
      <c r="A17" s="211"/>
      <c r="B17" s="183"/>
      <c r="C17" s="197"/>
      <c r="D17" s="214">
        <f>+D15+D16</f>
        <v>307800</v>
      </c>
    </row>
    <row r="18" spans="1:4" x14ac:dyDescent="0.2">
      <c r="A18" s="200" t="s">
        <v>112</v>
      </c>
      <c r="B18" s="200"/>
      <c r="C18" s="197"/>
      <c r="D18" s="201"/>
    </row>
    <row r="19" spans="1:4" ht="15" x14ac:dyDescent="0.35">
      <c r="A19" s="215" t="s">
        <v>113</v>
      </c>
      <c r="B19" s="215"/>
      <c r="C19" s="197"/>
      <c r="D19" s="216">
        <f>+D46</f>
        <v>108800</v>
      </c>
    </row>
    <row r="20" spans="1:4" ht="15" x14ac:dyDescent="0.35">
      <c r="A20" s="215"/>
      <c r="B20" s="215"/>
      <c r="C20" s="217"/>
      <c r="D20" s="218"/>
    </row>
    <row r="21" spans="1:4" ht="15" x14ac:dyDescent="0.35">
      <c r="A21" s="219" t="s">
        <v>114</v>
      </c>
      <c r="B21" s="219"/>
      <c r="C21" s="185"/>
      <c r="D21" s="218"/>
    </row>
    <row r="22" spans="1:4" ht="15" x14ac:dyDescent="0.25">
      <c r="A22" s="272" t="s">
        <v>180</v>
      </c>
      <c r="B22" s="187"/>
      <c r="C22" s="220"/>
      <c r="D22" s="221">
        <v>115300</v>
      </c>
    </row>
    <row r="23" spans="1:4" ht="15" x14ac:dyDescent="0.25">
      <c r="A23" s="272" t="s">
        <v>181</v>
      </c>
      <c r="B23" s="187"/>
      <c r="C23" s="186"/>
      <c r="D23" s="221">
        <v>20000</v>
      </c>
    </row>
    <row r="24" spans="1:4" ht="15" x14ac:dyDescent="0.25">
      <c r="A24" s="272" t="s">
        <v>182</v>
      </c>
      <c r="B24" s="187"/>
      <c r="C24" s="222"/>
      <c r="D24" s="221">
        <v>35000</v>
      </c>
    </row>
    <row r="25" spans="1:4" ht="16.5" x14ac:dyDescent="0.35">
      <c r="A25" s="272" t="s">
        <v>183</v>
      </c>
      <c r="B25" s="187"/>
      <c r="C25" s="222"/>
      <c r="D25" s="223">
        <v>14000</v>
      </c>
    </row>
    <row r="26" spans="1:4" ht="19.5" customHeight="1" x14ac:dyDescent="0.35">
      <c r="A26" s="215" t="s">
        <v>115</v>
      </c>
      <c r="B26" s="215"/>
      <c r="C26" s="186"/>
      <c r="D26" s="216">
        <f>SUM(D22:D25)</f>
        <v>184300</v>
      </c>
    </row>
    <row r="27" spans="1:4" x14ac:dyDescent="0.2">
      <c r="A27" s="215"/>
      <c r="B27" s="215"/>
      <c r="C27" s="224"/>
      <c r="D27" s="225"/>
    </row>
    <row r="28" spans="1:4" ht="15" x14ac:dyDescent="0.35">
      <c r="A28" s="215" t="s">
        <v>116</v>
      </c>
      <c r="B28" s="215"/>
      <c r="C28" s="224"/>
      <c r="D28" s="226">
        <f>+D26+D19</f>
        <v>293100</v>
      </c>
    </row>
    <row r="29" spans="1:4" ht="15" x14ac:dyDescent="0.35">
      <c r="A29" s="215"/>
      <c r="B29" s="215"/>
      <c r="C29" s="224"/>
      <c r="D29" s="226"/>
    </row>
    <row r="30" spans="1:4" ht="15" x14ac:dyDescent="0.35">
      <c r="A30" s="215" t="s">
        <v>117</v>
      </c>
      <c r="B30" s="215"/>
      <c r="C30" s="224"/>
      <c r="D30" s="216">
        <f>ROUND(+D28*0.05,-2)</f>
        <v>14700</v>
      </c>
    </row>
    <row r="31" spans="1:4" x14ac:dyDescent="0.2">
      <c r="A31" s="215"/>
      <c r="B31" s="215"/>
      <c r="C31" s="224"/>
      <c r="D31" s="227"/>
    </row>
    <row r="32" spans="1:4" x14ac:dyDescent="0.2">
      <c r="A32" s="215" t="s">
        <v>118</v>
      </c>
      <c r="B32" s="215"/>
      <c r="C32" s="228"/>
      <c r="D32" s="227">
        <f>+D30+D28</f>
        <v>307800</v>
      </c>
    </row>
    <row r="33" spans="1:4" x14ac:dyDescent="0.2">
      <c r="A33" s="215"/>
      <c r="B33" s="215"/>
      <c r="C33" s="228"/>
      <c r="D33" s="227"/>
    </row>
    <row r="34" spans="1:4" ht="15" hidden="1" x14ac:dyDescent="0.25">
      <c r="A34" s="250" t="s">
        <v>175</v>
      </c>
      <c r="B34" s="196"/>
      <c r="C34" s="229"/>
      <c r="D34" s="249">
        <f>+D32-D17</f>
        <v>0</v>
      </c>
    </row>
    <row r="35" spans="1:4" ht="15" x14ac:dyDescent="0.25">
      <c r="A35" s="248"/>
      <c r="B35" s="196"/>
      <c r="C35" s="229"/>
      <c r="D35" s="230"/>
    </row>
    <row r="36" spans="1:4" x14ac:dyDescent="0.2">
      <c r="A36" s="215" t="s">
        <v>119</v>
      </c>
      <c r="B36" s="215"/>
      <c r="C36" s="229"/>
      <c r="D36" s="231">
        <f>+D9*2000/D6/24</f>
        <v>33.93082867456377</v>
      </c>
    </row>
    <row r="37" spans="1:4" x14ac:dyDescent="0.2">
      <c r="A37" s="63"/>
      <c r="B37" s="63"/>
      <c r="C37" s="229"/>
      <c r="D37" s="231"/>
    </row>
    <row r="38" spans="1:4" x14ac:dyDescent="0.2">
      <c r="A38" s="215" t="s">
        <v>120</v>
      </c>
      <c r="B38" s="215"/>
      <c r="C38" s="229"/>
      <c r="D38" s="232">
        <f>+D12/D9</f>
        <v>61.929908785405665</v>
      </c>
    </row>
    <row r="39" spans="1:4" ht="13.5" thickBot="1" x14ac:dyDescent="0.25">
      <c r="A39" s="187"/>
      <c r="B39" s="187"/>
      <c r="C39" s="186"/>
      <c r="D39" s="186"/>
    </row>
    <row r="40" spans="1:4" x14ac:dyDescent="0.2">
      <c r="A40" s="188"/>
      <c r="B40" s="189"/>
      <c r="C40" s="190"/>
      <c r="D40" s="191"/>
    </row>
    <row r="41" spans="1:4" ht="25.5" x14ac:dyDescent="0.2">
      <c r="A41" s="233" t="s">
        <v>121</v>
      </c>
      <c r="B41" s="234" t="s">
        <v>122</v>
      </c>
      <c r="C41" s="235" t="s">
        <v>123</v>
      </c>
      <c r="D41" s="236" t="s">
        <v>124</v>
      </c>
    </row>
    <row r="42" spans="1:4" x14ac:dyDescent="0.2">
      <c r="A42" s="145" t="s">
        <v>125</v>
      </c>
      <c r="B42" s="237">
        <v>50</v>
      </c>
      <c r="C42" s="238">
        <v>90</v>
      </c>
      <c r="D42" s="239">
        <f t="shared" ref="D42:D45" si="0">ROUND(B42*C42,-2)</f>
        <v>4500</v>
      </c>
    </row>
    <row r="43" spans="1:4" x14ac:dyDescent="0.2">
      <c r="A43" s="145" t="s">
        <v>126</v>
      </c>
      <c r="B43" s="237">
        <v>50</v>
      </c>
      <c r="C43" s="238">
        <v>150</v>
      </c>
      <c r="D43" s="239">
        <f t="shared" si="0"/>
        <v>7500</v>
      </c>
    </row>
    <row r="44" spans="1:4" x14ac:dyDescent="0.2">
      <c r="A44" s="145" t="s">
        <v>136</v>
      </c>
      <c r="B44" s="237">
        <v>980</v>
      </c>
      <c r="C44" s="238">
        <v>90</v>
      </c>
      <c r="D44" s="239">
        <f t="shared" si="0"/>
        <v>88200</v>
      </c>
    </row>
    <row r="45" spans="1:4" ht="15" x14ac:dyDescent="0.35">
      <c r="A45" s="145" t="s">
        <v>127</v>
      </c>
      <c r="B45" s="240">
        <v>96</v>
      </c>
      <c r="C45" s="238">
        <v>90</v>
      </c>
      <c r="D45" s="241">
        <f t="shared" si="0"/>
        <v>8600</v>
      </c>
    </row>
    <row r="46" spans="1:4" ht="15" x14ac:dyDescent="0.35">
      <c r="A46" s="242" t="s">
        <v>128</v>
      </c>
      <c r="B46" s="243">
        <f>SUM(B42:B45)</f>
        <v>1176</v>
      </c>
      <c r="C46" s="238"/>
      <c r="D46" s="244">
        <f>SUM(D42:D45)</f>
        <v>108800</v>
      </c>
    </row>
    <row r="47" spans="1:4" ht="13.5" thickBot="1" x14ac:dyDescent="0.25">
      <c r="A47" s="192"/>
      <c r="B47" s="193"/>
      <c r="C47" s="194"/>
      <c r="D47" s="19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13796-1C23-4F4D-959A-9ECBB1207F99}">
  <sheetPr>
    <tabColor rgb="FFFF0000"/>
  </sheetPr>
  <dimension ref="A1:D48"/>
  <sheetViews>
    <sheetView topLeftCell="A10" workbookViewId="0">
      <selection activeCell="F22" sqref="F22"/>
    </sheetView>
  </sheetViews>
  <sheetFormatPr defaultRowHeight="12.75" x14ac:dyDescent="0.2"/>
  <cols>
    <col min="1" max="1" width="61.42578125" bestFit="1" customWidth="1"/>
    <col min="4" max="4" width="12.28515625" bestFit="1" customWidth="1"/>
  </cols>
  <sheetData>
    <row r="1" spans="1:4" ht="23.25" x14ac:dyDescent="0.35">
      <c r="A1" s="140" t="s">
        <v>137</v>
      </c>
      <c r="B1" s="140"/>
      <c r="C1" s="141"/>
      <c r="D1" s="141"/>
    </row>
    <row r="2" spans="1:4" ht="15.75" x14ac:dyDescent="0.25">
      <c r="A2" s="142" t="s">
        <v>179</v>
      </c>
      <c r="B2" s="142"/>
      <c r="C2" s="143"/>
      <c r="D2" s="144"/>
    </row>
    <row r="3" spans="1:4" x14ac:dyDescent="0.2">
      <c r="A3" s="196"/>
      <c r="B3" s="196"/>
      <c r="C3" s="197"/>
      <c r="D3" s="198" t="s">
        <v>190</v>
      </c>
    </row>
    <row r="4" spans="1:4" ht="15" x14ac:dyDescent="0.35">
      <c r="A4" s="183"/>
      <c r="B4" s="183"/>
      <c r="C4" s="197"/>
      <c r="D4" s="199" t="s">
        <v>106</v>
      </c>
    </row>
    <row r="5" spans="1:4" x14ac:dyDescent="0.2">
      <c r="A5" s="200" t="s">
        <v>107</v>
      </c>
      <c r="B5" s="200"/>
      <c r="C5" s="197"/>
      <c r="D5" s="201"/>
    </row>
    <row r="6" spans="1:4" ht="15" x14ac:dyDescent="0.35">
      <c r="A6" s="183" t="s">
        <v>21</v>
      </c>
      <c r="B6" s="183"/>
      <c r="C6" s="197"/>
      <c r="D6" s="202">
        <v>25579</v>
      </c>
    </row>
    <row r="7" spans="1:4" x14ac:dyDescent="0.2">
      <c r="A7" s="183"/>
      <c r="B7" s="183"/>
      <c r="C7" s="197"/>
      <c r="D7" s="203"/>
    </row>
    <row r="8" spans="1:4" x14ac:dyDescent="0.2">
      <c r="A8" s="200" t="s">
        <v>108</v>
      </c>
      <c r="B8" s="200"/>
      <c r="C8" s="197"/>
      <c r="D8" s="203"/>
    </row>
    <row r="9" spans="1:4" ht="15" x14ac:dyDescent="0.35">
      <c r="A9" s="204" t="s">
        <v>134</v>
      </c>
      <c r="B9" s="204"/>
      <c r="C9" s="197"/>
      <c r="D9" s="205">
        <v>10415</v>
      </c>
    </row>
    <row r="10" spans="1:4" x14ac:dyDescent="0.2">
      <c r="A10" s="184"/>
      <c r="B10" s="184"/>
      <c r="C10" s="197"/>
      <c r="D10" s="203"/>
    </row>
    <row r="11" spans="1:4" x14ac:dyDescent="0.2">
      <c r="A11" s="200" t="s">
        <v>109</v>
      </c>
      <c r="B11" s="200"/>
      <c r="C11" s="197"/>
      <c r="D11" s="201"/>
    </row>
    <row r="12" spans="1:4" ht="34.5" customHeight="1" x14ac:dyDescent="0.35">
      <c r="A12" s="206" t="s">
        <v>178</v>
      </c>
      <c r="B12" s="206"/>
      <c r="C12" s="186"/>
      <c r="D12" s="207">
        <f>ROUND((+'Rebate Calculation'!F94+'Rebate Calculation'!F125)*2, -3)</f>
        <v>645000</v>
      </c>
    </row>
    <row r="13" spans="1:4" x14ac:dyDescent="0.2">
      <c r="A13" s="206"/>
      <c r="B13" s="206"/>
      <c r="C13" s="186"/>
      <c r="D13" s="208"/>
    </row>
    <row r="14" spans="1:4" x14ac:dyDescent="0.2">
      <c r="A14" s="200" t="s">
        <v>110</v>
      </c>
      <c r="B14" s="206"/>
      <c r="C14" s="186"/>
      <c r="D14" s="208"/>
    </row>
    <row r="15" spans="1:4" x14ac:dyDescent="0.2">
      <c r="A15" s="206" t="s">
        <v>111</v>
      </c>
      <c r="B15" s="206"/>
      <c r="C15" s="209">
        <v>0.5</v>
      </c>
      <c r="D15" s="210">
        <f>ROUND(+D12*C15,-2)</f>
        <v>322500</v>
      </c>
    </row>
    <row r="16" spans="1:4" x14ac:dyDescent="0.2">
      <c r="A16" s="211" t="s">
        <v>135</v>
      </c>
      <c r="B16" s="183"/>
      <c r="C16" s="212">
        <v>0.05</v>
      </c>
      <c r="D16" s="213">
        <f>-ROUND(+D25*C16,-2)</f>
        <v>-14700</v>
      </c>
    </row>
    <row r="17" spans="1:4" ht="15" x14ac:dyDescent="0.35">
      <c r="A17" s="211"/>
      <c r="B17" s="183"/>
      <c r="C17" s="197"/>
      <c r="D17" s="214">
        <f>+D15+D16</f>
        <v>307800</v>
      </c>
    </row>
    <row r="18" spans="1:4" x14ac:dyDescent="0.2">
      <c r="A18" s="200"/>
      <c r="B18" s="200"/>
      <c r="C18" s="197"/>
      <c r="D18" s="201"/>
    </row>
    <row r="19" spans="1:4" ht="15" x14ac:dyDescent="0.35">
      <c r="A19" s="215"/>
      <c r="B19" s="215"/>
      <c r="C19" s="217"/>
      <c r="D19" s="218"/>
    </row>
    <row r="20" spans="1:4" ht="15" x14ac:dyDescent="0.35">
      <c r="A20" s="219" t="s">
        <v>114</v>
      </c>
      <c r="B20" s="219"/>
      <c r="C20" s="185"/>
      <c r="D20" s="218"/>
    </row>
    <row r="21" spans="1:4" ht="15" x14ac:dyDescent="0.25">
      <c r="A21" s="272" t="s">
        <v>180</v>
      </c>
      <c r="B21" s="187"/>
      <c r="C21" s="220"/>
      <c r="D21" s="221">
        <v>203100</v>
      </c>
    </row>
    <row r="22" spans="1:4" ht="15" x14ac:dyDescent="0.25">
      <c r="A22" s="272" t="s">
        <v>181</v>
      </c>
      <c r="B22" s="187"/>
      <c r="C22" s="186"/>
      <c r="D22" s="221">
        <v>20000</v>
      </c>
    </row>
    <row r="23" spans="1:4" ht="15" x14ac:dyDescent="0.25">
      <c r="A23" s="272" t="s">
        <v>182</v>
      </c>
      <c r="B23" s="187"/>
      <c r="C23" s="222"/>
      <c r="D23" s="221">
        <v>55000</v>
      </c>
    </row>
    <row r="24" spans="1:4" ht="16.5" x14ac:dyDescent="0.35">
      <c r="A24" s="272" t="s">
        <v>183</v>
      </c>
      <c r="B24" s="187"/>
      <c r="C24" s="222"/>
      <c r="D24" s="223">
        <v>15000</v>
      </c>
    </row>
    <row r="25" spans="1:4" ht="19.5" customHeight="1" x14ac:dyDescent="0.35">
      <c r="A25" s="215" t="s">
        <v>115</v>
      </c>
      <c r="B25" s="215"/>
      <c r="C25" s="186"/>
      <c r="D25" s="226">
        <f>SUM(D21:D24)</f>
        <v>293100</v>
      </c>
    </row>
    <row r="26" spans="1:4" x14ac:dyDescent="0.2">
      <c r="A26" s="215"/>
      <c r="B26" s="215"/>
      <c r="C26" s="224"/>
      <c r="D26" s="225"/>
    </row>
    <row r="27" spans="1:4" ht="15" x14ac:dyDescent="0.35">
      <c r="A27" s="215" t="s">
        <v>117</v>
      </c>
      <c r="B27" s="215"/>
      <c r="C27" s="224"/>
      <c r="D27" s="216">
        <f>ROUND(+D25*0.05,-2)</f>
        <v>14700</v>
      </c>
    </row>
    <row r="28" spans="1:4" x14ac:dyDescent="0.2">
      <c r="A28" s="215"/>
      <c r="B28" s="215"/>
      <c r="C28" s="224"/>
      <c r="D28" s="227"/>
    </row>
    <row r="29" spans="1:4" x14ac:dyDescent="0.2">
      <c r="A29" s="215" t="s">
        <v>118</v>
      </c>
      <c r="B29" s="215"/>
      <c r="C29" s="228"/>
      <c r="D29" s="227">
        <f>+D27+D25</f>
        <v>307800</v>
      </c>
    </row>
    <row r="30" spans="1:4" x14ac:dyDescent="0.2">
      <c r="A30" s="215"/>
      <c r="B30" s="215"/>
      <c r="C30" s="228"/>
      <c r="D30" s="227"/>
    </row>
    <row r="31" spans="1:4" ht="15" hidden="1" x14ac:dyDescent="0.25">
      <c r="A31" s="250" t="s">
        <v>175</v>
      </c>
      <c r="B31" s="196"/>
      <c r="C31" s="229"/>
      <c r="D31" s="249">
        <f>+D29-D17</f>
        <v>0</v>
      </c>
    </row>
    <row r="32" spans="1:4" ht="15" x14ac:dyDescent="0.25">
      <c r="A32" s="248"/>
      <c r="B32" s="196"/>
      <c r="C32" s="229"/>
      <c r="D32" s="230"/>
    </row>
    <row r="33" spans="1:4" x14ac:dyDescent="0.2">
      <c r="A33" s="215" t="s">
        <v>119</v>
      </c>
      <c r="B33" s="215"/>
      <c r="C33" s="229"/>
      <c r="D33" s="231">
        <f>+D9*2000/D6/24</f>
        <v>33.93082867456377</v>
      </c>
    </row>
    <row r="34" spans="1:4" x14ac:dyDescent="0.2">
      <c r="A34" s="63"/>
      <c r="B34" s="63"/>
      <c r="C34" s="229"/>
      <c r="D34" s="231"/>
    </row>
    <row r="35" spans="1:4" x14ac:dyDescent="0.2">
      <c r="A35" s="215" t="s">
        <v>120</v>
      </c>
      <c r="B35" s="215"/>
      <c r="C35" s="229"/>
      <c r="D35" s="232">
        <f>+D12/D9</f>
        <v>61.929908785405665</v>
      </c>
    </row>
    <row r="36" spans="1:4" x14ac:dyDescent="0.2">
      <c r="A36" s="215"/>
      <c r="B36" s="215"/>
      <c r="C36" s="229"/>
      <c r="D36" s="232"/>
    </row>
    <row r="37" spans="1:4" x14ac:dyDescent="0.2">
      <c r="A37" s="292" t="s">
        <v>191</v>
      </c>
      <c r="B37" s="215"/>
      <c r="C37" s="229"/>
      <c r="D37" s="232"/>
    </row>
    <row r="38" spans="1:4" ht="38.25" x14ac:dyDescent="0.2">
      <c r="A38" s="187" t="s">
        <v>194</v>
      </c>
      <c r="B38" s="215"/>
      <c r="C38" s="229"/>
      <c r="D38" s="232"/>
    </row>
    <row r="39" spans="1:4" x14ac:dyDescent="0.2">
      <c r="A39" s="215"/>
      <c r="B39" s="215"/>
      <c r="C39" s="229"/>
      <c r="D39" s="232"/>
    </row>
    <row r="40" spans="1:4" x14ac:dyDescent="0.2">
      <c r="A40" s="215" t="s">
        <v>195</v>
      </c>
      <c r="B40" s="215"/>
      <c r="C40" s="229"/>
      <c r="D40" s="290">
        <f>+'2020-2022 Budget'!D46</f>
        <v>108800</v>
      </c>
    </row>
    <row r="41" spans="1:4" x14ac:dyDescent="0.2">
      <c r="A41" s="215"/>
      <c r="B41" s="215"/>
      <c r="C41" s="229"/>
      <c r="D41" s="232"/>
    </row>
    <row r="42" spans="1:4" ht="15" x14ac:dyDescent="0.35">
      <c r="A42" s="215" t="s">
        <v>192</v>
      </c>
      <c r="B42" s="215"/>
      <c r="C42" s="229"/>
      <c r="D42" s="291">
        <f>+'Res''l &amp; MF Customers'!P12*24</f>
        <v>624248</v>
      </c>
    </row>
    <row r="43" spans="1:4" x14ac:dyDescent="0.2">
      <c r="A43" s="187"/>
      <c r="B43" s="187"/>
      <c r="C43" s="186"/>
      <c r="D43" s="186"/>
    </row>
    <row r="44" spans="1:4" x14ac:dyDescent="0.2">
      <c r="A44" s="4" t="s">
        <v>193</v>
      </c>
      <c r="D44" s="120">
        <f>ROUND(+D40/D42,2)</f>
        <v>0.17</v>
      </c>
    </row>
    <row r="46" spans="1:4" x14ac:dyDescent="0.2">
      <c r="A46" s="63" t="s">
        <v>196</v>
      </c>
      <c r="D46" s="293">
        <v>9.3699999999999992</v>
      </c>
    </row>
    <row r="48" spans="1:4" ht="15" x14ac:dyDescent="0.35">
      <c r="A48" s="63" t="s">
        <v>197</v>
      </c>
      <c r="D48" s="294">
        <f>+D44+D46</f>
        <v>9.5399999999999991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2BC09A9F97DAA439F0A2F34CFA3FCB4" ma:contentTypeVersion="44" ma:contentTypeDescription="" ma:contentTypeScope="" ma:versionID="49f9aa60703f9a25bbe2ad13af25bbc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2021-06-15T07:00:00+00:00</OpenedDate>
    <SignificantOrder xmlns="dc463f71-b30c-4ab2-9473-d307f9d35888">false</SignificantOrder>
    <Date1 xmlns="dc463f71-b30c-4ab2-9473-d307f9d35888">2021-06-15T07:00:00+00:00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</CaseCompanyNames>
    <Nickname xmlns="http://schemas.microsoft.com/sharepoint/v3" xsi:nil="true"/>
    <DocketNumber xmlns="dc463f71-b30c-4ab2-9473-d307f9d35888">210471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A9CEC5A-4238-41A6-B467-42E41E0FBBFB}"/>
</file>

<file path=customXml/itemProps2.xml><?xml version="1.0" encoding="utf-8"?>
<ds:datastoreItem xmlns:ds="http://schemas.openxmlformats.org/officeDocument/2006/customXml" ds:itemID="{BBA80EE1-310B-4E43-8EAD-C47CAB5BC1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CD76EC-DDB2-42CB-AF9B-46F240AA15BA}">
  <ds:schemaRefs>
    <ds:schemaRef ds:uri="dd505c63-389f-4c50-b250-8880f70a2ae8"/>
    <ds:schemaRef ds:uri="http://purl.org/dc/elements/1.1/"/>
    <ds:schemaRef ds:uri="http://schemas.microsoft.com/office/2006/metadata/properties"/>
    <ds:schemaRef ds:uri="cbb60f30-5457-4fe2-8643-83400c4de494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6a7bd91e-004b-490a-8704-e368d63d59a0"/>
  </ds:schemaRefs>
</ds:datastoreItem>
</file>

<file path=customXml/itemProps4.xml><?xml version="1.0" encoding="utf-8"?>
<ds:datastoreItem xmlns:ds="http://schemas.openxmlformats.org/officeDocument/2006/customXml" ds:itemID="{8628E826-D98E-4C5D-9F7E-A9455C6CC8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Rebate Calculation</vt:lpstr>
      <vt:lpstr>24 Month Rev &amp; Ton summary</vt:lpstr>
      <vt:lpstr>Tons &amp; Revenue</vt:lpstr>
      <vt:lpstr>Composition</vt:lpstr>
      <vt:lpstr>Prices</vt:lpstr>
      <vt:lpstr>Res'l &amp; MF Customers</vt:lpstr>
      <vt:lpstr>2020-2022 Budget</vt:lpstr>
      <vt:lpstr>Revised Budget</vt:lpstr>
      <vt:lpstr>Composition!Print_Area</vt:lpstr>
      <vt:lpstr>'Rebate Calculation'!Print_Area</vt:lpstr>
      <vt:lpstr>'Res''l &amp; MF Customers'!Print_Area</vt:lpstr>
      <vt:lpstr>'Tons &amp; Revenue'!Print_Area</vt:lpstr>
      <vt:lpstr>'Tons &amp; Revenue'!Print_Titles</vt:lpstr>
    </vt:vector>
  </TitlesOfParts>
  <Company>Waste Management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180531</dc:title>
  <dc:subject>Commodity Credit</dc:subject>
  <dc:creator>Mike Weinstein</dc:creator>
  <cp:lastModifiedBy>Weinstein, Mike</cp:lastModifiedBy>
  <cp:lastPrinted>2018-06-12T15:36:38Z</cp:lastPrinted>
  <dcterms:created xsi:type="dcterms:W3CDTF">2004-02-20T19:40:08Z</dcterms:created>
  <dcterms:modified xsi:type="dcterms:W3CDTF">2021-06-10T20:53:28Z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0x0101006E56B4D1795A2E4DB2F0B01679ED314A00C2BC09A9F97DAA439F0A2F34CFA3FCB4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Industry">
    <vt:lpwstr>8;#227 - Solid Waste|e5216a35-883e-4320-8450-4a52f3c8956b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