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127"/>
  <workbookPr defaultThemeVersion="124226"/>
  <bookViews>
    <workbookView xWindow="28680" yWindow="65326" windowWidth="29040" windowHeight="15840" activeTab="0"/>
  </bookViews>
  <sheets>
    <sheet name="WA Electric - Sched 91" sheetId="1" r:id="rId1"/>
    <sheet name="Revenue By Month" sheetId="14" r:id="rId2"/>
    <sheet name="DSM Balance" sheetId="5" r:id="rId3"/>
    <sheet name="Rev Conv Factor" sheetId="6" r:id="rId4"/>
    <sheet name="Billing Determinants" sheetId="15" r:id="rId5"/>
    <sheet name="Base Revenue" sheetId="16" r:id="rId6"/>
  </sheets>
  <externalReferences>
    <externalReference r:id="rId9"/>
    <externalReference r:id="rId10"/>
    <externalReference r:id="rId11"/>
  </externalReferences>
  <definedNames>
    <definedName name="Base1_Billing2" localSheetId="5">'[1]Pres &amp; Prop Rev'!$N$8</definedName>
    <definedName name="Base1_Billing2">'[2]Pres &amp; Prop Rev'!$N$8</definedName>
    <definedName name="_xlnm.Print_Area" localSheetId="5">'Base Revenue'!$A$1:$P$35</definedName>
    <definedName name="_xlnm.Print_Area" localSheetId="2">'DSM Balance'!$A$19:$E$37</definedName>
    <definedName name="_xlnm.Print_Area" localSheetId="3">'Rev Conv Factor'!$A$1:$E$29</definedName>
    <definedName name="_xlnm.Print_Area" localSheetId="0">'WA Electric - Sched 91'!$A$4:$I$42</definedName>
    <definedName name="SL_RateIncr">'[1]St Lts'!$AD$1</definedName>
  </definedNames>
  <calcPr calcId="191029"/>
  <extLst/>
</workbook>
</file>

<file path=xl/comments1.xml><?xml version="1.0" encoding="utf-8"?>
<comments xmlns="http://schemas.openxmlformats.org/spreadsheetml/2006/main">
  <authors>
    <author>Joe Miller</author>
  </authors>
  <commentList>
    <comment ref="C11" authorId="0">
      <text>
        <r>
          <rPr>
            <b/>
            <sz val="8"/>
            <rFont val="Tahoma"/>
            <family val="2"/>
          </rPr>
          <t>Joe Miller:</t>
        </r>
        <r>
          <rPr>
            <sz val="8"/>
            <rFont val="Tahoma"/>
            <family val="2"/>
          </rPr>
          <t xml:space="preserve">
This is the gross number.  Must times by revenue conversion factor to get net number available to spend</t>
        </r>
      </text>
    </comment>
    <comment ref="C17" authorId="0">
      <text>
        <r>
          <rPr>
            <b/>
            <sz val="8"/>
            <rFont val="Tahoma"/>
            <family val="2"/>
          </rPr>
          <t>Joe Miller:</t>
        </r>
        <r>
          <rPr>
            <sz val="8"/>
            <rFont val="Tahoma"/>
            <family val="2"/>
          </rPr>
          <t xml:space="preserve">
goal seek this number to make DSM Balance zero at end of period.</t>
        </r>
      </text>
    </comment>
  </commentList>
</comments>
</file>

<file path=xl/comments3.xml><?xml version="1.0" encoding="utf-8"?>
<comments xmlns="http://schemas.openxmlformats.org/spreadsheetml/2006/main">
  <authors>
    <author>Joe Miller</author>
  </authors>
  <commentList>
    <comment ref="C7" authorId="0">
      <text>
        <r>
          <rPr>
            <sz val="9"/>
            <rFont val="Tahoma"/>
            <family val="2"/>
          </rPr>
          <t xml:space="preserve">
Balance as of April 30, 2021</t>
        </r>
      </text>
    </comment>
  </commentList>
</comments>
</file>

<file path=xl/comments5.xml><?xml version="1.0" encoding="utf-8"?>
<comments xmlns="http://schemas.openxmlformats.org/spreadsheetml/2006/main">
  <authors>
    <author>Joe Miller</author>
  </authors>
  <commentList>
    <comment ref="A4" authorId="0">
      <text>
        <r>
          <rPr>
            <sz val="9"/>
            <rFont val="Tahoma"/>
            <family val="2"/>
          </rPr>
          <t xml:space="preserve">
EREV May Mid-month 5 12 21 - V2 Cal Load tab</t>
        </r>
      </text>
    </comment>
  </commentList>
</comments>
</file>

<file path=xl/comments6.xml><?xml version="1.0" encoding="utf-8"?>
<comments xmlns="http://schemas.openxmlformats.org/spreadsheetml/2006/main">
  <authors>
    <author>KZX5DR</author>
  </authors>
  <commentList>
    <comment ref="H13" authorId="0">
      <text>
        <r>
          <rPr>
            <sz val="8"/>
            <rFont val="Tahoma"/>
            <family val="2"/>
          </rPr>
          <t>Change the cell range named Bill1Base2 to '2'.
Copy the values from col. D to this column.
Change the cell range named Bill1Base2 back to '1'.
Add impact of BPA ResEx for Schs 12, 22, 32 below since Sch 59 rates are not included in Rate Design tab.</t>
        </r>
      </text>
    </comment>
  </commentList>
</comments>
</file>

<file path=xl/sharedStrings.xml><?xml version="1.0" encoding="utf-8"?>
<sst xmlns="http://schemas.openxmlformats.org/spreadsheetml/2006/main" count="277" uniqueCount="199">
  <si>
    <t/>
  </si>
  <si>
    <t xml:space="preserve"> </t>
  </si>
  <si>
    <t>RESIDENTIAL</t>
  </si>
  <si>
    <t xml:space="preserve">GENERAL SVC. </t>
  </si>
  <si>
    <t>LG. GEN. SVC.</t>
  </si>
  <si>
    <t>EX LG GEN SVC</t>
  </si>
  <si>
    <t>PUMPING</t>
  </si>
  <si>
    <t>ST &amp; AREA LTG</t>
  </si>
  <si>
    <t>TOTAL</t>
  </si>
  <si>
    <t>SCHEDULE 25</t>
  </si>
  <si>
    <t>SCH. 30, 31, 32</t>
  </si>
  <si>
    <t>Source</t>
  </si>
  <si>
    <t>Present DSM Rates</t>
  </si>
  <si>
    <t>Gross DSM Revenue</t>
  </si>
  <si>
    <t>Revenue Conversion Factor</t>
  </si>
  <si>
    <t xml:space="preserve">Net DSM Revenue </t>
  </si>
  <si>
    <t>End March</t>
  </si>
  <si>
    <t>End April</t>
  </si>
  <si>
    <t>End May</t>
  </si>
  <si>
    <t>End June</t>
  </si>
  <si>
    <t>End July</t>
  </si>
  <si>
    <t>End August</t>
  </si>
  <si>
    <t>End September</t>
  </si>
  <si>
    <t>End November</t>
  </si>
  <si>
    <t>End December</t>
  </si>
  <si>
    <t>End January</t>
  </si>
  <si>
    <t>End February</t>
  </si>
  <si>
    <t>Expected elec tariff rider revenue</t>
  </si>
  <si>
    <t>Net change in balance</t>
  </si>
  <si>
    <t>Elec Tariff rider balance</t>
  </si>
  <si>
    <t>Tariff rider balance annual interest rate</t>
  </si>
  <si>
    <t>applied to E  "shareholder owes customer" balances.</t>
  </si>
  <si>
    <t>AVISTA UTILITIES</t>
  </si>
  <si>
    <t>Washington - Electric System</t>
  </si>
  <si>
    <t xml:space="preserve">Line </t>
  </si>
  <si>
    <t>No.</t>
  </si>
  <si>
    <t>Description</t>
  </si>
  <si>
    <t>Factor</t>
  </si>
  <si>
    <t>Revenues</t>
  </si>
  <si>
    <t>Expense:</t>
  </si>
  <si>
    <t xml:space="preserve">  Uncollectibles</t>
  </si>
  <si>
    <t xml:space="preserve">  Commission Fees</t>
  </si>
  <si>
    <t xml:space="preserve">  Washington Excise Tax</t>
  </si>
  <si>
    <t xml:space="preserve">  Franchise Fees</t>
  </si>
  <si>
    <t xml:space="preserve">    Total Expense</t>
  </si>
  <si>
    <t>Net Operating Income Before FIT</t>
  </si>
  <si>
    <t>REVENUE CONVERSION FACTOR</t>
  </si>
  <si>
    <t>Residential Schedule 001</t>
  </si>
  <si>
    <t>General Svc Schedule 011/012</t>
  </si>
  <si>
    <t>Large Gen Svc Schedule 021/022</t>
  </si>
  <si>
    <t>Extra Large Gen Schedule 25</t>
  </si>
  <si>
    <t>Pumping Schedule 31/32</t>
  </si>
  <si>
    <t>Street and Area Lights</t>
  </si>
  <si>
    <t>DSM Rates</t>
  </si>
  <si>
    <t>Net DSM Revenue</t>
  </si>
  <si>
    <t>Total</t>
  </si>
  <si>
    <t>Present Annual DSM Revenue</t>
  </si>
  <si>
    <t>Present</t>
  </si>
  <si>
    <t xml:space="preserve">2015 Washington electric DSM budget </t>
  </si>
  <si>
    <t>Forecast</t>
  </si>
  <si>
    <t>WA001</t>
  </si>
  <si>
    <t>WA011</t>
  </si>
  <si>
    <t>WA012</t>
  </si>
  <si>
    <t>WA021</t>
  </si>
  <si>
    <t>WA022</t>
  </si>
  <si>
    <t>WA025</t>
  </si>
  <si>
    <t>WA031</t>
  </si>
  <si>
    <t>WA032</t>
  </si>
  <si>
    <t>WA04X</t>
  </si>
  <si>
    <t>WA011/12</t>
  </si>
  <si>
    <t>WA021/22</t>
  </si>
  <si>
    <t>WA031/32</t>
  </si>
  <si>
    <t>Forecasted Loads</t>
  </si>
  <si>
    <t>Present Billed Revenue</t>
  </si>
  <si>
    <t>Gross Annual Revenue Recovered</t>
  </si>
  <si>
    <t>Net Annual Revenue to be Recovered</t>
  </si>
  <si>
    <t>Forecasted Usage</t>
  </si>
  <si>
    <t>Total Forecasted Usage</t>
  </si>
  <si>
    <t>Present DSM Revenue as a Percentage of Billed Revenue</t>
  </si>
  <si>
    <t xml:space="preserve">2016 Washington electric DSM budget </t>
  </si>
  <si>
    <t>Percentage DSM Decrease</t>
  </si>
  <si>
    <t>Percentage of Current Base Volumetric Revenue</t>
  </si>
  <si>
    <t>Revenue Spread Based on Current Allocation</t>
  </si>
  <si>
    <t xml:space="preserve">DSM Revenue Increase &lt;Decrease&gt; </t>
  </si>
  <si>
    <t>Percentage Increase &lt;Decrease&gt;</t>
  </si>
  <si>
    <t>Proposed Billed Revenue</t>
  </si>
  <si>
    <t>Overall Billed Percentage Increase &lt;Decrease&gt;</t>
  </si>
  <si>
    <t>Proposed</t>
  </si>
  <si>
    <t>Change</t>
  </si>
  <si>
    <t>Base Revenue</t>
  </si>
  <si>
    <t xml:space="preserve">Revenue Requirement </t>
  </si>
  <si>
    <t>41-48</t>
  </si>
  <si>
    <t>ERM Reduction Calc</t>
  </si>
  <si>
    <t>Schedule 32 only</t>
  </si>
  <si>
    <t>Schedule 22 only</t>
  </si>
  <si>
    <t>Schedule 12 only</t>
  </si>
  <si>
    <t>Impact</t>
  </si>
  <si>
    <t>Sch 59 Rate</t>
  </si>
  <si>
    <t>Determinants</t>
  </si>
  <si>
    <t>Billed Revenue</t>
  </si>
  <si>
    <t>Billing</t>
  </si>
  <si>
    <t>reduce billed revenue for BPA ResEx (already accounted for in Schs 1 &amp; 48)</t>
  </si>
  <si>
    <t>Street &amp; Area Lights</t>
  </si>
  <si>
    <t>30/31/32</t>
  </si>
  <si>
    <t>Pumping Service</t>
  </si>
  <si>
    <t>Extra Large General Service</t>
  </si>
  <si>
    <t>21/22</t>
  </si>
  <si>
    <t>Large General Service</t>
  </si>
  <si>
    <t>11/12</t>
  </si>
  <si>
    <t>General Service</t>
  </si>
  <si>
    <t>Residential</t>
  </si>
  <si>
    <t>(k)</t>
  </si>
  <si>
    <t>(j)</t>
  </si>
  <si>
    <t>(h)</t>
  </si>
  <si>
    <t>(g)</t>
  </si>
  <si>
    <t>(f)</t>
  </si>
  <si>
    <t>(e)</t>
  </si>
  <si>
    <t>(d)</t>
  </si>
  <si>
    <t>(c)</t>
  </si>
  <si>
    <t>(b)</t>
  </si>
  <si>
    <t>(a)</t>
  </si>
  <si>
    <t>Rates (2)</t>
  </si>
  <si>
    <t>Revenue</t>
  </si>
  <si>
    <t>Increase</t>
  </si>
  <si>
    <t>Rates(1)</t>
  </si>
  <si>
    <t>Number</t>
  </si>
  <si>
    <t>Service</t>
  </si>
  <si>
    <t>on Billed</t>
  </si>
  <si>
    <t>ERM</t>
  </si>
  <si>
    <t>General</t>
  </si>
  <si>
    <t>at Present</t>
  </si>
  <si>
    <t>Percent</t>
  </si>
  <si>
    <t>Under Proposed</t>
  </si>
  <si>
    <t>Under Present</t>
  </si>
  <si>
    <t>Schedule</t>
  </si>
  <si>
    <t>Type of</t>
  </si>
  <si>
    <t>Tariff</t>
  </si>
  <si>
    <t>Base</t>
  </si>
  <si>
    <t>Total Billed</t>
  </si>
  <si>
    <t>Base Tariff</t>
  </si>
  <si>
    <t>(000s of Dollars)</t>
  </si>
  <si>
    <t>PROPOSED INCREASE BY SERVICE SCHEDULE</t>
  </si>
  <si>
    <t>WASHINGTON ELECTRIC</t>
  </si>
  <si>
    <t>Accounting Adjustment</t>
  </si>
  <si>
    <t>Manually deducted in Column H</t>
  </si>
  <si>
    <t>CY 2016 expected expenditures</t>
  </si>
  <si>
    <t>CY 2017 expected expenditures + 2% increase</t>
  </si>
  <si>
    <t xml:space="preserve">End October </t>
  </si>
  <si>
    <t>Expected DSM expenditures</t>
  </si>
  <si>
    <t>Proposed DSM Rates</t>
  </si>
  <si>
    <t>Total Annual Forecasted kWh's</t>
  </si>
  <si>
    <t>Annual DSM Expense</t>
  </si>
  <si>
    <t>Annual DSM Revenue</t>
  </si>
  <si>
    <t>End of July Balance</t>
  </si>
  <si>
    <t xml:space="preserve">  Federal Income Tax @ 21%</t>
  </si>
  <si>
    <t>SCHEDULE 1,2</t>
  </si>
  <si>
    <t>SCH. 41-48</t>
  </si>
  <si>
    <t>Basic Charge</t>
  </si>
  <si>
    <t>First 800 kWh's</t>
  </si>
  <si>
    <t>801 - 1500 kWh's</t>
  </si>
  <si>
    <t>Over 1500 kWh's</t>
  </si>
  <si>
    <t>Overfunded</t>
  </si>
  <si>
    <t>Aug 2021 - July 2023 Expenditure Budget</t>
  </si>
  <si>
    <t>Aug 2021 - July 2023 Forecasted Revenue</t>
  </si>
  <si>
    <t>Overfunded "Rebate"</t>
  </si>
  <si>
    <t>Total Projected DSM Balance July 2023</t>
  </si>
  <si>
    <t>August 2021 - July 2022</t>
  </si>
  <si>
    <t>12 MONTHS ENDED DECEMBER 31, 2018</t>
  </si>
  <si>
    <t>Adjusted Billed</t>
  </si>
  <si>
    <t xml:space="preserve">Base </t>
  </si>
  <si>
    <t>Sch 94</t>
  </si>
  <si>
    <t>Sch 93</t>
  </si>
  <si>
    <t>Sch 92</t>
  </si>
  <si>
    <t>Settlement</t>
  </si>
  <si>
    <t>Misc</t>
  </si>
  <si>
    <t>Rate</t>
  </si>
  <si>
    <t>Remand</t>
  </si>
  <si>
    <t>LIRAP</t>
  </si>
  <si>
    <t>Rate Adjustment</t>
  </si>
  <si>
    <t xml:space="preserve">Rate </t>
  </si>
  <si>
    <t xml:space="preserve">Net </t>
  </si>
  <si>
    <t>Adjustment</t>
  </si>
  <si>
    <t>(i)</t>
  </si>
  <si>
    <t>(l)</t>
  </si>
  <si>
    <t>(m)</t>
  </si>
  <si>
    <t>1/2</t>
  </si>
  <si>
    <t>(1) Excludes all present rate adjustments:  Schedule 59 (BPA Residential Exchange), Schedule 75 (Decoupling),</t>
  </si>
  <si>
    <t xml:space="preserve">      Schedule 91 (DSM), Schedule 92 (LIRAP), Schedule 93 (ERM), and Schedule 98 (REC Revenue).</t>
  </si>
  <si>
    <t xml:space="preserve">(2) Includes all present rate adjustments:  Schedule 59 (BPA Residential Exchange), Schedule 75 (Decoupling),  </t>
  </si>
  <si>
    <t xml:space="preserve">     Schedule 91 (DSM), Schedule 92 (LIRAP), Schedule 93 (ERM), and Schedule 98 (REC Revenue).</t>
  </si>
  <si>
    <t>Source:  UE-190334 Compliance Filing, Attachment 1, Page 1</t>
  </si>
  <si>
    <t>UE-190334</t>
  </si>
  <si>
    <t>TWELVE MONTHS ENDED DECEMBER 31, 2018</t>
  </si>
  <si>
    <t>Source:  UE-190334</t>
  </si>
  <si>
    <t>SCH. 11,12,13</t>
  </si>
  <si>
    <t>SCH. 21,22,23</t>
  </si>
  <si>
    <t>$ Change</t>
  </si>
  <si>
    <t>% Change</t>
  </si>
  <si>
    <t>Average Monthly Bill @ 914 kWh's - Increase &lt;Decrease&gt;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</si>
</sst>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5" formatCode="&quot;$&quot;#,##0_);\(&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0000_);_(&quot;$&quot;* \(#,##0.00000\);_(&quot;$&quot;* &quot;-&quot;??_);_(@_)"/>
    <numFmt numFmtId="166" formatCode="_(* #,##0_);_(* \(#,##0\);_(* &quot;-&quot;??_);_(@_)"/>
    <numFmt numFmtId="167" formatCode="0.000000"/>
    <numFmt numFmtId="168" formatCode="#,###_);\(#,###\)"/>
    <numFmt numFmtId="169" formatCode="0.00000"/>
    <numFmt numFmtId="170" formatCode="#,###.0_);\(#,###.0\)"/>
    <numFmt numFmtId="171" formatCode="mmm\ yy"/>
    <numFmt numFmtId="172" formatCode="0.0%"/>
    <numFmt numFmtId="173" formatCode="_(&quot;$&quot;* #,##0.000000_);_(&quot;$&quot;* \(#,##0.000000\);_(&quot;$&quot;* &quot;-&quot;??_);_(@_)"/>
    <numFmt numFmtId="174" formatCode="0.0%;\ \(0.0%\)"/>
    <numFmt numFmtId="175" formatCode="&quot;$&quot;#,##0.000_);\(&quot;$&quot;#,##0.000\)"/>
    <numFmt numFmtId="176" formatCode="&quot;$&quot;#,##0.00000_);\(&quot;$&quot;#,##0.00000\)"/>
    <numFmt numFmtId="177" formatCode="#,##0_);\(#,##0\);"/>
    <numFmt numFmtId="178" formatCode="&quot;$&quot;#,##0"/>
    <numFmt numFmtId="179" formatCode="0.00%;\ \(0.00%\)"/>
  </numFmts>
  <fonts count="41">
    <font>
      <sz val="11"/>
      <color theme="1"/>
      <name val="Calibri"/>
      <family val="2"/>
      <scheme val="minor"/>
    </font>
    <font>
      <sz val="10"/>
      <name val="Arial"/>
      <family val="2"/>
    </font>
    <font>
      <sz val="8"/>
      <name val="Geneva"/>
      <family val="2"/>
    </font>
    <font>
      <b/>
      <sz val="8"/>
      <color indexed="10"/>
      <name val="Geneva"/>
      <family val="2"/>
    </font>
    <font>
      <sz val="11"/>
      <name val="Calibri"/>
      <family val="2"/>
      <scheme val="minor"/>
    </font>
    <font>
      <b/>
      <sz val="11"/>
      <color theme="1"/>
      <name val="Calibri"/>
      <family val="2"/>
      <scheme val="minor"/>
    </font>
    <font>
      <sz val="8"/>
      <name val="Tahoma"/>
      <family val="2"/>
    </font>
    <font>
      <b/>
      <sz val="8"/>
      <name val="Tahoma"/>
      <family val="2"/>
    </font>
    <font>
      <sz val="9"/>
      <color theme="1"/>
      <name val="Calibri"/>
      <family val="2"/>
      <scheme val="minor"/>
    </font>
    <font>
      <sz val="9"/>
      <name val="Calibri"/>
      <family val="2"/>
      <scheme val="minor"/>
    </font>
    <font>
      <b/>
      <sz val="10"/>
      <name val="Times New Roman"/>
      <family val="1"/>
    </font>
    <font>
      <b/>
      <i/>
      <sz val="10"/>
      <name val="Times New Roman"/>
      <family val="1"/>
    </font>
    <font>
      <sz val="10"/>
      <name val="Times New Roman"/>
      <family val="1"/>
    </font>
    <font>
      <sz val="10"/>
      <color indexed="12"/>
      <name val="Times New Roman"/>
      <family val="1"/>
    </font>
    <font>
      <i/>
      <sz val="10"/>
      <name val="Times New Roman"/>
      <family val="1"/>
    </font>
    <font>
      <b/>
      <sz val="10"/>
      <color indexed="12"/>
      <name val="Times New Roman"/>
      <family val="1"/>
    </font>
    <font>
      <sz val="10"/>
      <color indexed="48"/>
      <name val="Times New Roman"/>
      <family val="1"/>
    </font>
    <font>
      <b/>
      <sz val="10"/>
      <name val="Arial"/>
      <family val="2"/>
    </font>
    <font>
      <sz val="14"/>
      <name val="Times New Roman"/>
      <family val="1"/>
    </font>
    <font>
      <sz val="10"/>
      <name val="Geneva"/>
      <family val="2"/>
    </font>
    <font>
      <sz val="12"/>
      <name val="Arial"/>
      <family val="2"/>
    </font>
    <font>
      <sz val="11"/>
      <color indexed="8"/>
      <name val="Calibri"/>
      <family val="2"/>
    </font>
    <font>
      <sz val="12"/>
      <color theme="1"/>
      <name val="Times New Roman"/>
      <family val="2"/>
    </font>
    <font>
      <sz val="12"/>
      <name val="Times New Roman"/>
      <family val="1"/>
    </font>
    <font>
      <sz val="8"/>
      <color indexed="56"/>
      <name val="Arial"/>
      <family val="2"/>
    </font>
    <font>
      <sz val="10"/>
      <name val="MS Sans Serif"/>
      <family val="2"/>
    </font>
    <font>
      <b/>
      <sz val="10"/>
      <name val="MS Sans Serif"/>
      <family val="2"/>
    </font>
    <font>
      <u val="single"/>
      <sz val="7.5"/>
      <color theme="0"/>
      <name val="Arial"/>
      <family val="2"/>
    </font>
    <font>
      <sz val="12"/>
      <color indexed="10"/>
      <name val="Times New Roman"/>
      <family val="1"/>
    </font>
    <font>
      <sz val="10"/>
      <color theme="1"/>
      <name val="Arial"/>
      <family val="2"/>
    </font>
    <font>
      <sz val="10"/>
      <color rgb="FF0000FF"/>
      <name val="Arial"/>
      <family val="2"/>
    </font>
    <font>
      <sz val="10"/>
      <color theme="1"/>
      <name val="Calibri"/>
      <family val="2"/>
      <scheme val="minor"/>
    </font>
    <font>
      <u val="single"/>
      <sz val="10"/>
      <color indexed="12"/>
      <name val="Arial"/>
      <family val="2"/>
    </font>
    <font>
      <sz val="11"/>
      <color rgb="FF0000FF"/>
      <name val="Calibri"/>
      <family val="2"/>
      <scheme val="minor"/>
    </font>
    <font>
      <u val="single"/>
      <sz val="10"/>
      <name val="Arial"/>
      <family val="2"/>
    </font>
    <font>
      <sz val="10"/>
      <color indexed="60"/>
      <name val="Arial"/>
      <family val="2"/>
    </font>
    <font>
      <sz val="9"/>
      <name val="Tahoma"/>
      <family val="2"/>
    </font>
    <font>
      <u val="singleAccounting"/>
      <sz val="11"/>
      <color theme="1"/>
      <name val="Calibri"/>
      <family val="2"/>
      <scheme val="minor"/>
    </font>
    <font>
      <u val="single"/>
      <sz val="11"/>
      <color theme="1"/>
      <name val="Calibri"/>
      <family val="2"/>
      <scheme val="minor"/>
    </font>
    <font>
      <b/>
      <sz val="11"/>
      <color rgb="FF0000FF"/>
      <name val="Calibri"/>
      <family val="2"/>
      <scheme val="minor"/>
    </font>
    <font>
      <b/>
      <sz val="8"/>
      <name val="Calibri"/>
      <family val="2"/>
    </font>
  </fonts>
  <fills count="22">
    <fill>
      <patternFill/>
    </fill>
    <fill>
      <patternFill patternType="gray125"/>
    </fill>
    <fill>
      <patternFill patternType="solid">
        <fgColor indexed="41"/>
        <bgColor indexed="64"/>
      </patternFill>
    </fill>
    <fill>
      <patternFill patternType="mediumGray">
        <fgColor indexed="22"/>
      </patternFill>
    </fill>
    <fill>
      <patternFill patternType="solid">
        <fgColor indexed="43"/>
        <bgColor indexed="64"/>
      </patternFill>
    </fill>
    <fill>
      <patternFill patternType="solid">
        <fgColor indexed="5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9"/>
        <bgColor indexed="64"/>
      </patternFill>
    </fill>
    <fill>
      <patternFill patternType="solid">
        <fgColor rgb="FFFFFFCC"/>
        <bgColor indexed="64"/>
      </patternFill>
    </fill>
    <fill>
      <patternFill patternType="solid">
        <fgColor rgb="FF92D050"/>
        <bgColor indexed="64"/>
      </patternFill>
    </fill>
    <fill>
      <patternFill patternType="solid">
        <fgColor rgb="FF00B050"/>
        <bgColor indexed="64"/>
      </patternFill>
    </fill>
  </fills>
  <borders count="11">
    <border>
      <left/>
      <right/>
      <top/>
      <bottom/>
      <diagonal/>
    </border>
    <border>
      <left/>
      <right/>
      <top/>
      <bottom style="medium"/>
    </border>
    <border>
      <left style="hair"/>
      <right style="hair"/>
      <top style="hair"/>
      <bottom style="hair"/>
    </border>
    <border>
      <left style="thin">
        <color rgb="FFB2B2B2"/>
      </left>
      <right style="thin">
        <color rgb="FFB2B2B2"/>
      </right>
      <top style="thin">
        <color rgb="FFB2B2B2"/>
      </top>
      <bottom style="thin">
        <color rgb="FFB2B2B2"/>
      </bottom>
    </border>
    <border>
      <left/>
      <right/>
      <top/>
      <bottom style="thin"/>
    </border>
    <border>
      <left/>
      <right/>
      <top style="thin"/>
      <bottom/>
    </border>
    <border>
      <left/>
      <right/>
      <top/>
      <bottom style="thick"/>
    </border>
    <border>
      <left/>
      <right style="thick"/>
      <top style="thick"/>
      <bottom style="thick"/>
    </border>
    <border>
      <left/>
      <right style="thick"/>
      <top/>
      <bottom/>
    </border>
    <border>
      <left/>
      <right/>
      <top style="thin"/>
      <bottom style="thin"/>
    </border>
    <border>
      <left/>
      <right/>
      <top/>
      <bottom style="double"/>
    </border>
  </borders>
  <cellStyleXfs count="7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8" fillId="2" borderId="0">
      <alignment/>
      <protection/>
    </xf>
    <xf numFmtId="43" fontId="1" fillId="0" borderId="0" applyFont="0" applyFill="0" applyBorder="0" applyAlignment="0" applyProtection="0"/>
    <xf numFmtId="0" fontId="1" fillId="0" borderId="0">
      <alignment readingOrder="1"/>
      <protection/>
    </xf>
    <xf numFmtId="0" fontId="19" fillId="0" borderId="0">
      <alignment/>
      <protection/>
    </xf>
    <xf numFmtId="40" fontId="19" fillId="0" borderId="0" applyFont="0" applyFill="0" applyBorder="0" applyAlignment="0" applyProtection="0"/>
    <xf numFmtId="8" fontId="19" fillId="0" borderId="0" applyFont="0" applyFill="0" applyBorder="0" applyAlignment="0" applyProtection="0"/>
    <xf numFmtId="9" fontId="19" fillId="0" borderId="0" applyFont="0" applyFill="0" applyBorder="0" applyAlignment="0" applyProtection="0"/>
    <xf numFmtId="41" fontId="1" fillId="0" borderId="0" applyFont="0" applyFill="0" applyBorder="0" applyAlignment="0" applyProtection="0"/>
    <xf numFmtId="0" fontId="12" fillId="0" borderId="0">
      <alignment/>
      <protection/>
    </xf>
    <xf numFmtId="0" fontId="27" fillId="0" borderId="0" applyNumberFormat="0" applyFill="0" applyBorder="0">
      <alignment/>
      <protection locked="0"/>
    </xf>
    <xf numFmtId="44" fontId="1" fillId="0" borderId="0" applyFont="0" applyFill="0" applyBorder="0" applyAlignment="0" applyProtection="0"/>
    <xf numFmtId="9" fontId="12" fillId="0" borderId="0" applyFont="0" applyFill="0" applyBorder="0" applyAlignment="0" applyProtection="0"/>
    <xf numFmtId="43"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0" fontId="20" fillId="0" borderId="0">
      <alignment/>
      <protection/>
    </xf>
    <xf numFmtId="0" fontId="21" fillId="0" borderId="0">
      <alignment/>
      <protection/>
    </xf>
    <xf numFmtId="0" fontId="12" fillId="0" borderId="0">
      <alignment/>
      <protection/>
    </xf>
    <xf numFmtId="0" fontId="20" fillId="0" borderId="0">
      <alignment/>
      <protection/>
    </xf>
    <xf numFmtId="0" fontId="12" fillId="0" borderId="0">
      <alignment/>
      <protection/>
    </xf>
    <xf numFmtId="0" fontId="1" fillId="0" borderId="0">
      <alignment/>
      <protection/>
    </xf>
    <xf numFmtId="0" fontId="1" fillId="0" borderId="0">
      <alignment/>
      <protection/>
    </xf>
    <xf numFmtId="0" fontId="22" fillId="0" borderId="0">
      <alignment/>
      <protection/>
    </xf>
    <xf numFmtId="0" fontId="1" fillId="0" borderId="0">
      <alignment/>
      <protection/>
    </xf>
    <xf numFmtId="9" fontId="12"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0" fontId="24" fillId="0" borderId="0" applyNumberFormat="0" applyFont="0" applyFill="0" applyBorder="0">
      <alignment horizontal="left" indent="4"/>
      <protection locked="0"/>
    </xf>
    <xf numFmtId="0" fontId="25" fillId="0" borderId="0" applyNumberFormat="0" applyFont="0" applyFill="0" applyBorder="0" applyProtection="0">
      <alignment/>
    </xf>
    <xf numFmtId="15" fontId="25" fillId="0" borderId="0" applyFont="0" applyFill="0" applyBorder="0" applyAlignment="0" applyProtection="0"/>
    <xf numFmtId="4" fontId="25" fillId="0" borderId="0" applyFont="0" applyFill="0" applyBorder="0" applyAlignment="0" applyProtection="0"/>
    <xf numFmtId="0" fontId="26" fillId="0" borderId="1">
      <alignment horizontal="center"/>
      <protection/>
    </xf>
    <xf numFmtId="3" fontId="25" fillId="0" borderId="0" applyFont="0" applyFill="0" applyBorder="0" applyAlignment="0" applyProtection="0"/>
    <xf numFmtId="0" fontId="25" fillId="3" borderId="0" applyNumberFormat="0" applyFont="0" applyBorder="0" applyAlignment="0" applyProtection="0"/>
    <xf numFmtId="166" fontId="20" fillId="4" borderId="0" applyFont="0" applyFill="0" applyBorder="0" applyProtection="0">
      <alignment/>
    </xf>
    <xf numFmtId="0" fontId="1" fillId="5" borderId="0" applyNumberFormat="0" applyFont="0" applyFill="0" applyBorder="0" applyAlignment="0" applyProtection="0"/>
    <xf numFmtId="0" fontId="23" fillId="0" borderId="0">
      <alignment/>
      <protection/>
    </xf>
    <xf numFmtId="43"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lignment/>
      <protection locked="0"/>
    </xf>
    <xf numFmtId="0" fontId="27" fillId="0" borderId="0" applyNumberFormat="0" applyFill="0" applyBorder="0">
      <alignment/>
      <protection locked="0"/>
    </xf>
    <xf numFmtId="0" fontId="1" fillId="0" borderId="0">
      <alignment/>
      <protection/>
    </xf>
    <xf numFmtId="0" fontId="1" fillId="0" borderId="0">
      <alignment/>
      <protection/>
    </xf>
    <xf numFmtId="0" fontId="27" fillId="0" borderId="0" applyNumberFormat="0" applyFill="0" applyBorder="0">
      <alignment/>
      <protection locked="0"/>
    </xf>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readingOrder="1"/>
      <protection/>
    </xf>
    <xf numFmtId="0" fontId="0" fillId="0" borderId="0">
      <alignment/>
      <protection/>
    </xf>
    <xf numFmtId="3" fontId="29" fillId="0" borderId="0">
      <alignment/>
      <protection/>
    </xf>
    <xf numFmtId="3" fontId="29" fillId="0" borderId="0">
      <alignment/>
      <protection/>
    </xf>
    <xf numFmtId="0" fontId="1" fillId="0" borderId="0">
      <alignment/>
      <protection/>
    </xf>
    <xf numFmtId="0" fontId="1" fillId="0" borderId="0">
      <alignment readingOrder="1"/>
      <protection/>
    </xf>
    <xf numFmtId="0" fontId="0" fillId="0" borderId="0">
      <alignment/>
      <protection/>
    </xf>
    <xf numFmtId="3" fontId="29" fillId="0" borderId="0">
      <alignment/>
      <protection/>
    </xf>
    <xf numFmtId="3" fontId="29" fillId="0" borderId="0">
      <alignment/>
      <protection/>
    </xf>
    <xf numFmtId="0" fontId="1" fillId="0" borderId="0">
      <alignment/>
      <protection/>
    </xf>
    <xf numFmtId="0" fontId="0" fillId="0" borderId="0">
      <alignment/>
      <protection/>
    </xf>
    <xf numFmtId="3" fontId="29" fillId="0" borderId="0">
      <alignment/>
      <protection/>
    </xf>
    <xf numFmtId="3" fontId="29" fillId="0" borderId="0">
      <alignment/>
      <protection/>
    </xf>
    <xf numFmtId="0" fontId="1" fillId="0" borderId="0">
      <alignment/>
      <protection/>
    </xf>
    <xf numFmtId="3" fontId="29" fillId="0" borderId="0">
      <alignment/>
      <protection/>
    </xf>
    <xf numFmtId="0" fontId="1" fillId="0" borderId="0">
      <alignment/>
      <protection/>
    </xf>
    <xf numFmtId="0" fontId="1" fillId="0" borderId="0">
      <alignment readingOrder="1"/>
      <protection/>
    </xf>
    <xf numFmtId="43" fontId="1" fillId="0" borderId="0" applyFont="0" applyFill="0" applyBorder="0" applyAlignment="0" applyProtection="0"/>
    <xf numFmtId="0" fontId="32" fillId="0" borderId="0" applyNumberFormat="0" applyFill="0" applyBorder="0">
      <alignment/>
      <protection locked="0"/>
    </xf>
    <xf numFmtId="43" fontId="1" fillId="0" borderId="0" applyFont="0" applyFill="0" applyBorder="0" applyAlignment="0" applyProtection="0"/>
    <xf numFmtId="43" fontId="1" fillId="0" borderId="0" applyFont="0" applyFill="0" applyBorder="0" applyAlignment="0" applyProtection="0"/>
    <xf numFmtId="0" fontId="1" fillId="0" borderId="0">
      <alignment readingOrder="1"/>
      <protection/>
    </xf>
    <xf numFmtId="0" fontId="1" fillId="0" borderId="0">
      <alignment readingOrder="1"/>
      <protection/>
    </xf>
    <xf numFmtId="0" fontId="1" fillId="0" borderId="0">
      <alignment readingOrder="1"/>
      <protection/>
    </xf>
    <xf numFmtId="0" fontId="1" fillId="0" borderId="0">
      <alignment/>
      <protection/>
    </xf>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1" fillId="18"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5" fontId="1" fillId="18" borderId="0" applyFont="0" applyFill="0" applyBorder="0" applyAlignment="0" applyProtection="0"/>
    <xf numFmtId="0" fontId="1" fillId="18" borderId="0" applyFont="0" applyFill="0" applyBorder="0" applyAlignment="0" applyProtection="0"/>
    <xf numFmtId="2" fontId="1" fillId="18" borderId="0" applyFont="0" applyFill="0" applyBorder="0" applyAlignment="0" applyProtection="0"/>
    <xf numFmtId="41" fontId="35" fillId="4" borderId="2">
      <alignment horizontal="left"/>
      <protection locked="0"/>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3"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9" borderId="3" applyNumberFormat="0" applyFont="0" applyAlignment="0" applyProtection="0"/>
    <xf numFmtId="0" fontId="0" fillId="19" borderId="3" applyNumberFormat="0" applyFont="0" applyAlignment="0" applyProtection="0"/>
    <xf numFmtId="0" fontId="0" fillId="19" borderId="3" applyNumberFormat="0" applyFont="0" applyAlignment="0" applyProtection="0"/>
    <xf numFmtId="0" fontId="0" fillId="19" borderId="3" applyNumberFormat="0" applyFont="0" applyAlignment="0" applyProtection="0"/>
    <xf numFmtId="0" fontId="0" fillId="19" borderId="3" applyNumberFormat="0" applyFont="0" applyAlignment="0" applyProtection="0"/>
    <xf numFmtId="0" fontId="0" fillId="19" borderId="3" applyNumberFormat="0" applyFont="0" applyAlignment="0" applyProtection="0"/>
    <xf numFmtId="0" fontId="0" fillId="19" borderId="3" applyNumberFormat="0" applyFont="0" applyAlignment="0" applyProtection="0"/>
    <xf numFmtId="0" fontId="0" fillId="19" borderId="3" applyNumberFormat="0" applyFont="0" applyAlignment="0" applyProtection="0"/>
    <xf numFmtId="0" fontId="0" fillId="19" borderId="3" applyNumberFormat="0" applyFont="0" applyAlignment="0" applyProtection="0"/>
    <xf numFmtId="0" fontId="0" fillId="19" borderId="3" applyNumberFormat="0" applyFont="0" applyAlignment="0" applyProtection="0"/>
    <xf numFmtId="0" fontId="0" fillId="19" borderId="3" applyNumberFormat="0" applyFont="0" applyAlignment="0" applyProtection="0"/>
    <xf numFmtId="0" fontId="0" fillId="19" borderId="3" applyNumberFormat="0" applyFont="0" applyAlignment="0" applyProtection="0"/>
    <xf numFmtId="0" fontId="0" fillId="19" borderId="3" applyNumberFormat="0" applyFont="0" applyAlignment="0" applyProtection="0"/>
    <xf numFmtId="0" fontId="0" fillId="19" borderId="3" applyNumberFormat="0" applyFont="0" applyAlignment="0" applyProtection="0"/>
    <xf numFmtId="0" fontId="0" fillId="19" borderId="3"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74">
    <xf numFmtId="0" fontId="0" fillId="0" borderId="0" xfId="0"/>
    <xf numFmtId="0" fontId="1" fillId="0" borderId="0" xfId="20">
      <alignment/>
      <protection/>
    </xf>
    <xf numFmtId="0" fontId="2" fillId="0" borderId="0" xfId="20" applyFont="1" applyAlignment="1">
      <alignment horizontal="center"/>
      <protection/>
    </xf>
    <xf numFmtId="0" fontId="3" fillId="0" borderId="0" xfId="20" applyFont="1">
      <alignment/>
      <protection/>
    </xf>
    <xf numFmtId="10" fontId="0" fillId="0" borderId="0" xfId="15" applyNumberFormat="1" applyFont="1"/>
    <xf numFmtId="0" fontId="0" fillId="0" borderId="0" xfId="0" applyFont="1"/>
    <xf numFmtId="164" fontId="0" fillId="0" borderId="0" xfId="0" applyNumberFormat="1" applyFont="1"/>
    <xf numFmtId="0" fontId="4" fillId="0" borderId="0" xfId="20" applyFont="1" applyAlignment="1">
      <alignment horizontal="left"/>
      <protection/>
    </xf>
    <xf numFmtId="0" fontId="4" fillId="0" borderId="0" xfId="20" applyFont="1" applyAlignment="1">
      <alignment horizontal="center"/>
      <protection/>
    </xf>
    <xf numFmtId="0" fontId="4" fillId="0" borderId="4" xfId="20" applyFont="1" applyBorder="1" applyAlignment="1">
      <alignment horizontal="center"/>
      <protection/>
    </xf>
    <xf numFmtId="0" fontId="4" fillId="0" borderId="0" xfId="20" applyFont="1">
      <alignment/>
      <protection/>
    </xf>
    <xf numFmtId="37" fontId="4" fillId="0" borderId="5" xfId="20" applyNumberFormat="1" applyFont="1" applyBorder="1">
      <alignment/>
      <protection/>
    </xf>
    <xf numFmtId="37" fontId="4" fillId="0" borderId="0" xfId="20" applyNumberFormat="1" applyFont="1">
      <alignment/>
      <protection/>
    </xf>
    <xf numFmtId="0" fontId="4" fillId="0" borderId="0" xfId="20" applyFont="1" applyFill="1">
      <alignment/>
      <protection/>
    </xf>
    <xf numFmtId="164" fontId="0" fillId="0" borderId="0" xfId="16" applyNumberFormat="1" applyFont="1"/>
    <xf numFmtId="164" fontId="0" fillId="0" borderId="0" xfId="0" applyNumberFormat="1"/>
    <xf numFmtId="0" fontId="8" fillId="0" borderId="0" xfId="0" applyFont="1"/>
    <xf numFmtId="0" fontId="8" fillId="0" borderId="4" xfId="0" applyFont="1" applyBorder="1"/>
    <xf numFmtId="164" fontId="8" fillId="0" borderId="0" xfId="16" applyNumberFormat="1" applyFont="1"/>
    <xf numFmtId="0" fontId="8" fillId="0" borderId="0" xfId="0" applyFont="1" applyAlignment="1">
      <alignment horizontal="right"/>
    </xf>
    <xf numFmtId="0" fontId="9" fillId="0" borderId="0" xfId="0" applyFont="1"/>
    <xf numFmtId="0" fontId="12" fillId="0" borderId="0" xfId="0" applyFont="1"/>
    <xf numFmtId="166" fontId="12" fillId="0" borderId="0" xfId="18" applyNumberFormat="1" applyFont="1"/>
    <xf numFmtId="0" fontId="13" fillId="0" borderId="0" xfId="0" applyFont="1"/>
    <xf numFmtId="0" fontId="14" fillId="0" borderId="0" xfId="0" applyFont="1"/>
    <xf numFmtId="0" fontId="10" fillId="0" borderId="0" xfId="0" applyFont="1" applyAlignment="1">
      <alignment horizontal="center"/>
    </xf>
    <xf numFmtId="166" fontId="10" fillId="0" borderId="0" xfId="18" applyNumberFormat="1" applyFont="1" applyAlignment="1">
      <alignment horizontal="center"/>
    </xf>
    <xf numFmtId="0" fontId="15" fillId="0" borderId="0" xfId="0" applyFont="1" applyAlignment="1">
      <alignment horizontal="center"/>
    </xf>
    <xf numFmtId="168" fontId="12" fillId="0" borderId="0" xfId="0" applyNumberFormat="1" applyFont="1"/>
    <xf numFmtId="167" fontId="14" fillId="0" borderId="0" xfId="0" applyNumberFormat="1" applyFont="1" applyBorder="1"/>
    <xf numFmtId="0" fontId="12" fillId="0" borderId="0" xfId="0" applyFont="1" applyBorder="1"/>
    <xf numFmtId="0" fontId="13" fillId="0" borderId="0" xfId="0" applyFont="1" applyBorder="1"/>
    <xf numFmtId="0" fontId="14" fillId="0" borderId="0" xfId="0" applyFont="1" applyBorder="1"/>
    <xf numFmtId="167" fontId="12" fillId="0" borderId="0" xfId="0" applyNumberFormat="1" applyFont="1" applyBorder="1"/>
    <xf numFmtId="168" fontId="12" fillId="0" borderId="0" xfId="0" applyNumberFormat="1" applyFont="1" applyBorder="1"/>
    <xf numFmtId="170" fontId="12" fillId="0" borderId="0" xfId="0" applyNumberFormat="1" applyFont="1"/>
    <xf numFmtId="0" fontId="0" fillId="0" borderId="0" xfId="0" applyFont="1" applyFill="1"/>
    <xf numFmtId="164" fontId="8" fillId="0" borderId="0" xfId="16" applyNumberFormat="1" applyFont="1" applyBorder="1"/>
    <xf numFmtId="0" fontId="0" fillId="0" borderId="0" xfId="0" applyFont="1" applyAlignment="1">
      <alignment horizontal="right"/>
    </xf>
    <xf numFmtId="164" fontId="0" fillId="0" borderId="0" xfId="16" applyNumberFormat="1" applyFont="1" applyAlignment="1">
      <alignment horizontal="right"/>
    </xf>
    <xf numFmtId="164" fontId="0" fillId="0" borderId="0" xfId="0" applyNumberFormat="1" applyFont="1" applyBorder="1"/>
    <xf numFmtId="169" fontId="0" fillId="0" borderId="0" xfId="0" applyNumberFormat="1"/>
    <xf numFmtId="10" fontId="0" fillId="0" borderId="0" xfId="0" applyNumberFormat="1"/>
    <xf numFmtId="164" fontId="0" fillId="0" borderId="4" xfId="16" applyNumberFormat="1" applyFont="1" applyBorder="1"/>
    <xf numFmtId="0" fontId="0" fillId="0" borderId="0" xfId="0"/>
    <xf numFmtId="166" fontId="0" fillId="0" borderId="5" xfId="0" applyNumberFormat="1" applyBorder="1"/>
    <xf numFmtId="164" fontId="4" fillId="0" borderId="0" xfId="16" applyNumberFormat="1" applyFont="1" applyFill="1"/>
    <xf numFmtId="164" fontId="0" fillId="0" borderId="4" xfId="0" applyNumberFormat="1" applyFont="1" applyFill="1" applyBorder="1"/>
    <xf numFmtId="0" fontId="18" fillId="0" borderId="0" xfId="0" applyFont="1"/>
    <xf numFmtId="164" fontId="8" fillId="0" borderId="0" xfId="16" applyNumberFormat="1" applyFont="1" applyFill="1"/>
    <xf numFmtId="10" fontId="8" fillId="0" borderId="0" xfId="15" applyNumberFormat="1" applyFont="1" applyFill="1"/>
    <xf numFmtId="0" fontId="0" fillId="0" borderId="6" xfId="0" applyBorder="1"/>
    <xf numFmtId="164" fontId="5" fillId="0" borderId="7" xfId="16" applyNumberFormat="1" applyFont="1" applyBorder="1"/>
    <xf numFmtId="0" fontId="5" fillId="0" borderId="8" xfId="0" applyFont="1" applyBorder="1"/>
    <xf numFmtId="0" fontId="1" fillId="0" borderId="0" xfId="20">
      <alignment/>
      <protection/>
    </xf>
    <xf numFmtId="0" fontId="10" fillId="0" borderId="0" xfId="20" applyFont="1" applyAlignment="1">
      <alignment horizontal="center"/>
      <protection/>
    </xf>
    <xf numFmtId="0" fontId="10" fillId="0" borderId="0" xfId="20" applyFont="1" applyBorder="1" applyAlignment="1">
      <alignment horizontal="center"/>
      <protection/>
    </xf>
    <xf numFmtId="0" fontId="12" fillId="0" borderId="0" xfId="20" applyFont="1" applyAlignment="1">
      <alignment horizontal="center"/>
      <protection/>
    </xf>
    <xf numFmtId="167" fontId="10" fillId="0" borderId="0" xfId="20" applyNumberFormat="1" applyFont="1">
      <alignment/>
      <protection/>
    </xf>
    <xf numFmtId="167" fontId="12" fillId="0" borderId="0" xfId="20" applyNumberFormat="1" applyFont="1">
      <alignment/>
      <protection/>
    </xf>
    <xf numFmtId="10" fontId="16" fillId="0" borderId="0" xfId="20" applyNumberFormat="1" applyFont="1">
      <alignment/>
      <protection/>
    </xf>
    <xf numFmtId="0" fontId="10" fillId="0" borderId="0" xfId="20" applyFont="1" applyAlignment="1">
      <alignment horizontal="centerContinuous"/>
      <protection/>
    </xf>
    <xf numFmtId="0" fontId="10" fillId="0" borderId="4" xfId="20" applyFont="1" applyBorder="1" applyAlignment="1">
      <alignment horizontal="center"/>
      <protection/>
    </xf>
    <xf numFmtId="0" fontId="10" fillId="0" borderId="0" xfId="20" applyFont="1">
      <alignment/>
      <protection/>
    </xf>
    <xf numFmtId="0" fontId="11" fillId="0" borderId="0" xfId="20" applyFont="1" applyAlignment="1">
      <alignment horizontal="centerContinuous"/>
      <protection/>
    </xf>
    <xf numFmtId="0" fontId="11" fillId="0" borderId="0" xfId="20" applyFont="1" applyBorder="1" applyAlignment="1">
      <alignment horizontal="center"/>
      <protection/>
    </xf>
    <xf numFmtId="0" fontId="11" fillId="0" borderId="4" xfId="20" applyFont="1" applyBorder="1" applyAlignment="1">
      <alignment horizontal="center"/>
      <protection/>
    </xf>
    <xf numFmtId="167" fontId="14" fillId="0" borderId="0" xfId="20" applyNumberFormat="1" applyFont="1">
      <alignment/>
      <protection/>
    </xf>
    <xf numFmtId="167" fontId="14" fillId="0" borderId="0" xfId="30" applyNumberFormat="1" applyFont="1"/>
    <xf numFmtId="167" fontId="14" fillId="0" borderId="0" xfId="20" applyNumberFormat="1" applyFont="1" applyBorder="1">
      <alignment/>
      <protection/>
    </xf>
    <xf numFmtId="167" fontId="14" fillId="0" borderId="9" xfId="20" applyNumberFormat="1" applyFont="1" applyBorder="1">
      <alignment/>
      <protection/>
    </xf>
    <xf numFmtId="167" fontId="14" fillId="0" borderId="4" xfId="20" applyNumberFormat="1" applyFont="1" applyBorder="1">
      <alignment/>
      <protection/>
    </xf>
    <xf numFmtId="166" fontId="0" fillId="0" borderId="0" xfId="0" applyNumberFormat="1"/>
    <xf numFmtId="164" fontId="8" fillId="0" borderId="0" xfId="0" applyNumberFormat="1" applyFont="1"/>
    <xf numFmtId="17" fontId="0" fillId="0" borderId="0" xfId="0" applyNumberFormat="1" applyAlignment="1">
      <alignment horizontal="center"/>
    </xf>
    <xf numFmtId="9" fontId="8" fillId="0" borderId="0" xfId="15" applyFont="1"/>
    <xf numFmtId="0" fontId="0" fillId="0" borderId="0" xfId="0" applyBorder="1"/>
    <xf numFmtId="0" fontId="30" fillId="0" borderId="0" xfId="83" applyFont="1" applyAlignment="1">
      <alignment horizontal="left" indent="1" readingOrder="1"/>
      <protection/>
    </xf>
    <xf numFmtId="0" fontId="30" fillId="0" borderId="0" xfId="83" applyFont="1" applyBorder="1" applyAlignment="1">
      <alignment horizontal="left" indent="1" readingOrder="1"/>
      <protection/>
    </xf>
    <xf numFmtId="171" fontId="17" fillId="0" borderId="0" xfId="88" applyNumberFormat="1" applyFont="1" applyAlignment="1">
      <alignment readingOrder="1"/>
      <protection/>
    </xf>
    <xf numFmtId="0" fontId="31" fillId="0" borderId="0" xfId="0" applyFont="1"/>
    <xf numFmtId="164" fontId="8" fillId="20" borderId="0" xfId="16" applyNumberFormat="1" applyFont="1" applyFill="1" applyBorder="1"/>
    <xf numFmtId="172" fontId="0" fillId="0" borderId="0" xfId="15" applyNumberFormat="1" applyFont="1"/>
    <xf numFmtId="0" fontId="8" fillId="0" borderId="0" xfId="0" applyFont="1" applyFill="1"/>
    <xf numFmtId="167" fontId="0" fillId="0" borderId="0" xfId="0" applyNumberFormat="1"/>
    <xf numFmtId="43" fontId="1" fillId="0" borderId="0" xfId="18" applyFont="1" applyAlignment="1">
      <alignment readingOrder="1"/>
    </xf>
    <xf numFmtId="10" fontId="0" fillId="0" borderId="0" xfId="0" applyNumberFormat="1" applyFont="1"/>
    <xf numFmtId="165" fontId="5" fillId="0" borderId="0" xfId="16" applyNumberFormat="1" applyFont="1"/>
    <xf numFmtId="174" fontId="0" fillId="0" borderId="0" xfId="15" applyNumberFormat="1" applyFont="1"/>
    <xf numFmtId="165" fontId="0" fillId="0" borderId="0" xfId="0" applyNumberFormat="1"/>
    <xf numFmtId="0" fontId="4" fillId="0" borderId="4" xfId="20" applyFont="1" applyBorder="1" applyAlignment="1">
      <alignment horizontal="left"/>
      <protection/>
    </xf>
    <xf numFmtId="0" fontId="4" fillId="0" borderId="0" xfId="20" applyFont="1">
      <alignment/>
      <protection/>
    </xf>
    <xf numFmtId="10" fontId="1" fillId="0" borderId="0" xfId="30" applyNumberFormat="1" applyFont="1"/>
    <xf numFmtId="166" fontId="1" fillId="0" borderId="0" xfId="102" applyNumberFormat="1" applyFont="1"/>
    <xf numFmtId="166" fontId="0" fillId="0" borderId="0" xfId="0" applyNumberFormat="1" applyFill="1"/>
    <xf numFmtId="0" fontId="1" fillId="0" borderId="0" xfId="0" applyFont="1"/>
    <xf numFmtId="0" fontId="1" fillId="0" borderId="0" xfId="0" applyFont="1" applyAlignment="1">
      <alignment horizontal="center"/>
    </xf>
    <xf numFmtId="5" fontId="1" fillId="0" borderId="0" xfId="0" applyNumberFormat="1" applyFont="1" applyAlignment="1">
      <alignment horizontal="center"/>
    </xf>
    <xf numFmtId="5" fontId="17" fillId="0" borderId="0" xfId="0" applyNumberFormat="1" applyFont="1" applyAlignment="1">
      <alignment horizontal="center"/>
    </xf>
    <xf numFmtId="10" fontId="17" fillId="0" borderId="0" xfId="0" applyNumberFormat="1" applyFont="1" applyAlignment="1">
      <alignment horizontal="center"/>
    </xf>
    <xf numFmtId="0" fontId="17" fillId="0" borderId="0" xfId="0" applyFont="1" applyAlignment="1">
      <alignment horizontal="center"/>
    </xf>
    <xf numFmtId="0" fontId="1" fillId="0" borderId="4" xfId="0" applyFont="1" applyBorder="1" applyAlignment="1">
      <alignment horizontal="center"/>
    </xf>
    <xf numFmtId="5" fontId="1" fillId="0" borderId="4" xfId="0" applyNumberFormat="1" applyFont="1" applyBorder="1" applyAlignment="1">
      <alignment horizontal="center"/>
    </xf>
    <xf numFmtId="10" fontId="17" fillId="0" borderId="4" xfId="0" applyNumberFormat="1" applyFont="1" applyBorder="1" applyAlignment="1">
      <alignment horizontal="center"/>
    </xf>
    <xf numFmtId="0" fontId="17" fillId="0" borderId="4" xfId="0" applyFont="1" applyBorder="1" applyAlignment="1">
      <alignment horizontal="center"/>
    </xf>
    <xf numFmtId="5" fontId="17" fillId="0" borderId="0" xfId="0" applyNumberFormat="1" applyFont="1"/>
    <xf numFmtId="5" fontId="1" fillId="0" borderId="0" xfId="0" applyNumberFormat="1" applyFont="1"/>
    <xf numFmtId="10" fontId="17" fillId="0" borderId="0" xfId="0" applyNumberFormat="1" applyFont="1"/>
    <xf numFmtId="0" fontId="17" fillId="0" borderId="0" xfId="0" applyFont="1"/>
    <xf numFmtId="174" fontId="17" fillId="0" borderId="0" xfId="0" applyNumberFormat="1" applyFont="1" applyAlignment="1">
      <alignment horizontal="center"/>
    </xf>
    <xf numFmtId="172" fontId="17" fillId="0" borderId="0" xfId="0" applyNumberFormat="1" applyFont="1" applyAlignment="1">
      <alignment horizontal="center"/>
    </xf>
    <xf numFmtId="178" fontId="1" fillId="0" borderId="0" xfId="0" applyNumberFormat="1" applyFont="1" applyAlignment="1">
      <alignment horizontal="center"/>
    </xf>
    <xf numFmtId="16" fontId="1" fillId="0" borderId="0" xfId="0" applyNumberFormat="1" applyFont="1" applyAlignment="1" quotePrefix="1">
      <alignment horizontal="center"/>
    </xf>
    <xf numFmtId="0" fontId="1" fillId="0" borderId="0" xfId="0" applyFont="1" applyAlignment="1" quotePrefix="1">
      <alignment horizontal="center"/>
    </xf>
    <xf numFmtId="5" fontId="34" fillId="0" borderId="0" xfId="0" applyNumberFormat="1" applyFont="1" applyAlignment="1">
      <alignment horizontal="center"/>
    </xf>
    <xf numFmtId="179" fontId="17" fillId="0" borderId="0" xfId="0" applyNumberFormat="1" applyFont="1" applyAlignment="1">
      <alignment horizontal="center"/>
    </xf>
    <xf numFmtId="0" fontId="1" fillId="0" borderId="0" xfId="0" applyFont="1" applyAlignment="1">
      <alignment horizontal="left" indent="3"/>
    </xf>
    <xf numFmtId="177" fontId="1" fillId="0" borderId="0" xfId="0" applyNumberFormat="1" applyFont="1"/>
    <xf numFmtId="172" fontId="1" fillId="0" borderId="0" xfId="0" applyNumberFormat="1" applyFont="1"/>
    <xf numFmtId="0" fontId="1" fillId="0" borderId="0" xfId="0" applyFont="1" applyAlignment="1">
      <alignment horizontal="left"/>
    </xf>
    <xf numFmtId="0" fontId="34" fillId="0" borderId="0" xfId="0" applyFont="1"/>
    <xf numFmtId="0" fontId="1" fillId="0" borderId="0" xfId="0" applyFont="1" applyAlignment="1">
      <alignment horizontal="left" indent="1"/>
    </xf>
    <xf numFmtId="3" fontId="1" fillId="0" borderId="0" xfId="0" applyNumberFormat="1" applyFont="1"/>
    <xf numFmtId="165" fontId="1" fillId="0" borderId="0" xfId="398" applyNumberFormat="1" applyFont="1"/>
    <xf numFmtId="164" fontId="1" fillId="0" borderId="0" xfId="398" applyNumberFormat="1" applyFont="1"/>
    <xf numFmtId="3" fontId="1" fillId="0" borderId="0" xfId="0" applyNumberFormat="1" applyFont="1" applyBorder="1"/>
    <xf numFmtId="0" fontId="1" fillId="0" borderId="0" xfId="0" applyFont="1" applyBorder="1"/>
    <xf numFmtId="164" fontId="1" fillId="0" borderId="0" xfId="398" applyNumberFormat="1" applyFont="1" applyBorder="1"/>
    <xf numFmtId="164" fontId="1" fillId="0" borderId="0" xfId="0" applyNumberFormat="1" applyFont="1"/>
    <xf numFmtId="164" fontId="30" fillId="0" borderId="0" xfId="398" applyNumberFormat="1" applyFont="1"/>
    <xf numFmtId="175" fontId="1" fillId="0" borderId="0" xfId="0" applyNumberFormat="1" applyFont="1"/>
    <xf numFmtId="176" fontId="1" fillId="0" borderId="0" xfId="0" applyNumberFormat="1" applyFont="1"/>
    <xf numFmtId="0" fontId="17" fillId="0" borderId="0" xfId="0" applyFont="1" applyAlignment="1">
      <alignment horizontal="right"/>
    </xf>
    <xf numFmtId="0" fontId="17" fillId="0" borderId="0" xfId="0" applyFont="1" applyAlignment="1">
      <alignment horizontal="left"/>
    </xf>
    <xf numFmtId="179" fontId="0" fillId="0" borderId="0" xfId="15" applyNumberFormat="1" applyFont="1"/>
    <xf numFmtId="43" fontId="0" fillId="0" borderId="0" xfId="18" applyFont="1"/>
    <xf numFmtId="164" fontId="8" fillId="0" borderId="0" xfId="16" applyNumberFormat="1" applyFont="1" applyFill="1" applyBorder="1"/>
    <xf numFmtId="164" fontId="37" fillId="0" borderId="0" xfId="0" applyNumberFormat="1" applyFont="1"/>
    <xf numFmtId="0" fontId="38" fillId="0" borderId="0" xfId="0" applyFont="1" applyAlignment="1">
      <alignment horizontal="center"/>
    </xf>
    <xf numFmtId="166" fontId="0" fillId="0" borderId="0" xfId="18" applyNumberFormat="1" applyFont="1"/>
    <xf numFmtId="165" fontId="37" fillId="0" borderId="0" xfId="16" applyNumberFormat="1" applyFont="1"/>
    <xf numFmtId="167" fontId="14" fillId="0" borderId="10" xfId="20" applyNumberFormat="1" applyFont="1" applyBorder="1">
      <alignment/>
      <protection/>
    </xf>
    <xf numFmtId="44" fontId="0" fillId="0" borderId="0" xfId="16" applyFont="1"/>
    <xf numFmtId="5" fontId="17" fillId="0" borderId="0" xfId="0" applyNumberFormat="1" applyFont="1" applyAlignment="1">
      <alignment horizontal="center"/>
    </xf>
    <xf numFmtId="43" fontId="30" fillId="0" borderId="0" xfId="18" applyFont="1" applyAlignment="1">
      <alignment readingOrder="1"/>
    </xf>
    <xf numFmtId="169" fontId="33" fillId="0" borderId="0" xfId="0" applyNumberFormat="1" applyFont="1"/>
    <xf numFmtId="165" fontId="39" fillId="0" borderId="0" xfId="0" applyNumberFormat="1" applyFont="1" applyFill="1"/>
    <xf numFmtId="165" fontId="39" fillId="0" borderId="0" xfId="16" applyNumberFormat="1" applyFont="1" applyFill="1"/>
    <xf numFmtId="5" fontId="17" fillId="0" borderId="4" xfId="0" applyNumberFormat="1" applyFont="1" applyBorder="1" applyAlignment="1">
      <alignment horizontal="center"/>
    </xf>
    <xf numFmtId="5" fontId="1" fillId="0" borderId="0" xfId="20" applyNumberFormat="1" applyAlignment="1">
      <alignment horizontal="center"/>
      <protection/>
    </xf>
    <xf numFmtId="5" fontId="17" fillId="0" borderId="0" xfId="20" applyNumberFormat="1" applyFont="1" applyAlignment="1">
      <alignment horizontal="center"/>
      <protection/>
    </xf>
    <xf numFmtId="5" fontId="34" fillId="0" borderId="0" xfId="20" applyNumberFormat="1" applyFont="1" applyAlignment="1">
      <alignment horizontal="center"/>
      <protection/>
    </xf>
    <xf numFmtId="172" fontId="17" fillId="0" borderId="0" xfId="30" applyNumberFormat="1" applyFont="1"/>
    <xf numFmtId="172" fontId="1" fillId="0" borderId="0" xfId="30" applyNumberFormat="1"/>
    <xf numFmtId="9" fontId="0" fillId="0" borderId="0" xfId="15" applyFont="1"/>
    <xf numFmtId="164" fontId="33" fillId="0" borderId="0" xfId="16" applyNumberFormat="1" applyFont="1" applyFill="1"/>
    <xf numFmtId="164" fontId="0" fillId="0" borderId="0" xfId="16" applyNumberFormat="1" applyFont="1" applyFill="1"/>
    <xf numFmtId="164" fontId="0" fillId="0" borderId="0" xfId="0" applyNumberFormat="1" applyFill="1"/>
    <xf numFmtId="0" fontId="0" fillId="0" borderId="0" xfId="0" applyFill="1"/>
    <xf numFmtId="173" fontId="0" fillId="0" borderId="0" xfId="16" applyNumberFormat="1" applyFont="1" applyFill="1"/>
    <xf numFmtId="44" fontId="0" fillId="0" borderId="0" xfId="16" applyFont="1" applyFill="1"/>
    <xf numFmtId="44" fontId="0" fillId="0" borderId="0" xfId="0" applyNumberFormat="1" applyFill="1"/>
    <xf numFmtId="10" fontId="0" fillId="0" borderId="0" xfId="15" applyNumberFormat="1" applyFont="1" applyFill="1"/>
    <xf numFmtId="165" fontId="0" fillId="0" borderId="0" xfId="16" applyNumberFormat="1" applyFont="1" applyFill="1"/>
    <xf numFmtId="165" fontId="0" fillId="0" borderId="0" xfId="0" applyNumberFormat="1" applyFill="1"/>
    <xf numFmtId="43" fontId="0" fillId="0" borderId="0" xfId="0" applyNumberFormat="1"/>
    <xf numFmtId="0" fontId="10" fillId="0" borderId="0" xfId="0" applyFont="1" applyAlignment="1">
      <alignment horizontal="center"/>
    </xf>
    <xf numFmtId="0" fontId="10" fillId="0" borderId="0" xfId="0" applyFont="1" applyBorder="1" applyAlignment="1">
      <alignment horizontal="center"/>
    </xf>
    <xf numFmtId="5" fontId="17" fillId="0" borderId="0" xfId="0" applyNumberFormat="1" applyFont="1" applyAlignment="1">
      <alignment horizontal="center"/>
    </xf>
    <xf numFmtId="5" fontId="1" fillId="21" borderId="0" xfId="0" applyNumberFormat="1" applyFont="1" applyFill="1" applyAlignment="1">
      <alignment horizontal="center"/>
    </xf>
    <xf numFmtId="0" fontId="1" fillId="21" borderId="0" xfId="0" applyFont="1" applyFill="1" applyAlignment="1">
      <alignment horizontal="center"/>
    </xf>
    <xf numFmtId="5" fontId="1" fillId="21" borderId="4" xfId="0" applyNumberFormat="1" applyFont="1" applyFill="1" applyBorder="1" applyAlignment="1">
      <alignment horizontal="center"/>
    </xf>
    <xf numFmtId="5" fontId="1" fillId="21" borderId="0" xfId="0" applyNumberFormat="1" applyFont="1" applyFill="1"/>
    <xf numFmtId="5" fontId="34" fillId="21" borderId="0" xfId="0" applyNumberFormat="1" applyFont="1" applyFill="1" applyAlignment="1">
      <alignment horizontal="center"/>
    </xf>
  </cellXfs>
  <cellStyles count="711">
    <cellStyle name="Normal" xfId="0"/>
    <cellStyle name="Percent" xfId="15"/>
    <cellStyle name="Currency" xfId="16"/>
    <cellStyle name="Currency [0]" xfId="17"/>
    <cellStyle name="Comma" xfId="18"/>
    <cellStyle name="Comma [0]" xfId="19"/>
    <cellStyle name="Normal 2" xfId="20"/>
    <cellStyle name="Comma 2" xfId="21"/>
    <cellStyle name="Currency 2" xfId="22"/>
    <cellStyle name="Percent 2" xfId="23"/>
    <cellStyle name="Comma [0] 2" xfId="24"/>
    <cellStyle name="Comma 3" xfId="25"/>
    <cellStyle name="Comma 4" xfId="26"/>
    <cellStyle name="Normal 2 2" xfId="27"/>
    <cellStyle name="Normal 3" xfId="28"/>
    <cellStyle name="Comma 2 2" xfId="29"/>
    <cellStyle name="Percent 2 2" xfId="30"/>
    <cellStyle name="Comma 5" xfId="31"/>
    <cellStyle name="Currency 6" xfId="32"/>
    <cellStyle name="Manual-Input" xfId="33"/>
    <cellStyle name="Comma 6" xfId="34"/>
    <cellStyle name="Normal 3 3" xfId="35"/>
    <cellStyle name="Normal 4" xfId="36"/>
    <cellStyle name="Comma 2 3" xfId="37"/>
    <cellStyle name="Currency 2 4" xfId="38"/>
    <cellStyle name="Percent 2 3" xfId="39"/>
    <cellStyle name="Comma [0] 2 2" xfId="40"/>
    <cellStyle name="Normal 3 2" xfId="41"/>
    <cellStyle name="Followed Hyperlink" xfId="42"/>
    <cellStyle name="Currency 2 2" xfId="43"/>
    <cellStyle name="Percent 2 2 2" xfId="44"/>
    <cellStyle name="Comma 3 2" xfId="45"/>
    <cellStyle name="Currency 2 3" xfId="46"/>
    <cellStyle name="Currency 3" xfId="47"/>
    <cellStyle name="Currency 4" xfId="48"/>
    <cellStyle name="Currency 5" xfId="49"/>
    <cellStyle name="Normal 2 2 2" xfId="50"/>
    <cellStyle name="Normal 3_GRCW" xfId="51"/>
    <cellStyle name="Normal 5" xfId="52"/>
    <cellStyle name="Normal 5 2" xfId="53"/>
    <cellStyle name="Normal 5_GRCW" xfId="54"/>
    <cellStyle name="Normal 6" xfId="55"/>
    <cellStyle name="Normal 7" xfId="56"/>
    <cellStyle name="Normal 8" xfId="57"/>
    <cellStyle name="Normal 9" xfId="58"/>
    <cellStyle name="Percent 3" xfId="59"/>
    <cellStyle name="Percent 3 2" xfId="60"/>
    <cellStyle name="Percent 4" xfId="61"/>
    <cellStyle name="Percent 5" xfId="62"/>
    <cellStyle name="PS_Comma" xfId="63"/>
    <cellStyle name="PSChar" xfId="64"/>
    <cellStyle name="PSDate" xfId="65"/>
    <cellStyle name="PSDec" xfId="66"/>
    <cellStyle name="PSHeading" xfId="67"/>
    <cellStyle name="PSInt" xfId="68"/>
    <cellStyle name="PSSpacer" xfId="69"/>
    <cellStyle name="WM_STANDARD" xfId="70"/>
    <cellStyle name="WMI_Standard" xfId="71"/>
    <cellStyle name="Normal 2 4" xfId="72"/>
    <cellStyle name="Comma 8" xfId="73"/>
    <cellStyle name="Comma 7" xfId="74"/>
    <cellStyle name="Hyperlink 2" xfId="75"/>
    <cellStyle name="Followed Hyperlink 2" xfId="76"/>
    <cellStyle name="Normal 2 3" xfId="77"/>
    <cellStyle name="Normal 2 2 3" xfId="78"/>
    <cellStyle name="Hyperlink" xfId="79"/>
    <cellStyle name="Percent 3 3" xfId="80"/>
    <cellStyle name="Comma 3 3" xfId="81"/>
    <cellStyle name="Normal 3 4" xfId="82"/>
    <cellStyle name="Normal 11" xfId="83"/>
    <cellStyle name="Normal 2 5" xfId="84"/>
    <cellStyle name="Normal 3 5" xfId="85"/>
    <cellStyle name="Normal 6 2" xfId="86"/>
    <cellStyle name="Normal 2 2 4" xfId="87"/>
    <cellStyle name="Normal 12" xfId="88"/>
    <cellStyle name="Normal 2 6" xfId="89"/>
    <cellStyle name="Normal 3 6" xfId="90"/>
    <cellStyle name="Normal 6 3" xfId="91"/>
    <cellStyle name="Normal 2 2 5" xfId="92"/>
    <cellStyle name="Normal 2 7" xfId="93"/>
    <cellStyle name="Normal 3 7" xfId="94"/>
    <cellStyle name="Normal 6 4" xfId="95"/>
    <cellStyle name="Normal 2 2 6" xfId="96"/>
    <cellStyle name="Normal 2 8" xfId="97"/>
    <cellStyle name="Normal 3 8" xfId="98"/>
    <cellStyle name="Normal 10" xfId="99"/>
    <cellStyle name="Comma 9" xfId="100"/>
    <cellStyle name="Hyperlink 3" xfId="101"/>
    <cellStyle name="Comma 10" xfId="102"/>
    <cellStyle name="Comma 4 2" xfId="103"/>
    <cellStyle name="Normal 11 2" xfId="104"/>
    <cellStyle name="Normal 12 2" xfId="105"/>
    <cellStyle name="Normal 10 2" xfId="106"/>
    <cellStyle name="Normal 13" xfId="107"/>
    <cellStyle name="20% - Accent1 10" xfId="108"/>
    <cellStyle name="20% - Accent1 11" xfId="109"/>
    <cellStyle name="20% - Accent1 12" xfId="110"/>
    <cellStyle name="20% - Accent1 13" xfId="111"/>
    <cellStyle name="20% - Accent1 14" xfId="112"/>
    <cellStyle name="20% - Accent1 15" xfId="113"/>
    <cellStyle name="20% - Accent1 2" xfId="114"/>
    <cellStyle name="20% - Accent1 3" xfId="115"/>
    <cellStyle name="20% - Accent1 4" xfId="116"/>
    <cellStyle name="20% - Accent1 5" xfId="117"/>
    <cellStyle name="20% - Accent1 6" xfId="118"/>
    <cellStyle name="20% - Accent1 7" xfId="119"/>
    <cellStyle name="20% - Accent1 8" xfId="120"/>
    <cellStyle name="20% - Accent1 9" xfId="121"/>
    <cellStyle name="20% - Accent2 10" xfId="122"/>
    <cellStyle name="20% - Accent2 11" xfId="123"/>
    <cellStyle name="20% - Accent2 12" xfId="124"/>
    <cellStyle name="20% - Accent2 13" xfId="125"/>
    <cellStyle name="20% - Accent2 14" xfId="126"/>
    <cellStyle name="20% - Accent2 15" xfId="127"/>
    <cellStyle name="20% - Accent2 2" xfId="128"/>
    <cellStyle name="20% - Accent2 3" xfId="129"/>
    <cellStyle name="20% - Accent2 4" xfId="130"/>
    <cellStyle name="20% - Accent2 5" xfId="131"/>
    <cellStyle name="20% - Accent2 6" xfId="132"/>
    <cellStyle name="20% - Accent2 7" xfId="133"/>
    <cellStyle name="20% - Accent2 8" xfId="134"/>
    <cellStyle name="20% - Accent2 9" xfId="135"/>
    <cellStyle name="20% - Accent3 10" xfId="136"/>
    <cellStyle name="20% - Accent3 11" xfId="137"/>
    <cellStyle name="20% - Accent3 12" xfId="138"/>
    <cellStyle name="20% - Accent3 13" xfId="139"/>
    <cellStyle name="20% - Accent3 14" xfId="140"/>
    <cellStyle name="20% - Accent3 15" xfId="141"/>
    <cellStyle name="20% - Accent3 2" xfId="142"/>
    <cellStyle name="20% - Accent3 3" xfId="143"/>
    <cellStyle name="20% - Accent3 4" xfId="144"/>
    <cellStyle name="20% - Accent3 5" xfId="145"/>
    <cellStyle name="20% - Accent3 6" xfId="146"/>
    <cellStyle name="20% - Accent3 7" xfId="147"/>
    <cellStyle name="20% - Accent3 8" xfId="148"/>
    <cellStyle name="20% - Accent3 9" xfId="149"/>
    <cellStyle name="20% - Accent4 10" xfId="150"/>
    <cellStyle name="20% - Accent4 11" xfId="151"/>
    <cellStyle name="20% - Accent4 12" xfId="152"/>
    <cellStyle name="20% - Accent4 13" xfId="153"/>
    <cellStyle name="20% - Accent4 14" xfId="154"/>
    <cellStyle name="20% - Accent4 15" xfId="155"/>
    <cellStyle name="20% - Accent4 2" xfId="156"/>
    <cellStyle name="20% - Accent4 3" xfId="157"/>
    <cellStyle name="20% - Accent4 4"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3" xfId="171"/>
    <cellStyle name="20% - Accent5 4" xfId="172"/>
    <cellStyle name="20% - Accent5 5" xfId="173"/>
    <cellStyle name="20% - Accent5 6" xfId="174"/>
    <cellStyle name="20% - Accent5 7" xfId="175"/>
    <cellStyle name="20% - Accent5 8" xfId="176"/>
    <cellStyle name="20% - Accent5 9" xfId="177"/>
    <cellStyle name="20% - Accent6 10" xfId="178"/>
    <cellStyle name="20% - Accent6 11" xfId="179"/>
    <cellStyle name="20% - Accent6 12" xfId="180"/>
    <cellStyle name="20% - Accent6 13" xfId="181"/>
    <cellStyle name="20% - Accent6 14" xfId="182"/>
    <cellStyle name="20% - Accent6 15" xfId="183"/>
    <cellStyle name="20% - Accent6 2" xfId="184"/>
    <cellStyle name="20% - Accent6 3" xfId="185"/>
    <cellStyle name="20% - Accent6 4" xfId="186"/>
    <cellStyle name="20% - Accent6 5" xfId="187"/>
    <cellStyle name="20% - Accent6 6" xfId="188"/>
    <cellStyle name="20% - Accent6 7" xfId="189"/>
    <cellStyle name="20% - Accent6 8" xfId="190"/>
    <cellStyle name="20% - Accent6 9" xfId="191"/>
    <cellStyle name="40% - Accent1 10" xfId="192"/>
    <cellStyle name="40% - Accent1 11" xfId="193"/>
    <cellStyle name="40% - Accent1 12" xfId="194"/>
    <cellStyle name="40% - Accent1 13" xfId="195"/>
    <cellStyle name="40% - Accent1 14" xfId="196"/>
    <cellStyle name="40% - Accent1 15" xfId="197"/>
    <cellStyle name="40% - Accent1 2" xfId="198"/>
    <cellStyle name="40% - Accent1 3" xfId="199"/>
    <cellStyle name="40% - Accent1 4" xfId="200"/>
    <cellStyle name="40% - Accent1 5" xfId="201"/>
    <cellStyle name="40% - Accent1 6" xfId="202"/>
    <cellStyle name="40% - Accent1 7" xfId="203"/>
    <cellStyle name="40% - Accent1 8" xfId="204"/>
    <cellStyle name="40% - Accent1 9" xfId="205"/>
    <cellStyle name="40% - Accent2 10" xfId="206"/>
    <cellStyle name="40% - Accent2 11" xfId="207"/>
    <cellStyle name="40% - Accent2 12" xfId="208"/>
    <cellStyle name="40% - Accent2 13" xfId="209"/>
    <cellStyle name="40% - Accent2 14" xfId="210"/>
    <cellStyle name="40% - Accent2 15" xfId="211"/>
    <cellStyle name="40% - Accent2 2" xfId="212"/>
    <cellStyle name="40% - Accent2 3" xfId="213"/>
    <cellStyle name="40% - Accent2 4" xfId="214"/>
    <cellStyle name="40% - Accent2 5" xfId="215"/>
    <cellStyle name="40% - Accent2 6" xfId="216"/>
    <cellStyle name="40% - Accent2 7" xfId="217"/>
    <cellStyle name="40% - Accent2 8" xfId="218"/>
    <cellStyle name="40% - Accent2 9" xfId="219"/>
    <cellStyle name="40% - Accent3 10" xfId="220"/>
    <cellStyle name="40% - Accent3 11" xfId="221"/>
    <cellStyle name="40% - Accent3 12" xfId="222"/>
    <cellStyle name="40% - Accent3 13" xfId="223"/>
    <cellStyle name="40% - Accent3 14" xfId="224"/>
    <cellStyle name="40% - Accent3 15" xfId="225"/>
    <cellStyle name="40% - Accent3 2" xfId="226"/>
    <cellStyle name="40% - Accent3 3" xfId="227"/>
    <cellStyle name="40% - Accent3 4" xfId="228"/>
    <cellStyle name="40% - Accent3 5" xfId="229"/>
    <cellStyle name="40% - Accent3 6" xfId="230"/>
    <cellStyle name="40% - Accent3 7" xfId="231"/>
    <cellStyle name="40% - Accent3 8" xfId="232"/>
    <cellStyle name="40% - Accent3 9" xfId="233"/>
    <cellStyle name="40% - Accent4 10" xfId="234"/>
    <cellStyle name="40% - Accent4 11" xfId="235"/>
    <cellStyle name="40% - Accent4 12" xfId="236"/>
    <cellStyle name="40% - Accent4 13" xfId="237"/>
    <cellStyle name="40% - Accent4 14" xfId="238"/>
    <cellStyle name="40% - Accent4 15" xfId="239"/>
    <cellStyle name="40% - Accent4 2" xfId="240"/>
    <cellStyle name="40% - Accent4 3" xfId="241"/>
    <cellStyle name="40% - Accent4 4" xfId="242"/>
    <cellStyle name="40% - Accent4 5" xfId="243"/>
    <cellStyle name="40% - Accent4 6" xfId="244"/>
    <cellStyle name="40% - Accent4 7" xfId="245"/>
    <cellStyle name="40% - Accent4 8" xfId="246"/>
    <cellStyle name="40% - Accent4 9" xfId="247"/>
    <cellStyle name="40% - Accent5 10" xfId="248"/>
    <cellStyle name="40% - Accent5 11" xfId="249"/>
    <cellStyle name="40% - Accent5 12" xfId="250"/>
    <cellStyle name="40% - Accent5 13" xfId="251"/>
    <cellStyle name="40% - Accent5 14" xfId="252"/>
    <cellStyle name="40% - Accent5 15" xfId="253"/>
    <cellStyle name="40% - Accent5 2" xfId="254"/>
    <cellStyle name="40% - Accent5 3" xfId="255"/>
    <cellStyle name="40% - Accent5 4" xfId="256"/>
    <cellStyle name="40% - Accent5 5" xfId="257"/>
    <cellStyle name="40% - Accent5 6" xfId="258"/>
    <cellStyle name="40% - Accent5 7" xfId="259"/>
    <cellStyle name="40% - Accent5 8" xfId="260"/>
    <cellStyle name="40% - Accent5 9" xfId="261"/>
    <cellStyle name="40% - Accent6 10" xfId="262"/>
    <cellStyle name="40% - Accent6 11" xfId="263"/>
    <cellStyle name="40% - Accent6 12" xfId="264"/>
    <cellStyle name="40% - Accent6 13" xfId="265"/>
    <cellStyle name="40% - Accent6 14" xfId="266"/>
    <cellStyle name="40% - Accent6 15" xfId="267"/>
    <cellStyle name="40% - Accent6 2" xfId="268"/>
    <cellStyle name="40% - Accent6 3" xfId="269"/>
    <cellStyle name="40% - Accent6 4" xfId="270"/>
    <cellStyle name="40% - Accent6 5" xfId="271"/>
    <cellStyle name="40% - Accent6 6" xfId="272"/>
    <cellStyle name="40% - Accent6 7" xfId="273"/>
    <cellStyle name="40% - Accent6 8" xfId="274"/>
    <cellStyle name="40% - Accent6 9" xfId="275"/>
    <cellStyle name="Comma 11" xfId="276"/>
    <cellStyle name="Comma 12" xfId="277"/>
    <cellStyle name="Comma 13" xfId="278"/>
    <cellStyle name="Comma 14" xfId="279"/>
    <cellStyle name="Comma 15" xfId="280"/>
    <cellStyle name="Comma 16" xfId="281"/>
    <cellStyle name="Comma 17" xfId="282"/>
    <cellStyle name="Comma 18" xfId="283"/>
    <cellStyle name="Comma 19" xfId="284"/>
    <cellStyle name="Comma 2 10" xfId="285"/>
    <cellStyle name="Comma 2 11" xfId="286"/>
    <cellStyle name="Comma 2 12" xfId="287"/>
    <cellStyle name="Comma 2 13" xfId="288"/>
    <cellStyle name="Comma 2 14" xfId="289"/>
    <cellStyle name="Comma 2 15" xfId="290"/>
    <cellStyle name="Comma 2 16" xfId="291"/>
    <cellStyle name="Comma 2 17" xfId="292"/>
    <cellStyle name="Comma 2 18" xfId="293"/>
    <cellStyle name="Comma 2 19" xfId="294"/>
    <cellStyle name="Comma 2 20" xfId="295"/>
    <cellStyle name="Comma 2 21" xfId="296"/>
    <cellStyle name="Comma 2 22" xfId="297"/>
    <cellStyle name="Comma 2 23" xfId="298"/>
    <cellStyle name="Comma 2 24" xfId="299"/>
    <cellStyle name="Comma 2 25" xfId="300"/>
    <cellStyle name="Comma 2 26" xfId="301"/>
    <cellStyle name="Comma 2 27" xfId="302"/>
    <cellStyle name="Comma 2 28" xfId="303"/>
    <cellStyle name="Comma 2 29" xfId="304"/>
    <cellStyle name="Comma 2 30" xfId="305"/>
    <cellStyle name="Comma 2 4" xfId="306"/>
    <cellStyle name="Comma 2 5" xfId="307"/>
    <cellStyle name="Comma 2 6" xfId="308"/>
    <cellStyle name="Comma 2 7" xfId="309"/>
    <cellStyle name="Comma 2 8" xfId="310"/>
    <cellStyle name="Comma 2 9" xfId="311"/>
    <cellStyle name="Comma 20" xfId="312"/>
    <cellStyle name="Comma 21" xfId="313"/>
    <cellStyle name="Comma 22" xfId="314"/>
    <cellStyle name="Comma 23" xfId="315"/>
    <cellStyle name="Comma 3 10" xfId="316"/>
    <cellStyle name="Comma 3 11" xfId="317"/>
    <cellStyle name="Comma 3 12" xfId="318"/>
    <cellStyle name="Comma 3 13" xfId="319"/>
    <cellStyle name="Comma 3 14" xfId="320"/>
    <cellStyle name="Comma 3 15" xfId="321"/>
    <cellStyle name="Comma 3 16" xfId="322"/>
    <cellStyle name="Comma 3 17" xfId="323"/>
    <cellStyle name="Comma 3 18" xfId="324"/>
    <cellStyle name="Comma 3 19" xfId="325"/>
    <cellStyle name="Comma 3 2 2" xfId="326"/>
    <cellStyle name="Comma 3 20" xfId="327"/>
    <cellStyle name="Comma 3 21" xfId="328"/>
    <cellStyle name="Comma 3 22" xfId="329"/>
    <cellStyle name="Comma 3 23" xfId="330"/>
    <cellStyle name="Comma 3 24" xfId="331"/>
    <cellStyle name="Comma 3 25" xfId="332"/>
    <cellStyle name="Comma 3 26" xfId="333"/>
    <cellStyle name="Comma 3 27" xfId="334"/>
    <cellStyle name="Comma 3 28" xfId="335"/>
    <cellStyle name="Comma 3 29" xfId="336"/>
    <cellStyle name="Comma 3 3 2" xfId="337"/>
    <cellStyle name="Comma 3 4" xfId="338"/>
    <cellStyle name="Comma 3 5" xfId="339"/>
    <cellStyle name="Comma 3 6" xfId="340"/>
    <cellStyle name="Comma 3 7" xfId="341"/>
    <cellStyle name="Comma 3 8" xfId="342"/>
    <cellStyle name="Comma 3 9" xfId="343"/>
    <cellStyle name="Comma 4 10" xfId="344"/>
    <cellStyle name="Comma 4 11" xfId="345"/>
    <cellStyle name="Comma 4 12" xfId="346"/>
    <cellStyle name="Comma 4 13" xfId="347"/>
    <cellStyle name="Comma 4 14" xfId="348"/>
    <cellStyle name="Comma 4 15" xfId="349"/>
    <cellStyle name="Comma 4 16" xfId="350"/>
    <cellStyle name="Comma 4 17" xfId="351"/>
    <cellStyle name="Comma 4 18" xfId="352"/>
    <cellStyle name="Comma 4 19" xfId="353"/>
    <cellStyle name="Comma 4 20" xfId="354"/>
    <cellStyle name="Comma 4 21" xfId="355"/>
    <cellStyle name="Comma 4 22" xfId="356"/>
    <cellStyle name="Comma 4 23" xfId="357"/>
    <cellStyle name="Comma 4 24" xfId="358"/>
    <cellStyle name="Comma 4 25" xfId="359"/>
    <cellStyle name="Comma 4 26" xfId="360"/>
    <cellStyle name="Comma 4 27" xfId="361"/>
    <cellStyle name="Comma 4 28" xfId="362"/>
    <cellStyle name="Comma 4 3" xfId="363"/>
    <cellStyle name="Comma 4 4" xfId="364"/>
    <cellStyle name="Comma 4 5" xfId="365"/>
    <cellStyle name="Comma 4 6" xfId="366"/>
    <cellStyle name="Comma 4 7" xfId="367"/>
    <cellStyle name="Comma 4 8" xfId="368"/>
    <cellStyle name="Comma 4 9" xfId="369"/>
    <cellStyle name="Comma 5 10" xfId="370"/>
    <cellStyle name="Comma 5 11" xfId="371"/>
    <cellStyle name="Comma 5 12" xfId="372"/>
    <cellStyle name="Comma 5 13" xfId="373"/>
    <cellStyle name="Comma 5 14" xfId="374"/>
    <cellStyle name="Comma 5 15" xfId="375"/>
    <cellStyle name="Comma 5 16" xfId="376"/>
    <cellStyle name="Comma 5 17" xfId="377"/>
    <cellStyle name="Comma 5 18" xfId="378"/>
    <cellStyle name="Comma 5 19" xfId="379"/>
    <cellStyle name="Comma 5 2" xfId="380"/>
    <cellStyle name="Comma 5 20" xfId="381"/>
    <cellStyle name="Comma 5 21" xfId="382"/>
    <cellStyle name="Comma 5 22" xfId="383"/>
    <cellStyle name="Comma 5 23" xfId="384"/>
    <cellStyle name="Comma 5 24" xfId="385"/>
    <cellStyle name="Comma 5 25" xfId="386"/>
    <cellStyle name="Comma 5 26" xfId="387"/>
    <cellStyle name="Comma 5 27" xfId="388"/>
    <cellStyle name="Comma 5 28" xfId="389"/>
    <cellStyle name="Comma 5 3" xfId="390"/>
    <cellStyle name="Comma 5 4" xfId="391"/>
    <cellStyle name="Comma 5 5" xfId="392"/>
    <cellStyle name="Comma 5 6" xfId="393"/>
    <cellStyle name="Comma 5 7" xfId="394"/>
    <cellStyle name="Comma 5 8" xfId="395"/>
    <cellStyle name="Comma 5 9" xfId="396"/>
    <cellStyle name="Comma0" xfId="397"/>
    <cellStyle name="Currency 2 10" xfId="398"/>
    <cellStyle name="Currency 2 11" xfId="399"/>
    <cellStyle name="Currency 2 12" xfId="400"/>
    <cellStyle name="Currency 2 13" xfId="401"/>
    <cellStyle name="Currency 2 14" xfId="402"/>
    <cellStyle name="Currency 2 15" xfId="403"/>
    <cellStyle name="Currency 2 16" xfId="404"/>
    <cellStyle name="Currency 2 17" xfId="405"/>
    <cellStyle name="Currency 2 18" xfId="406"/>
    <cellStyle name="Currency 2 19" xfId="407"/>
    <cellStyle name="Currency 2 20" xfId="408"/>
    <cellStyle name="Currency 2 21" xfId="409"/>
    <cellStyle name="Currency 2 22" xfId="410"/>
    <cellStyle name="Currency 2 23" xfId="411"/>
    <cellStyle name="Currency 2 24" xfId="412"/>
    <cellStyle name="Currency 2 25" xfId="413"/>
    <cellStyle name="Currency 2 26" xfId="414"/>
    <cellStyle name="Currency 2 27" xfId="415"/>
    <cellStyle name="Currency 2 28" xfId="416"/>
    <cellStyle name="Currency 2 29" xfId="417"/>
    <cellStyle name="Currency 2 30" xfId="418"/>
    <cellStyle name="Currency 2 5" xfId="419"/>
    <cellStyle name="Currency 2 6" xfId="420"/>
    <cellStyle name="Currency 2 7" xfId="421"/>
    <cellStyle name="Currency 2 8" xfId="422"/>
    <cellStyle name="Currency 2 9" xfId="423"/>
    <cellStyle name="Currency 3 10" xfId="424"/>
    <cellStyle name="Currency 3 11" xfId="425"/>
    <cellStyle name="Currency 3 12" xfId="426"/>
    <cellStyle name="Currency 3 13" xfId="427"/>
    <cellStyle name="Currency 3 14" xfId="428"/>
    <cellStyle name="Currency 3 15" xfId="429"/>
    <cellStyle name="Currency 3 16" xfId="430"/>
    <cellStyle name="Currency 3 17" xfId="431"/>
    <cellStyle name="Currency 3 18" xfId="432"/>
    <cellStyle name="Currency 3 19" xfId="433"/>
    <cellStyle name="Currency 3 2" xfId="434"/>
    <cellStyle name="Currency 3 2 2" xfId="435"/>
    <cellStyle name="Currency 3 20" xfId="436"/>
    <cellStyle name="Currency 3 21" xfId="437"/>
    <cellStyle name="Currency 3 22" xfId="438"/>
    <cellStyle name="Currency 3 23" xfId="439"/>
    <cellStyle name="Currency 3 24" xfId="440"/>
    <cellStyle name="Currency 3 25" xfId="441"/>
    <cellStyle name="Currency 3 26" xfId="442"/>
    <cellStyle name="Currency 3 27" xfId="443"/>
    <cellStyle name="Currency 3 28" xfId="444"/>
    <cellStyle name="Currency 3 29" xfId="445"/>
    <cellStyle name="Currency 3 3" xfId="446"/>
    <cellStyle name="Currency 3 3 2" xfId="447"/>
    <cellStyle name="Currency 3 4" xfId="448"/>
    <cellStyle name="Currency 3 5" xfId="449"/>
    <cellStyle name="Currency 3 6" xfId="450"/>
    <cellStyle name="Currency 3 7" xfId="451"/>
    <cellStyle name="Currency 3 8" xfId="452"/>
    <cellStyle name="Currency 3 9" xfId="453"/>
    <cellStyle name="Currency0" xfId="454"/>
    <cellStyle name="Date" xfId="455"/>
    <cellStyle name="Fixed" xfId="456"/>
    <cellStyle name="Input Cells_EXTERNAL" xfId="457"/>
    <cellStyle name="Normal 14" xfId="458"/>
    <cellStyle name="Normal 15" xfId="459"/>
    <cellStyle name="Normal 17" xfId="460"/>
    <cellStyle name="Normal 18" xfId="461"/>
    <cellStyle name="Normal 19" xfId="462"/>
    <cellStyle name="Normal 2 2 10" xfId="463"/>
    <cellStyle name="Normal 2 2 11" xfId="464"/>
    <cellStyle name="Normal 2 2 12" xfId="465"/>
    <cellStyle name="Normal 2 2 13" xfId="466"/>
    <cellStyle name="Normal 2 2 14" xfId="467"/>
    <cellStyle name="Normal 2 2 15" xfId="468"/>
    <cellStyle name="Normal 2 2 16" xfId="469"/>
    <cellStyle name="Normal 2 2 17" xfId="470"/>
    <cellStyle name="Normal 2 2 18" xfId="471"/>
    <cellStyle name="Normal 2 2 19" xfId="472"/>
    <cellStyle name="Normal 2 2 2 2" xfId="473"/>
    <cellStyle name="Normal 2 2 20" xfId="474"/>
    <cellStyle name="Normal 2 2 21" xfId="475"/>
    <cellStyle name="Normal 2 2 22" xfId="476"/>
    <cellStyle name="Normal 2 2 23" xfId="477"/>
    <cellStyle name="Normal 2 2 24" xfId="478"/>
    <cellStyle name="Normal 2 2 25" xfId="479"/>
    <cellStyle name="Normal 2 2 26" xfId="480"/>
    <cellStyle name="Normal 2 2 27" xfId="481"/>
    <cellStyle name="Normal 2 2 28" xfId="482"/>
    <cellStyle name="Normal 2 2 29" xfId="483"/>
    <cellStyle name="Normal 2 2 7" xfId="484"/>
    <cellStyle name="Normal 2 2 8" xfId="485"/>
    <cellStyle name="Normal 2 2 9" xfId="486"/>
    <cellStyle name="Normal 20" xfId="487"/>
    <cellStyle name="Normal 21" xfId="488"/>
    <cellStyle name="Normal 22" xfId="489"/>
    <cellStyle name="Normal 23" xfId="490"/>
    <cellStyle name="Normal 25" xfId="491"/>
    <cellStyle name="Normal 26" xfId="492"/>
    <cellStyle name="Normal 29" xfId="493"/>
    <cellStyle name="Normal 3 10" xfId="494"/>
    <cellStyle name="Normal 3 11" xfId="495"/>
    <cellStyle name="Normal 3 12" xfId="496"/>
    <cellStyle name="Normal 3 13" xfId="497"/>
    <cellStyle name="Normal 3 14" xfId="498"/>
    <cellStyle name="Normal 3 15" xfId="499"/>
    <cellStyle name="Normal 3 16" xfId="500"/>
    <cellStyle name="Normal 3 17" xfId="501"/>
    <cellStyle name="Normal 3 18" xfId="502"/>
    <cellStyle name="Normal 3 19" xfId="503"/>
    <cellStyle name="Normal 3 20" xfId="504"/>
    <cellStyle name="Normal 3 21" xfId="505"/>
    <cellStyle name="Normal 3 22" xfId="506"/>
    <cellStyle name="Normal 3 23" xfId="507"/>
    <cellStyle name="Normal 3 24" xfId="508"/>
    <cellStyle name="Normal 3 25" xfId="509"/>
    <cellStyle name="Normal 3 26" xfId="510"/>
    <cellStyle name="Normal 3 27" xfId="511"/>
    <cellStyle name="Normal 3 28" xfId="512"/>
    <cellStyle name="Normal 3 29" xfId="513"/>
    <cellStyle name="Normal 3 30" xfId="514"/>
    <cellStyle name="Normal 3 31" xfId="515"/>
    <cellStyle name="Normal 3 9" xfId="516"/>
    <cellStyle name="Normal 30" xfId="517"/>
    <cellStyle name="Normal 4 10" xfId="518"/>
    <cellStyle name="Normal 4 11" xfId="519"/>
    <cellStyle name="Normal 4 12" xfId="520"/>
    <cellStyle name="Normal 4 13" xfId="521"/>
    <cellStyle name="Normal 4 14" xfId="522"/>
    <cellStyle name="Normal 4 15" xfId="523"/>
    <cellStyle name="Normal 4 16" xfId="524"/>
    <cellStyle name="Normal 4 17" xfId="525"/>
    <cellStyle name="Normal 4 18" xfId="526"/>
    <cellStyle name="Normal 4 19" xfId="527"/>
    <cellStyle name="Normal 4 2" xfId="528"/>
    <cellStyle name="Normal 4 20" xfId="529"/>
    <cellStyle name="Normal 4 21" xfId="530"/>
    <cellStyle name="Normal 4 22" xfId="531"/>
    <cellStyle name="Normal 4 23" xfId="532"/>
    <cellStyle name="Normal 4 24" xfId="533"/>
    <cellStyle name="Normal 4 25" xfId="534"/>
    <cellStyle name="Normal 4 26" xfId="535"/>
    <cellStyle name="Normal 4 27" xfId="536"/>
    <cellStyle name="Normal 4 28" xfId="537"/>
    <cellStyle name="Normal 4 29" xfId="538"/>
    <cellStyle name="Normal 4 3" xfId="539"/>
    <cellStyle name="Normal 4 4" xfId="540"/>
    <cellStyle name="Normal 4 5" xfId="541"/>
    <cellStyle name="Normal 4 6" xfId="542"/>
    <cellStyle name="Normal 4 7" xfId="543"/>
    <cellStyle name="Normal 4 8" xfId="544"/>
    <cellStyle name="Normal 4 9" xfId="545"/>
    <cellStyle name="Normal 5 10" xfId="546"/>
    <cellStyle name="Normal 5 11" xfId="547"/>
    <cellStyle name="Normal 5 12" xfId="548"/>
    <cellStyle name="Normal 5 13" xfId="549"/>
    <cellStyle name="Normal 5 14" xfId="550"/>
    <cellStyle name="Normal 5 15" xfId="551"/>
    <cellStyle name="Normal 5 16" xfId="552"/>
    <cellStyle name="Normal 5 17" xfId="553"/>
    <cellStyle name="Normal 5 18" xfId="554"/>
    <cellStyle name="Normal 5 19" xfId="555"/>
    <cellStyle name="Normal 5 20" xfId="556"/>
    <cellStyle name="Normal 5 21" xfId="557"/>
    <cellStyle name="Normal 5 22" xfId="558"/>
    <cellStyle name="Normal 5 23" xfId="559"/>
    <cellStyle name="Normal 5 24" xfId="560"/>
    <cellStyle name="Normal 5 25" xfId="561"/>
    <cellStyle name="Normal 5 26" xfId="562"/>
    <cellStyle name="Normal 5 27" xfId="563"/>
    <cellStyle name="Normal 5 28" xfId="564"/>
    <cellStyle name="Normal 5 29" xfId="565"/>
    <cellStyle name="Normal 5 3" xfId="566"/>
    <cellStyle name="Normal 5 4" xfId="567"/>
    <cellStyle name="Normal 5 5" xfId="568"/>
    <cellStyle name="Normal 5 6" xfId="569"/>
    <cellStyle name="Normal 5 7" xfId="570"/>
    <cellStyle name="Normal 5 8" xfId="571"/>
    <cellStyle name="Normal 5 9" xfId="572"/>
    <cellStyle name="Note 2" xfId="573"/>
    <cellStyle name="Note 2 10" xfId="574"/>
    <cellStyle name="Note 2 11" xfId="575"/>
    <cellStyle name="Note 2 12" xfId="576"/>
    <cellStyle name="Note 2 13" xfId="577"/>
    <cellStyle name="Note 2 14" xfId="578"/>
    <cellStyle name="Note 2 15" xfId="579"/>
    <cellStyle name="Note 2 2" xfId="580"/>
    <cellStyle name="Note 2 3" xfId="581"/>
    <cellStyle name="Note 2 4" xfId="582"/>
    <cellStyle name="Note 2 5" xfId="583"/>
    <cellStyle name="Note 2 6" xfId="584"/>
    <cellStyle name="Note 2 7" xfId="585"/>
    <cellStyle name="Note 2 8" xfId="586"/>
    <cellStyle name="Note 2 9" xfId="587"/>
    <cellStyle name="Percent 2 10" xfId="588"/>
    <cellStyle name="Percent 2 11" xfId="589"/>
    <cellStyle name="Percent 2 12" xfId="590"/>
    <cellStyle name="Percent 2 13" xfId="591"/>
    <cellStyle name="Percent 2 14" xfId="592"/>
    <cellStyle name="Percent 2 15" xfId="593"/>
    <cellStyle name="Percent 2 16" xfId="594"/>
    <cellStyle name="Percent 2 17" xfId="595"/>
    <cellStyle name="Percent 2 18" xfId="596"/>
    <cellStyle name="Percent 2 19" xfId="597"/>
    <cellStyle name="Percent 2 2 10" xfId="598"/>
    <cellStyle name="Percent 2 2 11" xfId="599"/>
    <cellStyle name="Percent 2 2 12" xfId="600"/>
    <cellStyle name="Percent 2 2 13" xfId="601"/>
    <cellStyle name="Percent 2 2 14" xfId="602"/>
    <cellStyle name="Percent 2 2 15" xfId="603"/>
    <cellStyle name="Percent 2 2 16" xfId="604"/>
    <cellStyle name="Percent 2 2 17" xfId="605"/>
    <cellStyle name="Percent 2 2 18" xfId="606"/>
    <cellStyle name="Percent 2 2 19" xfId="607"/>
    <cellStyle name="Percent 2 2 20" xfId="608"/>
    <cellStyle name="Percent 2 2 21" xfId="609"/>
    <cellStyle name="Percent 2 2 22" xfId="610"/>
    <cellStyle name="Percent 2 2 23" xfId="611"/>
    <cellStyle name="Percent 2 2 24" xfId="612"/>
    <cellStyle name="Percent 2 2 25" xfId="613"/>
    <cellStyle name="Percent 2 2 26" xfId="614"/>
    <cellStyle name="Percent 2 2 27" xfId="615"/>
    <cellStyle name="Percent 2 2 28" xfId="616"/>
    <cellStyle name="Percent 2 2 3" xfId="617"/>
    <cellStyle name="Percent 2 2 4" xfId="618"/>
    <cellStyle name="Percent 2 2 5" xfId="619"/>
    <cellStyle name="Percent 2 2 6" xfId="620"/>
    <cellStyle name="Percent 2 2 7" xfId="621"/>
    <cellStyle name="Percent 2 2 8" xfId="622"/>
    <cellStyle name="Percent 2 2 9" xfId="623"/>
    <cellStyle name="Percent 2 20" xfId="624"/>
    <cellStyle name="Percent 2 21" xfId="625"/>
    <cellStyle name="Percent 2 22" xfId="626"/>
    <cellStyle name="Percent 2 23" xfId="627"/>
    <cellStyle name="Percent 2 24" xfId="628"/>
    <cellStyle name="Percent 2 25" xfId="629"/>
    <cellStyle name="Percent 2 26" xfId="630"/>
    <cellStyle name="Percent 2 27" xfId="631"/>
    <cellStyle name="Percent 2 28" xfId="632"/>
    <cellStyle name="Percent 2 29" xfId="633"/>
    <cellStyle name="Percent 2 30" xfId="634"/>
    <cellStyle name="Percent 2 31" xfId="635"/>
    <cellStyle name="Percent 2 4" xfId="636"/>
    <cellStyle name="Percent 2 5" xfId="637"/>
    <cellStyle name="Percent 2 6" xfId="638"/>
    <cellStyle name="Percent 2 7" xfId="639"/>
    <cellStyle name="Percent 2 8" xfId="640"/>
    <cellStyle name="Percent 2 9" xfId="641"/>
    <cellStyle name="Percent 3 10" xfId="642"/>
    <cellStyle name="Percent 3 11" xfId="643"/>
    <cellStyle name="Percent 3 12" xfId="644"/>
    <cellStyle name="Percent 3 13" xfId="645"/>
    <cellStyle name="Percent 3 14" xfId="646"/>
    <cellStyle name="Percent 3 15" xfId="647"/>
    <cellStyle name="Percent 3 16" xfId="648"/>
    <cellStyle name="Percent 3 17" xfId="649"/>
    <cellStyle name="Percent 3 18" xfId="650"/>
    <cellStyle name="Percent 3 19" xfId="651"/>
    <cellStyle name="Percent 3 20" xfId="652"/>
    <cellStyle name="Percent 3 21" xfId="653"/>
    <cellStyle name="Percent 3 22" xfId="654"/>
    <cellStyle name="Percent 3 23" xfId="655"/>
    <cellStyle name="Percent 3 24" xfId="656"/>
    <cellStyle name="Percent 3 25" xfId="657"/>
    <cellStyle name="Percent 3 26" xfId="658"/>
    <cellStyle name="Percent 3 27" xfId="659"/>
    <cellStyle name="Percent 3 28" xfId="660"/>
    <cellStyle name="Percent 3 29" xfId="661"/>
    <cellStyle name="Percent 3 3 2" xfId="662"/>
    <cellStyle name="Percent 3 30" xfId="663"/>
    <cellStyle name="Percent 3 4" xfId="664"/>
    <cellStyle name="Percent 3 4 2" xfId="665"/>
    <cellStyle name="Percent 3 5" xfId="666"/>
    <cellStyle name="Percent 3 6" xfId="667"/>
    <cellStyle name="Percent 3 7" xfId="668"/>
    <cellStyle name="Percent 3 8" xfId="669"/>
    <cellStyle name="Percent 3 9" xfId="670"/>
    <cellStyle name="Percent 4 10" xfId="671"/>
    <cellStyle name="Percent 4 11" xfId="672"/>
    <cellStyle name="Percent 4 12" xfId="673"/>
    <cellStyle name="Percent 4 13" xfId="674"/>
    <cellStyle name="Percent 4 14" xfId="675"/>
    <cellStyle name="Percent 4 15" xfId="676"/>
    <cellStyle name="Percent 4 16" xfId="677"/>
    <cellStyle name="Percent 4 17" xfId="678"/>
    <cellStyle name="Percent 4 18" xfId="679"/>
    <cellStyle name="Percent 4 19" xfId="680"/>
    <cellStyle name="Percent 4 2" xfId="681"/>
    <cellStyle name="Percent 4 20" xfId="682"/>
    <cellStyle name="Percent 4 21" xfId="683"/>
    <cellStyle name="Percent 4 22" xfId="684"/>
    <cellStyle name="Percent 4 23" xfId="685"/>
    <cellStyle name="Percent 4 24" xfId="686"/>
    <cellStyle name="Percent 4 25" xfId="687"/>
    <cellStyle name="Percent 4 26" xfId="688"/>
    <cellStyle name="Percent 4 27" xfId="689"/>
    <cellStyle name="Percent 4 28" xfId="690"/>
    <cellStyle name="Percent 4 3" xfId="691"/>
    <cellStyle name="Percent 4 4" xfId="692"/>
    <cellStyle name="Percent 4 5" xfId="693"/>
    <cellStyle name="Percent 4 6" xfId="694"/>
    <cellStyle name="Percent 4 7" xfId="695"/>
    <cellStyle name="Percent 4 8" xfId="696"/>
    <cellStyle name="Percent 4 9" xfId="697"/>
    <cellStyle name="Percent 5 10" xfId="698"/>
    <cellStyle name="Percent 5 11" xfId="699"/>
    <cellStyle name="Percent 5 12" xfId="700"/>
    <cellStyle name="Percent 5 13" xfId="701"/>
    <cellStyle name="Percent 5 14" xfId="702"/>
    <cellStyle name="Percent 5 15" xfId="703"/>
    <cellStyle name="Percent 5 16" xfId="704"/>
    <cellStyle name="Percent 5 17" xfId="705"/>
    <cellStyle name="Percent 5 18" xfId="706"/>
    <cellStyle name="Percent 5 19" xfId="707"/>
    <cellStyle name="Percent 5 2" xfId="708"/>
    <cellStyle name="Percent 5 20" xfId="709"/>
    <cellStyle name="Percent 5 21" xfId="710"/>
    <cellStyle name="Percent 5 22" xfId="711"/>
    <cellStyle name="Percent 5 23" xfId="712"/>
    <cellStyle name="Percent 5 24" xfId="713"/>
    <cellStyle name="Percent 5 25" xfId="714"/>
    <cellStyle name="Percent 5 26" xfId="715"/>
    <cellStyle name="Percent 5 27" xfId="716"/>
    <cellStyle name="Percent 5 28" xfId="717"/>
    <cellStyle name="Percent 5 3" xfId="718"/>
    <cellStyle name="Percent 5 4" xfId="719"/>
    <cellStyle name="Percent 5 5" xfId="720"/>
    <cellStyle name="Percent 5 6" xfId="721"/>
    <cellStyle name="Percent 5 7" xfId="722"/>
    <cellStyle name="Percent 5 8" xfId="723"/>
    <cellStyle name="Percent 5 9" xfId="724"/>
  </cellStyles>
  <dxfs count="3">
    <dxf>
      <fill>
        <patternFill>
          <bgColor indexed="29"/>
        </patternFill>
      </fill>
      <border/>
    </dxf>
    <dxf>
      <fill>
        <patternFill>
          <bgColor theme="8" tint="0.5999600291252136"/>
        </patternFill>
      </fill>
    </dxf>
    <dxf>
      <fill>
        <patternFill>
          <bgColor theme="8" tint="0.7999799847602844"/>
        </patternFill>
      </fill>
      <border>
        <left style="thin">
          <color theme="8" tint="0.5999600291252136"/>
        </left>
        <right style="thin">
          <color theme="8" tint="0.5999600291252136"/>
        </right>
        <top style="thin">
          <color theme="8" tint="0.5999600291252136"/>
        </top>
        <bottom style="thin">
          <color theme="8" tint="0.5999600291252136"/>
        </bottom>
      </border>
    </dxf>
  </dxfs>
  <tableStyles count="1" defaultTableStyle="TableStyleMedium9" defaultPivotStyle="PivotStyleLight16">
    <tableStyle name="Table Style 1" pivot="0" count="2">
      <tableStyleElement type="wholeTable" dxfId="2"/>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14\2014%20WA_ELEC_&amp;_GAS_GRC\Compliance%20Filing%20-%20Final%20Order\Electronic%20WP's\UE-140188%20Compliance%20Attachment%201.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2012\2012%20WA%20GRC\Direct%20Testimony%20&amp;%20Exhibits-FILING\I.%20UE__Avista%20Direct%20Evidence-(Apr2012)\3.%20UE__AVA%20WP's%20(Apr2012)\P.%20UE__Ehrbar%20Workpapers%20(AVA-Apr2012)\Ehrbar%20Electric%20Workpaper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2015\2015_WA_Elec_and_Gas_GRC\Compliance%20Filing%20-%20Final%20Order\UE-150204%20et%20al%20Compliance%20Filing%20Attachment%20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 &amp; Prop Rev"/>
      <sheetName val="Rate Design"/>
      <sheetName val="Exh 2"/>
      <sheetName val="Exh 3"/>
      <sheetName val="LIRAP"/>
      <sheetName val="ERM Offset"/>
      <sheetName val="Sch 98 REC Revenue"/>
      <sheetName val="ROR"/>
      <sheetName val="Bill Determ"/>
      <sheetName val="Bill Impact"/>
      <sheetName val="WA Sch 25"/>
      <sheetName val="Lighting summary"/>
      <sheetName val="St Lts"/>
      <sheetName val="Area Lts"/>
      <sheetName val="Capital Recovery Factor Calc"/>
      <sheetName val="Block Data"/>
      <sheetName val="Rev Runs 12MEJUNE2013"/>
      <sheetName val="LED Rates"/>
    </sheetNames>
    <sheetDataSet>
      <sheetData sheetId="0" refreshError="1">
        <row r="8">
          <cell r="N8">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s &amp; Prop Rev"/>
      <sheetName val="Rate Design"/>
      <sheetName val="Exh 1"/>
      <sheetName val="Exh 2"/>
      <sheetName val="Exh 3"/>
      <sheetName val="ERM"/>
      <sheetName val="ROR"/>
      <sheetName val="Bill Determ"/>
      <sheetName val="WA Sch 25"/>
      <sheetName val="Lighting summary"/>
      <sheetName val="St Lts"/>
      <sheetName val="Area Lts"/>
      <sheetName val="Rev Runs CY"/>
      <sheetName val="Rev Runs LY"/>
    </sheetNames>
    <sheetDataSet>
      <sheetData sheetId="0">
        <row r="8">
          <cell r="N8">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s &amp; Prop Rev"/>
      <sheetName val="Rate Design"/>
      <sheetName val="Exh 1"/>
      <sheetName val="Exh 2"/>
      <sheetName val="Exh 3"/>
      <sheetName val="Adder Schedule"/>
      <sheetName val="ERM"/>
      <sheetName val="LIRAP"/>
      <sheetName val="ROR"/>
      <sheetName val="Bill Determ"/>
      <sheetName val="Bill Impact"/>
      <sheetName val="WA Sch 25"/>
      <sheetName val="Lighting summary"/>
      <sheetName val="St Lts"/>
      <sheetName val="Area Lts"/>
      <sheetName val="Capital Recovery Factor Calc"/>
      <sheetName val="Block Data"/>
      <sheetName val="Rev Runs 12MESEPT2014"/>
    </sheetNames>
    <sheetDataSet>
      <sheetData sheetId="0">
        <row r="23">
          <cell r="D23">
            <v>2378478031</v>
          </cell>
        </row>
      </sheetData>
      <sheetData sheetId="1"/>
      <sheetData sheetId="2"/>
      <sheetData sheetId="3"/>
      <sheetData sheetId="4"/>
      <sheetData sheetId="5">
        <row r="11">
          <cell r="H11" t="e">
            <v>#DIV/0!</v>
          </cell>
        </row>
      </sheetData>
      <sheetData sheetId="6"/>
      <sheetData sheetId="7"/>
      <sheetData sheetId="8"/>
      <sheetData sheetId="9"/>
      <sheetData sheetId="10"/>
      <sheetData sheetId="11"/>
      <sheetData sheetId="12"/>
      <sheetData sheetId="13"/>
      <sheetData sheetId="14"/>
      <sheetData sheetId="15"/>
      <sheetData sheetId="16"/>
      <sheetData sheetId="17">
        <row r="49">
          <cell r="P49">
            <v>58008579</v>
          </cell>
        </row>
        <row r="51">
          <cell r="P51">
            <v>37100850</v>
          </cell>
        </row>
        <row r="55">
          <cell r="P55">
            <v>8808245</v>
          </cell>
        </row>
        <row r="81">
          <cell r="P81">
            <v>37242635</v>
          </cell>
        </row>
        <row r="83">
          <cell r="P83">
            <v>23972417</v>
          </cell>
        </row>
        <row r="86">
          <cell r="P86">
            <v>4339230</v>
          </cell>
        </row>
        <row r="90">
          <cell r="P90">
            <v>-37287541</v>
          </cell>
        </row>
        <row r="92">
          <cell r="P92">
            <v>-24117178</v>
          </cell>
        </row>
        <row r="95">
          <cell r="P95">
            <v>-4497791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55"/>
  <sheetViews>
    <sheetView tabSelected="1" view="pageBreakPreview" zoomScale="60" workbookViewId="0" topLeftCell="A1">
      <selection activeCell="D13" sqref="D13"/>
    </sheetView>
  </sheetViews>
  <sheetFormatPr defaultColWidth="9.140625" defaultRowHeight="15"/>
  <cols>
    <col min="1" max="1" width="12.00390625" style="0" bestFit="1" customWidth="1"/>
    <col min="2" max="2" width="50.7109375" style="0" bestFit="1" customWidth="1"/>
    <col min="3" max="3" width="16.28125" style="0" bestFit="1" customWidth="1"/>
    <col min="4" max="4" width="15.7109375" style="0" customWidth="1"/>
    <col min="5" max="7" width="15.28125" style="0" bestFit="1" customWidth="1"/>
    <col min="8" max="8" width="15.7109375" style="0" customWidth="1"/>
    <col min="9" max="9" width="16.8515625" style="0" customWidth="1"/>
    <col min="10" max="10" width="10.00390625" style="0" bestFit="1" customWidth="1"/>
    <col min="12" max="12" width="16.8515625" style="0" bestFit="1" customWidth="1"/>
  </cols>
  <sheetData>
    <row r="2" spans="1:10" ht="15">
      <c r="A2" s="1"/>
      <c r="B2" s="3" t="s">
        <v>0</v>
      </c>
      <c r="C2" s="1"/>
      <c r="D2" s="1"/>
      <c r="E2" s="1"/>
      <c r="F2" s="1"/>
      <c r="G2" s="1"/>
      <c r="H2" s="1"/>
      <c r="I2" s="1"/>
      <c r="J2" s="1"/>
    </row>
    <row r="3" spans="1:9" ht="15">
      <c r="A3" s="5"/>
      <c r="B3" s="5"/>
      <c r="C3" s="5"/>
      <c r="D3" s="5"/>
      <c r="E3" s="5"/>
      <c r="F3" s="5"/>
      <c r="G3" s="5"/>
      <c r="H3" s="5"/>
      <c r="I3" s="5"/>
    </row>
    <row r="4" spans="1:10" ht="15">
      <c r="A4" s="7"/>
      <c r="B4" s="8"/>
      <c r="C4" s="8" t="s">
        <v>1</v>
      </c>
      <c r="D4" s="8" t="s">
        <v>2</v>
      </c>
      <c r="E4" s="8" t="s">
        <v>3</v>
      </c>
      <c r="F4" s="8" t="s">
        <v>4</v>
      </c>
      <c r="G4" s="8" t="s">
        <v>5</v>
      </c>
      <c r="H4" s="8" t="s">
        <v>6</v>
      </c>
      <c r="I4" s="8" t="s">
        <v>7</v>
      </c>
      <c r="J4" s="2"/>
    </row>
    <row r="5" spans="1:10" ht="15">
      <c r="A5" s="90" t="s">
        <v>11</v>
      </c>
      <c r="B5" s="9"/>
      <c r="C5" s="9" t="s">
        <v>8</v>
      </c>
      <c r="D5" s="9" t="s">
        <v>155</v>
      </c>
      <c r="E5" s="9" t="s">
        <v>194</v>
      </c>
      <c r="F5" s="9" t="s">
        <v>195</v>
      </c>
      <c r="G5" s="9" t="s">
        <v>9</v>
      </c>
      <c r="H5" s="9" t="s">
        <v>10</v>
      </c>
      <c r="I5" s="9" t="s">
        <v>156</v>
      </c>
      <c r="J5" s="2"/>
    </row>
    <row r="6" spans="1:9" ht="15">
      <c r="A6" s="10"/>
      <c r="B6" s="10"/>
      <c r="C6" s="11"/>
      <c r="D6" s="11"/>
      <c r="E6" s="11"/>
      <c r="F6" s="11"/>
      <c r="G6" s="11"/>
      <c r="H6" s="11"/>
      <c r="I6" s="11"/>
    </row>
    <row r="7" spans="1:12" ht="15">
      <c r="A7" s="13" t="s">
        <v>59</v>
      </c>
      <c r="B7" s="91" t="s">
        <v>150</v>
      </c>
      <c r="C7" s="12">
        <f>SUM(D7:I7)</f>
        <v>5683908682.269815</v>
      </c>
      <c r="D7" s="12">
        <f>SUM('Billing Determinants'!$F19:$Q19)</f>
        <v>2471980587.602209</v>
      </c>
      <c r="E7" s="12">
        <f>SUM('Billing Determinants'!F20:Q20)</f>
        <v>658351304.8177555</v>
      </c>
      <c r="F7" s="12">
        <f>SUM('Billing Determinants'!F21:Q21)</f>
        <v>1328213987.2388108</v>
      </c>
      <c r="G7" s="12">
        <f>SUM('Billing Determinants'!F22:Q22)</f>
        <v>1061843338</v>
      </c>
      <c r="H7" s="12">
        <f>SUM('Billing Determinants'!F23:Q23)</f>
        <v>147362361.61315906</v>
      </c>
      <c r="I7" s="12">
        <f>SUM('Billing Determinants'!F24:Q24)</f>
        <v>16157102.997881051</v>
      </c>
      <c r="L7" s="135" t="s">
        <v>166</v>
      </c>
    </row>
    <row r="8" spans="1:9" ht="15">
      <c r="A8" s="36"/>
      <c r="B8" s="5"/>
      <c r="C8" s="5"/>
      <c r="D8" s="5"/>
      <c r="E8" s="5"/>
      <c r="F8" s="5"/>
      <c r="G8" s="5"/>
      <c r="H8" s="5"/>
      <c r="I8" s="5"/>
    </row>
    <row r="9" spans="1:9" ht="15">
      <c r="A9" s="36"/>
      <c r="B9" s="5" t="s">
        <v>12</v>
      </c>
      <c r="C9" s="5"/>
      <c r="D9" s="146">
        <v>0.00323</v>
      </c>
      <c r="E9" s="146">
        <v>0.00426</v>
      </c>
      <c r="F9" s="146">
        <v>0.00333</v>
      </c>
      <c r="G9" s="146">
        <v>0.00205</v>
      </c>
      <c r="H9" s="146">
        <v>0.00282</v>
      </c>
      <c r="I9" s="147">
        <v>0.01394</v>
      </c>
    </row>
    <row r="10" spans="1:9" ht="15">
      <c r="A10" s="36"/>
      <c r="B10" s="5"/>
      <c r="C10" s="5"/>
      <c r="D10" s="5"/>
      <c r="E10" s="5"/>
      <c r="F10" s="5"/>
      <c r="G10" s="5"/>
      <c r="H10" s="5"/>
      <c r="I10" s="5"/>
    </row>
    <row r="11" spans="1:9" ht="15">
      <c r="A11" s="36"/>
      <c r="B11" s="5" t="s">
        <v>56</v>
      </c>
      <c r="C11" s="6">
        <f>SUM(D11:I11)</f>
        <v>18029597.152423583</v>
      </c>
      <c r="D11" s="6">
        <f aca="true" t="shared" si="0" ref="D11:H11">D7*D9</f>
        <v>7984497.297955135</v>
      </c>
      <c r="E11" s="6">
        <f>E7*E9</f>
        <v>2804576.558523638</v>
      </c>
      <c r="F11" s="6">
        <f t="shared" si="0"/>
        <v>4422952.57750524</v>
      </c>
      <c r="G11" s="6">
        <f t="shared" si="0"/>
        <v>2176778.8429</v>
      </c>
      <c r="H11" s="6">
        <f t="shared" si="0"/>
        <v>415561.85974910855</v>
      </c>
      <c r="I11" s="6">
        <f>I7*I9</f>
        <v>225230.01579046185</v>
      </c>
    </row>
    <row r="12" spans="1:12" ht="15">
      <c r="A12" s="36"/>
      <c r="B12" s="5"/>
      <c r="C12" s="6"/>
      <c r="D12" s="6"/>
      <c r="E12" s="6"/>
      <c r="F12" s="6"/>
      <c r="G12" s="6"/>
      <c r="H12" s="6"/>
      <c r="I12" s="6"/>
      <c r="L12" s="139"/>
    </row>
    <row r="13" spans="1:12" s="44" customFormat="1" ht="17.25">
      <c r="A13" s="13" t="s">
        <v>191</v>
      </c>
      <c r="B13" s="5" t="s">
        <v>89</v>
      </c>
      <c r="C13" s="6">
        <f>SUM(D13:I13)</f>
        <v>530520000</v>
      </c>
      <c r="D13" s="6">
        <f>ROUND('Base Revenue'!F14*1000,-3)</f>
        <v>230654000</v>
      </c>
      <c r="E13" s="6">
        <f>ROUND('Base Revenue'!F16*1000,-3)</f>
        <v>77192000</v>
      </c>
      <c r="F13" s="6">
        <f>ROUND('Base Revenue'!F18*1000,-3)</f>
        <v>132812000</v>
      </c>
      <c r="G13" s="6">
        <f>ROUND('Base Revenue'!F20*1000,-3)</f>
        <v>70533000</v>
      </c>
      <c r="H13" s="6">
        <f>ROUND('Base Revenue'!F22*1000,-3)</f>
        <v>12723000</v>
      </c>
      <c r="I13" s="6">
        <f>ROUND('Base Revenue'!F24*1000,-3)</f>
        <v>6606000</v>
      </c>
      <c r="L13" s="140"/>
    </row>
    <row r="14" spans="1:12" s="44" customFormat="1" ht="15">
      <c r="A14" s="5"/>
      <c r="B14" s="5"/>
      <c r="C14" s="6"/>
      <c r="D14" s="6"/>
      <c r="E14" s="6"/>
      <c r="F14" s="6"/>
      <c r="L14" s="14"/>
    </row>
    <row r="15" spans="1:9" s="44" customFormat="1" ht="15">
      <c r="A15" s="5"/>
      <c r="B15" s="5" t="s">
        <v>81</v>
      </c>
      <c r="C15" s="86">
        <f>SUM(D15:I15)</f>
        <v>1</v>
      </c>
      <c r="D15" s="4">
        <f>D13/$C$13</f>
        <v>0.4347696599562693</v>
      </c>
      <c r="E15" s="4">
        <f>E13/$C$13</f>
        <v>0.1455025258237201</v>
      </c>
      <c r="F15" s="4">
        <f aca="true" t="shared" si="1" ref="F15:H15">F13/$C$13</f>
        <v>0.2503430596395989</v>
      </c>
      <c r="G15" s="4">
        <f>G13/$C$13</f>
        <v>0.13295068988916534</v>
      </c>
      <c r="H15" s="4">
        <f t="shared" si="1"/>
        <v>0.023982130739651664</v>
      </c>
      <c r="I15" s="4">
        <f>I13/$C$13</f>
        <v>0.012451933951594663</v>
      </c>
    </row>
    <row r="16" spans="1:9" s="44" customFormat="1" ht="15">
      <c r="A16" s="5"/>
      <c r="B16" s="5"/>
      <c r="C16" s="86"/>
      <c r="D16" s="4"/>
      <c r="E16" s="4"/>
      <c r="F16" s="4"/>
      <c r="G16" s="4"/>
      <c r="H16" s="4"/>
      <c r="I16" s="4"/>
    </row>
    <row r="17" spans="1:9" s="44" customFormat="1" ht="15">
      <c r="A17" s="5"/>
      <c r="B17" s="5" t="s">
        <v>90</v>
      </c>
      <c r="C17" s="155">
        <v>14509924.565760205</v>
      </c>
      <c r="D17" s="154"/>
      <c r="E17" s="154"/>
      <c r="F17" s="154"/>
      <c r="G17" s="154"/>
      <c r="H17" s="154"/>
      <c r="I17" s="154"/>
    </row>
    <row r="18" spans="1:9" s="44" customFormat="1" ht="15">
      <c r="A18" s="5"/>
      <c r="B18" s="5"/>
      <c r="C18" s="5"/>
      <c r="D18" s="5"/>
      <c r="E18" s="5"/>
      <c r="F18" s="5"/>
      <c r="G18" s="5"/>
      <c r="H18" s="5"/>
      <c r="I18" s="5"/>
    </row>
    <row r="19" spans="1:9" s="44" customFormat="1" ht="15">
      <c r="A19" s="5"/>
      <c r="B19" s="5" t="s">
        <v>82</v>
      </c>
      <c r="C19" s="6">
        <f>SUM(D19:I19)</f>
        <v>14509924.565760206</v>
      </c>
      <c r="D19" s="6">
        <f>$C$17*D15</f>
        <v>6308474.969446683</v>
      </c>
      <c r="E19" s="6">
        <f>$C$17*E15</f>
        <v>2111230.673829755</v>
      </c>
      <c r="F19" s="6">
        <f aca="true" t="shared" si="2" ref="F19:H19">$C$17*F15</f>
        <v>3632458.9109321884</v>
      </c>
      <c r="G19" s="6">
        <f>$C$17*G15</f>
        <v>1929104.481257567</v>
      </c>
      <c r="H19" s="6">
        <f t="shared" si="2"/>
        <v>347978.9079585446</v>
      </c>
      <c r="I19" s="6">
        <f>$C$17*I15</f>
        <v>180676.62233546693</v>
      </c>
    </row>
    <row r="20" spans="1:9" s="44" customFormat="1" ht="15">
      <c r="A20" s="5"/>
      <c r="B20" s="5"/>
      <c r="C20" s="6"/>
      <c r="D20" s="6"/>
      <c r="E20" s="6"/>
      <c r="F20" s="6"/>
      <c r="G20" s="6"/>
      <c r="H20" s="6"/>
      <c r="I20" s="6"/>
    </row>
    <row r="21" spans="1:9" s="44" customFormat="1" ht="15">
      <c r="A21" s="5"/>
      <c r="B21" s="5" t="s">
        <v>83</v>
      </c>
      <c r="C21" s="6">
        <f>C19-C11</f>
        <v>-3519672.5866633765</v>
      </c>
      <c r="D21" s="6">
        <f>D19-D11</f>
        <v>-1676022.3285084516</v>
      </c>
      <c r="E21" s="6">
        <f>E19-E11</f>
        <v>-693345.8846938834</v>
      </c>
      <c r="F21" s="6">
        <f aca="true" t="shared" si="3" ref="F21:I21">F19-F11</f>
        <v>-790493.6665730518</v>
      </c>
      <c r="G21" s="6">
        <f>G19-G11</f>
        <v>-247674.3616424331</v>
      </c>
      <c r="H21" s="6">
        <f>H19-H11</f>
        <v>-67582.95179056394</v>
      </c>
      <c r="I21" s="6">
        <f t="shared" si="3"/>
        <v>-44553.39345499492</v>
      </c>
    </row>
    <row r="22" spans="1:9" s="44" customFormat="1" ht="15">
      <c r="A22" s="5"/>
      <c r="B22" s="5"/>
      <c r="C22" s="5"/>
      <c r="D22" s="5"/>
      <c r="E22" s="5"/>
      <c r="F22" s="5"/>
      <c r="G22" s="5"/>
      <c r="H22" s="5"/>
      <c r="I22" s="5"/>
    </row>
    <row r="23" spans="1:10" s="44" customFormat="1" ht="15">
      <c r="A23" s="5"/>
      <c r="B23" s="5" t="s">
        <v>149</v>
      </c>
      <c r="C23" s="5"/>
      <c r="D23" s="87">
        <f>D19/D7</f>
        <v>0.002551992115587698</v>
      </c>
      <c r="E23" s="87">
        <f>E19/E7</f>
        <v>0.0032068451271835556</v>
      </c>
      <c r="F23" s="87">
        <f aca="true" t="shared" si="4" ref="F23:H23">F19/F7</f>
        <v>0.002734844645390019</v>
      </c>
      <c r="G23" s="87">
        <f t="shared" si="4"/>
        <v>0.0018167505621790386</v>
      </c>
      <c r="H23" s="87">
        <f t="shared" si="4"/>
        <v>0.002361382541303349</v>
      </c>
      <c r="I23" s="87">
        <f>I19/I7</f>
        <v>0.011182488739420801</v>
      </c>
      <c r="J23" s="89"/>
    </row>
    <row r="24" spans="1:9" s="44" customFormat="1" ht="15">
      <c r="A24" s="5"/>
      <c r="B24" s="5"/>
      <c r="C24" s="5"/>
      <c r="D24" s="5"/>
      <c r="E24" s="5"/>
      <c r="F24" s="5"/>
      <c r="G24" s="5"/>
      <c r="H24" s="5"/>
      <c r="I24" s="5"/>
    </row>
    <row r="25" spans="1:9" s="44" customFormat="1" ht="15">
      <c r="A25" s="5"/>
      <c r="B25" s="5" t="s">
        <v>84</v>
      </c>
      <c r="C25" s="88">
        <f>C19/C11-1</f>
        <v>-0.19521637432649197</v>
      </c>
      <c r="D25" s="88">
        <f>D19/D11-1</f>
        <v>-0.2099095617375546</v>
      </c>
      <c r="E25" s="88">
        <f>E19/E11-1</f>
        <v>-0.2472194537127803</v>
      </c>
      <c r="F25" s="88">
        <f aca="true" t="shared" si="5" ref="F25:H25">F19/F11-1</f>
        <v>-0.17872533171470917</v>
      </c>
      <c r="G25" s="88">
        <f>G19/G11-1</f>
        <v>-0.11378021357120072</v>
      </c>
      <c r="H25" s="88">
        <f t="shared" si="5"/>
        <v>-0.1626303045023585</v>
      </c>
      <c r="I25" s="88">
        <f>I19/I11-1</f>
        <v>-0.19781285943896687</v>
      </c>
    </row>
    <row r="26" spans="1:9" s="44" customFormat="1" ht="15">
      <c r="A26" s="36"/>
      <c r="B26" s="5"/>
      <c r="C26" s="6"/>
      <c r="D26" s="6"/>
      <c r="E26" s="6"/>
      <c r="F26" s="6"/>
      <c r="G26" s="6"/>
      <c r="H26" s="6"/>
      <c r="I26" s="6"/>
    </row>
    <row r="27" spans="1:11" ht="15">
      <c r="A27" s="13"/>
      <c r="B27" s="44" t="s">
        <v>73</v>
      </c>
      <c r="C27" s="46">
        <f>SUM(D27:I27)</f>
        <v>540240000</v>
      </c>
      <c r="D27" s="155">
        <v>231769000</v>
      </c>
      <c r="E27" s="155">
        <f>81602000+1000</f>
        <v>81603000</v>
      </c>
      <c r="F27" s="155">
        <v>139808000</v>
      </c>
      <c r="G27" s="155">
        <f>43524000+23860000</f>
        <v>67384000</v>
      </c>
      <c r="H27" s="155">
        <v>12812000</v>
      </c>
      <c r="I27" s="155">
        <v>6864000</v>
      </c>
      <c r="K27" s="44"/>
    </row>
    <row r="29" spans="2:9" s="44" customFormat="1" ht="15">
      <c r="B29" s="44" t="s">
        <v>85</v>
      </c>
      <c r="C29" s="15">
        <f>SUM(D29:I29)</f>
        <v>536720327.41333663</v>
      </c>
      <c r="D29" s="15">
        <f>D21+D27</f>
        <v>230092977.67149156</v>
      </c>
      <c r="E29" s="15">
        <f aca="true" t="shared" si="6" ref="E29:F29">E21+E27</f>
        <v>80909654.11530611</v>
      </c>
      <c r="F29" s="15">
        <f t="shared" si="6"/>
        <v>139017506.33342695</v>
      </c>
      <c r="G29" s="15">
        <f>G21+G27</f>
        <v>67136325.63835756</v>
      </c>
      <c r="H29" s="15">
        <f>H21+H27</f>
        <v>12744417.048209436</v>
      </c>
      <c r="I29" s="15">
        <f>I21+I27</f>
        <v>6819446.606545005</v>
      </c>
    </row>
    <row r="30" s="44" customFormat="1" ht="15"/>
    <row r="31" spans="2:9" s="44" customFormat="1" ht="15">
      <c r="B31" s="44" t="s">
        <v>86</v>
      </c>
      <c r="C31" s="134">
        <f>C29/C27-1</f>
        <v>-0.0065150166345760985</v>
      </c>
      <c r="D31" s="134">
        <f>D29/D27-1</f>
        <v>-0.007231434439068374</v>
      </c>
      <c r="E31" s="134">
        <f aca="true" t="shared" si="7" ref="E31:I31">E29/E27-1</f>
        <v>-0.008496573467812296</v>
      </c>
      <c r="F31" s="134">
        <f>F29/F27-1</f>
        <v>-0.00565413757848654</v>
      </c>
      <c r="G31" s="134">
        <f>G29/G27-1</f>
        <v>-0.0036755663309159248</v>
      </c>
      <c r="H31" s="134">
        <f t="shared" si="7"/>
        <v>-0.005274972821617485</v>
      </c>
      <c r="I31" s="134">
        <f t="shared" si="7"/>
        <v>-0.0064908789998535665</v>
      </c>
    </row>
    <row r="32" s="44" customFormat="1" ht="15"/>
    <row r="33" spans="4:9" s="44" customFormat="1" ht="15">
      <c r="D33" s="87">
        <f aca="true" t="shared" si="8" ref="D33:I33">D23-D9</f>
        <v>-0.0006780078844123016</v>
      </c>
      <c r="E33" s="87">
        <f t="shared" si="8"/>
        <v>-0.0010531548728164443</v>
      </c>
      <c r="F33" s="87">
        <f t="shared" si="8"/>
        <v>-0.0005951553546099811</v>
      </c>
      <c r="G33" s="87">
        <f t="shared" si="8"/>
        <v>-0.0002332494378209616</v>
      </c>
      <c r="H33" s="87">
        <f t="shared" si="8"/>
        <v>-0.0004586174586966511</v>
      </c>
      <c r="I33" s="87">
        <f t="shared" si="8"/>
        <v>-0.002757511260579198</v>
      </c>
    </row>
    <row r="34" spans="2:9" ht="15">
      <c r="B34" s="44" t="s">
        <v>78</v>
      </c>
      <c r="C34" s="82">
        <f>C11/C27</f>
        <v>0.03337331029250626</v>
      </c>
      <c r="D34" s="4"/>
      <c r="E34" s="4"/>
      <c r="F34" s="4"/>
      <c r="G34" s="4"/>
      <c r="H34" s="4"/>
      <c r="I34" s="4"/>
    </row>
    <row r="35" spans="3:9" s="44" customFormat="1" ht="15">
      <c r="C35" s="82"/>
      <c r="D35" s="4"/>
      <c r="E35" s="4"/>
      <c r="F35" s="4"/>
      <c r="G35" s="4"/>
      <c r="H35" s="4"/>
      <c r="I35" s="4"/>
    </row>
    <row r="36" spans="2:9" s="44" customFormat="1" ht="15">
      <c r="B36" s="44" t="s">
        <v>80</v>
      </c>
      <c r="C36" s="4">
        <f>C21/C11</f>
        <v>-0.195216374326492</v>
      </c>
      <c r="D36" s="4"/>
      <c r="E36" s="4"/>
      <c r="F36" s="4"/>
      <c r="G36" s="4"/>
      <c r="H36" s="4"/>
      <c r="I36" s="4"/>
    </row>
    <row r="37" spans="3:9" s="44" customFormat="1" ht="15">
      <c r="C37" s="82"/>
      <c r="D37" s="4"/>
      <c r="E37" s="4"/>
      <c r="F37" s="4"/>
      <c r="G37" s="4"/>
      <c r="H37" s="4"/>
      <c r="I37" s="4"/>
    </row>
    <row r="38" spans="1:5" ht="15">
      <c r="A38" s="44"/>
      <c r="C38" s="44" t="s">
        <v>57</v>
      </c>
      <c r="D38" s="44" t="s">
        <v>87</v>
      </c>
      <c r="E38" s="44" t="s">
        <v>88</v>
      </c>
    </row>
    <row r="39" spans="2:7" ht="15">
      <c r="B39" t="s">
        <v>13</v>
      </c>
      <c r="C39" s="156">
        <f>C11</f>
        <v>18029597.152423583</v>
      </c>
      <c r="D39" s="157">
        <f>C19</f>
        <v>14509924.565760206</v>
      </c>
      <c r="E39" s="157">
        <f>D39-C39</f>
        <v>-3519672.5866633765</v>
      </c>
      <c r="F39" s="158"/>
      <c r="G39" s="158"/>
    </row>
    <row r="40" spans="2:7" ht="15">
      <c r="B40" t="s">
        <v>14</v>
      </c>
      <c r="C40" s="159">
        <f>'Rev Conv Factor'!E22</f>
        <v>0.955631</v>
      </c>
      <c r="D40" s="159">
        <f>'Rev Conv Factor'!E22</f>
        <v>0.955631</v>
      </c>
      <c r="E40" s="158"/>
      <c r="F40" s="158"/>
      <c r="G40" s="158"/>
    </row>
    <row r="41" spans="3:7" ht="15">
      <c r="C41" s="158"/>
      <c r="D41" s="158"/>
      <c r="E41" s="158"/>
      <c r="F41" s="158"/>
      <c r="G41" s="158"/>
    </row>
    <row r="42" spans="2:7" ht="15">
      <c r="B42" t="s">
        <v>15</v>
      </c>
      <c r="C42" s="157">
        <f>C39*C40</f>
        <v>17229641.9563677</v>
      </c>
      <c r="D42" s="157">
        <f>D39*D40</f>
        <v>13866133.722701993</v>
      </c>
      <c r="E42" s="157">
        <f>D42-C42</f>
        <v>-3363508.2336657085</v>
      </c>
      <c r="F42" s="158"/>
      <c r="G42" s="158"/>
    </row>
    <row r="43" spans="3:7" ht="15">
      <c r="C43" s="158"/>
      <c r="D43" s="158"/>
      <c r="E43" s="158"/>
      <c r="F43" s="158"/>
      <c r="G43" s="158"/>
    </row>
    <row r="44" spans="3:7" ht="15">
      <c r="C44" s="158" t="s">
        <v>57</v>
      </c>
      <c r="D44" s="158" t="s">
        <v>87</v>
      </c>
      <c r="E44" s="158" t="s">
        <v>196</v>
      </c>
      <c r="F44" s="158" t="s">
        <v>197</v>
      </c>
      <c r="G44" s="158"/>
    </row>
    <row r="45" spans="2:7" ht="15">
      <c r="B45" s="44" t="s">
        <v>198</v>
      </c>
      <c r="C45" s="160">
        <f>9+(800*0.08076)+(114*0.094)</f>
        <v>84.324</v>
      </c>
      <c r="D45" s="160">
        <f>9+(800*(0.08076+(D23-D9))+(114*(0.094+(ROUND(D23,5)-D9))))</f>
        <v>83.70407369247016</v>
      </c>
      <c r="E45" s="161">
        <f>D45-C45</f>
        <v>-0.6199263075298376</v>
      </c>
      <c r="F45" s="162">
        <f>E45/C45</f>
        <v>-0.007351718461290233</v>
      </c>
      <c r="G45" s="158"/>
    </row>
    <row r="46" spans="3:7" ht="15">
      <c r="C46" s="158"/>
      <c r="D46" s="158"/>
      <c r="E46" s="158"/>
      <c r="F46" s="158"/>
      <c r="G46" s="158"/>
    </row>
    <row r="47" spans="3:7" ht="15">
      <c r="C47" s="158" t="s">
        <v>57</v>
      </c>
      <c r="D47" s="158" t="s">
        <v>88</v>
      </c>
      <c r="E47" s="158" t="s">
        <v>87</v>
      </c>
      <c r="F47" s="158"/>
      <c r="G47" s="158"/>
    </row>
    <row r="48" spans="2:7" ht="15">
      <c r="B48" t="s">
        <v>157</v>
      </c>
      <c r="C48" s="160">
        <v>9</v>
      </c>
      <c r="D48" s="160">
        <v>0</v>
      </c>
      <c r="E48" s="161">
        <f>C48+D48</f>
        <v>9</v>
      </c>
      <c r="F48" s="158"/>
      <c r="G48" s="158"/>
    </row>
    <row r="49" spans="2:7" ht="15">
      <c r="B49" t="s">
        <v>158</v>
      </c>
      <c r="C49" s="163">
        <v>0.08076</v>
      </c>
      <c r="D49" s="163">
        <f>ROUND($D$23,5)-ROUND($D$9,5)</f>
        <v>-0.0006799999999999996</v>
      </c>
      <c r="E49" s="164">
        <f>C49+D49</f>
        <v>0.08008</v>
      </c>
      <c r="F49" s="158"/>
      <c r="G49" s="158"/>
    </row>
    <row r="50" spans="2:7" ht="15">
      <c r="B50" t="s">
        <v>159</v>
      </c>
      <c r="C50" s="163">
        <v>0.094</v>
      </c>
      <c r="D50" s="163">
        <f>ROUND($D$23,5)-ROUND($D$9,5)</f>
        <v>-0.0006799999999999996</v>
      </c>
      <c r="E50" s="164">
        <f aca="true" t="shared" si="9" ref="E50:E51">C50+D50</f>
        <v>0.09332</v>
      </c>
      <c r="F50" s="158"/>
      <c r="G50" s="158"/>
    </row>
    <row r="51" spans="2:7" ht="15">
      <c r="B51" t="s">
        <v>160</v>
      </c>
      <c r="C51" s="163">
        <v>0.11026</v>
      </c>
      <c r="D51" s="163">
        <f aca="true" t="shared" si="10" ref="D51">ROUND($D$23,5)-ROUND($D$9,5)</f>
        <v>-0.0006799999999999996</v>
      </c>
      <c r="E51" s="164">
        <f t="shared" si="9"/>
        <v>0.10958</v>
      </c>
      <c r="F51" s="158"/>
      <c r="G51" s="158"/>
    </row>
    <row r="52" spans="3:7" ht="15">
      <c r="C52" s="158"/>
      <c r="D52" s="158"/>
      <c r="E52" s="158"/>
      <c r="F52" s="158"/>
      <c r="G52" s="158"/>
    </row>
    <row r="53" spans="3:5" ht="15">
      <c r="C53" s="142">
        <f>C48+(800*C49)+(114*C50)</f>
        <v>84.324</v>
      </c>
      <c r="D53" s="142">
        <f>914*D49</f>
        <v>-0.6215199999999996</v>
      </c>
      <c r="E53" s="142">
        <f>E48+(800*E49)+(114*E50)</f>
        <v>83.70248</v>
      </c>
    </row>
    <row r="55" ht="15">
      <c r="E55" s="4">
        <f>D53/C53</f>
        <v>-0.007370618092120863</v>
      </c>
    </row>
  </sheetData>
  <printOptions/>
  <pageMargins left="0.7" right="0.7" top="0.75" bottom="0.75" header="0.3" footer="0.3"/>
  <pageSetup fitToHeight="1" fitToWidth="1" horizontalDpi="600" verticalDpi="600" orientation="landscape" scale="71" r:id="rId3"/>
  <headerFooter>
    <oddHeader>&amp;CAVISTA UTILITIES
WASHINGTON ELECTRIC
SCHEDULE 91 - DSM</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AF39"/>
  <sheetViews>
    <sheetView view="pageBreakPreview" zoomScale="60" workbookViewId="0" topLeftCell="A1">
      <selection activeCell="F46" sqref="F46"/>
    </sheetView>
  </sheetViews>
  <sheetFormatPr defaultColWidth="9.140625" defaultRowHeight="15"/>
  <cols>
    <col min="1" max="1" width="8.28125" style="44" customWidth="1"/>
    <col min="2" max="2" width="29.421875" style="44" bestFit="1" customWidth="1"/>
    <col min="3" max="3" width="8.57421875" style="44" bestFit="1" customWidth="1"/>
    <col min="4" max="5" width="14.140625" style="44" bestFit="1" customWidth="1"/>
    <col min="6" max="6" width="14.7109375" style="44" bestFit="1" customWidth="1"/>
    <col min="7" max="9" width="14.140625" style="44" bestFit="1" customWidth="1"/>
    <col min="10" max="11" width="14.7109375" style="44" bestFit="1" customWidth="1"/>
    <col min="12" max="12" width="14.140625" style="44" bestFit="1" customWidth="1"/>
    <col min="13" max="14" width="14.7109375" style="44" bestFit="1" customWidth="1"/>
    <col min="15" max="15" width="13.7109375" style="44" bestFit="1" customWidth="1"/>
    <col min="16" max="16" width="14.140625" style="44" bestFit="1" customWidth="1"/>
    <col min="17" max="17" width="14.7109375" style="44" bestFit="1" customWidth="1"/>
    <col min="18" max="20" width="14.140625" style="44" bestFit="1" customWidth="1"/>
    <col min="21" max="21" width="14.7109375" style="44" bestFit="1" customWidth="1"/>
    <col min="22" max="22" width="14.140625" style="44" bestFit="1" customWidth="1"/>
    <col min="23" max="27" width="14.7109375" style="44" bestFit="1" customWidth="1"/>
    <col min="28" max="29" width="14.140625" style="44" bestFit="1" customWidth="1"/>
    <col min="30" max="30" width="14.7109375" style="44" bestFit="1" customWidth="1"/>
    <col min="31" max="31" width="9.140625" style="44" customWidth="1"/>
    <col min="32" max="32" width="12.57421875" style="44" bestFit="1" customWidth="1"/>
    <col min="33" max="16384" width="9.140625" style="44" customWidth="1"/>
  </cols>
  <sheetData>
    <row r="4" spans="1:30" ht="15">
      <c r="A4" s="44" t="s">
        <v>76</v>
      </c>
      <c r="D4" s="74">
        <v>44334</v>
      </c>
      <c r="E4" s="74">
        <v>44365</v>
      </c>
      <c r="F4" s="74">
        <v>44395</v>
      </c>
      <c r="G4" s="74">
        <v>44426</v>
      </c>
      <c r="H4" s="74">
        <v>44457</v>
      </c>
      <c r="I4" s="74">
        <v>44487</v>
      </c>
      <c r="J4" s="74">
        <v>44518</v>
      </c>
      <c r="K4" s="74">
        <v>44548</v>
      </c>
      <c r="L4" s="74">
        <v>44579</v>
      </c>
      <c r="M4" s="74">
        <v>44610</v>
      </c>
      <c r="N4" s="74">
        <v>44638</v>
      </c>
      <c r="O4" s="74">
        <v>44669</v>
      </c>
      <c r="P4" s="74">
        <v>44699</v>
      </c>
      <c r="Q4" s="74">
        <v>44730</v>
      </c>
      <c r="R4" s="74">
        <v>44760</v>
      </c>
      <c r="S4" s="74">
        <v>44791</v>
      </c>
      <c r="T4" s="74">
        <v>44822</v>
      </c>
      <c r="U4" s="74">
        <v>44852</v>
      </c>
      <c r="V4" s="74">
        <v>44883</v>
      </c>
      <c r="W4" s="74">
        <v>44913</v>
      </c>
      <c r="X4" s="74">
        <v>44944</v>
      </c>
      <c r="Y4" s="74">
        <v>44975</v>
      </c>
      <c r="Z4" s="74">
        <v>45003</v>
      </c>
      <c r="AA4" s="74">
        <v>45034</v>
      </c>
      <c r="AB4" s="74">
        <v>45064</v>
      </c>
      <c r="AC4" s="74">
        <v>45095</v>
      </c>
      <c r="AD4" s="74">
        <v>45125</v>
      </c>
    </row>
    <row r="5" spans="2:30" ht="15">
      <c r="B5" s="44" t="s">
        <v>47</v>
      </c>
      <c r="D5" s="94">
        <f>'Billing Determinants'!C19</f>
        <v>162875615.113055</v>
      </c>
      <c r="E5" s="94">
        <f>'Billing Determinants'!D19</f>
        <v>162704960.30928802</v>
      </c>
      <c r="F5" s="94">
        <f>'Billing Determinants'!E19</f>
        <v>201725767.43289304</v>
      </c>
      <c r="G5" s="94">
        <f>'Billing Determinants'!F19</f>
        <v>195408992.4427625</v>
      </c>
      <c r="H5" s="94">
        <f>'Billing Determinants'!G19</f>
        <v>154836044.44160548</v>
      </c>
      <c r="I5" s="94">
        <f>'Billing Determinants'!H19</f>
        <v>179532895.31984872</v>
      </c>
      <c r="J5" s="94">
        <f>'Billing Determinants'!I19</f>
        <v>228638854.31410483</v>
      </c>
      <c r="K5" s="94">
        <f>'Billing Determinants'!J19</f>
        <v>288759665.00729716</v>
      </c>
      <c r="L5" s="94">
        <f>'Billing Determinants'!K19</f>
        <v>289139801.5291037</v>
      </c>
      <c r="M5" s="94">
        <f>'Billing Determinants'!L19</f>
        <v>236954906.38102663</v>
      </c>
      <c r="N5" s="94">
        <f>'Billing Determinants'!M19</f>
        <v>222240496.0336668</v>
      </c>
      <c r="O5" s="94">
        <f>'Billing Determinants'!N19</f>
        <v>175624821.28924283</v>
      </c>
      <c r="P5" s="94">
        <f>'Billing Determinants'!O19</f>
        <v>158772217.3466944</v>
      </c>
      <c r="Q5" s="94">
        <f>'Billing Determinants'!P19</f>
        <v>154236623.74039325</v>
      </c>
      <c r="R5" s="94">
        <f>'Billing Determinants'!Q19</f>
        <v>187835269.7564625</v>
      </c>
      <c r="S5" s="94">
        <f>'Billing Determinants'!R19</f>
        <v>187428527.51157242</v>
      </c>
      <c r="T5" s="94">
        <f>'Billing Determinants'!S19</f>
        <v>155130622.6978838</v>
      </c>
      <c r="U5" s="94">
        <f>'Billing Determinants'!T19</f>
        <v>176036009.50173694</v>
      </c>
      <c r="V5" s="94">
        <f>'Billing Determinants'!U19</f>
        <v>225451120.18908483</v>
      </c>
      <c r="W5" s="94">
        <f>'Billing Determinants'!V19</f>
        <v>288057201.98910034</v>
      </c>
      <c r="X5" s="94">
        <f>'Billing Determinants'!W19</f>
        <v>290709541.5889139</v>
      </c>
      <c r="Y5" s="94">
        <f>'Billing Determinants'!X19</f>
        <v>237398869.03240398</v>
      </c>
      <c r="Z5" s="94">
        <f>'Billing Determinants'!Y19</f>
        <v>226870604.42276436</v>
      </c>
      <c r="AA5" s="94">
        <f>'Billing Determinants'!Z19</f>
        <v>180147284.87380084</v>
      </c>
      <c r="AB5" s="94">
        <f>'Billing Determinants'!AA19</f>
        <v>162230792.99604055</v>
      </c>
      <c r="AC5" s="94">
        <f>'Billing Determinants'!AB19</f>
        <v>155786503.8754087</v>
      </c>
      <c r="AD5" s="94">
        <f>'Billing Determinants'!AC19</f>
        <v>188346224.86399573</v>
      </c>
    </row>
    <row r="6" spans="2:30" ht="15">
      <c r="B6" s="44" t="s">
        <v>48</v>
      </c>
      <c r="D6" s="94">
        <f>'Billing Determinants'!C20</f>
        <v>46343523.812712505</v>
      </c>
      <c r="E6" s="94">
        <f>'Billing Determinants'!D20</f>
        <v>46672743.60934775</v>
      </c>
      <c r="F6" s="94">
        <f>'Billing Determinants'!E20</f>
        <v>55514534.910201535</v>
      </c>
      <c r="G6" s="94">
        <f>'Billing Determinants'!F20</f>
        <v>56021419.049582325</v>
      </c>
      <c r="H6" s="94">
        <f>'Billing Determinants'!G20</f>
        <v>47923129.75605138</v>
      </c>
      <c r="I6" s="94">
        <f>'Billing Determinants'!H20</f>
        <v>51747433.018645644</v>
      </c>
      <c r="J6" s="94">
        <f>'Billing Determinants'!I20</f>
        <v>57074713.18123852</v>
      </c>
      <c r="K6" s="94">
        <f>'Billing Determinants'!J20</f>
        <v>65488060.15656535</v>
      </c>
      <c r="L6" s="94">
        <f>'Billing Determinants'!K20</f>
        <v>65380550.7255359</v>
      </c>
      <c r="M6" s="94">
        <f>'Billing Determinants'!L20</f>
        <v>56552318.90288322</v>
      </c>
      <c r="N6" s="94">
        <f>'Billing Determinants'!M20</f>
        <v>56649305.52824436</v>
      </c>
      <c r="O6" s="94">
        <f>'Billing Determinants'!N20</f>
        <v>48413926.434104346</v>
      </c>
      <c r="P6" s="94">
        <f>'Billing Determinants'!O20</f>
        <v>47559278.014631964</v>
      </c>
      <c r="Q6" s="94">
        <f>'Billing Determinants'!P20</f>
        <v>48377471.741374165</v>
      </c>
      <c r="R6" s="94">
        <f>'Billing Determinants'!Q20</f>
        <v>57163698.30889833</v>
      </c>
      <c r="S6" s="94">
        <f>'Billing Determinants'!R20</f>
        <v>56227101.55463915</v>
      </c>
      <c r="T6" s="94">
        <f>'Billing Determinants'!S20</f>
        <v>47689892.573414646</v>
      </c>
      <c r="U6" s="94">
        <f>'Billing Determinants'!T20</f>
        <v>51044956.02140412</v>
      </c>
      <c r="V6" s="94">
        <f>'Billing Determinants'!U20</f>
        <v>56765598.720298514</v>
      </c>
      <c r="W6" s="94">
        <f>'Billing Determinants'!V20</f>
        <v>65363220.43151375</v>
      </c>
      <c r="X6" s="94">
        <f>'Billing Determinants'!W20</f>
        <v>65332061.83977499</v>
      </c>
      <c r="Y6" s="94">
        <f>'Billing Determinants'!X20</f>
        <v>56004469.31538491</v>
      </c>
      <c r="Z6" s="94">
        <f>'Billing Determinants'!Y20</f>
        <v>56793137.236269794</v>
      </c>
      <c r="AA6" s="94">
        <f>'Billing Determinants'!Z20</f>
        <v>48695262.585395396</v>
      </c>
      <c r="AB6" s="94">
        <f>'Billing Determinants'!AA20</f>
        <v>47900342.983918644</v>
      </c>
      <c r="AC6" s="94">
        <f>'Billing Determinants'!AB20</f>
        <v>48849402.68225108</v>
      </c>
      <c r="AD6" s="94">
        <f>'Billing Determinants'!AC20</f>
        <v>57746537.19132448</v>
      </c>
    </row>
    <row r="7" spans="2:30" ht="15">
      <c r="B7" s="44" t="s">
        <v>49</v>
      </c>
      <c r="D7" s="94">
        <f>'Billing Determinants'!C21</f>
        <v>104490260.7334657</v>
      </c>
      <c r="E7" s="94">
        <f>'Billing Determinants'!D21</f>
        <v>104226805.10058816</v>
      </c>
      <c r="F7" s="94">
        <f>'Billing Determinants'!E21</f>
        <v>118116390.73807174</v>
      </c>
      <c r="G7" s="94">
        <f>'Billing Determinants'!F21</f>
        <v>117357805.9054917</v>
      </c>
      <c r="H7" s="94">
        <f>'Billing Determinants'!G21</f>
        <v>104504116.35711902</v>
      </c>
      <c r="I7" s="94">
        <f>'Billing Determinants'!H21</f>
        <v>112981619.14138629</v>
      </c>
      <c r="J7" s="94">
        <f>'Billing Determinants'!I21</f>
        <v>111289997.48410282</v>
      </c>
      <c r="K7" s="94">
        <f>'Billing Determinants'!J21</f>
        <v>117495021.49340393</v>
      </c>
      <c r="L7" s="94">
        <f>'Billing Determinants'!K21</f>
        <v>116505171.34450056</v>
      </c>
      <c r="M7" s="94">
        <f>'Billing Determinants'!L21</f>
        <v>104134439.1629983</v>
      </c>
      <c r="N7" s="94">
        <f>'Billing Determinants'!M21</f>
        <v>108726963.81156261</v>
      </c>
      <c r="O7" s="94">
        <f>'Billing Determinants'!N21</f>
        <v>100341247.7365009</v>
      </c>
      <c r="P7" s="94">
        <f>'Billing Determinants'!O21</f>
        <v>104942411.80246997</v>
      </c>
      <c r="Q7" s="94">
        <f>'Billing Determinants'!P21</f>
        <v>107714116.53093126</v>
      </c>
      <c r="R7" s="94">
        <f>'Billing Determinants'!Q21</f>
        <v>122221076.4683434</v>
      </c>
      <c r="S7" s="94">
        <f>'Billing Determinants'!R21</f>
        <v>118535364.34135532</v>
      </c>
      <c r="T7" s="94">
        <f>'Billing Determinants'!S21</f>
        <v>104564343.32715783</v>
      </c>
      <c r="U7" s="94">
        <f>'Billing Determinants'!T21</f>
        <v>114096608.1867188</v>
      </c>
      <c r="V7" s="94">
        <f>'Billing Determinants'!U21</f>
        <v>113929643.43881619</v>
      </c>
      <c r="W7" s="94">
        <f>'Billing Determinants'!V21</f>
        <v>119723258.18107787</v>
      </c>
      <c r="X7" s="94">
        <f>'Billing Determinants'!W21</f>
        <v>117972946.05723335</v>
      </c>
      <c r="Y7" s="94">
        <f>'Billing Determinants'!X21</f>
        <v>104440500.49693872</v>
      </c>
      <c r="Z7" s="94">
        <f>'Billing Determinants'!Y21</f>
        <v>110179049.8228709</v>
      </c>
      <c r="AA7" s="94">
        <f>'Billing Determinants'!Z21</f>
        <v>101877333.3748699</v>
      </c>
      <c r="AB7" s="94">
        <f>'Billing Determinants'!AA21</f>
        <v>106548797.9841841</v>
      </c>
      <c r="AC7" s="94">
        <f>'Billing Determinants'!AB21</f>
        <v>109547156.3185196</v>
      </c>
      <c r="AD7" s="94">
        <f>'Billing Determinants'!AC21</f>
        <v>123421721.8055256</v>
      </c>
    </row>
    <row r="8" spans="2:30" ht="15">
      <c r="B8" s="44" t="s">
        <v>50</v>
      </c>
      <c r="D8" s="94">
        <f>'Billing Determinants'!C22</f>
        <v>82898149</v>
      </c>
      <c r="E8" s="94">
        <f>'Billing Determinants'!D22</f>
        <v>84772068</v>
      </c>
      <c r="F8" s="94">
        <f>'Billing Determinants'!E22</f>
        <v>83536279</v>
      </c>
      <c r="G8" s="94">
        <f>'Billing Determinants'!F22</f>
        <v>89967555</v>
      </c>
      <c r="H8" s="94">
        <f>'Billing Determinants'!G22</f>
        <v>87018266</v>
      </c>
      <c r="I8" s="94">
        <f>'Billing Determinants'!H22</f>
        <v>89251888</v>
      </c>
      <c r="J8" s="94">
        <f>'Billing Determinants'!I22</f>
        <v>88324209</v>
      </c>
      <c r="K8" s="94">
        <f>'Billing Determinants'!J22</f>
        <v>88354717</v>
      </c>
      <c r="L8" s="94">
        <f>'Billing Determinants'!K22</f>
        <v>90713084</v>
      </c>
      <c r="M8" s="94">
        <f>'Billing Determinants'!L22</f>
        <v>86407808</v>
      </c>
      <c r="N8" s="94">
        <f>'Billing Determinants'!M22</f>
        <v>87419411</v>
      </c>
      <c r="O8" s="94">
        <f>'Billing Determinants'!N22</f>
        <v>88393436</v>
      </c>
      <c r="P8" s="94">
        <f>'Billing Determinants'!O22</f>
        <v>88297376</v>
      </c>
      <c r="Q8" s="94">
        <f>'Billing Determinants'!P22</f>
        <v>89354648</v>
      </c>
      <c r="R8" s="94">
        <f>'Billing Determinants'!Q22</f>
        <v>88340940</v>
      </c>
      <c r="S8" s="94">
        <f>'Billing Determinants'!R22</f>
        <v>93333673</v>
      </c>
      <c r="T8" s="94">
        <f>'Billing Determinants'!S22</f>
        <v>90644957</v>
      </c>
      <c r="U8" s="94">
        <f>'Billing Determinants'!T22</f>
        <v>90594062</v>
      </c>
      <c r="V8" s="94">
        <f>'Billing Determinants'!U22</f>
        <v>89928212</v>
      </c>
      <c r="W8" s="94">
        <f>'Billing Determinants'!V22</f>
        <v>90199403</v>
      </c>
      <c r="X8" s="94">
        <f>'Billing Determinants'!W22</f>
        <v>91956000</v>
      </c>
      <c r="Y8" s="94">
        <f>'Billing Determinants'!X22</f>
        <v>88451009</v>
      </c>
      <c r="Z8" s="94">
        <f>'Billing Determinants'!Y22</f>
        <v>87875457</v>
      </c>
      <c r="AA8" s="94">
        <f>'Billing Determinants'!Z22</f>
        <v>89784580</v>
      </c>
      <c r="AB8" s="94">
        <f>'Billing Determinants'!AA22</f>
        <v>89338445</v>
      </c>
      <c r="AC8" s="94">
        <f>'Billing Determinants'!AB22</f>
        <v>89818552</v>
      </c>
      <c r="AD8" s="94">
        <f>'Billing Determinants'!AC22</f>
        <v>89214489</v>
      </c>
    </row>
    <row r="9" spans="2:30" ht="15">
      <c r="B9" s="44" t="s">
        <v>51</v>
      </c>
      <c r="D9" s="94">
        <f>'Billing Determinants'!C23</f>
        <v>15864455.054771934</v>
      </c>
      <c r="E9" s="94">
        <f>'Billing Determinants'!D23</f>
        <v>19431851.090974152</v>
      </c>
      <c r="F9" s="94">
        <f>'Billing Determinants'!E23</f>
        <v>27028521.82832001</v>
      </c>
      <c r="G9" s="94">
        <f>'Billing Determinants'!F23</f>
        <v>27511583.226207472</v>
      </c>
      <c r="H9" s="94">
        <f>'Billing Determinants'!G23</f>
        <v>19039222.236826446</v>
      </c>
      <c r="I9" s="94">
        <f>'Billing Determinants'!H23</f>
        <v>11215909.013334222</v>
      </c>
      <c r="J9" s="94">
        <f>'Billing Determinants'!I23</f>
        <v>5042477.217227135</v>
      </c>
      <c r="K9" s="94">
        <f>'Billing Determinants'!J23</f>
        <v>4308983.557425622</v>
      </c>
      <c r="L9" s="94">
        <f>'Billing Determinants'!K23</f>
        <v>4420646.311241674</v>
      </c>
      <c r="M9" s="94">
        <f>'Billing Determinants'!L23</f>
        <v>4082569.9289629622</v>
      </c>
      <c r="N9" s="94">
        <f>'Billing Determinants'!M23</f>
        <v>4754511.4544022735</v>
      </c>
      <c r="O9" s="94">
        <f>'Billing Determinants'!N23</f>
        <v>7124036.569051035</v>
      </c>
      <c r="P9" s="94">
        <f>'Billing Determinants'!O23</f>
        <v>13597187.504064046</v>
      </c>
      <c r="Q9" s="94">
        <f>'Billing Determinants'!P23</f>
        <v>19634254.16797549</v>
      </c>
      <c r="R9" s="94">
        <f>'Billing Determinants'!Q23</f>
        <v>26630980.426440693</v>
      </c>
      <c r="S9" s="94">
        <f>'Billing Determinants'!R23</f>
        <v>27314685.013230894</v>
      </c>
      <c r="T9" s="94">
        <f>'Billing Determinants'!S23</f>
        <v>19522316.13749368</v>
      </c>
      <c r="U9" s="94">
        <f>'Billing Determinants'!T23</f>
        <v>11396896.819346577</v>
      </c>
      <c r="V9" s="94">
        <f>'Billing Determinants'!U23</f>
        <v>5168817.95627779</v>
      </c>
      <c r="W9" s="94">
        <f>'Billing Determinants'!V23</f>
        <v>4373234.865900507</v>
      </c>
      <c r="X9" s="94">
        <f>'Billing Determinants'!W23</f>
        <v>4437212.195760568</v>
      </c>
      <c r="Y9" s="94">
        <f>'Billing Determinants'!X23</f>
        <v>3984158.2812529067</v>
      </c>
      <c r="Z9" s="94">
        <f>'Billing Determinants'!Y23</f>
        <v>4773819.478931897</v>
      </c>
      <c r="AA9" s="94">
        <f>'Billing Determinants'!Z23</f>
        <v>7041531.29714023</v>
      </c>
      <c r="AB9" s="94">
        <f>'Billing Determinants'!AA23</f>
        <v>13203357.3558032</v>
      </c>
      <c r="AC9" s="94">
        <f>'Billing Determinants'!AB23</f>
        <v>19478644.144370764</v>
      </c>
      <c r="AD9" s="94">
        <f>'Billing Determinants'!AC23</f>
        <v>26494620.935993448</v>
      </c>
    </row>
    <row r="10" spans="2:30" ht="15">
      <c r="B10" s="44" t="s">
        <v>52</v>
      </c>
      <c r="D10" s="94">
        <f>'Billing Determinants'!C24</f>
        <v>1373723.3602483333</v>
      </c>
      <c r="E10" s="94">
        <f>'Billing Determinants'!D24</f>
        <v>1372796.728454861</v>
      </c>
      <c r="F10" s="94">
        <f>'Billing Determinants'!E24</f>
        <v>1377384.0966677663</v>
      </c>
      <c r="G10" s="94">
        <f>'Billing Determinants'!F24</f>
        <v>1368769.9848067467</v>
      </c>
      <c r="H10" s="94">
        <f>'Billing Determinants'!G24</f>
        <v>1382585.6124156422</v>
      </c>
      <c r="I10" s="94">
        <f>'Billing Determinants'!H24</f>
        <v>1348656.2775461124</v>
      </c>
      <c r="J10" s="94">
        <f>'Billing Determinants'!I24</f>
        <v>1339576.2936307886</v>
      </c>
      <c r="K10" s="94">
        <f>'Billing Determinants'!J24</f>
        <v>1404381.072230854</v>
      </c>
      <c r="L10" s="94">
        <f>'Billing Determinants'!K24</f>
        <v>1357849.779555092</v>
      </c>
      <c r="M10" s="94">
        <f>'Billing Determinants'!L24</f>
        <v>1289943.82072135</v>
      </c>
      <c r="N10" s="94">
        <f>'Billing Determinants'!M24</f>
        <v>1347343.0766535457</v>
      </c>
      <c r="O10" s="94">
        <f>'Billing Determinants'!N24</f>
        <v>1320419.301977591</v>
      </c>
      <c r="P10" s="94">
        <f>'Billing Determinants'!O24</f>
        <v>1329472.1398669735</v>
      </c>
      <c r="Q10" s="94">
        <f>'Billing Determinants'!P24</f>
        <v>1326189.3874514436</v>
      </c>
      <c r="R10" s="94">
        <f>'Billing Determinants'!Q24</f>
        <v>1341916.2510249089</v>
      </c>
      <c r="S10" s="94">
        <f>'Billing Determinants'!R24</f>
        <v>1334885.3667213374</v>
      </c>
      <c r="T10" s="94">
        <f>'Billing Determinants'!S24</f>
        <v>1350013.7204433866</v>
      </c>
      <c r="U10" s="94">
        <f>'Billing Determinants'!T24</f>
        <v>1324290.5457581985</v>
      </c>
      <c r="V10" s="94">
        <f>'Billing Determinants'!U24</f>
        <v>1319608.4024767058</v>
      </c>
      <c r="W10" s="94">
        <f>'Billing Determinants'!V24</f>
        <v>1370642.3916217822</v>
      </c>
      <c r="X10" s="94">
        <f>'Billing Determinants'!W24</f>
        <v>1337795.5693901929</v>
      </c>
      <c r="Y10" s="94">
        <f>'Billing Determinants'!X24</f>
        <v>1269751.2712114514</v>
      </c>
      <c r="Z10" s="94">
        <f>'Billing Determinants'!Y24</f>
        <v>1334726.5435937513</v>
      </c>
      <c r="AA10" s="94">
        <f>'Billing Determinants'!Z24</f>
        <v>1299637.5227202268</v>
      </c>
      <c r="AB10" s="94">
        <f>'Billing Determinants'!AA24</f>
        <v>1302367.5478664883</v>
      </c>
      <c r="AC10" s="94">
        <f>'Billing Determinants'!AB24</f>
        <v>1301337.0038499897</v>
      </c>
      <c r="AD10" s="94">
        <f>'Billing Determinants'!AC24</f>
        <v>1314428.8389496598</v>
      </c>
    </row>
    <row r="11" spans="1:30" ht="15">
      <c r="A11" s="44" t="s">
        <v>77</v>
      </c>
      <c r="D11" s="45">
        <f aca="true" t="shared" si="0" ref="D11:N11">SUM(D5:D10)</f>
        <v>413845727.0742535</v>
      </c>
      <c r="E11" s="45">
        <f t="shared" si="0"/>
        <v>419181224.83865297</v>
      </c>
      <c r="F11" s="45">
        <f t="shared" si="0"/>
        <v>487298878.0061541</v>
      </c>
      <c r="G11" s="45">
        <f t="shared" si="0"/>
        <v>487636125.6088508</v>
      </c>
      <c r="H11" s="45">
        <f t="shared" si="0"/>
        <v>414703364.404018</v>
      </c>
      <c r="I11" s="45">
        <f t="shared" si="0"/>
        <v>446078400.77076095</v>
      </c>
      <c r="J11" s="45">
        <f t="shared" si="0"/>
        <v>491709827.4903041</v>
      </c>
      <c r="K11" s="45">
        <f t="shared" si="0"/>
        <v>565810828.2869228</v>
      </c>
      <c r="L11" s="45">
        <f t="shared" si="0"/>
        <v>567517103.6899369</v>
      </c>
      <c r="M11" s="45">
        <f t="shared" si="0"/>
        <v>489421986.19659245</v>
      </c>
      <c r="N11" s="45">
        <f t="shared" si="0"/>
        <v>481138030.9045296</v>
      </c>
      <c r="O11" s="45">
        <f aca="true" t="shared" si="1" ref="O11:R11">SUM(O5:O10)</f>
        <v>421217887.3308767</v>
      </c>
      <c r="P11" s="45">
        <f t="shared" si="1"/>
        <v>414497942.8077273</v>
      </c>
      <c r="Q11" s="45">
        <f t="shared" si="1"/>
        <v>420643303.5681256</v>
      </c>
      <c r="R11" s="45">
        <f t="shared" si="1"/>
        <v>483533881.2111699</v>
      </c>
      <c r="S11" s="45">
        <f aca="true" t="shared" si="2" ref="S11:AD11">SUM(S5:S10)</f>
        <v>484174236.78751916</v>
      </c>
      <c r="T11" s="45">
        <f t="shared" si="2"/>
        <v>418902145.4563933</v>
      </c>
      <c r="U11" s="45">
        <f t="shared" si="2"/>
        <v>444492823.0749646</v>
      </c>
      <c r="V11" s="45">
        <f t="shared" si="2"/>
        <v>492563000.70695406</v>
      </c>
      <c r="W11" s="45">
        <f t="shared" si="2"/>
        <v>569086960.8592143</v>
      </c>
      <c r="X11" s="45">
        <f t="shared" si="2"/>
        <v>571745557.251073</v>
      </c>
      <c r="Y11" s="45">
        <f t="shared" si="2"/>
        <v>491548757.39719194</v>
      </c>
      <c r="Z11" s="45">
        <f t="shared" si="2"/>
        <v>487826794.5044307</v>
      </c>
      <c r="AA11" s="45">
        <f t="shared" si="2"/>
        <v>428845629.6539266</v>
      </c>
      <c r="AB11" s="45">
        <f t="shared" si="2"/>
        <v>420524103.86781293</v>
      </c>
      <c r="AC11" s="45">
        <f t="shared" si="2"/>
        <v>424781596.0244001</v>
      </c>
      <c r="AD11" s="45">
        <f t="shared" si="2"/>
        <v>486538022.6357889</v>
      </c>
    </row>
    <row r="12" spans="4:30" ht="15">
      <c r="D12" s="72">
        <f>D11-'Billing Determinants'!C25</f>
        <v>0</v>
      </c>
      <c r="E12" s="72">
        <f>E11-'Billing Determinants'!D25</f>
        <v>0</v>
      </c>
      <c r="F12" s="72">
        <f>F11-'Billing Determinants'!E25</f>
        <v>0</v>
      </c>
      <c r="G12" s="72">
        <f>G11-'Billing Determinants'!F25</f>
        <v>0</v>
      </c>
      <c r="H12" s="72">
        <f>H11-'Billing Determinants'!G25</f>
        <v>0</v>
      </c>
      <c r="I12" s="72">
        <f>I11-'Billing Determinants'!H25</f>
        <v>0</v>
      </c>
      <c r="J12" s="72">
        <f>J11-'Billing Determinants'!I25</f>
        <v>0</v>
      </c>
      <c r="K12" s="72">
        <f>K11-'Billing Determinants'!J25</f>
        <v>0</v>
      </c>
      <c r="L12" s="72">
        <f>L11-'Billing Determinants'!K25</f>
        <v>0</v>
      </c>
      <c r="M12" s="72">
        <f>M11-'Billing Determinants'!L25</f>
        <v>0</v>
      </c>
      <c r="N12" s="72">
        <f>N11-'Billing Determinants'!M25</f>
        <v>0</v>
      </c>
      <c r="O12" s="72">
        <f>O11-'Billing Determinants'!N25</f>
        <v>0</v>
      </c>
      <c r="P12" s="72">
        <f>P11-'Billing Determinants'!O25</f>
        <v>0</v>
      </c>
      <c r="Q12" s="72">
        <f>Q11-'Billing Determinants'!P25</f>
        <v>0</v>
      </c>
      <c r="R12" s="72">
        <f>R11-'Billing Determinants'!Q25</f>
        <v>0</v>
      </c>
      <c r="S12" s="72">
        <f>S11-'Billing Determinants'!R25</f>
        <v>0</v>
      </c>
      <c r="T12" s="72">
        <f>T11-'Billing Determinants'!S25</f>
        <v>0</v>
      </c>
      <c r="U12" s="72">
        <f>U11-'Billing Determinants'!T25</f>
        <v>0</v>
      </c>
      <c r="V12" s="72">
        <f>V11-'Billing Determinants'!U25</f>
        <v>0</v>
      </c>
      <c r="W12" s="72">
        <f>W11-'Billing Determinants'!V25</f>
        <v>0</v>
      </c>
      <c r="X12" s="72">
        <f>X11-'Billing Determinants'!W25</f>
        <v>0</v>
      </c>
      <c r="Y12" s="72">
        <f>Y11-'Billing Determinants'!X25</f>
        <v>0</v>
      </c>
      <c r="Z12" s="72">
        <f>Z11-'Billing Determinants'!Y25</f>
        <v>0</v>
      </c>
      <c r="AA12" s="72">
        <f>AA11-'Billing Determinants'!Z25</f>
        <v>0</v>
      </c>
      <c r="AB12" s="72">
        <f>AB11-'Billing Determinants'!AA25</f>
        <v>0</v>
      </c>
      <c r="AC12" s="72">
        <f>AC11-'Billing Determinants'!AB25</f>
        <v>0</v>
      </c>
      <c r="AD12" s="72">
        <f>AD11-'Billing Determinants'!AC25</f>
        <v>0</v>
      </c>
    </row>
    <row r="14" ht="15">
      <c r="A14" s="44" t="s">
        <v>53</v>
      </c>
    </row>
    <row r="15" spans="2:30" ht="15">
      <c r="B15" s="44" t="s">
        <v>47</v>
      </c>
      <c r="D15" s="145">
        <f>'WA Electric - Sched 91'!D9</f>
        <v>0.00323</v>
      </c>
      <c r="E15" s="145">
        <f aca="true" t="shared" si="3" ref="E15:F15">D15</f>
        <v>0.00323</v>
      </c>
      <c r="F15" s="145">
        <f t="shared" si="3"/>
        <v>0.00323</v>
      </c>
      <c r="G15" s="41">
        <f>'WA Electric - Sched 91'!$D$23</f>
        <v>0.002551992115587698</v>
      </c>
      <c r="H15" s="41">
        <f>'WA Electric - Sched 91'!$D$23</f>
        <v>0.002551992115587698</v>
      </c>
      <c r="I15" s="41">
        <f>'WA Electric - Sched 91'!$D$23</f>
        <v>0.002551992115587698</v>
      </c>
      <c r="J15" s="41">
        <f>'WA Electric - Sched 91'!$D$23</f>
        <v>0.002551992115587698</v>
      </c>
      <c r="K15" s="41">
        <f>'WA Electric - Sched 91'!$D$23</f>
        <v>0.002551992115587698</v>
      </c>
      <c r="L15" s="41">
        <f>'WA Electric - Sched 91'!$D$23</f>
        <v>0.002551992115587698</v>
      </c>
      <c r="M15" s="41">
        <f>'WA Electric - Sched 91'!$D$23</f>
        <v>0.002551992115587698</v>
      </c>
      <c r="N15" s="41">
        <f>'WA Electric - Sched 91'!$D$23</f>
        <v>0.002551992115587698</v>
      </c>
      <c r="O15" s="41">
        <f>'WA Electric - Sched 91'!$D$23</f>
        <v>0.002551992115587698</v>
      </c>
      <c r="P15" s="41">
        <f>'WA Electric - Sched 91'!$D$23</f>
        <v>0.002551992115587698</v>
      </c>
      <c r="Q15" s="41">
        <f>'WA Electric - Sched 91'!$D$23</f>
        <v>0.002551992115587698</v>
      </c>
      <c r="R15" s="41">
        <f>'WA Electric - Sched 91'!$D$23</f>
        <v>0.002551992115587698</v>
      </c>
      <c r="S15" s="41">
        <f>'WA Electric - Sched 91'!$D$23</f>
        <v>0.002551992115587698</v>
      </c>
      <c r="T15" s="41">
        <f>'WA Electric - Sched 91'!$D$23</f>
        <v>0.002551992115587698</v>
      </c>
      <c r="U15" s="41">
        <f>'WA Electric - Sched 91'!$D$23</f>
        <v>0.002551992115587698</v>
      </c>
      <c r="V15" s="41">
        <f>'WA Electric - Sched 91'!$D$23</f>
        <v>0.002551992115587698</v>
      </c>
      <c r="W15" s="41">
        <f>'WA Electric - Sched 91'!$D$23</f>
        <v>0.002551992115587698</v>
      </c>
      <c r="X15" s="41">
        <f>'WA Electric - Sched 91'!$D$23</f>
        <v>0.002551992115587698</v>
      </c>
      <c r="Y15" s="41">
        <f>'WA Electric - Sched 91'!$D$23</f>
        <v>0.002551992115587698</v>
      </c>
      <c r="Z15" s="41">
        <f>'WA Electric - Sched 91'!$D$23</f>
        <v>0.002551992115587698</v>
      </c>
      <c r="AA15" s="41">
        <f>'WA Electric - Sched 91'!$D$23</f>
        <v>0.002551992115587698</v>
      </c>
      <c r="AB15" s="41">
        <f>'WA Electric - Sched 91'!$D$23</f>
        <v>0.002551992115587698</v>
      </c>
      <c r="AC15" s="41">
        <f>'WA Electric - Sched 91'!$D$23</f>
        <v>0.002551992115587698</v>
      </c>
      <c r="AD15" s="41">
        <f>'WA Electric - Sched 91'!$D$23</f>
        <v>0.002551992115587698</v>
      </c>
    </row>
    <row r="16" spans="2:30" ht="15">
      <c r="B16" s="44" t="s">
        <v>48</v>
      </c>
      <c r="D16" s="145">
        <f>'WA Electric - Sched 91'!E9</f>
        <v>0.00426</v>
      </c>
      <c r="E16" s="145">
        <f aca="true" t="shared" si="4" ref="E16:F20">D16</f>
        <v>0.00426</v>
      </c>
      <c r="F16" s="145">
        <f t="shared" si="4"/>
        <v>0.00426</v>
      </c>
      <c r="G16" s="41">
        <f>'WA Electric - Sched 91'!$E$23</f>
        <v>0.0032068451271835556</v>
      </c>
      <c r="H16" s="41">
        <f>'WA Electric - Sched 91'!$E$23</f>
        <v>0.0032068451271835556</v>
      </c>
      <c r="I16" s="41">
        <f>'WA Electric - Sched 91'!$E$23</f>
        <v>0.0032068451271835556</v>
      </c>
      <c r="J16" s="41">
        <f>'WA Electric - Sched 91'!$E$23</f>
        <v>0.0032068451271835556</v>
      </c>
      <c r="K16" s="41">
        <f>'WA Electric - Sched 91'!$E$23</f>
        <v>0.0032068451271835556</v>
      </c>
      <c r="L16" s="41">
        <f>'WA Electric - Sched 91'!$E$23</f>
        <v>0.0032068451271835556</v>
      </c>
      <c r="M16" s="41">
        <f>'WA Electric - Sched 91'!$E$23</f>
        <v>0.0032068451271835556</v>
      </c>
      <c r="N16" s="41">
        <f>'WA Electric - Sched 91'!$E$23</f>
        <v>0.0032068451271835556</v>
      </c>
      <c r="O16" s="41">
        <f>'WA Electric - Sched 91'!$E$23</f>
        <v>0.0032068451271835556</v>
      </c>
      <c r="P16" s="41">
        <f>'WA Electric - Sched 91'!$E$23</f>
        <v>0.0032068451271835556</v>
      </c>
      <c r="Q16" s="41">
        <f>'WA Electric - Sched 91'!$E$23</f>
        <v>0.0032068451271835556</v>
      </c>
      <c r="R16" s="41">
        <f>'WA Electric - Sched 91'!$E$23</f>
        <v>0.0032068451271835556</v>
      </c>
      <c r="S16" s="41">
        <f>'WA Electric - Sched 91'!$E$23</f>
        <v>0.0032068451271835556</v>
      </c>
      <c r="T16" s="41">
        <f>'WA Electric - Sched 91'!$E$23</f>
        <v>0.0032068451271835556</v>
      </c>
      <c r="U16" s="41">
        <f>'WA Electric - Sched 91'!$E$23</f>
        <v>0.0032068451271835556</v>
      </c>
      <c r="V16" s="41">
        <f>'WA Electric - Sched 91'!$E$23</f>
        <v>0.0032068451271835556</v>
      </c>
      <c r="W16" s="41">
        <f>'WA Electric - Sched 91'!$E$23</f>
        <v>0.0032068451271835556</v>
      </c>
      <c r="X16" s="41">
        <f>'WA Electric - Sched 91'!$E$23</f>
        <v>0.0032068451271835556</v>
      </c>
      <c r="Y16" s="41">
        <f>'WA Electric - Sched 91'!$E$23</f>
        <v>0.0032068451271835556</v>
      </c>
      <c r="Z16" s="41">
        <f>'WA Electric - Sched 91'!$E$23</f>
        <v>0.0032068451271835556</v>
      </c>
      <c r="AA16" s="41">
        <f>'WA Electric - Sched 91'!$E$23</f>
        <v>0.0032068451271835556</v>
      </c>
      <c r="AB16" s="41">
        <f>'WA Electric - Sched 91'!$E$23</f>
        <v>0.0032068451271835556</v>
      </c>
      <c r="AC16" s="41">
        <f>'WA Electric - Sched 91'!$E$23</f>
        <v>0.0032068451271835556</v>
      </c>
      <c r="AD16" s="41">
        <f>'WA Electric - Sched 91'!$E$23</f>
        <v>0.0032068451271835556</v>
      </c>
    </row>
    <row r="17" spans="2:30" ht="15">
      <c r="B17" s="44" t="s">
        <v>49</v>
      </c>
      <c r="D17" s="145">
        <f>'WA Electric - Sched 91'!F9</f>
        <v>0.00333</v>
      </c>
      <c r="E17" s="145">
        <f t="shared" si="4"/>
        <v>0.00333</v>
      </c>
      <c r="F17" s="145">
        <f t="shared" si="4"/>
        <v>0.00333</v>
      </c>
      <c r="G17" s="41">
        <f>'WA Electric - Sched 91'!$F$23</f>
        <v>0.002734844645390019</v>
      </c>
      <c r="H17" s="41">
        <f>'WA Electric - Sched 91'!$F$23</f>
        <v>0.002734844645390019</v>
      </c>
      <c r="I17" s="41">
        <f>'WA Electric - Sched 91'!$F$23</f>
        <v>0.002734844645390019</v>
      </c>
      <c r="J17" s="41">
        <f>'WA Electric - Sched 91'!$F$23</f>
        <v>0.002734844645390019</v>
      </c>
      <c r="K17" s="41">
        <f>'WA Electric - Sched 91'!$F$23</f>
        <v>0.002734844645390019</v>
      </c>
      <c r="L17" s="41">
        <f>'WA Electric - Sched 91'!$F$23</f>
        <v>0.002734844645390019</v>
      </c>
      <c r="M17" s="41">
        <f>'WA Electric - Sched 91'!$F$23</f>
        <v>0.002734844645390019</v>
      </c>
      <c r="N17" s="41">
        <f>'WA Electric - Sched 91'!$F$23</f>
        <v>0.002734844645390019</v>
      </c>
      <c r="O17" s="41">
        <f>'WA Electric - Sched 91'!$F$23</f>
        <v>0.002734844645390019</v>
      </c>
      <c r="P17" s="41">
        <f>'WA Electric - Sched 91'!$F$23</f>
        <v>0.002734844645390019</v>
      </c>
      <c r="Q17" s="41">
        <f>'WA Electric - Sched 91'!$F$23</f>
        <v>0.002734844645390019</v>
      </c>
      <c r="R17" s="41">
        <f>'WA Electric - Sched 91'!$F$23</f>
        <v>0.002734844645390019</v>
      </c>
      <c r="S17" s="41">
        <f>'WA Electric - Sched 91'!$F$23</f>
        <v>0.002734844645390019</v>
      </c>
      <c r="T17" s="41">
        <f>'WA Electric - Sched 91'!$F$23</f>
        <v>0.002734844645390019</v>
      </c>
      <c r="U17" s="41">
        <f>'WA Electric - Sched 91'!$F$23</f>
        <v>0.002734844645390019</v>
      </c>
      <c r="V17" s="41">
        <f>'WA Electric - Sched 91'!$F$23</f>
        <v>0.002734844645390019</v>
      </c>
      <c r="W17" s="41">
        <f>'WA Electric - Sched 91'!$F$23</f>
        <v>0.002734844645390019</v>
      </c>
      <c r="X17" s="41">
        <f>'WA Electric - Sched 91'!$F$23</f>
        <v>0.002734844645390019</v>
      </c>
      <c r="Y17" s="41">
        <f>'WA Electric - Sched 91'!$F$23</f>
        <v>0.002734844645390019</v>
      </c>
      <c r="Z17" s="41">
        <f>'WA Electric - Sched 91'!$F$23</f>
        <v>0.002734844645390019</v>
      </c>
      <c r="AA17" s="41">
        <f>'WA Electric - Sched 91'!$F$23</f>
        <v>0.002734844645390019</v>
      </c>
      <c r="AB17" s="41">
        <f>'WA Electric - Sched 91'!$F$23</f>
        <v>0.002734844645390019</v>
      </c>
      <c r="AC17" s="41">
        <f>'WA Electric - Sched 91'!$F$23</f>
        <v>0.002734844645390019</v>
      </c>
      <c r="AD17" s="41">
        <f>'WA Electric - Sched 91'!$F$23</f>
        <v>0.002734844645390019</v>
      </c>
    </row>
    <row r="18" spans="2:30" ht="15">
      <c r="B18" s="44" t="s">
        <v>50</v>
      </c>
      <c r="D18" s="145">
        <f>'WA Electric - Sched 91'!F9</f>
        <v>0.00333</v>
      </c>
      <c r="E18" s="145">
        <f t="shared" si="4"/>
        <v>0.00333</v>
      </c>
      <c r="F18" s="145">
        <f t="shared" si="4"/>
        <v>0.00333</v>
      </c>
      <c r="G18" s="41">
        <f>'WA Electric - Sched 91'!$G$23</f>
        <v>0.0018167505621790386</v>
      </c>
      <c r="H18" s="41">
        <f>'WA Electric - Sched 91'!$G$23</f>
        <v>0.0018167505621790386</v>
      </c>
      <c r="I18" s="41">
        <f>'WA Electric - Sched 91'!$G$23</f>
        <v>0.0018167505621790386</v>
      </c>
      <c r="J18" s="41">
        <f>'WA Electric - Sched 91'!$G$23</f>
        <v>0.0018167505621790386</v>
      </c>
      <c r="K18" s="41">
        <f>'WA Electric - Sched 91'!$G$23</f>
        <v>0.0018167505621790386</v>
      </c>
      <c r="L18" s="41">
        <f>'WA Electric - Sched 91'!$G$23</f>
        <v>0.0018167505621790386</v>
      </c>
      <c r="M18" s="41">
        <f>'WA Electric - Sched 91'!$G$23</f>
        <v>0.0018167505621790386</v>
      </c>
      <c r="N18" s="41">
        <f>'WA Electric - Sched 91'!$G$23</f>
        <v>0.0018167505621790386</v>
      </c>
      <c r="O18" s="41">
        <f>'WA Electric - Sched 91'!$G$23</f>
        <v>0.0018167505621790386</v>
      </c>
      <c r="P18" s="41">
        <f>'WA Electric - Sched 91'!$G$23</f>
        <v>0.0018167505621790386</v>
      </c>
      <c r="Q18" s="41">
        <f>'WA Electric - Sched 91'!$G$23</f>
        <v>0.0018167505621790386</v>
      </c>
      <c r="R18" s="41">
        <f>'WA Electric - Sched 91'!$G$23</f>
        <v>0.0018167505621790386</v>
      </c>
      <c r="S18" s="41">
        <f>'WA Electric - Sched 91'!$G$23</f>
        <v>0.0018167505621790386</v>
      </c>
      <c r="T18" s="41">
        <f>'WA Electric - Sched 91'!$G$23</f>
        <v>0.0018167505621790386</v>
      </c>
      <c r="U18" s="41">
        <f>'WA Electric - Sched 91'!$G$23</f>
        <v>0.0018167505621790386</v>
      </c>
      <c r="V18" s="41">
        <f>'WA Electric - Sched 91'!$G$23</f>
        <v>0.0018167505621790386</v>
      </c>
      <c r="W18" s="41">
        <f>'WA Electric - Sched 91'!$G$23</f>
        <v>0.0018167505621790386</v>
      </c>
      <c r="X18" s="41">
        <f>'WA Electric - Sched 91'!$G$23</f>
        <v>0.0018167505621790386</v>
      </c>
      <c r="Y18" s="41">
        <f>'WA Electric - Sched 91'!$G$23</f>
        <v>0.0018167505621790386</v>
      </c>
      <c r="Z18" s="41">
        <f>'WA Electric - Sched 91'!$G$23</f>
        <v>0.0018167505621790386</v>
      </c>
      <c r="AA18" s="41">
        <f>'WA Electric - Sched 91'!$G$23</f>
        <v>0.0018167505621790386</v>
      </c>
      <c r="AB18" s="41">
        <f>'WA Electric - Sched 91'!$G$23</f>
        <v>0.0018167505621790386</v>
      </c>
      <c r="AC18" s="41">
        <f>'WA Electric - Sched 91'!$G$23</f>
        <v>0.0018167505621790386</v>
      </c>
      <c r="AD18" s="41">
        <f>'WA Electric - Sched 91'!$G$23</f>
        <v>0.0018167505621790386</v>
      </c>
    </row>
    <row r="19" spans="2:30" ht="15">
      <c r="B19" s="44" t="s">
        <v>51</v>
      </c>
      <c r="D19" s="145">
        <f>'WA Electric - Sched 91'!H9</f>
        <v>0.00282</v>
      </c>
      <c r="E19" s="145">
        <f t="shared" si="4"/>
        <v>0.00282</v>
      </c>
      <c r="F19" s="145">
        <f t="shared" si="4"/>
        <v>0.00282</v>
      </c>
      <c r="G19" s="41">
        <f>'WA Electric - Sched 91'!$H$23</f>
        <v>0.002361382541303349</v>
      </c>
      <c r="H19" s="41">
        <f>'WA Electric - Sched 91'!$H$23</f>
        <v>0.002361382541303349</v>
      </c>
      <c r="I19" s="41">
        <f>'WA Electric - Sched 91'!$H$23</f>
        <v>0.002361382541303349</v>
      </c>
      <c r="J19" s="41">
        <f>'WA Electric - Sched 91'!$H$23</f>
        <v>0.002361382541303349</v>
      </c>
      <c r="K19" s="41">
        <f>'WA Electric - Sched 91'!$H$23</f>
        <v>0.002361382541303349</v>
      </c>
      <c r="L19" s="41">
        <f>'WA Electric - Sched 91'!$H$23</f>
        <v>0.002361382541303349</v>
      </c>
      <c r="M19" s="41">
        <f>'WA Electric - Sched 91'!$H$23</f>
        <v>0.002361382541303349</v>
      </c>
      <c r="N19" s="41">
        <f>'WA Electric - Sched 91'!$H$23</f>
        <v>0.002361382541303349</v>
      </c>
      <c r="O19" s="41">
        <f>'WA Electric - Sched 91'!$H$23</f>
        <v>0.002361382541303349</v>
      </c>
      <c r="P19" s="41">
        <f>'WA Electric - Sched 91'!$H$23</f>
        <v>0.002361382541303349</v>
      </c>
      <c r="Q19" s="41">
        <f>'WA Electric - Sched 91'!$H$23</f>
        <v>0.002361382541303349</v>
      </c>
      <c r="R19" s="41">
        <f>'WA Electric - Sched 91'!$H$23</f>
        <v>0.002361382541303349</v>
      </c>
      <c r="S19" s="41">
        <f>'WA Electric - Sched 91'!$H$23</f>
        <v>0.002361382541303349</v>
      </c>
      <c r="T19" s="41">
        <f>'WA Electric - Sched 91'!$H$23</f>
        <v>0.002361382541303349</v>
      </c>
      <c r="U19" s="41">
        <f>'WA Electric - Sched 91'!$H$23</f>
        <v>0.002361382541303349</v>
      </c>
      <c r="V19" s="41">
        <f>'WA Electric - Sched 91'!$H$23</f>
        <v>0.002361382541303349</v>
      </c>
      <c r="W19" s="41">
        <f>'WA Electric - Sched 91'!$H$23</f>
        <v>0.002361382541303349</v>
      </c>
      <c r="X19" s="41">
        <f>'WA Electric - Sched 91'!$H$23</f>
        <v>0.002361382541303349</v>
      </c>
      <c r="Y19" s="41">
        <f>'WA Electric - Sched 91'!$H$23</f>
        <v>0.002361382541303349</v>
      </c>
      <c r="Z19" s="41">
        <f>'WA Electric - Sched 91'!$H$23</f>
        <v>0.002361382541303349</v>
      </c>
      <c r="AA19" s="41">
        <f>'WA Electric - Sched 91'!$H$23</f>
        <v>0.002361382541303349</v>
      </c>
      <c r="AB19" s="41">
        <f>'WA Electric - Sched 91'!$H$23</f>
        <v>0.002361382541303349</v>
      </c>
      <c r="AC19" s="41">
        <f>'WA Electric - Sched 91'!$H$23</f>
        <v>0.002361382541303349</v>
      </c>
      <c r="AD19" s="41">
        <f>'WA Electric - Sched 91'!$H$23</f>
        <v>0.002361382541303349</v>
      </c>
    </row>
    <row r="20" spans="2:30" ht="15">
      <c r="B20" s="44" t="s">
        <v>52</v>
      </c>
      <c r="D20" s="145">
        <f>'WA Electric - Sched 91'!I9</f>
        <v>0.01394</v>
      </c>
      <c r="E20" s="145">
        <f t="shared" si="4"/>
        <v>0.01394</v>
      </c>
      <c r="F20" s="145">
        <f t="shared" si="4"/>
        <v>0.01394</v>
      </c>
      <c r="G20" s="41">
        <f>'WA Electric - Sched 91'!$I$23</f>
        <v>0.011182488739420801</v>
      </c>
      <c r="H20" s="41">
        <f>'WA Electric - Sched 91'!$I$23</f>
        <v>0.011182488739420801</v>
      </c>
      <c r="I20" s="41">
        <f>'WA Electric - Sched 91'!$I$23</f>
        <v>0.011182488739420801</v>
      </c>
      <c r="J20" s="41">
        <f>'WA Electric - Sched 91'!$I$23</f>
        <v>0.011182488739420801</v>
      </c>
      <c r="K20" s="41">
        <f>'WA Electric - Sched 91'!$I$23</f>
        <v>0.011182488739420801</v>
      </c>
      <c r="L20" s="41">
        <f>'WA Electric - Sched 91'!$I$23</f>
        <v>0.011182488739420801</v>
      </c>
      <c r="M20" s="41">
        <f>'WA Electric - Sched 91'!$I$23</f>
        <v>0.011182488739420801</v>
      </c>
      <c r="N20" s="41">
        <f>'WA Electric - Sched 91'!$I$23</f>
        <v>0.011182488739420801</v>
      </c>
      <c r="O20" s="41">
        <f>'WA Electric - Sched 91'!$I$23</f>
        <v>0.011182488739420801</v>
      </c>
      <c r="P20" s="41">
        <f>'WA Electric - Sched 91'!$I$23</f>
        <v>0.011182488739420801</v>
      </c>
      <c r="Q20" s="41">
        <f>'WA Electric - Sched 91'!$I$23</f>
        <v>0.011182488739420801</v>
      </c>
      <c r="R20" s="41">
        <f>'WA Electric - Sched 91'!$I$23</f>
        <v>0.011182488739420801</v>
      </c>
      <c r="S20" s="41">
        <f>'WA Electric - Sched 91'!$I$23</f>
        <v>0.011182488739420801</v>
      </c>
      <c r="T20" s="41">
        <f>'WA Electric - Sched 91'!$I$23</f>
        <v>0.011182488739420801</v>
      </c>
      <c r="U20" s="41">
        <f>'WA Electric - Sched 91'!$I$23</f>
        <v>0.011182488739420801</v>
      </c>
      <c r="V20" s="41">
        <f>'WA Electric - Sched 91'!$I$23</f>
        <v>0.011182488739420801</v>
      </c>
      <c r="W20" s="41">
        <f>'WA Electric - Sched 91'!$I$23</f>
        <v>0.011182488739420801</v>
      </c>
      <c r="X20" s="41">
        <f>'WA Electric - Sched 91'!$I$23</f>
        <v>0.011182488739420801</v>
      </c>
      <c r="Y20" s="41">
        <f>'WA Electric - Sched 91'!$I$23</f>
        <v>0.011182488739420801</v>
      </c>
      <c r="Z20" s="41">
        <f>'WA Electric - Sched 91'!$I$23</f>
        <v>0.011182488739420801</v>
      </c>
      <c r="AA20" s="41">
        <f>'WA Electric - Sched 91'!$I$23</f>
        <v>0.011182488739420801</v>
      </c>
      <c r="AB20" s="41">
        <f>'WA Electric - Sched 91'!$I$23</f>
        <v>0.011182488739420801</v>
      </c>
      <c r="AC20" s="41">
        <f>'WA Electric - Sched 91'!$I$23</f>
        <v>0.011182488739420801</v>
      </c>
      <c r="AD20" s="41">
        <f>'WA Electric - Sched 91'!$I$23</f>
        <v>0.011182488739420801</v>
      </c>
    </row>
    <row r="21" spans="4:30" ht="15">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row>
    <row r="23" spans="1:30" ht="15">
      <c r="A23" s="44" t="s">
        <v>13</v>
      </c>
      <c r="D23" s="74">
        <f aca="true" t="shared" si="5" ref="D23:R23">D4</f>
        <v>44334</v>
      </c>
      <c r="E23" s="74">
        <f t="shared" si="5"/>
        <v>44365</v>
      </c>
      <c r="F23" s="74">
        <f t="shared" si="5"/>
        <v>44395</v>
      </c>
      <c r="G23" s="74">
        <f t="shared" si="5"/>
        <v>44426</v>
      </c>
      <c r="H23" s="74">
        <f t="shared" si="5"/>
        <v>44457</v>
      </c>
      <c r="I23" s="74">
        <f t="shared" si="5"/>
        <v>44487</v>
      </c>
      <c r="J23" s="74">
        <f t="shared" si="5"/>
        <v>44518</v>
      </c>
      <c r="K23" s="74">
        <f t="shared" si="5"/>
        <v>44548</v>
      </c>
      <c r="L23" s="74">
        <f t="shared" si="5"/>
        <v>44579</v>
      </c>
      <c r="M23" s="74">
        <f t="shared" si="5"/>
        <v>44610</v>
      </c>
      <c r="N23" s="74">
        <f t="shared" si="5"/>
        <v>44638</v>
      </c>
      <c r="O23" s="74">
        <f t="shared" si="5"/>
        <v>44669</v>
      </c>
      <c r="P23" s="74">
        <f t="shared" si="5"/>
        <v>44699</v>
      </c>
      <c r="Q23" s="74">
        <f t="shared" si="5"/>
        <v>44730</v>
      </c>
      <c r="R23" s="74">
        <f t="shared" si="5"/>
        <v>44760</v>
      </c>
      <c r="S23" s="74">
        <f aca="true" t="shared" si="6" ref="S23:AD23">S4</f>
        <v>44791</v>
      </c>
      <c r="T23" s="74">
        <f t="shared" si="6"/>
        <v>44822</v>
      </c>
      <c r="U23" s="74">
        <f t="shared" si="6"/>
        <v>44852</v>
      </c>
      <c r="V23" s="74">
        <f t="shared" si="6"/>
        <v>44883</v>
      </c>
      <c r="W23" s="74">
        <f t="shared" si="6"/>
        <v>44913</v>
      </c>
      <c r="X23" s="74">
        <f t="shared" si="6"/>
        <v>44944</v>
      </c>
      <c r="Y23" s="74">
        <f t="shared" si="6"/>
        <v>44975</v>
      </c>
      <c r="Z23" s="74">
        <f t="shared" si="6"/>
        <v>45003</v>
      </c>
      <c r="AA23" s="74">
        <f t="shared" si="6"/>
        <v>45034</v>
      </c>
      <c r="AB23" s="74">
        <f t="shared" si="6"/>
        <v>45064</v>
      </c>
      <c r="AC23" s="74">
        <f t="shared" si="6"/>
        <v>45095</v>
      </c>
      <c r="AD23" s="74">
        <f t="shared" si="6"/>
        <v>45125</v>
      </c>
    </row>
    <row r="24" spans="2:30" ht="15">
      <c r="B24" s="44" t="s">
        <v>47</v>
      </c>
      <c r="D24" s="14">
        <f>D5*D15</f>
        <v>526088.2368151676</v>
      </c>
      <c r="E24" s="14">
        <f>E5*E15</f>
        <v>525537.0217990003</v>
      </c>
      <c r="F24" s="14">
        <f aca="true" t="shared" si="7" ref="F24:N24">F5*F15</f>
        <v>651574.2288082445</v>
      </c>
      <c r="G24" s="14">
        <f t="shared" si="7"/>
        <v>498682.208028866</v>
      </c>
      <c r="H24" s="14">
        <f t="shared" si="7"/>
        <v>395140.3646237636</v>
      </c>
      <c r="I24" s="14">
        <f t="shared" si="7"/>
        <v>458166.53334488545</v>
      </c>
      <c r="J24" s="14">
        <f t="shared" si="7"/>
        <v>583484.5535265999</v>
      </c>
      <c r="K24" s="14">
        <f t="shared" si="7"/>
        <v>736912.3883983673</v>
      </c>
      <c r="L24" s="14">
        <f t="shared" si="7"/>
        <v>737882.4938048645</v>
      </c>
      <c r="M24" s="14">
        <f t="shared" si="7"/>
        <v>604707.0528342011</v>
      </c>
      <c r="N24" s="14">
        <f t="shared" si="7"/>
        <v>567155.9936422168</v>
      </c>
      <c r="O24" s="14">
        <f aca="true" t="shared" si="8" ref="O24:Q24">O5*O15</f>
        <v>448193.1592316462</v>
      </c>
      <c r="P24" s="14">
        <f t="shared" si="8"/>
        <v>405185.44684314047</v>
      </c>
      <c r="Q24" s="14">
        <f t="shared" si="8"/>
        <v>393610.64772034995</v>
      </c>
      <c r="R24" s="14">
        <f>R5*R15</f>
        <v>479354.12744778075</v>
      </c>
      <c r="S24" s="14">
        <f aca="true" t="shared" si="9" ref="S24:AD24">S5*S15</f>
        <v>478316.1244457448</v>
      </c>
      <c r="T24" s="14">
        <f t="shared" si="9"/>
        <v>395892.1260112095</v>
      </c>
      <c r="U24" s="14">
        <f t="shared" si="9"/>
        <v>449242.5083079538</v>
      </c>
      <c r="V24" s="14">
        <f t="shared" si="9"/>
        <v>575349.481172959</v>
      </c>
      <c r="W24" s="14">
        <f t="shared" si="9"/>
        <v>735119.7083144371</v>
      </c>
      <c r="X24" s="14">
        <f t="shared" si="9"/>
        <v>741888.4580610223</v>
      </c>
      <c r="Y24" s="14">
        <f t="shared" si="9"/>
        <v>605840.0420201315</v>
      </c>
      <c r="Z24" s="14">
        <f t="shared" si="9"/>
        <v>578971.9937455102</v>
      </c>
      <c r="AA24" s="14">
        <f t="shared" si="9"/>
        <v>459734.45064247074</v>
      </c>
      <c r="AB24" s="14">
        <f t="shared" si="9"/>
        <v>414011.70463143545</v>
      </c>
      <c r="AC24" s="14">
        <f t="shared" si="9"/>
        <v>397565.92960501544</v>
      </c>
      <c r="AD24" s="14">
        <f t="shared" si="9"/>
        <v>480658.0808536248</v>
      </c>
    </row>
    <row r="25" spans="2:30" ht="15">
      <c r="B25" s="44" t="s">
        <v>48</v>
      </c>
      <c r="D25" s="14">
        <f aca="true" t="shared" si="10" ref="D25:N25">D6*D16</f>
        <v>197423.41144215528</v>
      </c>
      <c r="E25" s="14">
        <f t="shared" si="10"/>
        <v>198825.88777582144</v>
      </c>
      <c r="F25" s="14">
        <f t="shared" si="10"/>
        <v>236491.91871745852</v>
      </c>
      <c r="G25" s="14">
        <f t="shared" si="10"/>
        <v>179652.0146970611</v>
      </c>
      <c r="H25" s="14">
        <f t="shared" si="10"/>
        <v>153682.0551375786</v>
      </c>
      <c r="I25" s="14">
        <f t="shared" si="10"/>
        <v>165946.00342010122</v>
      </c>
      <c r="J25" s="14">
        <f t="shared" si="10"/>
        <v>183029.76585065378</v>
      </c>
      <c r="K25" s="14">
        <f t="shared" si="10"/>
        <v>210010.06660178516</v>
      </c>
      <c r="L25" s="14">
        <f t="shared" si="10"/>
        <v>209665.30050676208</v>
      </c>
      <c r="M25" s="14">
        <f t="shared" si="10"/>
        <v>181354.5283046415</v>
      </c>
      <c r="N25" s="14">
        <f t="shared" si="10"/>
        <v>181665.5493915829</v>
      </c>
      <c r="O25" s="14">
        <f aca="true" t="shared" si="11" ref="O25:R25">O6*O16</f>
        <v>155255.96407303066</v>
      </c>
      <c r="P25" s="14">
        <f t="shared" si="11"/>
        <v>152515.2389535905</v>
      </c>
      <c r="Q25" s="14">
        <f t="shared" si="11"/>
        <v>155139.0595192859</v>
      </c>
      <c r="R25" s="14">
        <f t="shared" si="11"/>
        <v>183315.12737368146</v>
      </c>
      <c r="S25" s="14">
        <f aca="true" t="shared" si="12" ref="S25:AD25">S6*S16</f>
        <v>180311.6066361495</v>
      </c>
      <c r="T25" s="14">
        <f t="shared" si="12"/>
        <v>152934.099614962</v>
      </c>
      <c r="U25" s="14">
        <f t="shared" si="12"/>
        <v>163693.26848453868</v>
      </c>
      <c r="V25" s="14">
        <f t="shared" si="12"/>
        <v>182038.48364784638</v>
      </c>
      <c r="W25" s="14">
        <f t="shared" si="12"/>
        <v>209609.7249378245</v>
      </c>
      <c r="X25" s="14">
        <f t="shared" si="12"/>
        <v>209509.80415973713</v>
      </c>
      <c r="Y25" s="14">
        <f t="shared" si="12"/>
        <v>179597.65952454307</v>
      </c>
      <c r="Z25" s="14">
        <f t="shared" si="12"/>
        <v>182126.79540359875</v>
      </c>
      <c r="AA25" s="14">
        <f t="shared" si="12"/>
        <v>156158.16553889893</v>
      </c>
      <c r="AB25" s="14">
        <f t="shared" si="12"/>
        <v>153608.98148840052</v>
      </c>
      <c r="AC25" s="14">
        <f t="shared" si="12"/>
        <v>156652.4689574042</v>
      </c>
      <c r="AD25" s="14">
        <f t="shared" si="12"/>
        <v>185184.20140372287</v>
      </c>
    </row>
    <row r="26" spans="2:30" ht="15">
      <c r="B26" s="44" t="s">
        <v>49</v>
      </c>
      <c r="D26" s="14">
        <f aca="true" t="shared" si="13" ref="D26:N26">D7*D17</f>
        <v>347952.5682424408</v>
      </c>
      <c r="E26" s="14">
        <f t="shared" si="13"/>
        <v>347075.26098495856</v>
      </c>
      <c r="F26" s="14">
        <f t="shared" si="13"/>
        <v>393327.5811577789</v>
      </c>
      <c r="G26" s="14">
        <f t="shared" si="13"/>
        <v>320955.3670753551</v>
      </c>
      <c r="H26" s="14">
        <f t="shared" si="13"/>
        <v>285802.5230404824</v>
      </c>
      <c r="I26" s="14">
        <f t="shared" si="13"/>
        <v>308987.17613631475</v>
      </c>
      <c r="J26" s="14">
        <f t="shared" si="13"/>
        <v>304360.85370486724</v>
      </c>
      <c r="K26" s="14">
        <f t="shared" si="13"/>
        <v>321330.6303912209</v>
      </c>
      <c r="L26" s="14">
        <f t="shared" si="13"/>
        <v>318623.54401175404</v>
      </c>
      <c r="M26" s="14">
        <f t="shared" si="13"/>
        <v>284791.5133456186</v>
      </c>
      <c r="N26" s="14">
        <f t="shared" si="13"/>
        <v>297351.35478956637</v>
      </c>
      <c r="O26" s="14">
        <f aca="true" t="shared" si="14" ref="O26:R26">O7*O17</f>
        <v>274417.72408392286</v>
      </c>
      <c r="P26" s="14">
        <f t="shared" si="14"/>
        <v>287001.19299229933</v>
      </c>
      <c r="Q26" s="14">
        <f t="shared" si="14"/>
        <v>294581.3748275339</v>
      </c>
      <c r="R26" s="14">
        <f t="shared" si="14"/>
        <v>334255.65653325303</v>
      </c>
      <c r="S26" s="14">
        <f aca="true" t="shared" si="15" ref="S26:AD26">S7*S17</f>
        <v>324175.8064583106</v>
      </c>
      <c r="T26" s="14">
        <f t="shared" si="15"/>
        <v>285967.23444700113</v>
      </c>
      <c r="U26" s="14">
        <f t="shared" si="15"/>
        <v>312036.4979566109</v>
      </c>
      <c r="V26" s="14">
        <f t="shared" si="15"/>
        <v>311579.87530984054</v>
      </c>
      <c r="W26" s="14">
        <f t="shared" si="15"/>
        <v>327424.5115651676</v>
      </c>
      <c r="X26" s="14">
        <f t="shared" si="15"/>
        <v>322637.6798255102</v>
      </c>
      <c r="Y26" s="14">
        <f t="shared" si="15"/>
        <v>285628.5435459065</v>
      </c>
      <c r="Z26" s="14">
        <f t="shared" si="15"/>
        <v>301322.58444223856</v>
      </c>
      <c r="AA26" s="14">
        <f t="shared" si="15"/>
        <v>278618.6796668768</v>
      </c>
      <c r="AB26" s="14">
        <f t="shared" si="15"/>
        <v>291394.40963978873</v>
      </c>
      <c r="AC26" s="14">
        <f t="shared" si="15"/>
        <v>299594.4538754067</v>
      </c>
      <c r="AD26" s="14">
        <f t="shared" si="15"/>
        <v>337539.2350046582</v>
      </c>
    </row>
    <row r="27" spans="2:30" ht="15">
      <c r="B27" s="44" t="s">
        <v>50</v>
      </c>
      <c r="D27" s="14">
        <f aca="true" t="shared" si="16" ref="D27:N27">D8*D18</f>
        <v>276050.83617</v>
      </c>
      <c r="E27" s="14">
        <f t="shared" si="16"/>
        <v>282290.98644</v>
      </c>
      <c r="F27" s="14">
        <f t="shared" si="16"/>
        <v>278175.80907</v>
      </c>
      <c r="G27" s="14">
        <f t="shared" si="16"/>
        <v>163448.60612412356</v>
      </c>
      <c r="H27" s="14">
        <f t="shared" si="16"/>
        <v>158090.4836753451</v>
      </c>
      <c r="I27" s="14">
        <f t="shared" si="16"/>
        <v>162148.4176995406</v>
      </c>
      <c r="J27" s="14">
        <f t="shared" si="16"/>
        <v>160463.0563547689</v>
      </c>
      <c r="K27" s="14">
        <f t="shared" si="16"/>
        <v>160518.48178091986</v>
      </c>
      <c r="L27" s="14">
        <f t="shared" si="16"/>
        <v>164803.04635399434</v>
      </c>
      <c r="M27" s="14">
        <f t="shared" si="16"/>
        <v>156981.43376065843</v>
      </c>
      <c r="N27" s="14">
        <f t="shared" si="16"/>
        <v>158819.26407961044</v>
      </c>
      <c r="O27" s="14">
        <f aca="true" t="shared" si="17" ref="O27:R27">O8*O18</f>
        <v>160588.82454593686</v>
      </c>
      <c r="P27" s="14">
        <f t="shared" si="17"/>
        <v>160414.30748693395</v>
      </c>
      <c r="Q27" s="14">
        <f t="shared" si="17"/>
        <v>162335.1069873101</v>
      </c>
      <c r="R27" s="14">
        <f t="shared" si="17"/>
        <v>160493.45240842472</v>
      </c>
      <c r="S27" s="14">
        <f aca="true" t="shared" si="18" ref="S27:AD27">S8*S18</f>
        <v>169564.00289298454</v>
      </c>
      <c r="T27" s="14">
        <f t="shared" si="18"/>
        <v>164679.27658844477</v>
      </c>
      <c r="U27" s="14">
        <f t="shared" si="18"/>
        <v>164586.81306858268</v>
      </c>
      <c r="V27" s="14">
        <f t="shared" si="18"/>
        <v>163377.12970675578</v>
      </c>
      <c r="W27" s="14">
        <f t="shared" si="18"/>
        <v>163869.81610846365</v>
      </c>
      <c r="X27" s="14">
        <f t="shared" si="18"/>
        <v>167061.11469573568</v>
      </c>
      <c r="Y27" s="14">
        <f t="shared" si="18"/>
        <v>160693.4203260532</v>
      </c>
      <c r="Z27" s="14">
        <f t="shared" si="18"/>
        <v>159647.78590648994</v>
      </c>
      <c r="AA27" s="14">
        <f t="shared" si="18"/>
        <v>163116.18619000886</v>
      </c>
      <c r="AB27" s="14">
        <f t="shared" si="18"/>
        <v>162305.6701779511</v>
      </c>
      <c r="AC27" s="14">
        <f t="shared" si="18"/>
        <v>163177.90484010722</v>
      </c>
      <c r="AD27" s="14">
        <f t="shared" si="18"/>
        <v>162080.47304526565</v>
      </c>
    </row>
    <row r="28" spans="2:30" ht="15">
      <c r="B28" s="44" t="s">
        <v>51</v>
      </c>
      <c r="D28" s="14">
        <f aca="true" t="shared" si="19" ref="D28:N28">D9*D19</f>
        <v>44737.763254456855</v>
      </c>
      <c r="E28" s="14">
        <f t="shared" si="19"/>
        <v>54797.82007654711</v>
      </c>
      <c r="F28" s="14">
        <f t="shared" si="19"/>
        <v>76220.43155586244</v>
      </c>
      <c r="G28" s="14">
        <f t="shared" si="19"/>
        <v>64965.372313980384</v>
      </c>
      <c r="H28" s="14">
        <f t="shared" si="19"/>
        <v>44958.886990036466</v>
      </c>
      <c r="I28" s="14">
        <f t="shared" si="19"/>
        <v>26485.0517289343</v>
      </c>
      <c r="J28" s="14">
        <f t="shared" si="19"/>
        <v>11907.217665680051</v>
      </c>
      <c r="K28" s="14">
        <f t="shared" si="19"/>
        <v>10175.15854326806</v>
      </c>
      <c r="L28" s="14">
        <f t="shared" si="19"/>
        <v>10438.83702064314</v>
      </c>
      <c r="M28" s="14">
        <f t="shared" si="19"/>
        <v>9640.509353903193</v>
      </c>
      <c r="N28" s="14">
        <f t="shared" si="19"/>
        <v>11227.220340852322</v>
      </c>
      <c r="O28" s="14">
        <f aca="true" t="shared" si="20" ref="O28:R28">O9*O19</f>
        <v>16822.575577763724</v>
      </c>
      <c r="P28" s="14">
        <f t="shared" si="20"/>
        <v>32108.161182924898</v>
      </c>
      <c r="Q28" s="14">
        <f t="shared" si="20"/>
        <v>46363.985003769834</v>
      </c>
      <c r="R28" s="14">
        <f t="shared" si="20"/>
        <v>62885.93223678827</v>
      </c>
      <c r="S28" s="14">
        <f aca="true" t="shared" si="21" ref="S28:AD28">S9*S19</f>
        <v>64500.42031144367</v>
      </c>
      <c r="T28" s="14">
        <f t="shared" si="21"/>
        <v>46099.656492882204</v>
      </c>
      <c r="U28" s="14">
        <f t="shared" si="21"/>
        <v>26912.433174240676</v>
      </c>
      <c r="V28" s="14">
        <f t="shared" si="21"/>
        <v>12205.556481129628</v>
      </c>
      <c r="W28" s="14">
        <f t="shared" si="21"/>
        <v>10326.88046135655</v>
      </c>
      <c r="X28" s="14">
        <f t="shared" si="21"/>
        <v>10477.955411127303</v>
      </c>
      <c r="Y28" s="14">
        <f t="shared" si="21"/>
        <v>9408.12180713977</v>
      </c>
      <c r="Z28" s="14">
        <f t="shared" si="21"/>
        <v>11272.813972883632</v>
      </c>
      <c r="AA28" s="14">
        <f t="shared" si="21"/>
        <v>16627.749069108064</v>
      </c>
      <c r="AB28" s="14">
        <f t="shared" si="21"/>
        <v>31178.177546582825</v>
      </c>
      <c r="AC28" s="14">
        <f t="shared" si="21"/>
        <v>45996.53021077783</v>
      </c>
      <c r="AD28" s="14">
        <f t="shared" si="21"/>
        <v>62563.93531670512</v>
      </c>
    </row>
    <row r="29" spans="2:30" ht="15">
      <c r="B29" s="44" t="s">
        <v>52</v>
      </c>
      <c r="D29" s="43">
        <f aca="true" t="shared" si="22" ref="D29:H29">D10*D20</f>
        <v>19149.703641861764</v>
      </c>
      <c r="E29" s="43">
        <f t="shared" si="22"/>
        <v>19136.78639466076</v>
      </c>
      <c r="F29" s="43">
        <f t="shared" si="22"/>
        <v>19200.73430754866</v>
      </c>
      <c r="G29" s="43">
        <f t="shared" si="22"/>
        <v>15306.254941958627</v>
      </c>
      <c r="H29" s="43">
        <f t="shared" si="22"/>
        <v>15460.748042123132</v>
      </c>
      <c r="I29" s="43">
        <f aca="true" t="shared" si="23" ref="I29:M29">I10*I20</f>
        <v>15081.333637008578</v>
      </c>
      <c r="J29" s="43">
        <f t="shared" si="23"/>
        <v>14979.796819121346</v>
      </c>
      <c r="K29" s="43">
        <f t="shared" si="23"/>
        <v>15704.475526077236</v>
      </c>
      <c r="L29" s="43">
        <f t="shared" si="23"/>
        <v>15184.139869699835</v>
      </c>
      <c r="M29" s="43">
        <f t="shared" si="23"/>
        <v>14424.78224970194</v>
      </c>
      <c r="N29" s="43">
        <f>N10*N20</f>
        <v>15066.648782814853</v>
      </c>
      <c r="O29" s="43">
        <f aca="true" t="shared" si="24" ref="O29:R29">O10*O20</f>
        <v>14765.573975678284</v>
      </c>
      <c r="P29" s="43">
        <f t="shared" si="24"/>
        <v>14866.807233436108</v>
      </c>
      <c r="Q29" s="43">
        <f t="shared" si="24"/>
        <v>14830.097891515139</v>
      </c>
      <c r="R29" s="43">
        <f t="shared" si="24"/>
        <v>15005.96336633182</v>
      </c>
      <c r="S29" s="43">
        <f aca="true" t="shared" si="25" ref="S29:AD29">S10*S20</f>
        <v>14927.340581778963</v>
      </c>
      <c r="T29" s="43">
        <f t="shared" si="25"/>
        <v>15096.513226921752</v>
      </c>
      <c r="U29" s="43">
        <f t="shared" si="25"/>
        <v>14808.864115662482</v>
      </c>
      <c r="V29" s="43">
        <f t="shared" si="25"/>
        <v>14756.506101140836</v>
      </c>
      <c r="W29" s="43">
        <f t="shared" si="25"/>
        <v>15327.193110083375</v>
      </c>
      <c r="X29" s="43">
        <f t="shared" si="25"/>
        <v>14959.88389035287</v>
      </c>
      <c r="Y29" s="43">
        <f t="shared" si="25"/>
        <v>14198.979292187303</v>
      </c>
      <c r="Z29" s="43">
        <f t="shared" si="25"/>
        <v>14925.564543943172</v>
      </c>
      <c r="AA29" s="43">
        <f t="shared" si="25"/>
        <v>14533.181963147683</v>
      </c>
      <c r="AB29" s="43">
        <f t="shared" si="25"/>
        <v>14563.710438604088</v>
      </c>
      <c r="AC29" s="43">
        <f t="shared" si="25"/>
        <v>14552.186391744115</v>
      </c>
      <c r="AD29" s="43">
        <f t="shared" si="25"/>
        <v>14698.58569032453</v>
      </c>
    </row>
    <row r="30" spans="2:32" ht="15">
      <c r="B30" s="44" t="s">
        <v>55</v>
      </c>
      <c r="D30" s="14">
        <f aca="true" t="shared" si="26" ref="D30:K30">SUM(D24:D29)</f>
        <v>1411402.5195660822</v>
      </c>
      <c r="E30" s="14">
        <f t="shared" si="26"/>
        <v>1427663.7634709883</v>
      </c>
      <c r="F30" s="14">
        <f t="shared" si="26"/>
        <v>1654990.7036168932</v>
      </c>
      <c r="G30" s="14">
        <f t="shared" si="26"/>
        <v>1243009.823181345</v>
      </c>
      <c r="H30" s="14">
        <f t="shared" si="26"/>
        <v>1053135.0615093294</v>
      </c>
      <c r="I30" s="14">
        <f t="shared" si="26"/>
        <v>1136814.515966785</v>
      </c>
      <c r="J30" s="14">
        <f t="shared" si="26"/>
        <v>1258225.243921691</v>
      </c>
      <c r="K30" s="14">
        <f t="shared" si="26"/>
        <v>1454651.2012416385</v>
      </c>
      <c r="L30" s="14">
        <f aca="true" t="shared" si="27" ref="L30:N30">SUM(L24:L29)</f>
        <v>1456597.3615677177</v>
      </c>
      <c r="M30" s="14">
        <f t="shared" si="27"/>
        <v>1251899.8198487246</v>
      </c>
      <c r="N30" s="14">
        <f t="shared" si="27"/>
        <v>1231286.0310266437</v>
      </c>
      <c r="O30" s="14">
        <f aca="true" t="shared" si="28" ref="O30:R30">SUM(O24:O29)</f>
        <v>1070043.8214879788</v>
      </c>
      <c r="P30" s="14">
        <f t="shared" si="28"/>
        <v>1052091.154692325</v>
      </c>
      <c r="Q30" s="14">
        <f t="shared" si="28"/>
        <v>1066860.2719497648</v>
      </c>
      <c r="R30" s="14">
        <f t="shared" si="28"/>
        <v>1235310.2593662601</v>
      </c>
      <c r="S30" s="14">
        <f aca="true" t="shared" si="29" ref="S30:AD30">SUM(S24:S29)</f>
        <v>1231795.301326412</v>
      </c>
      <c r="T30" s="14">
        <f t="shared" si="29"/>
        <v>1060668.9063814213</v>
      </c>
      <c r="U30" s="14">
        <f t="shared" si="29"/>
        <v>1131280.3851075892</v>
      </c>
      <c r="V30" s="14">
        <f t="shared" si="29"/>
        <v>1259307.032419672</v>
      </c>
      <c r="W30" s="14">
        <f t="shared" si="29"/>
        <v>1461677.8344973328</v>
      </c>
      <c r="X30" s="14">
        <f t="shared" si="29"/>
        <v>1466534.8960434855</v>
      </c>
      <c r="Y30" s="14">
        <f t="shared" si="29"/>
        <v>1255366.7665159614</v>
      </c>
      <c r="Z30" s="14">
        <f t="shared" si="29"/>
        <v>1248267.5380146643</v>
      </c>
      <c r="AA30" s="14">
        <f t="shared" si="29"/>
        <v>1088788.413070511</v>
      </c>
      <c r="AB30" s="14">
        <f t="shared" si="29"/>
        <v>1067062.6539227625</v>
      </c>
      <c r="AC30" s="14">
        <f t="shared" si="29"/>
        <v>1077539.4738804554</v>
      </c>
      <c r="AD30" s="14">
        <f t="shared" si="29"/>
        <v>1242724.511314301</v>
      </c>
      <c r="AF30" s="15">
        <f>SUM(G30:R30)-'WA Electric - Sched 91'!D39</f>
        <v>0</v>
      </c>
    </row>
    <row r="32" spans="1:30" ht="15">
      <c r="A32" s="44" t="s">
        <v>54</v>
      </c>
      <c r="C32" s="84">
        <f>'Rev Conv Factor'!E22</f>
        <v>0.955631</v>
      </c>
      <c r="D32" s="74">
        <f aca="true" t="shared" si="30" ref="D32:R32">D4</f>
        <v>44334</v>
      </c>
      <c r="E32" s="74">
        <f t="shared" si="30"/>
        <v>44365</v>
      </c>
      <c r="F32" s="74">
        <f t="shared" si="30"/>
        <v>44395</v>
      </c>
      <c r="G32" s="74">
        <f t="shared" si="30"/>
        <v>44426</v>
      </c>
      <c r="H32" s="74">
        <f t="shared" si="30"/>
        <v>44457</v>
      </c>
      <c r="I32" s="74">
        <f t="shared" si="30"/>
        <v>44487</v>
      </c>
      <c r="J32" s="74">
        <f t="shared" si="30"/>
        <v>44518</v>
      </c>
      <c r="K32" s="74">
        <f t="shared" si="30"/>
        <v>44548</v>
      </c>
      <c r="L32" s="74">
        <f t="shared" si="30"/>
        <v>44579</v>
      </c>
      <c r="M32" s="74">
        <f t="shared" si="30"/>
        <v>44610</v>
      </c>
      <c r="N32" s="74">
        <f t="shared" si="30"/>
        <v>44638</v>
      </c>
      <c r="O32" s="74">
        <f t="shared" si="30"/>
        <v>44669</v>
      </c>
      <c r="P32" s="74">
        <f t="shared" si="30"/>
        <v>44699</v>
      </c>
      <c r="Q32" s="74">
        <f t="shared" si="30"/>
        <v>44730</v>
      </c>
      <c r="R32" s="74">
        <f t="shared" si="30"/>
        <v>44760</v>
      </c>
      <c r="S32" s="74">
        <f aca="true" t="shared" si="31" ref="S32:AD32">S4</f>
        <v>44791</v>
      </c>
      <c r="T32" s="74">
        <f t="shared" si="31"/>
        <v>44822</v>
      </c>
      <c r="U32" s="74">
        <f t="shared" si="31"/>
        <v>44852</v>
      </c>
      <c r="V32" s="74">
        <f t="shared" si="31"/>
        <v>44883</v>
      </c>
      <c r="W32" s="74">
        <f t="shared" si="31"/>
        <v>44913</v>
      </c>
      <c r="X32" s="74">
        <f t="shared" si="31"/>
        <v>44944</v>
      </c>
      <c r="Y32" s="74">
        <f t="shared" si="31"/>
        <v>44975</v>
      </c>
      <c r="Z32" s="74">
        <f t="shared" si="31"/>
        <v>45003</v>
      </c>
      <c r="AA32" s="74">
        <f t="shared" si="31"/>
        <v>45034</v>
      </c>
      <c r="AB32" s="74">
        <f t="shared" si="31"/>
        <v>45064</v>
      </c>
      <c r="AC32" s="74">
        <f t="shared" si="31"/>
        <v>45095</v>
      </c>
      <c r="AD32" s="74">
        <f t="shared" si="31"/>
        <v>45125</v>
      </c>
    </row>
    <row r="33" spans="2:30" ht="15">
      <c r="B33" s="44" t="s">
        <v>47</v>
      </c>
      <c r="D33" s="14">
        <f>D24*$C$32</f>
        <v>502746.2278359154</v>
      </c>
      <c r="E33" s="14">
        <f>E24*$C$32</f>
        <v>502219.4696788005</v>
      </c>
      <c r="F33" s="14">
        <f aca="true" t="shared" si="32" ref="F33:N33">F24*$C$32</f>
        <v>622664.5318502515</v>
      </c>
      <c r="G33" s="14">
        <f t="shared" si="32"/>
        <v>476556.1771408332</v>
      </c>
      <c r="H33" s="14">
        <f t="shared" si="32"/>
        <v>377608.3817857718</v>
      </c>
      <c r="I33" s="14">
        <f t="shared" si="32"/>
        <v>437838.1424269062</v>
      </c>
      <c r="J33" s="14">
        <f t="shared" si="32"/>
        <v>557595.9273711782</v>
      </c>
      <c r="K33" s="14">
        <f t="shared" si="32"/>
        <v>704216.3226375201</v>
      </c>
      <c r="L33" s="14">
        <f t="shared" si="32"/>
        <v>705143.3854372364</v>
      </c>
      <c r="M33" s="14">
        <f t="shared" si="32"/>
        <v>577876.8056070005</v>
      </c>
      <c r="N33" s="14">
        <f t="shared" si="32"/>
        <v>541991.8493603052</v>
      </c>
      <c r="O33" s="14">
        <f aca="true" t="shared" si="33" ref="O33:Q33">O24*$C$32</f>
        <v>428307.2769496973</v>
      </c>
      <c r="P33" s="14">
        <f t="shared" si="33"/>
        <v>387207.77375215717</v>
      </c>
      <c r="Q33" s="14">
        <f t="shared" si="33"/>
        <v>376146.53689164575</v>
      </c>
      <c r="R33" s="14">
        <f>R24*$C$32</f>
        <v>458085.66416705016</v>
      </c>
      <c r="S33" s="14">
        <f aca="true" t="shared" si="34" ref="S33:AD33">S24*$C$32</f>
        <v>457093.71632021153</v>
      </c>
      <c r="T33" s="14">
        <f t="shared" si="34"/>
        <v>378326.78827221814</v>
      </c>
      <c r="U33" s="14">
        <f t="shared" si="34"/>
        <v>429310.06745683815</v>
      </c>
      <c r="V33" s="14">
        <f t="shared" si="34"/>
        <v>549821.800042796</v>
      </c>
      <c r="W33" s="14">
        <f t="shared" si="34"/>
        <v>702503.1819762338</v>
      </c>
      <c r="X33" s="14">
        <f t="shared" si="34"/>
        <v>708971.6090653129</v>
      </c>
      <c r="Y33" s="14">
        <f t="shared" si="34"/>
        <v>578959.5251957403</v>
      </c>
      <c r="Z33" s="14">
        <f t="shared" si="34"/>
        <v>553283.5853550157</v>
      </c>
      <c r="AA33" s="14">
        <f t="shared" si="34"/>
        <v>439336.492801915</v>
      </c>
      <c r="AB33" s="14">
        <f t="shared" si="34"/>
        <v>395642.4193086433</v>
      </c>
      <c r="AC33" s="14">
        <f t="shared" si="34"/>
        <v>379926.3268743705</v>
      </c>
      <c r="AD33" s="14">
        <f t="shared" si="34"/>
        <v>459331.7624642303</v>
      </c>
    </row>
    <row r="34" spans="2:30" ht="15">
      <c r="B34" s="44" t="s">
        <v>48</v>
      </c>
      <c r="D34" s="14">
        <f aca="true" t="shared" si="35" ref="D34:N34">D25*$C$32</f>
        <v>188663.9320998783</v>
      </c>
      <c r="E34" s="14">
        <f t="shared" si="35"/>
        <v>190004.181961096</v>
      </c>
      <c r="F34" s="14">
        <f t="shared" si="35"/>
        <v>225999.00877588362</v>
      </c>
      <c r="G34" s="14">
        <f t="shared" si="35"/>
        <v>171681.0344569672</v>
      </c>
      <c r="H34" s="14">
        <f t="shared" si="35"/>
        <v>146863.33603317937</v>
      </c>
      <c r="I34" s="14">
        <f t="shared" si="35"/>
        <v>158583.14519435476</v>
      </c>
      <c r="J34" s="14">
        <f t="shared" si="35"/>
        <v>174908.91816962612</v>
      </c>
      <c r="K34" s="14">
        <f t="shared" si="35"/>
        <v>200692.12995673055</v>
      </c>
      <c r="L34" s="14">
        <f t="shared" si="35"/>
        <v>200362.66078857754</v>
      </c>
      <c r="M34" s="14">
        <f t="shared" si="35"/>
        <v>173308.00923829287</v>
      </c>
      <c r="N34" s="14">
        <f t="shared" si="35"/>
        <v>173605.23063062775</v>
      </c>
      <c r="O34" s="14">
        <f aca="true" t="shared" si="36" ref="O34:R34">O25*$C$32</f>
        <v>148367.41220307437</v>
      </c>
      <c r="P34" s="14">
        <f t="shared" si="36"/>
        <v>145748.29031645865</v>
      </c>
      <c r="Q34" s="14">
        <f t="shared" si="36"/>
        <v>148255.6945874747</v>
      </c>
      <c r="R34" s="14">
        <f t="shared" si="36"/>
        <v>175181.6184872386</v>
      </c>
      <c r="S34" s="14">
        <f aca="true" t="shared" si="37" ref="S34:AD34">S25*$C$32</f>
        <v>172311.3609613102</v>
      </c>
      <c r="T34" s="14">
        <f t="shared" si="37"/>
        <v>146148.56654914576</v>
      </c>
      <c r="U34" s="14">
        <f t="shared" si="37"/>
        <v>156430.3618551482</v>
      </c>
      <c r="V34" s="14">
        <f t="shared" si="37"/>
        <v>173961.6181668751</v>
      </c>
      <c r="W34" s="14">
        <f t="shared" si="37"/>
        <v>200309.55105205817</v>
      </c>
      <c r="X34" s="14">
        <f t="shared" si="37"/>
        <v>200214.06365897376</v>
      </c>
      <c r="Y34" s="14">
        <f t="shared" si="37"/>
        <v>171629.09096909862</v>
      </c>
      <c r="Z34" s="14">
        <f t="shared" si="37"/>
        <v>174046.0116183365</v>
      </c>
      <c r="AA34" s="14">
        <f t="shared" si="37"/>
        <v>149229.58389210352</v>
      </c>
      <c r="AB34" s="14">
        <f t="shared" si="37"/>
        <v>146793.50458874166</v>
      </c>
      <c r="AC34" s="14">
        <f t="shared" si="37"/>
        <v>149701.95556223314</v>
      </c>
      <c r="AD34" s="14">
        <f t="shared" si="37"/>
        <v>176967.7635716411</v>
      </c>
    </row>
    <row r="35" spans="2:30" ht="15">
      <c r="B35" s="44" t="s">
        <v>49</v>
      </c>
      <c r="D35" s="14">
        <f aca="true" t="shared" si="38" ref="D35:N35">D26*$C$32</f>
        <v>332514.260742092</v>
      </c>
      <c r="E35" s="14">
        <f t="shared" si="38"/>
        <v>331675.87873031694</v>
      </c>
      <c r="F35" s="14">
        <f t="shared" si="38"/>
        <v>375876.02970938943</v>
      </c>
      <c r="G35" s="14">
        <f t="shared" si="38"/>
        <v>306714.89839358866</v>
      </c>
      <c r="H35" s="14">
        <f t="shared" si="38"/>
        <v>273121.75089569925</v>
      </c>
      <c r="I35" s="14">
        <f t="shared" si="38"/>
        <v>295277.7241183226</v>
      </c>
      <c r="J35" s="14">
        <f t="shared" si="38"/>
        <v>290856.666986836</v>
      </c>
      <c r="K35" s="14">
        <f t="shared" si="38"/>
        <v>307073.51165139285</v>
      </c>
      <c r="L35" s="14">
        <f t="shared" si="38"/>
        <v>304486.53598749655</v>
      </c>
      <c r="M35" s="14">
        <f t="shared" si="38"/>
        <v>272155.59868998686</v>
      </c>
      <c r="N35" s="14">
        <f t="shared" si="38"/>
        <v>284158.1725289081</v>
      </c>
      <c r="O35" s="14">
        <f aca="true" t="shared" si="39" ref="O35:R35">O26*$C$32</f>
        <v>262242.0840840433</v>
      </c>
      <c r="P35" s="14">
        <f t="shared" si="39"/>
        <v>274267.237060424</v>
      </c>
      <c r="Q35" s="14">
        <f t="shared" si="39"/>
        <v>281511.09380781103</v>
      </c>
      <c r="R35" s="14">
        <f t="shared" si="39"/>
        <v>319425.0673085291</v>
      </c>
      <c r="S35" s="14">
        <f aca="true" t="shared" si="40" ref="S35:AD35">S26*$C$32</f>
        <v>309792.4501015618</v>
      </c>
      <c r="T35" s="14">
        <f t="shared" si="40"/>
        <v>273279.15422182216</v>
      </c>
      <c r="U35" s="14">
        <f t="shared" si="40"/>
        <v>298191.7505787741</v>
      </c>
      <c r="V35" s="14">
        <f t="shared" si="40"/>
        <v>297755.38782221824</v>
      </c>
      <c r="W35" s="14">
        <f t="shared" si="40"/>
        <v>312897.0134115327</v>
      </c>
      <c r="X35" s="14">
        <f t="shared" si="40"/>
        <v>308322.56860933214</v>
      </c>
      <c r="Y35" s="14">
        <f t="shared" si="40"/>
        <v>272955.49069731816</v>
      </c>
      <c r="Z35" s="14">
        <f t="shared" si="40"/>
        <v>287953.20269312087</v>
      </c>
      <c r="AA35" s="14">
        <f t="shared" si="40"/>
        <v>266256.64746873715</v>
      </c>
      <c r="AB35" s="14">
        <f t="shared" si="40"/>
        <v>278465.53107848094</v>
      </c>
      <c r="AC35" s="14">
        <f t="shared" si="40"/>
        <v>286301.7475514088</v>
      </c>
      <c r="AD35" s="14">
        <f t="shared" si="40"/>
        <v>322562.95668673655</v>
      </c>
    </row>
    <row r="36" spans="2:30" ht="15">
      <c r="B36" s="44" t="s">
        <v>50</v>
      </c>
      <c r="D36" s="14">
        <f aca="true" t="shared" si="41" ref="D36:N36">D27*$C$32</f>
        <v>263802.7366199733</v>
      </c>
      <c r="E36" s="14">
        <f t="shared" si="41"/>
        <v>269766.01766264363</v>
      </c>
      <c r="F36" s="14">
        <f t="shared" si="41"/>
        <v>265833.4265973732</v>
      </c>
      <c r="G36" s="14">
        <f t="shared" si="41"/>
        <v>156196.55491900232</v>
      </c>
      <c r="H36" s="14">
        <f t="shared" si="41"/>
        <v>151076.16700515372</v>
      </c>
      <c r="I36" s="14">
        <f t="shared" si="41"/>
        <v>154954.05455462966</v>
      </c>
      <c r="J36" s="14">
        <f t="shared" si="41"/>
        <v>153343.47100736416</v>
      </c>
      <c r="K36" s="14">
        <f t="shared" si="41"/>
        <v>153396.43726278222</v>
      </c>
      <c r="L36" s="14">
        <f t="shared" si="41"/>
        <v>157490.89999031398</v>
      </c>
      <c r="M36" s="14">
        <f t="shared" si="41"/>
        <v>150016.32452613176</v>
      </c>
      <c r="N36" s="14">
        <f t="shared" si="41"/>
        <v>151772.6121516622</v>
      </c>
      <c r="O36" s="14">
        <f aca="true" t="shared" si="42" ref="O36:R36">O27*$C$32</f>
        <v>153463.6589896582</v>
      </c>
      <c r="P36" s="14">
        <f t="shared" si="42"/>
        <v>153296.88507804618</v>
      </c>
      <c r="Q36" s="14">
        <f t="shared" si="42"/>
        <v>155132.46062539014</v>
      </c>
      <c r="R36" s="14">
        <f t="shared" si="42"/>
        <v>153372.51841851533</v>
      </c>
      <c r="S36" s="14">
        <f aca="true" t="shared" si="43" ref="S36:AD36">S27*$C$32</f>
        <v>162040.61764862572</v>
      </c>
      <c r="T36" s="14">
        <f t="shared" si="43"/>
        <v>157372.62176549208</v>
      </c>
      <c r="U36" s="14">
        <f t="shared" si="43"/>
        <v>157284.26075954273</v>
      </c>
      <c r="V36" s="14">
        <f t="shared" si="43"/>
        <v>156128.24983879674</v>
      </c>
      <c r="W36" s="14">
        <f t="shared" si="43"/>
        <v>156599.07623754724</v>
      </c>
      <c r="X36" s="14">
        <f t="shared" si="43"/>
        <v>159648.7800978006</v>
      </c>
      <c r="Y36" s="14">
        <f t="shared" si="43"/>
        <v>153563.61395960653</v>
      </c>
      <c r="Z36" s="14">
        <f t="shared" si="43"/>
        <v>152564.37329360488</v>
      </c>
      <c r="AA36" s="14">
        <f t="shared" si="43"/>
        <v>155878.88412494436</v>
      </c>
      <c r="AB36" s="14">
        <f t="shared" si="43"/>
        <v>155104.3298978256</v>
      </c>
      <c r="AC36" s="14">
        <f t="shared" si="43"/>
        <v>155937.8643802565</v>
      </c>
      <c r="AD36" s="14">
        <f t="shared" si="43"/>
        <v>154889.12453672025</v>
      </c>
    </row>
    <row r="37" spans="2:30" ht="15">
      <c r="B37" s="44" t="s">
        <v>51</v>
      </c>
      <c r="D37" s="14">
        <f aca="true" t="shared" si="44" ref="D37:N37">D28*$C$32</f>
        <v>42752.79343661986</v>
      </c>
      <c r="E37" s="14">
        <f t="shared" si="44"/>
        <v>52366.49559757079</v>
      </c>
      <c r="F37" s="14">
        <f t="shared" si="44"/>
        <v>72838.60722816037</v>
      </c>
      <c r="G37" s="14">
        <f t="shared" si="44"/>
        <v>62082.92370978139</v>
      </c>
      <c r="H37" s="14">
        <f t="shared" si="44"/>
        <v>42964.10613317554</v>
      </c>
      <c r="I37" s="14">
        <f t="shared" si="44"/>
        <v>25309.936468773216</v>
      </c>
      <c r="J37" s="14">
        <f t="shared" si="44"/>
        <v>11378.906325071493</v>
      </c>
      <c r="K37" s="14">
        <f t="shared" si="44"/>
        <v>9723.6969338618</v>
      </c>
      <c r="L37" s="14">
        <f t="shared" si="44"/>
        <v>9975.676260874223</v>
      </c>
      <c r="M37" s="14">
        <f t="shared" si="44"/>
        <v>9212.769594379863</v>
      </c>
      <c r="N37" s="14">
        <f t="shared" si="44"/>
        <v>10729.079801549045</v>
      </c>
      <c r="O37" s="14">
        <f aca="true" t="shared" si="45" ref="O37:R37">O28*$C$32</f>
        <v>16076.174721953925</v>
      </c>
      <c r="P37" s="14">
        <f t="shared" si="45"/>
        <v>30683.554179399704</v>
      </c>
      <c r="Q37" s="14">
        <f t="shared" si="45"/>
        <v>44306.861353137574</v>
      </c>
      <c r="R37" s="14">
        <f t="shared" si="45"/>
        <v>60095.74630937421</v>
      </c>
      <c r="S37" s="14">
        <f aca="true" t="shared" si="46" ref="S37:AD37">S28*$C$32</f>
        <v>61638.601162645224</v>
      </c>
      <c r="T37" s="14">
        <f t="shared" si="46"/>
        <v>44054.26083394951</v>
      </c>
      <c r="U37" s="14">
        <f t="shared" si="46"/>
        <v>25718.355426732793</v>
      </c>
      <c r="V37" s="14">
        <f t="shared" si="46"/>
        <v>11664.008145618387</v>
      </c>
      <c r="W37" s="14">
        <f t="shared" si="46"/>
        <v>9868.687102166621</v>
      </c>
      <c r="X37" s="14">
        <f t="shared" si="46"/>
        <v>10013.059007490996</v>
      </c>
      <c r="Y37" s="14">
        <f t="shared" si="46"/>
        <v>8990.692850678786</v>
      </c>
      <c r="Z37" s="14">
        <f t="shared" si="46"/>
        <v>10772.650489720758</v>
      </c>
      <c r="AA37" s="14">
        <f t="shared" si="46"/>
        <v>15889.992470660809</v>
      </c>
      <c r="AB37" s="14">
        <f t="shared" si="46"/>
        <v>29794.832987018493</v>
      </c>
      <c r="AC37" s="14">
        <f t="shared" si="46"/>
        <v>43955.71016185583</v>
      </c>
      <c r="AD37" s="14">
        <f t="shared" si="46"/>
        <v>59788.036070638234</v>
      </c>
    </row>
    <row r="38" spans="2:30" ht="15">
      <c r="B38" s="44" t="s">
        <v>52</v>
      </c>
      <c r="D38" s="43">
        <f>D29*$C$32</f>
        <v>18300.050440976</v>
      </c>
      <c r="E38" s="43">
        <f aca="true" t="shared" si="47" ref="E38:N38">E29*$C$32</f>
        <v>18287.70631911606</v>
      </c>
      <c r="F38" s="43">
        <f t="shared" si="47"/>
        <v>18348.816927057032</v>
      </c>
      <c r="G38" s="43">
        <f t="shared" si="47"/>
        <v>14627.131716438864</v>
      </c>
      <c r="H38" s="43">
        <f t="shared" si="47"/>
        <v>14774.770112242171</v>
      </c>
      <c r="I38" s="43">
        <f t="shared" si="47"/>
        <v>14412.189944868145</v>
      </c>
      <c r="J38" s="43">
        <f t="shared" si="47"/>
        <v>14315.15821405375</v>
      </c>
      <c r="K38" s="43">
        <f t="shared" si="47"/>
        <v>15007.683651460715</v>
      </c>
      <c r="L38" s="43">
        <f t="shared" si="47"/>
        <v>14510.434767821123</v>
      </c>
      <c r="M38" s="43">
        <f t="shared" si="47"/>
        <v>13784.769086064915</v>
      </c>
      <c r="N38" s="43">
        <f t="shared" si="47"/>
        <v>14398.156642970142</v>
      </c>
      <c r="O38" s="43">
        <f aca="true" t="shared" si="48" ref="O38:R38">O29*$C$32</f>
        <v>14110.440223951415</v>
      </c>
      <c r="P38" s="43">
        <f t="shared" si="48"/>
        <v>14207.181863295782</v>
      </c>
      <c r="Q38" s="43">
        <f t="shared" si="48"/>
        <v>14172.101278166503</v>
      </c>
      <c r="R38" s="43">
        <f t="shared" si="48"/>
        <v>14340.163777731044</v>
      </c>
      <c r="S38" s="43">
        <f aca="true" t="shared" si="49" ref="S38:AD38">S29*$C$32</f>
        <v>14265.029407506012</v>
      </c>
      <c r="T38" s="43">
        <f t="shared" si="49"/>
        <v>14426.696031556461</v>
      </c>
      <c r="U38" s="43">
        <f t="shared" si="49"/>
        <v>14151.809623714653</v>
      </c>
      <c r="V38" s="43">
        <f t="shared" si="49"/>
        <v>14101.774681939318</v>
      </c>
      <c r="W38" s="43">
        <f t="shared" si="49"/>
        <v>14647.140878982087</v>
      </c>
      <c r="X38" s="43">
        <f t="shared" si="49"/>
        <v>14296.128802021803</v>
      </c>
      <c r="Y38" s="43">
        <f t="shared" si="49"/>
        <v>13568.984779972245</v>
      </c>
      <c r="Z38" s="43">
        <f t="shared" si="49"/>
        <v>14263.332170692958</v>
      </c>
      <c r="AA38" s="43">
        <f t="shared" si="49"/>
        <v>13888.359212624784</v>
      </c>
      <c r="AB38" s="43">
        <f t="shared" si="49"/>
        <v>13917.533170153663</v>
      </c>
      <c r="AC38" s="43">
        <f t="shared" si="49"/>
        <v>13906.520433728821</v>
      </c>
      <c r="AD38" s="43">
        <f t="shared" si="49"/>
        <v>14046.424141830521</v>
      </c>
    </row>
    <row r="39" spans="2:32" ht="15">
      <c r="B39" s="44" t="s">
        <v>55</v>
      </c>
      <c r="D39" s="15">
        <f aca="true" t="shared" si="50" ref="D39:N39">SUM(D33:D38)</f>
        <v>1348780.0011754548</v>
      </c>
      <c r="E39" s="15">
        <f t="shared" si="50"/>
        <v>1364319.749949544</v>
      </c>
      <c r="F39" s="15">
        <f t="shared" si="50"/>
        <v>1581560.421088115</v>
      </c>
      <c r="G39" s="15">
        <f t="shared" si="50"/>
        <v>1187858.7203366116</v>
      </c>
      <c r="H39" s="15">
        <f t="shared" si="50"/>
        <v>1006408.511965222</v>
      </c>
      <c r="I39" s="15">
        <f t="shared" si="50"/>
        <v>1086375.1927078548</v>
      </c>
      <c r="J39" s="15">
        <f t="shared" si="50"/>
        <v>1202399.04807413</v>
      </c>
      <c r="K39" s="15">
        <f t="shared" si="50"/>
        <v>1390109.7820937482</v>
      </c>
      <c r="L39" s="15">
        <f t="shared" si="50"/>
        <v>1391969.5932323197</v>
      </c>
      <c r="M39" s="15">
        <f t="shared" si="50"/>
        <v>1196354.276741857</v>
      </c>
      <c r="N39" s="15">
        <f t="shared" si="50"/>
        <v>1176655.1011160223</v>
      </c>
      <c r="O39" s="15">
        <f aca="true" t="shared" si="51" ref="O39:R39">SUM(O33:O38)</f>
        <v>1022567.0471723784</v>
      </c>
      <c r="P39" s="15">
        <f t="shared" si="51"/>
        <v>1005410.9222497815</v>
      </c>
      <c r="Q39" s="15">
        <f t="shared" si="51"/>
        <v>1019524.7485436257</v>
      </c>
      <c r="R39" s="15">
        <f t="shared" si="51"/>
        <v>1180500.7784684384</v>
      </c>
      <c r="S39" s="15">
        <f aca="true" t="shared" si="52" ref="S39:AD39">SUM(S33:S38)</f>
        <v>1177141.7756018606</v>
      </c>
      <c r="T39" s="15">
        <f t="shared" si="52"/>
        <v>1013608.0876741842</v>
      </c>
      <c r="U39" s="15">
        <f t="shared" si="52"/>
        <v>1081086.6057007504</v>
      </c>
      <c r="V39" s="15">
        <f t="shared" si="52"/>
        <v>1203432.8386982437</v>
      </c>
      <c r="W39" s="15">
        <f t="shared" si="52"/>
        <v>1396824.6506585206</v>
      </c>
      <c r="X39" s="15">
        <f t="shared" si="52"/>
        <v>1401466.209240932</v>
      </c>
      <c r="Y39" s="15">
        <f t="shared" si="52"/>
        <v>1199667.3984524147</v>
      </c>
      <c r="Z39" s="15">
        <f t="shared" si="52"/>
        <v>1192883.1556204916</v>
      </c>
      <c r="AA39" s="15">
        <f t="shared" si="52"/>
        <v>1040479.9599709855</v>
      </c>
      <c r="AB39" s="15">
        <f t="shared" si="52"/>
        <v>1019718.1510308638</v>
      </c>
      <c r="AC39" s="15">
        <f t="shared" si="52"/>
        <v>1029730.1249638536</v>
      </c>
      <c r="AD39" s="15">
        <f t="shared" si="52"/>
        <v>1187586.067471797</v>
      </c>
      <c r="AF39" s="15">
        <f>SUM(G39:R39)-'WA Electric - Sched 91'!D42</f>
        <v>0</v>
      </c>
    </row>
  </sheetData>
  <printOptions/>
  <pageMargins left="0.3" right="0.42" top="0.5" bottom="0.75" header="0.3" footer="0.3"/>
  <pageSetup fitToHeight="0" fitToWidth="1" horizontalDpi="600" verticalDpi="600" orientation="landscape" scale="28"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42"/>
  <sheetViews>
    <sheetView view="pageBreakPreview" zoomScale="85" zoomScaleSheetLayoutView="85" workbookViewId="0" topLeftCell="A1">
      <selection activeCell="G21" sqref="G21"/>
    </sheetView>
  </sheetViews>
  <sheetFormatPr defaultColWidth="9.140625" defaultRowHeight="15"/>
  <cols>
    <col min="1" max="1" width="41.8515625" style="0" bestFit="1" customWidth="1"/>
    <col min="2" max="2" width="18.28125" style="0" bestFit="1" customWidth="1"/>
    <col min="3" max="3" width="19.57421875" style="0" customWidth="1"/>
    <col min="4" max="4" width="11.57421875" style="0" bestFit="1" customWidth="1"/>
    <col min="5" max="5" width="11.28125" style="0" bestFit="1" customWidth="1"/>
    <col min="6" max="8" width="10.57421875" style="0" customWidth="1"/>
    <col min="9" max="10" width="14.28125" style="0" bestFit="1" customWidth="1"/>
    <col min="11" max="11" width="12.8515625" style="0" customWidth="1"/>
    <col min="12" max="12" width="10.421875" style="0" bestFit="1" customWidth="1"/>
    <col min="13" max="14" width="10.57421875" style="0" customWidth="1"/>
    <col min="15" max="17" width="10.57421875" style="44" customWidth="1"/>
    <col min="18" max="20" width="10.57421875" style="0" customWidth="1"/>
    <col min="21" max="21" width="10.7109375" style="0" bestFit="1" customWidth="1"/>
    <col min="22" max="31" width="10.7109375" style="44" bestFit="1" customWidth="1"/>
    <col min="32" max="33" width="11.28125" style="44" bestFit="1" customWidth="1"/>
  </cols>
  <sheetData>
    <row r="1" spans="1:33" ht="15">
      <c r="A1" s="16"/>
      <c r="B1" s="16"/>
      <c r="C1" s="16"/>
      <c r="D1" s="16"/>
      <c r="E1" s="16"/>
      <c r="F1" s="16">
        <v>2021</v>
      </c>
      <c r="G1" s="16"/>
      <c r="H1" s="16"/>
      <c r="I1" s="16"/>
      <c r="J1" s="16"/>
      <c r="K1" s="16"/>
      <c r="L1" s="16"/>
      <c r="M1" s="16"/>
      <c r="N1" s="16"/>
      <c r="O1" s="16"/>
      <c r="P1" s="16"/>
      <c r="Q1" s="16"/>
      <c r="R1" s="76">
        <v>2022</v>
      </c>
      <c r="S1" s="76"/>
      <c r="T1" s="76"/>
      <c r="U1" s="76"/>
      <c r="V1" s="76"/>
      <c r="W1" s="76"/>
      <c r="X1" s="76"/>
      <c r="Y1" s="76"/>
      <c r="Z1" s="76"/>
      <c r="AA1" s="76"/>
      <c r="AB1" s="76"/>
      <c r="AC1" s="76"/>
      <c r="AD1" s="76">
        <v>2023</v>
      </c>
      <c r="AE1"/>
      <c r="AF1"/>
      <c r="AG1"/>
    </row>
    <row r="2" spans="1:33" ht="15">
      <c r="A2" s="17"/>
      <c r="B2" s="17"/>
      <c r="C2" s="17" t="s">
        <v>17</v>
      </c>
      <c r="D2" s="17" t="s">
        <v>18</v>
      </c>
      <c r="E2" s="17" t="s">
        <v>19</v>
      </c>
      <c r="F2" s="17" t="s">
        <v>20</v>
      </c>
      <c r="G2" s="17" t="s">
        <v>21</v>
      </c>
      <c r="H2" s="17" t="s">
        <v>22</v>
      </c>
      <c r="I2" s="17" t="s">
        <v>147</v>
      </c>
      <c r="J2" s="17" t="s">
        <v>23</v>
      </c>
      <c r="K2" s="17" t="s">
        <v>24</v>
      </c>
      <c r="L2" s="17" t="s">
        <v>25</v>
      </c>
      <c r="M2" s="17" t="s">
        <v>26</v>
      </c>
      <c r="N2" s="17" t="s">
        <v>16</v>
      </c>
      <c r="O2" s="17" t="s">
        <v>17</v>
      </c>
      <c r="P2" s="17" t="s">
        <v>18</v>
      </c>
      <c r="Q2" s="17" t="s">
        <v>19</v>
      </c>
      <c r="R2" s="17" t="s">
        <v>20</v>
      </c>
      <c r="S2" s="17" t="s">
        <v>21</v>
      </c>
      <c r="T2" s="17" t="s">
        <v>22</v>
      </c>
      <c r="U2" s="17" t="s">
        <v>147</v>
      </c>
      <c r="V2" s="17" t="s">
        <v>23</v>
      </c>
      <c r="W2" s="17" t="s">
        <v>24</v>
      </c>
      <c r="X2" s="17" t="s">
        <v>25</v>
      </c>
      <c r="Y2" s="17" t="s">
        <v>26</v>
      </c>
      <c r="Z2" s="17" t="s">
        <v>16</v>
      </c>
      <c r="AA2" s="17" t="s">
        <v>17</v>
      </c>
      <c r="AB2" s="17" t="s">
        <v>18</v>
      </c>
      <c r="AC2" s="17" t="s">
        <v>19</v>
      </c>
      <c r="AD2" s="17" t="s">
        <v>20</v>
      </c>
      <c r="AE2"/>
      <c r="AF2"/>
      <c r="AG2"/>
    </row>
    <row r="3" spans="1:33" ht="15">
      <c r="A3" s="16" t="s">
        <v>27</v>
      </c>
      <c r="C3" s="18"/>
      <c r="D3" s="18">
        <f>-'Revenue By Month'!D39</f>
        <v>-1348780.0011754548</v>
      </c>
      <c r="E3" s="18">
        <f>-'Revenue By Month'!E39</f>
        <v>-1364319.749949544</v>
      </c>
      <c r="F3" s="18">
        <f>-'Revenue By Month'!F39</f>
        <v>-1581560.421088115</v>
      </c>
      <c r="G3" s="18">
        <f>-'Revenue By Month'!G39</f>
        <v>-1187858.7203366116</v>
      </c>
      <c r="H3" s="18">
        <f>-'Revenue By Month'!H39</f>
        <v>-1006408.511965222</v>
      </c>
      <c r="I3" s="18">
        <f>-'Revenue By Month'!I39</f>
        <v>-1086375.1927078548</v>
      </c>
      <c r="J3" s="18">
        <f>-'Revenue By Month'!J39</f>
        <v>-1202399.04807413</v>
      </c>
      <c r="K3" s="18">
        <f>-'Revenue By Month'!K39</f>
        <v>-1390109.7820937482</v>
      </c>
      <c r="L3" s="18">
        <f>-'Revenue By Month'!L39</f>
        <v>-1391969.5932323197</v>
      </c>
      <c r="M3" s="18">
        <f>-'Revenue By Month'!M39</f>
        <v>-1196354.276741857</v>
      </c>
      <c r="N3" s="18">
        <f>-'Revenue By Month'!N39</f>
        <v>-1176655.1011160223</v>
      </c>
      <c r="O3" s="18">
        <f>-'Revenue By Month'!O39</f>
        <v>-1022567.0471723784</v>
      </c>
      <c r="P3" s="18">
        <f>-'Revenue By Month'!P39</f>
        <v>-1005410.9222497815</v>
      </c>
      <c r="Q3" s="18">
        <f>-'Revenue By Month'!Q39</f>
        <v>-1019524.7485436257</v>
      </c>
      <c r="R3" s="18">
        <f>-'Revenue By Month'!R39</f>
        <v>-1180500.7784684384</v>
      </c>
      <c r="S3" s="18">
        <f>-'Revenue By Month'!S39</f>
        <v>-1177141.7756018606</v>
      </c>
      <c r="T3" s="18">
        <f>-'Revenue By Month'!T39</f>
        <v>-1013608.0876741842</v>
      </c>
      <c r="U3" s="18">
        <f>-'Revenue By Month'!U39</f>
        <v>-1081086.6057007504</v>
      </c>
      <c r="V3" s="18">
        <f>-'Revenue By Month'!V39</f>
        <v>-1203432.8386982437</v>
      </c>
      <c r="W3" s="18">
        <f>-'Revenue By Month'!W39</f>
        <v>-1396824.6506585206</v>
      </c>
      <c r="X3" s="18">
        <f>-'Revenue By Month'!X39</f>
        <v>-1401466.209240932</v>
      </c>
      <c r="Y3" s="18">
        <f>-'Revenue By Month'!Y39</f>
        <v>-1199667.3984524147</v>
      </c>
      <c r="Z3" s="18">
        <f>-'Revenue By Month'!Z39</f>
        <v>-1192883.1556204916</v>
      </c>
      <c r="AA3" s="18">
        <f>-'Revenue By Month'!AA39</f>
        <v>-1040479.9599709855</v>
      </c>
      <c r="AB3" s="18">
        <f>-'Revenue By Month'!AB39</f>
        <v>-1019718.1510308638</v>
      </c>
      <c r="AC3" s="18">
        <f>-'Revenue By Month'!AC39</f>
        <v>-1029730.1249638536</v>
      </c>
      <c r="AD3" s="18">
        <f>-'Revenue By Month'!AD39</f>
        <v>-1187586.067471797</v>
      </c>
      <c r="AE3"/>
      <c r="AF3"/>
      <c r="AG3"/>
    </row>
    <row r="4" spans="1:38" ht="15">
      <c r="A4" s="16" t="s">
        <v>148</v>
      </c>
      <c r="C4" s="49"/>
      <c r="D4" s="49">
        <v>686368.9611111111</v>
      </c>
      <c r="E4" s="49">
        <v>1446515.151111111</v>
      </c>
      <c r="F4" s="49">
        <v>823349.4511111112</v>
      </c>
      <c r="G4" s="49">
        <v>892887.2411111111</v>
      </c>
      <c r="H4" s="49">
        <v>992416.5811111111</v>
      </c>
      <c r="I4" s="49">
        <v>1390041.181111111</v>
      </c>
      <c r="J4" s="49">
        <v>1053519.961111111</v>
      </c>
      <c r="K4" s="49">
        <v>2247078.211111111</v>
      </c>
      <c r="L4" s="49">
        <v>914915.0011111111</v>
      </c>
      <c r="M4" s="49">
        <v>1281648.571111111</v>
      </c>
      <c r="N4" s="49">
        <v>1292788.341111111</v>
      </c>
      <c r="O4" s="49">
        <v>1165341.6711111113</v>
      </c>
      <c r="P4" s="49">
        <v>1282887.271111111</v>
      </c>
      <c r="Q4" s="49">
        <v>1327060.1111111112</v>
      </c>
      <c r="R4" s="49">
        <v>835562.4911111112</v>
      </c>
      <c r="S4" s="49">
        <v>1066688.191111111</v>
      </c>
      <c r="T4" s="49">
        <v>952694.8511111111</v>
      </c>
      <c r="U4" s="49">
        <v>1358872.2311111111</v>
      </c>
      <c r="V4" s="49">
        <v>1073920.651111111</v>
      </c>
      <c r="W4" s="49">
        <v>3141428.4311111113</v>
      </c>
      <c r="X4" s="49">
        <v>914915.0011111111</v>
      </c>
      <c r="Y4" s="49">
        <v>1281648.571111111</v>
      </c>
      <c r="Z4" s="49">
        <v>1292788.341111111</v>
      </c>
      <c r="AA4" s="49">
        <v>1165341.6711111113</v>
      </c>
      <c r="AB4" s="49">
        <v>1282887.271111111</v>
      </c>
      <c r="AC4" s="49">
        <v>1327060.1111111112</v>
      </c>
      <c r="AD4" s="49">
        <v>835562.4911111112</v>
      </c>
      <c r="AE4" s="49"/>
      <c r="AF4" s="49"/>
      <c r="AG4" s="49"/>
      <c r="AH4" s="49"/>
      <c r="AI4" s="49"/>
      <c r="AJ4" s="49"/>
      <c r="AK4" s="49"/>
      <c r="AL4" s="49"/>
    </row>
    <row r="5" spans="1:33" ht="15">
      <c r="A5" s="16" t="s">
        <v>28</v>
      </c>
      <c r="C5" s="49"/>
      <c r="D5" s="49">
        <f>D3+D4</f>
        <v>-662411.0400643437</v>
      </c>
      <c r="E5" s="49">
        <f aca="true" t="shared" si="0" ref="E5:R5">E3+E4</f>
        <v>82195.40116156708</v>
      </c>
      <c r="F5" s="49">
        <f t="shared" si="0"/>
        <v>-758210.9699770039</v>
      </c>
      <c r="G5" s="49">
        <f t="shared" si="0"/>
        <v>-294971.4792255005</v>
      </c>
      <c r="H5" s="49">
        <f t="shared" si="0"/>
        <v>-13991.930854110862</v>
      </c>
      <c r="I5" s="49">
        <f t="shared" si="0"/>
        <v>303665.9884032563</v>
      </c>
      <c r="J5" s="49">
        <f t="shared" si="0"/>
        <v>-148879.08696301887</v>
      </c>
      <c r="K5" s="49">
        <f t="shared" si="0"/>
        <v>856968.4290173629</v>
      </c>
      <c r="L5" s="49">
        <f t="shared" si="0"/>
        <v>-477054.59212120855</v>
      </c>
      <c r="M5" s="49">
        <f t="shared" si="0"/>
        <v>85294.29436925403</v>
      </c>
      <c r="N5" s="49">
        <f t="shared" si="0"/>
        <v>116133.23999508866</v>
      </c>
      <c r="O5" s="49">
        <f t="shared" si="0"/>
        <v>142774.6239387329</v>
      </c>
      <c r="P5" s="49">
        <f t="shared" si="0"/>
        <v>277476.3488613294</v>
      </c>
      <c r="Q5" s="49">
        <f t="shared" si="0"/>
        <v>307535.36256748554</v>
      </c>
      <c r="R5" s="49">
        <f t="shared" si="0"/>
        <v>-344938.2873573272</v>
      </c>
      <c r="S5" s="49">
        <f aca="true" t="shared" si="1" ref="S5:AD5">S3+S4</f>
        <v>-110453.58449074952</v>
      </c>
      <c r="T5" s="49">
        <f t="shared" si="1"/>
        <v>-60913.23656307312</v>
      </c>
      <c r="U5" s="49">
        <f t="shared" si="1"/>
        <v>277785.62541036075</v>
      </c>
      <c r="V5" s="49">
        <f t="shared" si="1"/>
        <v>-129512.18758713268</v>
      </c>
      <c r="W5" s="49">
        <f t="shared" si="1"/>
        <v>1744603.7804525907</v>
      </c>
      <c r="X5" s="49">
        <f t="shared" si="1"/>
        <v>-486551.2081298209</v>
      </c>
      <c r="Y5" s="49">
        <f t="shared" si="1"/>
        <v>81981.1726586963</v>
      </c>
      <c r="Z5" s="49">
        <f t="shared" si="1"/>
        <v>99905.18549061939</v>
      </c>
      <c r="AA5" s="49">
        <f t="shared" si="1"/>
        <v>124861.71114012576</v>
      </c>
      <c r="AB5" s="49">
        <f t="shared" si="1"/>
        <v>263169.1200802472</v>
      </c>
      <c r="AC5" s="49">
        <f t="shared" si="1"/>
        <v>297329.9861472576</v>
      </c>
      <c r="AD5" s="49">
        <f t="shared" si="1"/>
        <v>-352023.57636068587</v>
      </c>
      <c r="AE5"/>
      <c r="AF5"/>
      <c r="AG5"/>
    </row>
    <row r="6" spans="1:33" ht="15">
      <c r="A6" s="16" t="s">
        <v>143</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c r="AF6"/>
      <c r="AG6"/>
    </row>
    <row r="7" spans="1:33" ht="15">
      <c r="A7" s="16" t="s">
        <v>29</v>
      </c>
      <c r="B7" s="49"/>
      <c r="C7" s="18">
        <v>-1221769.09</v>
      </c>
      <c r="D7" s="18">
        <f aca="true" t="shared" si="2" ref="D7:Q7">D5+D6+C7</f>
        <v>-1884180.1300643438</v>
      </c>
      <c r="E7" s="18">
        <f t="shared" si="2"/>
        <v>-1801984.7289027767</v>
      </c>
      <c r="F7" s="18">
        <f t="shared" si="2"/>
        <v>-2560195.6988797807</v>
      </c>
      <c r="G7" s="18">
        <f t="shared" si="2"/>
        <v>-2855167.178105281</v>
      </c>
      <c r="H7" s="18">
        <f t="shared" si="2"/>
        <v>-2869159.108959392</v>
      </c>
      <c r="I7" s="18">
        <f t="shared" si="2"/>
        <v>-2565493.1205561357</v>
      </c>
      <c r="J7" s="18">
        <f t="shared" si="2"/>
        <v>-2714372.2075191545</v>
      </c>
      <c r="K7" s="18">
        <f t="shared" si="2"/>
        <v>-1857403.7785017916</v>
      </c>
      <c r="L7" s="18">
        <f t="shared" si="2"/>
        <v>-2334458.370623</v>
      </c>
      <c r="M7" s="18">
        <f t="shared" si="2"/>
        <v>-2249164.0762537457</v>
      </c>
      <c r="N7" s="18">
        <f t="shared" si="2"/>
        <v>-2133030.8362586573</v>
      </c>
      <c r="O7" s="18">
        <f t="shared" si="2"/>
        <v>-1990256.2123199245</v>
      </c>
      <c r="P7" s="18">
        <f t="shared" si="2"/>
        <v>-1712779.8634585952</v>
      </c>
      <c r="Q7" s="18">
        <f t="shared" si="2"/>
        <v>-1405244.5008911097</v>
      </c>
      <c r="R7" s="136">
        <f>Q7+R5+R6</f>
        <v>-1750182.788248437</v>
      </c>
      <c r="S7" s="136">
        <f aca="true" t="shared" si="3" ref="S7:AC7">R7+S5+S6</f>
        <v>-1860636.3727391865</v>
      </c>
      <c r="T7" s="136">
        <f t="shared" si="3"/>
        <v>-1921549.6093022595</v>
      </c>
      <c r="U7" s="136">
        <f t="shared" si="3"/>
        <v>-1643763.9838918988</v>
      </c>
      <c r="V7" s="136">
        <f t="shared" si="3"/>
        <v>-1773276.1714790314</v>
      </c>
      <c r="W7" s="136">
        <f t="shared" si="3"/>
        <v>-28672.391026440775</v>
      </c>
      <c r="X7" s="136">
        <f t="shared" si="3"/>
        <v>-515223.59915626165</v>
      </c>
      <c r="Y7" s="136">
        <f t="shared" si="3"/>
        <v>-433242.42649756535</v>
      </c>
      <c r="Z7" s="136">
        <f t="shared" si="3"/>
        <v>-333337.24100694596</v>
      </c>
      <c r="AA7" s="136">
        <f t="shared" si="3"/>
        <v>-208475.5298668202</v>
      </c>
      <c r="AB7" s="136">
        <f t="shared" si="3"/>
        <v>54693.59021342697</v>
      </c>
      <c r="AC7" s="136">
        <f t="shared" si="3"/>
        <v>352023.5763606846</v>
      </c>
      <c r="AD7" s="81">
        <f>AC7+AD5+AD6</f>
        <v>-1.280568540096283E-09</v>
      </c>
      <c r="AE7"/>
      <c r="AF7"/>
      <c r="AG7"/>
    </row>
    <row r="8" spans="3:33" ht="15">
      <c r="C8" s="18"/>
      <c r="D8" s="18"/>
      <c r="E8" s="37"/>
      <c r="F8" s="37"/>
      <c r="G8" s="37"/>
      <c r="H8" s="18"/>
      <c r="I8" s="18"/>
      <c r="J8" s="18"/>
      <c r="K8" s="18"/>
      <c r="L8" s="18"/>
      <c r="M8" s="18"/>
      <c r="N8" s="18"/>
      <c r="O8" s="18"/>
      <c r="P8" s="18"/>
      <c r="Q8" s="18"/>
      <c r="R8" s="18"/>
      <c r="S8" s="18"/>
      <c r="T8" s="37"/>
      <c r="U8" s="76"/>
      <c r="V8" s="76"/>
      <c r="W8" s="76"/>
      <c r="X8" s="76"/>
      <c r="Y8" s="76"/>
      <c r="Z8" s="76"/>
      <c r="AA8" s="76"/>
      <c r="AB8" s="76"/>
      <c r="AC8" s="76"/>
      <c r="AD8" s="76"/>
      <c r="AE8" s="76"/>
      <c r="AF8" s="76"/>
      <c r="AG8" s="76"/>
    </row>
    <row r="9" spans="3:33" ht="15">
      <c r="C9" s="18"/>
      <c r="D9" s="18"/>
      <c r="E9" s="37"/>
      <c r="F9" s="37"/>
      <c r="G9" s="37"/>
      <c r="H9" s="18"/>
      <c r="I9" s="18"/>
      <c r="J9" s="18"/>
      <c r="K9" s="18"/>
      <c r="L9" s="18"/>
      <c r="M9" s="18"/>
      <c r="N9" s="18"/>
      <c r="O9" s="18"/>
      <c r="P9" s="18"/>
      <c r="Q9" s="18"/>
      <c r="R9" s="18"/>
      <c r="S9" s="18"/>
      <c r="T9" s="37"/>
      <c r="U9" s="76"/>
      <c r="V9" s="76"/>
      <c r="W9" s="76"/>
      <c r="X9" s="76"/>
      <c r="Y9" s="76"/>
      <c r="Z9" s="76"/>
      <c r="AA9" s="76"/>
      <c r="AB9" s="76"/>
      <c r="AC9" s="76"/>
      <c r="AD9" s="76"/>
      <c r="AE9" s="76"/>
      <c r="AF9" s="76"/>
      <c r="AG9" s="76"/>
    </row>
    <row r="10" spans="3:33" ht="15">
      <c r="C10" s="18"/>
      <c r="D10" s="18"/>
      <c r="E10" s="18"/>
      <c r="F10" s="37"/>
      <c r="G10" s="37"/>
      <c r="H10" s="18"/>
      <c r="I10" s="18"/>
      <c r="J10" s="18"/>
      <c r="K10" s="18"/>
      <c r="L10" s="18"/>
      <c r="M10" s="18"/>
      <c r="N10" s="18"/>
      <c r="O10" s="18"/>
      <c r="P10" s="18"/>
      <c r="Q10" s="18"/>
      <c r="R10" s="18"/>
      <c r="S10" s="18"/>
      <c r="T10" s="75"/>
      <c r="U10" s="75"/>
      <c r="V10" s="75"/>
      <c r="W10" s="75"/>
      <c r="X10" s="75"/>
      <c r="Y10" s="75"/>
      <c r="Z10" s="75"/>
      <c r="AA10" s="75"/>
      <c r="AB10" s="75"/>
      <c r="AC10" s="75"/>
      <c r="AD10" s="75"/>
      <c r="AE10" s="75"/>
      <c r="AF10" s="75"/>
      <c r="AG10" s="75"/>
    </row>
    <row r="11" spans="3:33" ht="15" hidden="1">
      <c r="C11" s="18"/>
      <c r="D11" s="18"/>
      <c r="E11" s="18"/>
      <c r="F11" s="37"/>
      <c r="G11" s="37"/>
      <c r="H11" s="18"/>
      <c r="I11" s="18"/>
      <c r="J11" s="18"/>
      <c r="K11" s="18"/>
      <c r="L11" s="18"/>
      <c r="M11" s="18"/>
      <c r="N11" s="18"/>
      <c r="O11" s="18"/>
      <c r="P11" s="18"/>
      <c r="Q11" s="18"/>
      <c r="R11" s="18"/>
      <c r="S11" s="18"/>
      <c r="T11" s="18"/>
      <c r="U11" s="76"/>
      <c r="V11" s="76"/>
      <c r="W11" s="76"/>
      <c r="X11" s="76"/>
      <c r="Y11" s="76"/>
      <c r="Z11" s="76"/>
      <c r="AA11" s="76"/>
      <c r="AB11" s="76"/>
      <c r="AC11" s="76"/>
      <c r="AD11" s="76"/>
      <c r="AE11" s="76"/>
      <c r="AF11" s="76"/>
      <c r="AG11" s="76"/>
    </row>
    <row r="12" spans="1:20" ht="15" hidden="1">
      <c r="A12" s="16"/>
      <c r="B12" s="18"/>
      <c r="C12" s="18"/>
      <c r="D12" s="18"/>
      <c r="E12" s="18"/>
      <c r="F12" s="18"/>
      <c r="G12" s="18"/>
      <c r="H12" s="18"/>
      <c r="I12" s="18"/>
      <c r="J12" s="18"/>
      <c r="K12" s="18"/>
      <c r="L12" s="18"/>
      <c r="M12" s="18"/>
      <c r="N12" s="18"/>
      <c r="O12" s="18"/>
      <c r="P12" s="18"/>
      <c r="Q12" s="18"/>
      <c r="R12" s="18"/>
      <c r="S12" s="18"/>
      <c r="T12" s="18"/>
    </row>
    <row r="13" spans="1:20" ht="15" hidden="1">
      <c r="A13" s="19" t="s">
        <v>30</v>
      </c>
      <c r="B13" s="50">
        <v>0</v>
      </c>
      <c r="C13" s="20" t="s">
        <v>31</v>
      </c>
      <c r="D13" s="16"/>
      <c r="E13" s="16"/>
      <c r="F13" s="16"/>
      <c r="G13" s="16"/>
      <c r="H13" s="16"/>
      <c r="I13" s="16"/>
      <c r="J13" s="16"/>
      <c r="K13" s="16"/>
      <c r="L13" s="16"/>
      <c r="M13" s="16"/>
      <c r="N13" s="16"/>
      <c r="O13" s="16"/>
      <c r="P13" s="16"/>
      <c r="Q13" s="16"/>
      <c r="R13" s="16"/>
      <c r="S13" s="16"/>
      <c r="T13" s="16"/>
    </row>
    <row r="14" spans="1:20" ht="15" hidden="1">
      <c r="A14" s="19" t="s">
        <v>58</v>
      </c>
      <c r="B14" s="49"/>
      <c r="C14" s="80" t="s">
        <v>145</v>
      </c>
      <c r="D14" s="16"/>
      <c r="E14" s="16"/>
      <c r="F14" s="16"/>
      <c r="G14" s="16"/>
      <c r="H14" s="16"/>
      <c r="I14" s="16"/>
      <c r="J14" s="16"/>
      <c r="K14" s="16"/>
      <c r="L14" s="73"/>
      <c r="M14" s="73"/>
      <c r="N14" s="73"/>
      <c r="O14" s="73"/>
      <c r="P14" s="73"/>
      <c r="Q14" s="73"/>
      <c r="R14" s="73"/>
      <c r="S14" s="73"/>
      <c r="T14" s="16"/>
    </row>
    <row r="15" spans="1:20" ht="15" hidden="1">
      <c r="A15" s="19" t="s">
        <v>79</v>
      </c>
      <c r="B15" s="49">
        <f>B14*1.02</f>
        <v>0</v>
      </c>
      <c r="C15" s="80" t="s">
        <v>146</v>
      </c>
      <c r="D15" s="16"/>
      <c r="E15" s="16"/>
      <c r="F15" s="16"/>
      <c r="G15" s="16"/>
      <c r="H15" s="16"/>
      <c r="I15" s="16"/>
      <c r="J15" s="16"/>
      <c r="K15" s="16"/>
      <c r="L15" s="73"/>
      <c r="M15" s="73"/>
      <c r="N15" s="73"/>
      <c r="O15" s="73"/>
      <c r="P15" s="73"/>
      <c r="Q15" s="73"/>
      <c r="R15" s="73"/>
      <c r="S15" s="73"/>
      <c r="T15" s="16"/>
    </row>
    <row r="16" spans="1:20" ht="15" hidden="1">
      <c r="A16" s="19"/>
      <c r="B16" s="18"/>
      <c r="C16" s="16"/>
      <c r="D16" s="16"/>
      <c r="E16" s="16"/>
      <c r="F16" s="16"/>
      <c r="G16" s="16"/>
      <c r="H16" s="16"/>
      <c r="I16" s="16"/>
      <c r="J16" s="16"/>
      <c r="K16" s="16"/>
      <c r="L16" s="16"/>
      <c r="M16" s="73"/>
      <c r="N16" s="16"/>
      <c r="O16" s="16"/>
      <c r="P16" s="16"/>
      <c r="Q16" s="16"/>
      <c r="R16" s="16"/>
      <c r="S16" s="16"/>
      <c r="T16" s="16"/>
    </row>
    <row r="17" spans="1:20" ht="15" hidden="1">
      <c r="A17" s="19"/>
      <c r="B17" s="18"/>
      <c r="C17" s="16"/>
      <c r="D17" s="16"/>
      <c r="E17" s="16"/>
      <c r="F17" s="16"/>
      <c r="G17" s="16"/>
      <c r="H17" s="16"/>
      <c r="I17" s="16"/>
      <c r="J17" s="16"/>
      <c r="K17" s="16"/>
      <c r="L17" s="73"/>
      <c r="M17" s="73"/>
      <c r="N17" s="73"/>
      <c r="O17" s="73"/>
      <c r="P17" s="73"/>
      <c r="Q17" s="73"/>
      <c r="R17" s="73"/>
      <c r="S17" s="73"/>
      <c r="T17" s="16"/>
    </row>
    <row r="18" spans="1:20" ht="15">
      <c r="A18" s="19"/>
      <c r="B18" s="18"/>
      <c r="C18" s="16"/>
      <c r="D18" s="16"/>
      <c r="E18" s="16"/>
      <c r="F18" s="16"/>
      <c r="G18" s="16"/>
      <c r="H18" s="16"/>
      <c r="I18" s="16"/>
      <c r="J18" s="16"/>
      <c r="K18" s="16"/>
      <c r="L18" s="16"/>
      <c r="M18" s="73"/>
      <c r="N18" s="16"/>
      <c r="O18" s="16"/>
      <c r="P18" s="16"/>
      <c r="Q18" s="16"/>
      <c r="R18" s="16"/>
      <c r="S18" s="16"/>
      <c r="T18" s="16"/>
    </row>
    <row r="19" spans="1:20" ht="15">
      <c r="A19" s="38" t="s">
        <v>153</v>
      </c>
      <c r="B19" s="14">
        <f>F7</f>
        <v>-2560195.6988797807</v>
      </c>
      <c r="C19" s="16" t="s">
        <v>164</v>
      </c>
      <c r="D19" s="16"/>
      <c r="E19" s="16"/>
      <c r="F19" s="16"/>
      <c r="G19" s="16"/>
      <c r="H19" s="16"/>
      <c r="I19" s="16"/>
      <c r="J19" s="16"/>
      <c r="K19" s="16"/>
      <c r="L19" s="16"/>
      <c r="M19" s="16"/>
      <c r="N19" s="16"/>
      <c r="O19" s="16"/>
      <c r="P19" s="16"/>
      <c r="Q19" s="16"/>
      <c r="R19" s="16"/>
      <c r="S19" s="16"/>
      <c r="T19" s="16"/>
    </row>
    <row r="20" spans="1:19" ht="15">
      <c r="A20" s="39" t="s">
        <v>162</v>
      </c>
      <c r="B20" s="40">
        <f>SUM(G4:AD4)</f>
        <v>30369954.446666673</v>
      </c>
      <c r="C20" s="16"/>
      <c r="D20" s="16"/>
      <c r="E20" s="73"/>
      <c r="F20" s="16"/>
      <c r="G20" s="16"/>
      <c r="H20" s="16"/>
      <c r="I20" s="16"/>
      <c r="J20" s="16"/>
      <c r="K20" s="16"/>
      <c r="L20" s="16"/>
      <c r="M20" s="16"/>
      <c r="N20" s="16"/>
      <c r="O20" s="16"/>
      <c r="P20" s="16"/>
      <c r="Q20" s="16"/>
      <c r="R20" s="16"/>
      <c r="S20" s="16"/>
    </row>
    <row r="21" spans="1:19" s="44" customFormat="1" ht="15">
      <c r="A21" s="39" t="s">
        <v>163</v>
      </c>
      <c r="B21" s="40">
        <f>SUM(G3:AD3)</f>
        <v>-27809758.747786894</v>
      </c>
      <c r="C21" s="16"/>
      <c r="D21" s="16"/>
      <c r="E21" s="73"/>
      <c r="F21" s="16"/>
      <c r="G21" s="16"/>
      <c r="H21" s="16"/>
      <c r="I21" s="16"/>
      <c r="J21" s="16"/>
      <c r="K21" s="16"/>
      <c r="L21" s="16"/>
      <c r="M21" s="16"/>
      <c r="N21" s="16"/>
      <c r="O21" s="16"/>
      <c r="P21" s="16"/>
      <c r="Q21" s="16"/>
      <c r="R21" s="16"/>
      <c r="S21" s="16"/>
    </row>
    <row r="22" spans="1:19" ht="15">
      <c r="A22" s="39"/>
      <c r="B22" s="47">
        <f>SUM(C6:R6)</f>
        <v>0</v>
      </c>
      <c r="C22" s="16"/>
      <c r="D22" s="16"/>
      <c r="E22" s="16"/>
      <c r="F22" s="16"/>
      <c r="G22" s="16"/>
      <c r="H22" s="16"/>
      <c r="I22" s="16"/>
      <c r="J22" s="16"/>
      <c r="K22" s="16"/>
      <c r="L22" s="16"/>
      <c r="M22" s="16"/>
      <c r="N22" s="16"/>
      <c r="O22" s="16"/>
      <c r="P22" s="16"/>
      <c r="Q22" s="16"/>
      <c r="R22" s="16"/>
      <c r="S22" s="16"/>
    </row>
    <row r="23" spans="1:19" ht="15">
      <c r="A23" s="5" t="s">
        <v>165</v>
      </c>
      <c r="B23" s="6">
        <f>B19+B20+B22+B21</f>
        <v>0</v>
      </c>
      <c r="C23" s="83" t="s">
        <v>161</v>
      </c>
      <c r="D23" s="16"/>
      <c r="E23" s="16"/>
      <c r="F23" s="16"/>
      <c r="G23" s="16"/>
      <c r="H23" s="16"/>
      <c r="I23" s="16"/>
      <c r="J23" s="16"/>
      <c r="K23" s="16"/>
      <c r="L23" s="16"/>
      <c r="M23" s="16"/>
      <c r="N23" s="16"/>
      <c r="O23" s="16"/>
      <c r="P23" s="16"/>
      <c r="Q23" s="16"/>
      <c r="R23" s="16"/>
      <c r="S23" s="16"/>
    </row>
    <row r="24" spans="1:19" ht="15">
      <c r="A24" s="5"/>
      <c r="B24" s="5"/>
      <c r="C24" s="16"/>
      <c r="D24" s="16"/>
      <c r="E24" s="16"/>
      <c r="F24" s="16"/>
      <c r="G24" s="16"/>
      <c r="H24" s="16"/>
      <c r="I24" s="16"/>
      <c r="J24" s="16"/>
      <c r="K24" s="16"/>
      <c r="L24" s="16"/>
      <c r="M24" s="16"/>
      <c r="N24" s="16"/>
      <c r="O24" s="16"/>
      <c r="P24" s="16"/>
      <c r="Q24" s="16"/>
      <c r="R24" s="16"/>
      <c r="S24" s="16"/>
    </row>
    <row r="25" spans="1:19" s="44" customFormat="1" ht="15">
      <c r="A25" s="5"/>
      <c r="B25" s="5" t="s">
        <v>57</v>
      </c>
      <c r="C25" s="5" t="s">
        <v>87</v>
      </c>
      <c r="D25" s="16"/>
      <c r="E25" s="16"/>
      <c r="F25" s="16"/>
      <c r="G25" s="16"/>
      <c r="H25" s="16"/>
      <c r="I25" s="16"/>
      <c r="J25" s="16"/>
      <c r="K25" s="16"/>
      <c r="L25" s="16"/>
      <c r="M25" s="16"/>
      <c r="N25" s="16"/>
      <c r="O25" s="16"/>
      <c r="P25" s="16"/>
      <c r="Q25" s="16"/>
      <c r="R25" s="16"/>
      <c r="S25" s="16"/>
    </row>
    <row r="26" spans="1:19" s="44" customFormat="1" ht="15">
      <c r="A26" s="5" t="s">
        <v>74</v>
      </c>
      <c r="B26" s="14">
        <f>'WA Electric - Sched 91'!C11</f>
        <v>18029597.152423583</v>
      </c>
      <c r="C26" s="14">
        <f>'WA Electric - Sched 91'!C19</f>
        <v>14509924.565760206</v>
      </c>
      <c r="D26" s="73">
        <f>C26-B26</f>
        <v>-3519672.5866633765</v>
      </c>
      <c r="E26" s="16"/>
      <c r="F26" s="16"/>
      <c r="G26" s="16"/>
      <c r="H26" s="16"/>
      <c r="I26" s="16"/>
      <c r="J26" s="16"/>
      <c r="K26" s="16"/>
      <c r="L26" s="16"/>
      <c r="M26" s="16"/>
      <c r="N26" s="16"/>
      <c r="O26" s="16"/>
      <c r="P26" s="16"/>
      <c r="Q26" s="16"/>
      <c r="R26" s="16"/>
      <c r="S26" s="16"/>
    </row>
    <row r="27" spans="1:3" ht="15">
      <c r="A27" t="s">
        <v>14</v>
      </c>
      <c r="B27" s="84">
        <f>'Rev Conv Factor'!E22</f>
        <v>0.955631</v>
      </c>
      <c r="C27" s="84">
        <f>'Rev Conv Factor'!E22</f>
        <v>0.955631</v>
      </c>
    </row>
    <row r="28" spans="2:3" ht="15.75" thickBot="1">
      <c r="B28" s="51"/>
      <c r="C28" s="51"/>
    </row>
    <row r="29" spans="1:4" ht="16.5" thickBot="1" thickTop="1">
      <c r="A29" s="53" t="s">
        <v>75</v>
      </c>
      <c r="B29" s="52">
        <f>B26*B27</f>
        <v>17229641.9563677</v>
      </c>
      <c r="C29" s="52">
        <f>C26*C27</f>
        <v>13866133.722701993</v>
      </c>
      <c r="D29" s="73">
        <f>C29-B29</f>
        <v>-3363508.2336657085</v>
      </c>
    </row>
    <row r="30" ht="15.75" thickTop="1">
      <c r="C30" s="44"/>
    </row>
    <row r="31" ht="15">
      <c r="C31" s="44"/>
    </row>
    <row r="32" spans="9:12" ht="15">
      <c r="I32" s="14"/>
      <c r="J32" s="14"/>
      <c r="K32" s="15"/>
      <c r="L32" s="44"/>
    </row>
    <row r="33" ht="15">
      <c r="A33" s="138" t="s">
        <v>166</v>
      </c>
    </row>
    <row r="34" spans="1:10" ht="15">
      <c r="A34" t="s">
        <v>151</v>
      </c>
      <c r="B34" s="15">
        <f>SUM(G4:R4)</f>
        <v>14676146.633333331</v>
      </c>
      <c r="J34" s="44"/>
    </row>
    <row r="35" spans="1:10" ht="17.25">
      <c r="A35" s="44" t="s">
        <v>152</v>
      </c>
      <c r="B35" s="137">
        <f>SUM(G3:R3)</f>
        <v>-13866133.72270199</v>
      </c>
      <c r="I35" s="14"/>
      <c r="J35" s="14"/>
    </row>
    <row r="36" spans="2:11" ht="15">
      <c r="B36" s="15">
        <f>B34+B35</f>
        <v>810012.9106313419</v>
      </c>
      <c r="G36" s="44"/>
      <c r="I36" s="14"/>
      <c r="J36" s="14"/>
      <c r="K36" s="15"/>
    </row>
    <row r="38" ht="15">
      <c r="I38" s="14"/>
    </row>
    <row r="40" ht="15">
      <c r="I40" s="82"/>
    </row>
    <row r="42" ht="15">
      <c r="I42" s="14"/>
    </row>
  </sheetData>
  <printOptions/>
  <pageMargins left="0.34" right="0.38" top="0.75" bottom="0.75" header="0.3" footer="0.3"/>
  <pageSetup fitToHeight="1" fitToWidth="1" horizontalDpi="600" verticalDpi="600" orientation="landscape" r:id="rId3"/>
  <headerFooter>
    <oddHeader>&amp;C&amp;8AVISTA UTILITIES
WASHINGTON ELECTRIC
SCHEDULE 91 - DSM</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8"/>
  <sheetViews>
    <sheetView view="pageBreakPreview" zoomScale="60" workbookViewId="0" topLeftCell="A1">
      <selection activeCell="E49" sqref="E49"/>
    </sheetView>
  </sheetViews>
  <sheetFormatPr defaultColWidth="9.140625" defaultRowHeight="15"/>
  <cols>
    <col min="1" max="1" width="11.57421875" style="21" customWidth="1"/>
    <col min="2" max="2" width="9.140625" style="21" customWidth="1"/>
    <col min="3" max="3" width="42.00390625" style="21" customWidth="1"/>
    <col min="4" max="4" width="5.8515625" style="21" customWidth="1"/>
    <col min="5" max="5" width="20.140625" style="24" customWidth="1"/>
    <col min="6" max="6" width="19.8515625" style="21" bestFit="1" customWidth="1"/>
    <col min="7" max="15" width="9.140625" style="21" customWidth="1"/>
    <col min="16" max="16" width="9.140625" style="23" customWidth="1"/>
    <col min="17" max="50" width="9.140625" style="21" customWidth="1"/>
    <col min="51" max="51" width="11.421875" style="21" customWidth="1"/>
    <col min="52" max="16384" width="9.140625" style="21" customWidth="1"/>
  </cols>
  <sheetData>
    <row r="1" spans="1:7" ht="13.5">
      <c r="A1" s="61" t="s">
        <v>32</v>
      </c>
      <c r="B1" s="61"/>
      <c r="C1" s="61"/>
      <c r="D1" s="61"/>
      <c r="E1" s="64"/>
      <c r="G1" s="22"/>
    </row>
    <row r="2" spans="1:7" ht="13.5">
      <c r="A2" s="61" t="s">
        <v>14</v>
      </c>
      <c r="B2" s="61"/>
      <c r="C2" s="61"/>
      <c r="D2" s="61"/>
      <c r="E2" s="64"/>
      <c r="G2" s="22"/>
    </row>
    <row r="3" spans="1:7" ht="13.5">
      <c r="A3" s="61" t="s">
        <v>33</v>
      </c>
      <c r="B3" s="61"/>
      <c r="C3" s="61"/>
      <c r="D3" s="61"/>
      <c r="E3" s="64"/>
      <c r="G3" s="22"/>
    </row>
    <row r="4" spans="1:7" ht="13.5">
      <c r="A4" s="61" t="s">
        <v>192</v>
      </c>
      <c r="B4" s="61"/>
      <c r="C4" s="61"/>
      <c r="D4" s="61"/>
      <c r="E4" s="64"/>
      <c r="G4" s="22"/>
    </row>
    <row r="5" spans="1:7" ht="15">
      <c r="A5" s="54"/>
      <c r="B5" s="54"/>
      <c r="C5" s="54"/>
      <c r="D5" s="54"/>
      <c r="E5" s="54"/>
      <c r="G5" s="22"/>
    </row>
    <row r="6" spans="1:16" s="25" customFormat="1" ht="13.5">
      <c r="A6" s="55" t="s">
        <v>34</v>
      </c>
      <c r="B6" s="55"/>
      <c r="C6" s="55"/>
      <c r="D6" s="55"/>
      <c r="E6" s="65"/>
      <c r="G6" s="26"/>
      <c r="P6" s="27"/>
    </row>
    <row r="7" spans="1:16" s="25" customFormat="1" ht="13.5">
      <c r="A7" s="62" t="s">
        <v>35</v>
      </c>
      <c r="B7" s="55"/>
      <c r="C7" s="62" t="s">
        <v>36</v>
      </c>
      <c r="D7" s="56"/>
      <c r="E7" s="66" t="s">
        <v>37</v>
      </c>
      <c r="G7" s="26"/>
      <c r="P7" s="27"/>
    </row>
    <row r="8" spans="1:7" ht="15">
      <c r="A8" s="54"/>
      <c r="B8" s="54"/>
      <c r="C8" s="54"/>
      <c r="D8" s="54"/>
      <c r="E8" s="54"/>
      <c r="G8" s="22"/>
    </row>
    <row r="9" spans="1:5" ht="15">
      <c r="A9" s="57">
        <v>1</v>
      </c>
      <c r="B9" s="54"/>
      <c r="C9" s="63" t="s">
        <v>38</v>
      </c>
      <c r="D9" s="54"/>
      <c r="E9" s="67">
        <v>1</v>
      </c>
    </row>
    <row r="10" spans="1:5" ht="15">
      <c r="A10" s="57"/>
      <c r="B10" s="54"/>
      <c r="C10" s="54"/>
      <c r="D10" s="54"/>
      <c r="E10" s="67"/>
    </row>
    <row r="11" spans="1:5" ht="15">
      <c r="A11" s="57"/>
      <c r="B11" s="54"/>
      <c r="C11" s="58" t="s">
        <v>39</v>
      </c>
      <c r="D11" s="59"/>
      <c r="E11" s="67"/>
    </row>
    <row r="12" spans="1:5" ht="15">
      <c r="A12" s="57">
        <v>2</v>
      </c>
      <c r="B12" s="54"/>
      <c r="C12" s="59" t="s">
        <v>40</v>
      </c>
      <c r="D12" s="59"/>
      <c r="E12" s="68">
        <v>0.003782</v>
      </c>
    </row>
    <row r="13" spans="1:5" ht="15">
      <c r="A13" s="57"/>
      <c r="B13" s="54"/>
      <c r="C13" s="59"/>
      <c r="D13" s="59"/>
      <c r="E13" s="67"/>
    </row>
    <row r="14" spans="1:5" ht="15">
      <c r="A14" s="57">
        <v>3</v>
      </c>
      <c r="B14" s="54"/>
      <c r="C14" s="59" t="s">
        <v>41</v>
      </c>
      <c r="D14" s="59"/>
      <c r="E14" s="67">
        <v>0.002</v>
      </c>
    </row>
    <row r="15" spans="1:41" ht="15">
      <c r="A15" s="57"/>
      <c r="B15" s="54"/>
      <c r="C15" s="59"/>
      <c r="D15" s="59"/>
      <c r="E15" s="67"/>
      <c r="AO15" s="28"/>
    </row>
    <row r="16" spans="1:5" ht="15">
      <c r="A16" s="57">
        <v>4</v>
      </c>
      <c r="B16" s="54"/>
      <c r="C16" s="59" t="s">
        <v>42</v>
      </c>
      <c r="D16" s="59"/>
      <c r="E16" s="67">
        <v>0.038587</v>
      </c>
    </row>
    <row r="17" spans="1:5" ht="15">
      <c r="A17" s="57"/>
      <c r="B17" s="54"/>
      <c r="C17" s="59"/>
      <c r="D17" s="59"/>
      <c r="E17" s="67"/>
    </row>
    <row r="18" spans="1:5" ht="15">
      <c r="A18" s="57">
        <v>5</v>
      </c>
      <c r="B18" s="54"/>
      <c r="C18" s="59" t="s">
        <v>43</v>
      </c>
      <c r="D18" s="59"/>
      <c r="E18" s="69">
        <v>0</v>
      </c>
    </row>
    <row r="19" spans="1:5" ht="15">
      <c r="A19" s="57"/>
      <c r="B19" s="54"/>
      <c r="C19" s="59"/>
      <c r="D19" s="59"/>
      <c r="E19" s="69"/>
    </row>
    <row r="20" spans="1:5" ht="15">
      <c r="A20" s="57">
        <v>6</v>
      </c>
      <c r="B20" s="54"/>
      <c r="C20" s="59" t="s">
        <v>44</v>
      </c>
      <c r="D20" s="59"/>
      <c r="E20" s="70">
        <f>E12+E14+E16+E18</f>
        <v>0.044369000000000006</v>
      </c>
    </row>
    <row r="21" spans="1:5" ht="15">
      <c r="A21" s="54"/>
      <c r="B21" s="54"/>
      <c r="C21" s="59"/>
      <c r="D21" s="59"/>
      <c r="E21" s="69"/>
    </row>
    <row r="22" spans="1:41" ht="15">
      <c r="A22" s="57">
        <v>7</v>
      </c>
      <c r="B22" s="54"/>
      <c r="C22" s="59" t="s">
        <v>45</v>
      </c>
      <c r="D22" s="59"/>
      <c r="E22" s="69">
        <f>E9-E20</f>
        <v>0.955631</v>
      </c>
      <c r="AO22" s="28"/>
    </row>
    <row r="23" spans="1:5" ht="15">
      <c r="A23" s="54"/>
      <c r="B23" s="54"/>
      <c r="C23" s="59"/>
      <c r="D23" s="59"/>
      <c r="E23" s="69"/>
    </row>
    <row r="24" spans="1:7" ht="15">
      <c r="A24" s="57">
        <v>8</v>
      </c>
      <c r="B24" s="54"/>
      <c r="C24" s="59" t="s">
        <v>154</v>
      </c>
      <c r="D24" s="60"/>
      <c r="E24" s="71">
        <v>0.200683</v>
      </c>
      <c r="G24" s="22"/>
    </row>
    <row r="25" spans="1:7" ht="15">
      <c r="A25" s="54"/>
      <c r="B25" s="54"/>
      <c r="C25" s="59"/>
      <c r="D25" s="59"/>
      <c r="E25" s="69"/>
      <c r="G25" s="22"/>
    </row>
    <row r="26" spans="1:5" ht="13.5" thickBot="1">
      <c r="A26" s="57">
        <v>9</v>
      </c>
      <c r="B26" s="54"/>
      <c r="C26" s="58" t="s">
        <v>46</v>
      </c>
      <c r="D26" s="59"/>
      <c r="E26" s="141">
        <f>E22-E24</f>
        <v>0.754948</v>
      </c>
    </row>
    <row r="27" ht="13.5" thickTop="1"/>
    <row r="29" ht="18.75">
      <c r="A29" s="48" t="s">
        <v>193</v>
      </c>
    </row>
    <row r="32" spans="1:5" ht="15">
      <c r="A32" s="166"/>
      <c r="B32" s="166"/>
      <c r="C32" s="166"/>
      <c r="D32" s="166"/>
      <c r="E32" s="166"/>
    </row>
    <row r="33" spans="1:16" s="30" customFormat="1" ht="15">
      <c r="A33" s="167"/>
      <c r="B33" s="167"/>
      <c r="C33" s="167"/>
      <c r="D33" s="167"/>
      <c r="E33" s="167"/>
      <c r="P33" s="31"/>
    </row>
    <row r="34" spans="1:16" s="30" customFormat="1" ht="15">
      <c r="A34" s="167"/>
      <c r="B34" s="167"/>
      <c r="C34" s="167"/>
      <c r="D34" s="167"/>
      <c r="E34" s="167"/>
      <c r="P34" s="31"/>
    </row>
    <row r="35" spans="5:16" s="30" customFormat="1" ht="15">
      <c r="E35" s="32"/>
      <c r="P35" s="31"/>
    </row>
    <row r="36" spans="5:16" s="30" customFormat="1" ht="15">
      <c r="E36" s="32"/>
      <c r="P36" s="31"/>
    </row>
    <row r="37" spans="5:16" s="30" customFormat="1" ht="15">
      <c r="E37" s="32"/>
      <c r="P37" s="31"/>
    </row>
    <row r="38" spans="5:16" s="30" customFormat="1" ht="15">
      <c r="E38" s="29"/>
      <c r="P38" s="31"/>
    </row>
    <row r="39" spans="5:16" s="30" customFormat="1" ht="15">
      <c r="E39" s="29"/>
      <c r="P39" s="31"/>
    </row>
    <row r="40" spans="5:16" s="30" customFormat="1" ht="15">
      <c r="E40" s="29"/>
      <c r="P40" s="31"/>
    </row>
    <row r="41" spans="5:16" s="30" customFormat="1" ht="15">
      <c r="E41" s="29"/>
      <c r="P41" s="31"/>
    </row>
    <row r="42" spans="5:16" s="30" customFormat="1" ht="15">
      <c r="E42" s="29"/>
      <c r="P42" s="31"/>
    </row>
    <row r="43" spans="5:16" s="30" customFormat="1" ht="15">
      <c r="E43" s="29"/>
      <c r="F43" s="29"/>
      <c r="P43" s="31"/>
    </row>
    <row r="44" s="30" customFormat="1" ht="15">
      <c r="P44" s="31"/>
    </row>
    <row r="45" spans="5:16" s="30" customFormat="1" ht="15">
      <c r="E45" s="29"/>
      <c r="P45" s="31"/>
    </row>
    <row r="46" spans="5:16" s="30" customFormat="1" ht="15">
      <c r="E46" s="29"/>
      <c r="P46" s="31"/>
    </row>
    <row r="47" spans="5:16" s="30" customFormat="1" ht="15">
      <c r="E47" s="29"/>
      <c r="P47" s="31"/>
    </row>
    <row r="48" spans="5:41" s="30" customFormat="1" ht="15">
      <c r="E48" s="33"/>
      <c r="P48" s="31"/>
      <c r="AO48" s="34"/>
    </row>
    <row r="49" spans="5:16" s="30" customFormat="1" ht="15">
      <c r="E49" s="29"/>
      <c r="P49" s="31"/>
    </row>
    <row r="50" spans="5:16" s="30" customFormat="1" ht="15">
      <c r="E50" s="29"/>
      <c r="P50" s="31"/>
    </row>
    <row r="51" spans="5:16" s="30" customFormat="1" ht="15">
      <c r="E51" s="29"/>
      <c r="P51" s="31"/>
    </row>
    <row r="52" spans="5:16" s="30" customFormat="1" ht="15">
      <c r="E52" s="29"/>
      <c r="P52" s="31"/>
    </row>
    <row r="53" spans="5:16" s="30" customFormat="1" ht="15">
      <c r="E53" s="29"/>
      <c r="P53" s="31"/>
    </row>
    <row r="54" spans="5:16" s="30" customFormat="1" ht="15">
      <c r="E54" s="33"/>
      <c r="P54" s="31"/>
    </row>
    <row r="55" spans="5:16" s="30" customFormat="1" ht="15">
      <c r="E55" s="32"/>
      <c r="P55" s="31"/>
    </row>
    <row r="58" ht="15">
      <c r="AO58" s="35"/>
    </row>
    <row r="63" ht="15">
      <c r="AO63" s="35"/>
    </row>
    <row r="68" ht="15">
      <c r="AO68" s="35"/>
    </row>
  </sheetData>
  <mergeCells count="3">
    <mergeCell ref="A32:E32"/>
    <mergeCell ref="A33:E33"/>
    <mergeCell ref="A34:E34"/>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4:AF48"/>
  <sheetViews>
    <sheetView view="pageBreakPreview" zoomScale="60" workbookViewId="0" topLeftCell="J1">
      <selection activeCell="T33" sqref="T33"/>
    </sheetView>
  </sheetViews>
  <sheetFormatPr defaultColWidth="9.140625" defaultRowHeight="15"/>
  <cols>
    <col min="1" max="1" width="11.00390625" style="0" bestFit="1" customWidth="1"/>
    <col min="2" max="2" width="15.00390625" style="0" bestFit="1" customWidth="1"/>
    <col min="3" max="3" width="16.8515625" style="0" bestFit="1" customWidth="1"/>
    <col min="4" max="4" width="16.57421875" style="0" bestFit="1" customWidth="1"/>
    <col min="5" max="5" width="16.28125" style="0" bestFit="1" customWidth="1"/>
    <col min="6" max="7" width="17.00390625" style="0" bestFit="1" customWidth="1"/>
    <col min="8" max="8" width="16.57421875" style="0" bestFit="1" customWidth="1"/>
    <col min="9" max="9" width="17.00390625" style="0" bestFit="1" customWidth="1"/>
    <col min="10" max="11" width="16.57421875" style="0" bestFit="1" customWidth="1"/>
    <col min="12" max="12" width="17.57421875" style="0" bestFit="1" customWidth="1"/>
    <col min="13" max="13" width="17.7109375" style="44" bestFit="1" customWidth="1"/>
    <col min="14" max="14" width="16.57421875" style="44" bestFit="1" customWidth="1"/>
    <col min="15" max="15" width="17.00390625" style="44" bestFit="1" customWidth="1"/>
    <col min="16" max="16" width="16.8515625" style="44" bestFit="1" customWidth="1"/>
    <col min="17" max="18" width="16.57421875" style="44" bestFit="1" customWidth="1"/>
    <col min="19" max="19" width="16.140625" style="44" bestFit="1" customWidth="1"/>
    <col min="20" max="20" width="16.8515625" style="44" bestFit="1" customWidth="1"/>
    <col min="21" max="21" width="16.140625" style="44" bestFit="1" customWidth="1"/>
    <col min="22" max="22" width="16.8515625" style="44" bestFit="1" customWidth="1"/>
    <col min="23" max="23" width="16.57421875" style="44" bestFit="1" customWidth="1"/>
    <col min="24" max="25" width="17.57421875" style="44" bestFit="1" customWidth="1"/>
    <col min="26" max="26" width="16.57421875" style="44" bestFit="1" customWidth="1"/>
    <col min="27" max="28" width="17.00390625" style="44" bestFit="1" customWidth="1"/>
    <col min="29" max="29" width="17.28125" style="44" bestFit="1" customWidth="1"/>
    <col min="31" max="31" width="16.8515625" style="0" bestFit="1" customWidth="1"/>
    <col min="32" max="32" width="16.57421875" style="0" bestFit="1" customWidth="1"/>
  </cols>
  <sheetData>
    <row r="3" ht="15"/>
    <row r="4" ht="15">
      <c r="A4" s="44" t="s">
        <v>72</v>
      </c>
    </row>
    <row r="7" spans="2:29" ht="15">
      <c r="B7" s="79"/>
      <c r="C7" s="79">
        <v>44317</v>
      </c>
      <c r="D7" s="79">
        <v>44348</v>
      </c>
      <c r="E7" s="79">
        <v>44378</v>
      </c>
      <c r="F7" s="79">
        <v>44409</v>
      </c>
      <c r="G7" s="79">
        <v>44440</v>
      </c>
      <c r="H7" s="79">
        <v>44470</v>
      </c>
      <c r="I7" s="79">
        <v>44501</v>
      </c>
      <c r="J7" s="79">
        <v>44531</v>
      </c>
      <c r="K7" s="79">
        <v>44562</v>
      </c>
      <c r="L7" s="79">
        <v>44593</v>
      </c>
      <c r="M7" s="79">
        <v>44621</v>
      </c>
      <c r="N7" s="79">
        <v>44652</v>
      </c>
      <c r="O7" s="79">
        <v>44682</v>
      </c>
      <c r="P7" s="79">
        <v>44713</v>
      </c>
      <c r="Q7" s="79">
        <v>44743</v>
      </c>
      <c r="R7" s="79">
        <v>44774</v>
      </c>
      <c r="S7" s="79">
        <v>44805</v>
      </c>
      <c r="T7" s="79">
        <v>44835</v>
      </c>
      <c r="U7" s="79">
        <v>44866</v>
      </c>
      <c r="V7" s="79">
        <v>44896</v>
      </c>
      <c r="W7" s="79">
        <v>44927</v>
      </c>
      <c r="X7" s="79">
        <v>44958</v>
      </c>
      <c r="Y7" s="79">
        <v>44986</v>
      </c>
      <c r="Z7" s="79">
        <v>45017</v>
      </c>
      <c r="AA7" s="79">
        <v>45047</v>
      </c>
      <c r="AB7" s="79">
        <v>45078</v>
      </c>
      <c r="AC7" s="79">
        <v>45108</v>
      </c>
    </row>
    <row r="8" spans="1:31" ht="15">
      <c r="A8" s="77" t="s">
        <v>60</v>
      </c>
      <c r="B8" s="85"/>
      <c r="C8" s="144">
        <v>162875615.113055</v>
      </c>
      <c r="D8" s="144">
        <v>162704960.30928802</v>
      </c>
      <c r="E8" s="144">
        <v>201725767.43289304</v>
      </c>
      <c r="F8" s="144">
        <v>195408992.4427625</v>
      </c>
      <c r="G8" s="144">
        <v>154836044.44160548</v>
      </c>
      <c r="H8" s="144">
        <v>179532895.31984872</v>
      </c>
      <c r="I8" s="144">
        <v>228638854.31410483</v>
      </c>
      <c r="J8" s="144">
        <v>288759665.00729716</v>
      </c>
      <c r="K8" s="144">
        <v>289139801.5291037</v>
      </c>
      <c r="L8" s="144">
        <v>236954906.38102663</v>
      </c>
      <c r="M8" s="144">
        <v>222240496.0336668</v>
      </c>
      <c r="N8" s="144">
        <v>175624821.28924283</v>
      </c>
      <c r="O8" s="144">
        <v>158772217.3466944</v>
      </c>
      <c r="P8" s="144">
        <v>154236623.74039325</v>
      </c>
      <c r="Q8" s="144">
        <v>187835269.7564625</v>
      </c>
      <c r="R8" s="144">
        <v>187428527.51157242</v>
      </c>
      <c r="S8" s="144">
        <v>155130622.6978838</v>
      </c>
      <c r="T8" s="144">
        <v>176036009.50173694</v>
      </c>
      <c r="U8" s="144">
        <v>225451120.18908483</v>
      </c>
      <c r="V8" s="144">
        <v>288057201.98910034</v>
      </c>
      <c r="W8" s="144">
        <v>290709541.5889139</v>
      </c>
      <c r="X8" s="144">
        <v>237398869.03240398</v>
      </c>
      <c r="Y8" s="144">
        <v>226870604.42276436</v>
      </c>
      <c r="Z8" s="144">
        <v>180147284.87380084</v>
      </c>
      <c r="AA8" s="144">
        <v>162230792.99604055</v>
      </c>
      <c r="AB8" s="144">
        <v>155786503.8754087</v>
      </c>
      <c r="AC8" s="144">
        <v>188346224.86399573</v>
      </c>
      <c r="AE8" s="72"/>
    </row>
    <row r="9" spans="1:29" ht="15">
      <c r="A9" s="77" t="s">
        <v>61</v>
      </c>
      <c r="B9" s="85"/>
      <c r="C9" s="144">
        <v>42309765.033803605</v>
      </c>
      <c r="D9" s="144">
        <v>42826035.17375406</v>
      </c>
      <c r="E9" s="144">
        <v>51150710.844265915</v>
      </c>
      <c r="F9" s="144">
        <v>51779131.23159951</v>
      </c>
      <c r="G9" s="144">
        <v>44131214.486846745</v>
      </c>
      <c r="H9" s="144">
        <v>47086203.72995538</v>
      </c>
      <c r="I9" s="144">
        <v>51272740.4219586</v>
      </c>
      <c r="J9" s="144">
        <v>58292812.32818308</v>
      </c>
      <c r="K9" s="144">
        <v>58004212.65728961</v>
      </c>
      <c r="L9" s="144">
        <v>50181153.96351169</v>
      </c>
      <c r="M9" s="144">
        <v>50580997.279053174</v>
      </c>
      <c r="N9" s="144">
        <v>43655727.07144478</v>
      </c>
      <c r="O9" s="144">
        <v>43339499.49107685</v>
      </c>
      <c r="P9" s="144">
        <v>44373439.503949</v>
      </c>
      <c r="Q9" s="144">
        <v>52736929.12270016</v>
      </c>
      <c r="R9" s="144">
        <v>51931312.77673157</v>
      </c>
      <c r="S9" s="144">
        <v>43780385.80036231</v>
      </c>
      <c r="T9" s="144">
        <v>46357448.47235876</v>
      </c>
      <c r="U9" s="144">
        <v>51025099.33354638</v>
      </c>
      <c r="V9" s="144">
        <v>58186140.990812086</v>
      </c>
      <c r="W9" s="144">
        <v>57915230.104587115</v>
      </c>
      <c r="X9" s="144">
        <v>49645229.93378555</v>
      </c>
      <c r="Y9" s="144">
        <v>50645950.39305744</v>
      </c>
      <c r="Z9" s="144">
        <v>43825004.778709345</v>
      </c>
      <c r="AA9" s="144">
        <v>43522589.89292031</v>
      </c>
      <c r="AB9" s="144">
        <v>44695777.64705372</v>
      </c>
      <c r="AC9" s="144">
        <v>53189545.38486413</v>
      </c>
    </row>
    <row r="10" spans="1:29" ht="15">
      <c r="A10" s="77" t="s">
        <v>62</v>
      </c>
      <c r="B10" s="85"/>
      <c r="C10" s="144">
        <v>4033758.7789088986</v>
      </c>
      <c r="D10" s="144">
        <v>3846708.4355936954</v>
      </c>
      <c r="E10" s="144">
        <v>4363824.065935618</v>
      </c>
      <c r="F10" s="144">
        <v>4242287.817982814</v>
      </c>
      <c r="G10" s="144">
        <v>3791915.2692046347</v>
      </c>
      <c r="H10" s="144">
        <v>4661229.288690259</v>
      </c>
      <c r="I10" s="144">
        <v>5801972.759279913</v>
      </c>
      <c r="J10" s="144">
        <v>7195247.828382277</v>
      </c>
      <c r="K10" s="144">
        <v>7376338.068246286</v>
      </c>
      <c r="L10" s="144">
        <v>6371164.939371524</v>
      </c>
      <c r="M10" s="144">
        <v>6068308.249191186</v>
      </c>
      <c r="N10" s="144">
        <v>4758199.362659564</v>
      </c>
      <c r="O10" s="144">
        <v>4219778.523555117</v>
      </c>
      <c r="P10" s="144">
        <v>4004032.2374251597</v>
      </c>
      <c r="Q10" s="144">
        <v>4426769.1861981675</v>
      </c>
      <c r="R10" s="144">
        <v>4295788.77790758</v>
      </c>
      <c r="S10" s="144">
        <v>3909506.773052334</v>
      </c>
      <c r="T10" s="144">
        <v>4687507.549045356</v>
      </c>
      <c r="U10" s="144">
        <v>5740499.386752139</v>
      </c>
      <c r="V10" s="144">
        <v>7177079.4407016635</v>
      </c>
      <c r="W10" s="144">
        <v>7416831.735187873</v>
      </c>
      <c r="X10" s="144">
        <v>6359239.381599361</v>
      </c>
      <c r="Y10" s="144">
        <v>6147186.843212349</v>
      </c>
      <c r="Z10" s="144">
        <v>4870257.806686049</v>
      </c>
      <c r="AA10" s="144">
        <v>4377753.090998335</v>
      </c>
      <c r="AB10" s="144">
        <v>4153625.0351973632</v>
      </c>
      <c r="AC10" s="144">
        <v>4556991.806460349</v>
      </c>
    </row>
    <row r="11" spans="1:29" ht="15">
      <c r="A11" s="77" t="s">
        <v>63</v>
      </c>
      <c r="B11" s="85"/>
      <c r="C11" s="144">
        <v>102304780.58398484</v>
      </c>
      <c r="D11" s="144">
        <v>102031302.27202481</v>
      </c>
      <c r="E11" s="144">
        <v>115559907.95453063</v>
      </c>
      <c r="F11" s="144">
        <v>114813102.01459484</v>
      </c>
      <c r="G11" s="144">
        <v>102317224.27832106</v>
      </c>
      <c r="H11" s="144">
        <v>110506905.19483158</v>
      </c>
      <c r="I11" s="144">
        <v>108443652.595464</v>
      </c>
      <c r="J11" s="144">
        <v>114080278.24870051</v>
      </c>
      <c r="K11" s="144">
        <v>113051582.74358556</v>
      </c>
      <c r="L11" s="144">
        <v>101173852.7893678</v>
      </c>
      <c r="M11" s="144">
        <v>105876432.46226543</v>
      </c>
      <c r="N11" s="144">
        <v>97979182.26034877</v>
      </c>
      <c r="O11" s="144">
        <v>102680307.42503056</v>
      </c>
      <c r="P11" s="144">
        <v>105493326.76553531</v>
      </c>
      <c r="Q11" s="144">
        <v>119658864.29073137</v>
      </c>
      <c r="R11" s="144">
        <v>116003476.84107818</v>
      </c>
      <c r="S11" s="144">
        <v>102353719.34765336</v>
      </c>
      <c r="T11" s="144">
        <v>111612016.23205687</v>
      </c>
      <c r="U11" s="144">
        <v>111129662.45600054</v>
      </c>
      <c r="V11" s="144">
        <v>116400587.8428896</v>
      </c>
      <c r="W11" s="144">
        <v>114594661.38154848</v>
      </c>
      <c r="X11" s="144">
        <v>101547316.73695534</v>
      </c>
      <c r="Y11" s="144">
        <v>107332115.45061573</v>
      </c>
      <c r="Z11" s="144">
        <v>99496204.03151152</v>
      </c>
      <c r="AA11" s="144">
        <v>104257861.69028203</v>
      </c>
      <c r="AB11" s="144">
        <v>107290920.01773866</v>
      </c>
      <c r="AC11" s="144">
        <v>120838818.93603241</v>
      </c>
    </row>
    <row r="12" spans="1:29" ht="15">
      <c r="A12" s="77" t="s">
        <v>64</v>
      </c>
      <c r="B12" s="85"/>
      <c r="C12" s="144">
        <v>2185480.1494808635</v>
      </c>
      <c r="D12" s="144">
        <v>2195502.8285633544</v>
      </c>
      <c r="E12" s="144">
        <v>2556482.7835411164</v>
      </c>
      <c r="F12" s="144">
        <v>2544703.890896863</v>
      </c>
      <c r="G12" s="144">
        <v>2186892.078797963</v>
      </c>
      <c r="H12" s="144">
        <v>2474713.9465546994</v>
      </c>
      <c r="I12" s="144">
        <v>2846344.8886388144</v>
      </c>
      <c r="J12" s="144">
        <v>3414743.244703407</v>
      </c>
      <c r="K12" s="144">
        <v>3453588.600914997</v>
      </c>
      <c r="L12" s="144">
        <v>2960586.373630504</v>
      </c>
      <c r="M12" s="144">
        <v>2850531.3492971836</v>
      </c>
      <c r="N12" s="144">
        <v>2362065.476152138</v>
      </c>
      <c r="O12" s="144">
        <v>2262104.377439404</v>
      </c>
      <c r="P12" s="144">
        <v>2220789.765395956</v>
      </c>
      <c r="Q12" s="144">
        <v>2562212.177612031</v>
      </c>
      <c r="R12" s="144">
        <v>2531887.500277141</v>
      </c>
      <c r="S12" s="144">
        <v>2210623.97950447</v>
      </c>
      <c r="T12" s="144">
        <v>2484591.9546619337</v>
      </c>
      <c r="U12" s="144">
        <v>2799980.9828156545</v>
      </c>
      <c r="V12" s="144">
        <v>3322670.3381882566</v>
      </c>
      <c r="W12" s="144">
        <v>3378284.6756848646</v>
      </c>
      <c r="X12" s="144">
        <v>2893183.7599833705</v>
      </c>
      <c r="Y12" s="144">
        <v>2846934.372255161</v>
      </c>
      <c r="Z12" s="144">
        <v>2381129.3433583886</v>
      </c>
      <c r="AA12" s="144">
        <v>2290936.2939020726</v>
      </c>
      <c r="AB12" s="144">
        <v>2256236.3007809464</v>
      </c>
      <c r="AC12" s="144">
        <v>2582902.8694931827</v>
      </c>
    </row>
    <row r="13" spans="1:29" ht="15">
      <c r="A13" s="77" t="s">
        <v>65</v>
      </c>
      <c r="B13" s="85"/>
      <c r="C13" s="144">
        <v>82898149</v>
      </c>
      <c r="D13" s="144">
        <v>84772068</v>
      </c>
      <c r="E13" s="144">
        <v>83536279</v>
      </c>
      <c r="F13" s="144">
        <v>89967555</v>
      </c>
      <c r="G13" s="144">
        <v>87018266</v>
      </c>
      <c r="H13" s="144">
        <v>89251888</v>
      </c>
      <c r="I13" s="144">
        <v>88324209</v>
      </c>
      <c r="J13" s="144">
        <v>88354717</v>
      </c>
      <c r="K13" s="144">
        <v>90713084</v>
      </c>
      <c r="L13" s="144">
        <v>86407808</v>
      </c>
      <c r="M13" s="144">
        <v>87419411</v>
      </c>
      <c r="N13" s="144">
        <v>88393436</v>
      </c>
      <c r="O13" s="144">
        <v>88297376</v>
      </c>
      <c r="P13" s="144">
        <v>89354648</v>
      </c>
      <c r="Q13" s="144">
        <v>88340940</v>
      </c>
      <c r="R13" s="144">
        <v>93333673</v>
      </c>
      <c r="S13" s="144">
        <v>90644957</v>
      </c>
      <c r="T13" s="144">
        <v>90594062</v>
      </c>
      <c r="U13" s="144">
        <v>89928212</v>
      </c>
      <c r="V13" s="144">
        <v>90199403</v>
      </c>
      <c r="W13" s="144">
        <v>91956000</v>
      </c>
      <c r="X13" s="144">
        <v>88451009</v>
      </c>
      <c r="Y13" s="144">
        <v>87875457</v>
      </c>
      <c r="Z13" s="144">
        <v>89784580</v>
      </c>
      <c r="AA13" s="144">
        <v>89338445</v>
      </c>
      <c r="AB13" s="144">
        <v>89818552</v>
      </c>
      <c r="AC13" s="144">
        <v>89214489</v>
      </c>
    </row>
    <row r="14" spans="1:29" ht="15">
      <c r="A14" s="77" t="s">
        <v>66</v>
      </c>
      <c r="B14" s="85"/>
      <c r="C14" s="144">
        <v>15109493.750956286</v>
      </c>
      <c r="D14" s="144">
        <v>18326058.309736934</v>
      </c>
      <c r="E14" s="144">
        <v>25248998.960289434</v>
      </c>
      <c r="F14" s="144">
        <v>25848614.62356159</v>
      </c>
      <c r="G14" s="144">
        <v>17996125.59245245</v>
      </c>
      <c r="H14" s="144">
        <v>10667619.045927826</v>
      </c>
      <c r="I14" s="144">
        <v>4737113.902414499</v>
      </c>
      <c r="J14" s="144">
        <v>3998791.988812501</v>
      </c>
      <c r="K14" s="144">
        <v>4096285.803074429</v>
      </c>
      <c r="L14" s="144">
        <v>3801025.819701135</v>
      </c>
      <c r="M14" s="144">
        <v>4464996.046296142</v>
      </c>
      <c r="N14" s="144">
        <v>6711393.409472307</v>
      </c>
      <c r="O14" s="144">
        <v>12885809.98984304</v>
      </c>
      <c r="P14" s="144">
        <v>18523284.7206832</v>
      </c>
      <c r="Q14" s="144">
        <v>24862418.60669692</v>
      </c>
      <c r="R14" s="144">
        <v>25664305.203413036</v>
      </c>
      <c r="S14" s="144">
        <v>18464948.302845664</v>
      </c>
      <c r="T14" s="144">
        <v>10845733.184894782</v>
      </c>
      <c r="U14" s="144">
        <v>4864500.068617301</v>
      </c>
      <c r="V14" s="144">
        <v>4064867.0460686833</v>
      </c>
      <c r="W14" s="144">
        <v>4113570.678588513</v>
      </c>
      <c r="X14" s="144">
        <v>3706030.080737296</v>
      </c>
      <c r="Y14" s="144">
        <v>4485387.222959777</v>
      </c>
      <c r="Z14" s="144">
        <v>6640745.568084648</v>
      </c>
      <c r="AA14" s="144">
        <v>12504799.324805431</v>
      </c>
      <c r="AB14" s="144">
        <v>18398892.839024447</v>
      </c>
      <c r="AC14" s="144">
        <v>24726205.89499541</v>
      </c>
    </row>
    <row r="15" spans="1:29" ht="15">
      <c r="A15" s="77" t="s">
        <v>67</v>
      </c>
      <c r="B15" s="85"/>
      <c r="C15" s="144">
        <v>754961.3038156478</v>
      </c>
      <c r="D15" s="144">
        <v>1105792.781237219</v>
      </c>
      <c r="E15" s="144">
        <v>1779522.868030577</v>
      </c>
      <c r="F15" s="144">
        <v>1662968.6026458803</v>
      </c>
      <c r="G15" s="144">
        <v>1043096.6443739957</v>
      </c>
      <c r="H15" s="144">
        <v>548289.9674063968</v>
      </c>
      <c r="I15" s="144">
        <v>305363.3148126364</v>
      </c>
      <c r="J15" s="144">
        <v>310191.5686131205</v>
      </c>
      <c r="K15" s="144">
        <v>324360.5081672457</v>
      </c>
      <c r="L15" s="144">
        <v>281544.1092618272</v>
      </c>
      <c r="M15" s="144">
        <v>289515.4081061314</v>
      </c>
      <c r="N15" s="144">
        <v>412643.159578728</v>
      </c>
      <c r="O15" s="144">
        <v>711377.5142210046</v>
      </c>
      <c r="P15" s="144">
        <v>1110969.44729229</v>
      </c>
      <c r="Q15" s="144">
        <v>1768561.819743773</v>
      </c>
      <c r="R15" s="144">
        <v>1650379.809817859</v>
      </c>
      <c r="S15" s="144">
        <v>1057367.8346480182</v>
      </c>
      <c r="T15" s="144">
        <v>551163.6344517956</v>
      </c>
      <c r="U15" s="144">
        <v>304317.8876604889</v>
      </c>
      <c r="V15" s="144">
        <v>308367.81983182405</v>
      </c>
      <c r="W15" s="144">
        <v>323641.51717205456</v>
      </c>
      <c r="X15" s="144">
        <v>278128.2005156107</v>
      </c>
      <c r="Y15" s="144">
        <v>288432.2559721204</v>
      </c>
      <c r="Z15" s="144">
        <v>400785.7290555826</v>
      </c>
      <c r="AA15" s="144">
        <v>698558.0309977687</v>
      </c>
      <c r="AB15" s="144">
        <v>1079751.3053463176</v>
      </c>
      <c r="AC15" s="144">
        <v>1768415.0409980377</v>
      </c>
    </row>
    <row r="16" spans="1:29" ht="15">
      <c r="A16" s="78" t="s">
        <v>68</v>
      </c>
      <c r="B16" s="85"/>
      <c r="C16" s="144">
        <v>1373723.3602483333</v>
      </c>
      <c r="D16" s="144">
        <v>1372796.728454861</v>
      </c>
      <c r="E16" s="144">
        <v>1377384.0966677663</v>
      </c>
      <c r="F16" s="144">
        <v>1368769.9848067467</v>
      </c>
      <c r="G16" s="144">
        <v>1382585.6124156422</v>
      </c>
      <c r="H16" s="144">
        <v>1348656.2775461124</v>
      </c>
      <c r="I16" s="144">
        <v>1339576.2936307886</v>
      </c>
      <c r="J16" s="144">
        <v>1404381.072230854</v>
      </c>
      <c r="K16" s="144">
        <v>1357849.779555092</v>
      </c>
      <c r="L16" s="144">
        <v>1289943.82072135</v>
      </c>
      <c r="M16" s="144">
        <v>1347343.0766535457</v>
      </c>
      <c r="N16" s="144">
        <v>1320419.301977591</v>
      </c>
      <c r="O16" s="144">
        <v>1329472.1398669735</v>
      </c>
      <c r="P16" s="144">
        <v>1326189.3874514436</v>
      </c>
      <c r="Q16" s="144">
        <v>1341916.2510249089</v>
      </c>
      <c r="R16" s="144">
        <v>1334885.3667213374</v>
      </c>
      <c r="S16" s="144">
        <v>1350013.7204433866</v>
      </c>
      <c r="T16" s="144">
        <v>1324290.5457581985</v>
      </c>
      <c r="U16" s="144">
        <v>1319608.4024767058</v>
      </c>
      <c r="V16" s="144">
        <v>1370642.3916217822</v>
      </c>
      <c r="W16" s="144">
        <v>1337795.5693901929</v>
      </c>
      <c r="X16" s="144">
        <v>1269751.2712114514</v>
      </c>
      <c r="Y16" s="144">
        <v>1334726.5435937513</v>
      </c>
      <c r="Z16" s="144">
        <v>1299637.5227202268</v>
      </c>
      <c r="AA16" s="144">
        <v>1302367.5478664883</v>
      </c>
      <c r="AB16" s="144">
        <v>1301337.0038499897</v>
      </c>
      <c r="AC16" s="144">
        <v>1314428.8389496598</v>
      </c>
    </row>
    <row r="17" spans="2:29" ht="15">
      <c r="B17" s="72"/>
      <c r="C17" s="72">
        <f>SUM(C8:C16)</f>
        <v>413845727.0742535</v>
      </c>
      <c r="D17" s="72">
        <f aca="true" t="shared" si="0" ref="D17:AC17">SUM(D8:D16)</f>
        <v>419181224.83865297</v>
      </c>
      <c r="E17" s="72">
        <f t="shared" si="0"/>
        <v>487298878.00615406</v>
      </c>
      <c r="F17" s="72">
        <f t="shared" si="0"/>
        <v>487636125.6088507</v>
      </c>
      <c r="G17" s="72">
        <f t="shared" si="0"/>
        <v>414703364.404018</v>
      </c>
      <c r="H17" s="72">
        <f t="shared" si="0"/>
        <v>446078400.77076095</v>
      </c>
      <c r="I17" s="72">
        <f t="shared" si="0"/>
        <v>491709827.49030405</v>
      </c>
      <c r="J17" s="72">
        <f t="shared" si="0"/>
        <v>565810828.2869228</v>
      </c>
      <c r="K17" s="72">
        <f t="shared" si="0"/>
        <v>567517103.689937</v>
      </c>
      <c r="L17" s="72">
        <f t="shared" si="0"/>
        <v>489421986.19659245</v>
      </c>
      <c r="M17" s="72">
        <f t="shared" si="0"/>
        <v>481138030.9045295</v>
      </c>
      <c r="N17" s="72">
        <f t="shared" si="0"/>
        <v>421217887.3308767</v>
      </c>
      <c r="O17" s="72">
        <f t="shared" si="0"/>
        <v>414497942.8077273</v>
      </c>
      <c r="P17" s="72">
        <f t="shared" si="0"/>
        <v>420643303.5681256</v>
      </c>
      <c r="Q17" s="72">
        <f t="shared" si="0"/>
        <v>483533881.2111698</v>
      </c>
      <c r="R17" s="72">
        <f t="shared" si="0"/>
        <v>484174236.7875191</v>
      </c>
      <c r="S17" s="72">
        <f t="shared" si="0"/>
        <v>418902145.4563933</v>
      </c>
      <c r="T17" s="72">
        <f t="shared" si="0"/>
        <v>444492823.07496464</v>
      </c>
      <c r="U17" s="72">
        <f t="shared" si="0"/>
        <v>492563000.70695406</v>
      </c>
      <c r="V17" s="72">
        <f t="shared" si="0"/>
        <v>569086960.8592143</v>
      </c>
      <c r="W17" s="72">
        <f t="shared" si="0"/>
        <v>571745557.2510731</v>
      </c>
      <c r="X17" s="72">
        <f t="shared" si="0"/>
        <v>491548757.39719194</v>
      </c>
      <c r="Y17" s="72">
        <f t="shared" si="0"/>
        <v>487826794.5044307</v>
      </c>
      <c r="Z17" s="72">
        <f t="shared" si="0"/>
        <v>428845629.6539266</v>
      </c>
      <c r="AA17" s="72">
        <f t="shared" si="0"/>
        <v>420524103.867813</v>
      </c>
      <c r="AB17" s="72">
        <f t="shared" si="0"/>
        <v>424781596.0244001</v>
      </c>
      <c r="AC17" s="72">
        <f t="shared" si="0"/>
        <v>486538022.6357889</v>
      </c>
    </row>
    <row r="19" spans="1:32" ht="15">
      <c r="A19" s="77" t="s">
        <v>60</v>
      </c>
      <c r="B19" s="72"/>
      <c r="C19" s="72">
        <f aca="true" t="shared" si="1" ref="C19:Q19">C8</f>
        <v>162875615.113055</v>
      </c>
      <c r="D19" s="72">
        <f t="shared" si="1"/>
        <v>162704960.30928802</v>
      </c>
      <c r="E19" s="72">
        <f t="shared" si="1"/>
        <v>201725767.43289304</v>
      </c>
      <c r="F19" s="72">
        <f t="shared" si="1"/>
        <v>195408992.4427625</v>
      </c>
      <c r="G19" s="72">
        <f t="shared" si="1"/>
        <v>154836044.44160548</v>
      </c>
      <c r="H19" s="72">
        <f t="shared" si="1"/>
        <v>179532895.31984872</v>
      </c>
      <c r="I19" s="72">
        <f t="shared" si="1"/>
        <v>228638854.31410483</v>
      </c>
      <c r="J19" s="72">
        <f t="shared" si="1"/>
        <v>288759665.00729716</v>
      </c>
      <c r="K19" s="72">
        <f t="shared" si="1"/>
        <v>289139801.5291037</v>
      </c>
      <c r="L19" s="72">
        <f t="shared" si="1"/>
        <v>236954906.38102663</v>
      </c>
      <c r="M19" s="72">
        <f t="shared" si="1"/>
        <v>222240496.0336668</v>
      </c>
      <c r="N19" s="72">
        <f t="shared" si="1"/>
        <v>175624821.28924283</v>
      </c>
      <c r="O19" s="72">
        <f t="shared" si="1"/>
        <v>158772217.3466944</v>
      </c>
      <c r="P19" s="72">
        <f t="shared" si="1"/>
        <v>154236623.74039325</v>
      </c>
      <c r="Q19" s="72">
        <f t="shared" si="1"/>
        <v>187835269.7564625</v>
      </c>
      <c r="R19" s="72">
        <f aca="true" t="shared" si="2" ref="R19:AC19">R8</f>
        <v>187428527.51157242</v>
      </c>
      <c r="S19" s="72">
        <f t="shared" si="2"/>
        <v>155130622.6978838</v>
      </c>
      <c r="T19" s="72">
        <f t="shared" si="2"/>
        <v>176036009.50173694</v>
      </c>
      <c r="U19" s="72">
        <f t="shared" si="2"/>
        <v>225451120.18908483</v>
      </c>
      <c r="V19" s="72">
        <f t="shared" si="2"/>
        <v>288057201.98910034</v>
      </c>
      <c r="W19" s="72">
        <f t="shared" si="2"/>
        <v>290709541.5889139</v>
      </c>
      <c r="X19" s="72">
        <f t="shared" si="2"/>
        <v>237398869.03240398</v>
      </c>
      <c r="Y19" s="72">
        <f t="shared" si="2"/>
        <v>226870604.42276436</v>
      </c>
      <c r="Z19" s="72">
        <f t="shared" si="2"/>
        <v>180147284.87380084</v>
      </c>
      <c r="AA19" s="72">
        <f t="shared" si="2"/>
        <v>162230792.99604055</v>
      </c>
      <c r="AB19" s="72">
        <f t="shared" si="2"/>
        <v>155786503.8754087</v>
      </c>
      <c r="AC19" s="72">
        <f t="shared" si="2"/>
        <v>188346224.86399573</v>
      </c>
      <c r="AE19" s="72">
        <f aca="true" t="shared" si="3" ref="AE19:AE25">SUM(B19:J19)</f>
        <v>1574482794.3808546</v>
      </c>
      <c r="AF19" s="72">
        <f aca="true" t="shared" si="4" ref="AF19:AF25">SUM(B19:Q19)</f>
        <v>2999286930.4574447</v>
      </c>
    </row>
    <row r="20" spans="1:32" ht="15">
      <c r="A20" s="77" t="s">
        <v>69</v>
      </c>
      <c r="B20" s="72"/>
      <c r="C20" s="72">
        <f aca="true" t="shared" si="5" ref="C20:Q20">C9+C10</f>
        <v>46343523.812712505</v>
      </c>
      <c r="D20" s="72">
        <f t="shared" si="5"/>
        <v>46672743.60934775</v>
      </c>
      <c r="E20" s="72">
        <f t="shared" si="5"/>
        <v>55514534.910201535</v>
      </c>
      <c r="F20" s="72">
        <f t="shared" si="5"/>
        <v>56021419.049582325</v>
      </c>
      <c r="G20" s="72">
        <f t="shared" si="5"/>
        <v>47923129.75605138</v>
      </c>
      <c r="H20" s="72">
        <f t="shared" si="5"/>
        <v>51747433.018645644</v>
      </c>
      <c r="I20" s="72">
        <f t="shared" si="5"/>
        <v>57074713.18123852</v>
      </c>
      <c r="J20" s="72">
        <f t="shared" si="5"/>
        <v>65488060.15656535</v>
      </c>
      <c r="K20" s="72">
        <f t="shared" si="5"/>
        <v>65380550.7255359</v>
      </c>
      <c r="L20" s="72">
        <f t="shared" si="5"/>
        <v>56552318.90288322</v>
      </c>
      <c r="M20" s="72">
        <f t="shared" si="5"/>
        <v>56649305.52824436</v>
      </c>
      <c r="N20" s="72">
        <f t="shared" si="5"/>
        <v>48413926.434104346</v>
      </c>
      <c r="O20" s="72">
        <f t="shared" si="5"/>
        <v>47559278.014631964</v>
      </c>
      <c r="P20" s="72">
        <f t="shared" si="5"/>
        <v>48377471.741374165</v>
      </c>
      <c r="Q20" s="72">
        <f t="shared" si="5"/>
        <v>57163698.30889833</v>
      </c>
      <c r="R20" s="72">
        <f aca="true" t="shared" si="6" ref="R20:AC20">R9+R10</f>
        <v>56227101.55463915</v>
      </c>
      <c r="S20" s="72">
        <f t="shared" si="6"/>
        <v>47689892.573414646</v>
      </c>
      <c r="T20" s="72">
        <f t="shared" si="6"/>
        <v>51044956.02140412</v>
      </c>
      <c r="U20" s="72">
        <f t="shared" si="6"/>
        <v>56765598.720298514</v>
      </c>
      <c r="V20" s="72">
        <f t="shared" si="6"/>
        <v>65363220.43151375</v>
      </c>
      <c r="W20" s="72">
        <f t="shared" si="6"/>
        <v>65332061.83977499</v>
      </c>
      <c r="X20" s="72">
        <f t="shared" si="6"/>
        <v>56004469.31538491</v>
      </c>
      <c r="Y20" s="72">
        <f t="shared" si="6"/>
        <v>56793137.236269794</v>
      </c>
      <c r="Z20" s="72">
        <f t="shared" si="6"/>
        <v>48695262.585395396</v>
      </c>
      <c r="AA20" s="72">
        <f t="shared" si="6"/>
        <v>47900342.983918644</v>
      </c>
      <c r="AB20" s="72">
        <f t="shared" si="6"/>
        <v>48849402.68225108</v>
      </c>
      <c r="AC20" s="72">
        <f t="shared" si="6"/>
        <v>57746537.19132448</v>
      </c>
      <c r="AE20" s="72">
        <f t="shared" si="3"/>
        <v>426785557.49434507</v>
      </c>
      <c r="AF20" s="72">
        <f t="shared" si="4"/>
        <v>806882107.1500173</v>
      </c>
    </row>
    <row r="21" spans="1:32" ht="15">
      <c r="A21" s="77" t="s">
        <v>70</v>
      </c>
      <c r="B21" s="72"/>
      <c r="C21" s="72">
        <f aca="true" t="shared" si="7" ref="C21:Q21">C11+C12</f>
        <v>104490260.7334657</v>
      </c>
      <c r="D21" s="72">
        <f t="shared" si="7"/>
        <v>104226805.10058816</v>
      </c>
      <c r="E21" s="72">
        <f t="shared" si="7"/>
        <v>118116390.73807174</v>
      </c>
      <c r="F21" s="72">
        <f t="shared" si="7"/>
        <v>117357805.9054917</v>
      </c>
      <c r="G21" s="72">
        <f t="shared" si="7"/>
        <v>104504116.35711902</v>
      </c>
      <c r="H21" s="72">
        <f t="shared" si="7"/>
        <v>112981619.14138629</v>
      </c>
      <c r="I21" s="72">
        <f t="shared" si="7"/>
        <v>111289997.48410282</v>
      </c>
      <c r="J21" s="72">
        <f t="shared" si="7"/>
        <v>117495021.49340393</v>
      </c>
      <c r="K21" s="72">
        <f t="shared" si="7"/>
        <v>116505171.34450056</v>
      </c>
      <c r="L21" s="72">
        <f t="shared" si="7"/>
        <v>104134439.1629983</v>
      </c>
      <c r="M21" s="72">
        <f t="shared" si="7"/>
        <v>108726963.81156261</v>
      </c>
      <c r="N21" s="72">
        <f t="shared" si="7"/>
        <v>100341247.7365009</v>
      </c>
      <c r="O21" s="72">
        <f t="shared" si="7"/>
        <v>104942411.80246997</v>
      </c>
      <c r="P21" s="72">
        <f t="shared" si="7"/>
        <v>107714116.53093126</v>
      </c>
      <c r="Q21" s="72">
        <f t="shared" si="7"/>
        <v>122221076.4683434</v>
      </c>
      <c r="R21" s="72">
        <f aca="true" t="shared" si="8" ref="R21:AC21">R11+R12</f>
        <v>118535364.34135532</v>
      </c>
      <c r="S21" s="72">
        <f t="shared" si="8"/>
        <v>104564343.32715783</v>
      </c>
      <c r="T21" s="72">
        <f t="shared" si="8"/>
        <v>114096608.1867188</v>
      </c>
      <c r="U21" s="72">
        <f t="shared" si="8"/>
        <v>113929643.43881619</v>
      </c>
      <c r="V21" s="72">
        <f t="shared" si="8"/>
        <v>119723258.18107787</v>
      </c>
      <c r="W21" s="72">
        <f t="shared" si="8"/>
        <v>117972946.05723335</v>
      </c>
      <c r="X21" s="72">
        <f t="shared" si="8"/>
        <v>104440500.49693872</v>
      </c>
      <c r="Y21" s="72">
        <f t="shared" si="8"/>
        <v>110179049.8228709</v>
      </c>
      <c r="Z21" s="72">
        <f t="shared" si="8"/>
        <v>101877333.3748699</v>
      </c>
      <c r="AA21" s="72">
        <f t="shared" si="8"/>
        <v>106548797.9841841</v>
      </c>
      <c r="AB21" s="72">
        <f t="shared" si="8"/>
        <v>109547156.3185196</v>
      </c>
      <c r="AC21" s="72">
        <f t="shared" si="8"/>
        <v>123421721.8055256</v>
      </c>
      <c r="AE21" s="72">
        <f t="shared" si="3"/>
        <v>890462016.9536294</v>
      </c>
      <c r="AF21" s="72">
        <f t="shared" si="4"/>
        <v>1655047443.8109365</v>
      </c>
    </row>
    <row r="22" spans="1:32" ht="15">
      <c r="A22" s="77" t="s">
        <v>65</v>
      </c>
      <c r="B22" s="72"/>
      <c r="C22" s="72">
        <f aca="true" t="shared" si="9" ref="C22:Q22">C13</f>
        <v>82898149</v>
      </c>
      <c r="D22" s="72">
        <f t="shared" si="9"/>
        <v>84772068</v>
      </c>
      <c r="E22" s="72">
        <f t="shared" si="9"/>
        <v>83536279</v>
      </c>
      <c r="F22" s="72">
        <f t="shared" si="9"/>
        <v>89967555</v>
      </c>
      <c r="G22" s="72">
        <f t="shared" si="9"/>
        <v>87018266</v>
      </c>
      <c r="H22" s="72">
        <f t="shared" si="9"/>
        <v>89251888</v>
      </c>
      <c r="I22" s="72">
        <f t="shared" si="9"/>
        <v>88324209</v>
      </c>
      <c r="J22" s="72">
        <f t="shared" si="9"/>
        <v>88354717</v>
      </c>
      <c r="K22" s="72">
        <f t="shared" si="9"/>
        <v>90713084</v>
      </c>
      <c r="L22" s="72">
        <f t="shared" si="9"/>
        <v>86407808</v>
      </c>
      <c r="M22" s="72">
        <f t="shared" si="9"/>
        <v>87419411</v>
      </c>
      <c r="N22" s="72">
        <f t="shared" si="9"/>
        <v>88393436</v>
      </c>
      <c r="O22" s="72">
        <f t="shared" si="9"/>
        <v>88297376</v>
      </c>
      <c r="P22" s="72">
        <f t="shared" si="9"/>
        <v>89354648</v>
      </c>
      <c r="Q22" s="72">
        <f t="shared" si="9"/>
        <v>88340940</v>
      </c>
      <c r="R22" s="72">
        <f aca="true" t="shared" si="10" ref="R22:AC22">R13</f>
        <v>93333673</v>
      </c>
      <c r="S22" s="72">
        <f t="shared" si="10"/>
        <v>90644957</v>
      </c>
      <c r="T22" s="72">
        <f t="shared" si="10"/>
        <v>90594062</v>
      </c>
      <c r="U22" s="72">
        <f t="shared" si="10"/>
        <v>89928212</v>
      </c>
      <c r="V22" s="72">
        <f t="shared" si="10"/>
        <v>90199403</v>
      </c>
      <c r="W22" s="72">
        <f t="shared" si="10"/>
        <v>91956000</v>
      </c>
      <c r="X22" s="72">
        <f t="shared" si="10"/>
        <v>88451009</v>
      </c>
      <c r="Y22" s="72">
        <f t="shared" si="10"/>
        <v>87875457</v>
      </c>
      <c r="Z22" s="72">
        <f t="shared" si="10"/>
        <v>89784580</v>
      </c>
      <c r="AA22" s="72">
        <f t="shared" si="10"/>
        <v>89338445</v>
      </c>
      <c r="AB22" s="72">
        <f t="shared" si="10"/>
        <v>89818552</v>
      </c>
      <c r="AC22" s="72">
        <f t="shared" si="10"/>
        <v>89214489</v>
      </c>
      <c r="AE22" s="72">
        <f t="shared" si="3"/>
        <v>694123131</v>
      </c>
      <c r="AF22" s="72">
        <f t="shared" si="4"/>
        <v>1313049834</v>
      </c>
    </row>
    <row r="23" spans="1:32" ht="15">
      <c r="A23" s="77" t="s">
        <v>71</v>
      </c>
      <c r="B23" s="72"/>
      <c r="C23" s="72">
        <f aca="true" t="shared" si="11" ref="C23:Q23">C14+C15</f>
        <v>15864455.054771934</v>
      </c>
      <c r="D23" s="72">
        <f t="shared" si="11"/>
        <v>19431851.090974152</v>
      </c>
      <c r="E23" s="72">
        <f t="shared" si="11"/>
        <v>27028521.82832001</v>
      </c>
      <c r="F23" s="72">
        <f t="shared" si="11"/>
        <v>27511583.226207472</v>
      </c>
      <c r="G23" s="72">
        <f t="shared" si="11"/>
        <v>19039222.236826446</v>
      </c>
      <c r="H23" s="72">
        <f t="shared" si="11"/>
        <v>11215909.013334222</v>
      </c>
      <c r="I23" s="72">
        <f t="shared" si="11"/>
        <v>5042477.217227135</v>
      </c>
      <c r="J23" s="72">
        <f t="shared" si="11"/>
        <v>4308983.557425622</v>
      </c>
      <c r="K23" s="72">
        <f t="shared" si="11"/>
        <v>4420646.311241674</v>
      </c>
      <c r="L23" s="72">
        <f t="shared" si="11"/>
        <v>4082569.9289629622</v>
      </c>
      <c r="M23" s="72">
        <f t="shared" si="11"/>
        <v>4754511.4544022735</v>
      </c>
      <c r="N23" s="72">
        <f t="shared" si="11"/>
        <v>7124036.569051035</v>
      </c>
      <c r="O23" s="72">
        <f t="shared" si="11"/>
        <v>13597187.504064046</v>
      </c>
      <c r="P23" s="72">
        <f t="shared" si="11"/>
        <v>19634254.16797549</v>
      </c>
      <c r="Q23" s="72">
        <f t="shared" si="11"/>
        <v>26630980.426440693</v>
      </c>
      <c r="R23" s="72">
        <f aca="true" t="shared" si="12" ref="R23:AC23">R14+R15</f>
        <v>27314685.013230894</v>
      </c>
      <c r="S23" s="72">
        <f t="shared" si="12"/>
        <v>19522316.13749368</v>
      </c>
      <c r="T23" s="72">
        <f t="shared" si="12"/>
        <v>11396896.819346577</v>
      </c>
      <c r="U23" s="72">
        <f t="shared" si="12"/>
        <v>5168817.95627779</v>
      </c>
      <c r="V23" s="72">
        <f t="shared" si="12"/>
        <v>4373234.865900507</v>
      </c>
      <c r="W23" s="72">
        <f t="shared" si="12"/>
        <v>4437212.195760568</v>
      </c>
      <c r="X23" s="72">
        <f t="shared" si="12"/>
        <v>3984158.2812529067</v>
      </c>
      <c r="Y23" s="72">
        <f t="shared" si="12"/>
        <v>4773819.478931897</v>
      </c>
      <c r="Z23" s="72">
        <f t="shared" si="12"/>
        <v>7041531.29714023</v>
      </c>
      <c r="AA23" s="72">
        <f t="shared" si="12"/>
        <v>13203357.3558032</v>
      </c>
      <c r="AB23" s="72">
        <f t="shared" si="12"/>
        <v>19478644.144370764</v>
      </c>
      <c r="AC23" s="72">
        <f t="shared" si="12"/>
        <v>26494620.935993448</v>
      </c>
      <c r="AE23" s="72">
        <f t="shared" si="3"/>
        <v>129443003.22508699</v>
      </c>
      <c r="AF23" s="72">
        <f t="shared" si="4"/>
        <v>209687189.58722514</v>
      </c>
    </row>
    <row r="24" spans="1:32" ht="15">
      <c r="A24" s="78" t="s">
        <v>68</v>
      </c>
      <c r="B24" s="72"/>
      <c r="C24" s="72">
        <f aca="true" t="shared" si="13" ref="C24:Q24">C16</f>
        <v>1373723.3602483333</v>
      </c>
      <c r="D24" s="72">
        <f t="shared" si="13"/>
        <v>1372796.728454861</v>
      </c>
      <c r="E24" s="72">
        <f t="shared" si="13"/>
        <v>1377384.0966677663</v>
      </c>
      <c r="F24" s="72">
        <f t="shared" si="13"/>
        <v>1368769.9848067467</v>
      </c>
      <c r="G24" s="72">
        <f t="shared" si="13"/>
        <v>1382585.6124156422</v>
      </c>
      <c r="H24" s="72">
        <f t="shared" si="13"/>
        <v>1348656.2775461124</v>
      </c>
      <c r="I24" s="72">
        <f t="shared" si="13"/>
        <v>1339576.2936307886</v>
      </c>
      <c r="J24" s="72">
        <f t="shared" si="13"/>
        <v>1404381.072230854</v>
      </c>
      <c r="K24" s="72">
        <f t="shared" si="13"/>
        <v>1357849.779555092</v>
      </c>
      <c r="L24" s="72">
        <f t="shared" si="13"/>
        <v>1289943.82072135</v>
      </c>
      <c r="M24" s="72">
        <f t="shared" si="13"/>
        <v>1347343.0766535457</v>
      </c>
      <c r="N24" s="72">
        <f t="shared" si="13"/>
        <v>1320419.301977591</v>
      </c>
      <c r="O24" s="72">
        <f t="shared" si="13"/>
        <v>1329472.1398669735</v>
      </c>
      <c r="P24" s="72">
        <f t="shared" si="13"/>
        <v>1326189.3874514436</v>
      </c>
      <c r="Q24" s="72">
        <f t="shared" si="13"/>
        <v>1341916.2510249089</v>
      </c>
      <c r="R24" s="72">
        <f aca="true" t="shared" si="14" ref="R24:AC24">R16</f>
        <v>1334885.3667213374</v>
      </c>
      <c r="S24" s="72">
        <f t="shared" si="14"/>
        <v>1350013.7204433866</v>
      </c>
      <c r="T24" s="72">
        <f t="shared" si="14"/>
        <v>1324290.5457581985</v>
      </c>
      <c r="U24" s="72">
        <f t="shared" si="14"/>
        <v>1319608.4024767058</v>
      </c>
      <c r="V24" s="72">
        <f t="shared" si="14"/>
        <v>1370642.3916217822</v>
      </c>
      <c r="W24" s="72">
        <f t="shared" si="14"/>
        <v>1337795.5693901929</v>
      </c>
      <c r="X24" s="72">
        <f t="shared" si="14"/>
        <v>1269751.2712114514</v>
      </c>
      <c r="Y24" s="72">
        <f t="shared" si="14"/>
        <v>1334726.5435937513</v>
      </c>
      <c r="Z24" s="72">
        <f t="shared" si="14"/>
        <v>1299637.5227202268</v>
      </c>
      <c r="AA24" s="72">
        <f t="shared" si="14"/>
        <v>1302367.5478664883</v>
      </c>
      <c r="AB24" s="72">
        <f t="shared" si="14"/>
        <v>1301337.0038499897</v>
      </c>
      <c r="AC24" s="72">
        <f t="shared" si="14"/>
        <v>1314428.8389496598</v>
      </c>
      <c r="AE24" s="72">
        <f t="shared" si="3"/>
        <v>10967873.426001105</v>
      </c>
      <c r="AF24" s="72">
        <f t="shared" si="4"/>
        <v>20281007.18325201</v>
      </c>
    </row>
    <row r="25" spans="1:32" ht="15">
      <c r="A25" s="78" t="s">
        <v>55</v>
      </c>
      <c r="B25" s="72"/>
      <c r="C25" s="72">
        <f>SUM(C19:C24)</f>
        <v>413845727.0742535</v>
      </c>
      <c r="D25" s="72">
        <f aca="true" t="shared" si="15" ref="D25:AC25">SUM(D19:D24)</f>
        <v>419181224.83865297</v>
      </c>
      <c r="E25" s="72">
        <f t="shared" si="15"/>
        <v>487298878.0061541</v>
      </c>
      <c r="F25" s="72">
        <f t="shared" si="15"/>
        <v>487636125.6088508</v>
      </c>
      <c r="G25" s="72">
        <f t="shared" si="15"/>
        <v>414703364.404018</v>
      </c>
      <c r="H25" s="72">
        <f t="shared" si="15"/>
        <v>446078400.77076095</v>
      </c>
      <c r="I25" s="72">
        <f t="shared" si="15"/>
        <v>491709827.4903041</v>
      </c>
      <c r="J25" s="72">
        <f t="shared" si="15"/>
        <v>565810828.2869228</v>
      </c>
      <c r="K25" s="72">
        <f t="shared" si="15"/>
        <v>567517103.6899369</v>
      </c>
      <c r="L25" s="72">
        <f t="shared" si="15"/>
        <v>489421986.19659245</v>
      </c>
      <c r="M25" s="72">
        <f t="shared" si="15"/>
        <v>481138030.9045296</v>
      </c>
      <c r="N25" s="72">
        <f t="shared" si="15"/>
        <v>421217887.3308767</v>
      </c>
      <c r="O25" s="72">
        <f t="shared" si="15"/>
        <v>414497942.8077273</v>
      </c>
      <c r="P25" s="72">
        <f t="shared" si="15"/>
        <v>420643303.5681256</v>
      </c>
      <c r="Q25" s="72">
        <f t="shared" si="15"/>
        <v>483533881.2111699</v>
      </c>
      <c r="R25" s="72">
        <f t="shared" si="15"/>
        <v>484174236.78751916</v>
      </c>
      <c r="S25" s="72">
        <f t="shared" si="15"/>
        <v>418902145.4563933</v>
      </c>
      <c r="T25" s="72">
        <f t="shared" si="15"/>
        <v>444492823.0749646</v>
      </c>
      <c r="U25" s="72">
        <f t="shared" si="15"/>
        <v>492563000.70695406</v>
      </c>
      <c r="V25" s="72">
        <f t="shared" si="15"/>
        <v>569086960.8592143</v>
      </c>
      <c r="W25" s="72">
        <f t="shared" si="15"/>
        <v>571745557.251073</v>
      </c>
      <c r="X25" s="72">
        <f t="shared" si="15"/>
        <v>491548757.39719194</v>
      </c>
      <c r="Y25" s="72">
        <f t="shared" si="15"/>
        <v>487826794.5044307</v>
      </c>
      <c r="Z25" s="72">
        <f t="shared" si="15"/>
        <v>428845629.6539266</v>
      </c>
      <c r="AA25" s="72">
        <f t="shared" si="15"/>
        <v>420524103.86781293</v>
      </c>
      <c r="AB25" s="72">
        <f t="shared" si="15"/>
        <v>424781596.0244001</v>
      </c>
      <c r="AC25" s="72">
        <f t="shared" si="15"/>
        <v>486538022.6357889</v>
      </c>
      <c r="AE25" s="72">
        <f t="shared" si="3"/>
        <v>3726264376.479917</v>
      </c>
      <c r="AF25" s="72">
        <f t="shared" si="4"/>
        <v>7004234512.188875</v>
      </c>
    </row>
    <row r="38" spans="4:12" ht="15">
      <c r="D38" s="44"/>
      <c r="E38" s="44"/>
      <c r="F38" s="44"/>
      <c r="G38" s="44"/>
      <c r="H38" s="44"/>
      <c r="I38" s="44"/>
      <c r="J38" s="44"/>
      <c r="K38" s="44"/>
      <c r="L38" s="44"/>
    </row>
    <row r="39" spans="3:29" ht="1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row>
    <row r="40" spans="3:29" ht="1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row>
    <row r="41" spans="3:29" ht="1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row>
    <row r="42" spans="3:29" ht="1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row>
    <row r="43" spans="3:29" ht="1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row>
    <row r="44" spans="3:29" ht="1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row>
    <row r="45" spans="3:29" ht="1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row>
    <row r="46" spans="3:29" ht="1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row>
    <row r="47" spans="3:29" ht="1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row>
    <row r="48" spans="3:29" ht="1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row>
  </sheetData>
  <printOptions/>
  <pageMargins left="0.36" right="0.32" top="0.75" bottom="0.75" header="0.3" footer="0.3"/>
  <pageSetup fitToHeight="0" fitToWidth="1" horizontalDpi="600" verticalDpi="600" orientation="landscape" scale="24"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54"/>
  <sheetViews>
    <sheetView showGridLines="0" view="pageBreakPreview" zoomScale="85" zoomScaleSheetLayoutView="85" workbookViewId="0" topLeftCell="A25">
      <selection activeCell="F75" sqref="F75"/>
    </sheetView>
  </sheetViews>
  <sheetFormatPr defaultColWidth="11.421875" defaultRowHeight="15"/>
  <cols>
    <col min="1" max="1" width="5.00390625" style="96" customWidth="1"/>
    <col min="2" max="2" width="23.8515625" style="95" customWidth="1"/>
    <col min="3" max="3" width="8.8515625" style="96" customWidth="1"/>
    <col min="4" max="4" width="12.421875" style="106" customWidth="1"/>
    <col min="5" max="5" width="9.7109375" style="106" customWidth="1"/>
    <col min="6" max="6" width="15.00390625" style="106" bestFit="1" customWidth="1"/>
    <col min="7" max="7" width="10.421875" style="107" bestFit="1" customWidth="1"/>
    <col min="8" max="8" width="12.28125" style="95" customWidth="1"/>
    <col min="9" max="9" width="13.28125" style="95" bestFit="1" customWidth="1"/>
    <col min="10" max="10" width="12.421875" style="95" customWidth="1"/>
    <col min="11" max="11" width="12.140625" style="95" customWidth="1"/>
    <col min="12" max="12" width="8.140625" style="95" customWidth="1"/>
    <col min="13" max="13" width="10.8515625" style="108" customWidth="1"/>
    <col min="14" max="14" width="9.28125" style="95" customWidth="1"/>
    <col min="15" max="15" width="12.57421875" style="95" bestFit="1" customWidth="1"/>
    <col min="16" max="16" width="11.421875" style="95" customWidth="1"/>
    <col min="17" max="16384" width="11.421875" style="95" customWidth="1"/>
  </cols>
  <sheetData>
    <row r="1" spans="1:15" s="96" customFormat="1" ht="15">
      <c r="A1" s="168" t="s">
        <v>32</v>
      </c>
      <c r="B1" s="168"/>
      <c r="C1" s="168"/>
      <c r="D1" s="168"/>
      <c r="E1" s="168"/>
      <c r="F1" s="168"/>
      <c r="G1" s="168"/>
      <c r="H1" s="168"/>
      <c r="I1" s="168"/>
      <c r="J1" s="168"/>
      <c r="K1" s="168"/>
      <c r="L1" s="168"/>
      <c r="M1" s="168"/>
      <c r="N1" s="168"/>
      <c r="O1" s="95"/>
    </row>
    <row r="2" spans="1:15" s="96" customFormat="1" ht="15">
      <c r="A2" s="168" t="s">
        <v>142</v>
      </c>
      <c r="B2" s="168"/>
      <c r="C2" s="168"/>
      <c r="D2" s="168"/>
      <c r="E2" s="168"/>
      <c r="F2" s="168"/>
      <c r="G2" s="168"/>
      <c r="H2" s="168"/>
      <c r="I2" s="168"/>
      <c r="J2" s="168"/>
      <c r="K2" s="168"/>
      <c r="L2" s="168"/>
      <c r="M2" s="168"/>
      <c r="N2" s="168"/>
      <c r="O2" s="95"/>
    </row>
    <row r="3" spans="1:15" s="96" customFormat="1" ht="15">
      <c r="A3" s="168" t="s">
        <v>141</v>
      </c>
      <c r="B3" s="168"/>
      <c r="C3" s="168"/>
      <c r="D3" s="168"/>
      <c r="E3" s="168"/>
      <c r="F3" s="168"/>
      <c r="G3" s="168"/>
      <c r="H3" s="168"/>
      <c r="I3" s="168"/>
      <c r="J3" s="168"/>
      <c r="K3" s="168"/>
      <c r="L3" s="168"/>
      <c r="M3" s="168"/>
      <c r="N3" s="168"/>
      <c r="O3" s="95"/>
    </row>
    <row r="4" spans="1:15" s="96" customFormat="1" ht="15">
      <c r="A4" s="168" t="s">
        <v>167</v>
      </c>
      <c r="B4" s="168"/>
      <c r="C4" s="168"/>
      <c r="D4" s="168"/>
      <c r="E4" s="168"/>
      <c r="F4" s="168"/>
      <c r="G4" s="168"/>
      <c r="H4" s="168"/>
      <c r="I4" s="168"/>
      <c r="J4" s="168"/>
      <c r="K4" s="168"/>
      <c r="L4" s="168"/>
      <c r="M4" s="168"/>
      <c r="N4" s="168"/>
      <c r="O4" s="95"/>
    </row>
    <row r="5" spans="1:15" s="96" customFormat="1" ht="15">
      <c r="A5" s="168" t="s">
        <v>140</v>
      </c>
      <c r="B5" s="168"/>
      <c r="C5" s="168"/>
      <c r="D5" s="168"/>
      <c r="E5" s="168"/>
      <c r="F5" s="168"/>
      <c r="G5" s="168"/>
      <c r="H5" s="168"/>
      <c r="I5" s="168"/>
      <c r="J5" s="168"/>
      <c r="K5" s="168"/>
      <c r="L5" s="168"/>
      <c r="M5" s="168"/>
      <c r="N5" s="168"/>
      <c r="O5" s="95"/>
    </row>
    <row r="6" spans="1:15" s="96" customFormat="1" ht="15">
      <c r="A6" s="133" t="s">
        <v>190</v>
      </c>
      <c r="C6" s="95"/>
      <c r="D6" s="97"/>
      <c r="E6" s="98"/>
      <c r="F6" s="98"/>
      <c r="G6" s="99"/>
      <c r="N6" s="100"/>
      <c r="O6" s="95"/>
    </row>
    <row r="7" spans="3:15" s="96" customFormat="1" ht="15">
      <c r="C7" s="95"/>
      <c r="D7" s="97"/>
      <c r="E7" s="98"/>
      <c r="F7" s="98"/>
      <c r="G7" s="99"/>
      <c r="N7" s="100"/>
      <c r="O7" s="95"/>
    </row>
    <row r="8" spans="4:16" s="96" customFormat="1" ht="15">
      <c r="D8" s="97" t="s">
        <v>139</v>
      </c>
      <c r="E8" s="97"/>
      <c r="F8" s="169" t="s">
        <v>139</v>
      </c>
      <c r="G8" s="99" t="s">
        <v>137</v>
      </c>
      <c r="H8" s="96" t="s">
        <v>138</v>
      </c>
      <c r="J8" s="96" t="s">
        <v>168</v>
      </c>
      <c r="K8" s="96" t="s">
        <v>169</v>
      </c>
      <c r="L8" s="96" t="s">
        <v>170</v>
      </c>
      <c r="M8" s="96" t="s">
        <v>171</v>
      </c>
      <c r="N8" s="96" t="s">
        <v>172</v>
      </c>
      <c r="P8" s="100" t="s">
        <v>131</v>
      </c>
    </row>
    <row r="9" spans="4:16" s="96" customFormat="1" ht="15">
      <c r="D9" s="96" t="s">
        <v>122</v>
      </c>
      <c r="E9" s="97" t="s">
        <v>173</v>
      </c>
      <c r="F9" s="170" t="s">
        <v>122</v>
      </c>
      <c r="G9" s="100" t="s">
        <v>136</v>
      </c>
      <c r="H9" s="96" t="s">
        <v>122</v>
      </c>
      <c r="I9" s="96" t="s">
        <v>174</v>
      </c>
      <c r="J9" s="96" t="s">
        <v>122</v>
      </c>
      <c r="K9" s="97" t="s">
        <v>175</v>
      </c>
      <c r="L9" s="97" t="s">
        <v>176</v>
      </c>
      <c r="M9" s="97" t="s">
        <v>128</v>
      </c>
      <c r="N9" s="97" t="s">
        <v>177</v>
      </c>
      <c r="O9" s="143" t="s">
        <v>55</v>
      </c>
      <c r="P9" s="100" t="s">
        <v>123</v>
      </c>
    </row>
    <row r="10" spans="2:16" s="96" customFormat="1" ht="15">
      <c r="B10" s="96" t="s">
        <v>135</v>
      </c>
      <c r="C10" s="96" t="s">
        <v>134</v>
      </c>
      <c r="D10" s="97" t="s">
        <v>133</v>
      </c>
      <c r="E10" s="97" t="s">
        <v>129</v>
      </c>
      <c r="F10" s="169" t="s">
        <v>132</v>
      </c>
      <c r="G10" s="99" t="s">
        <v>131</v>
      </c>
      <c r="H10" s="96" t="s">
        <v>130</v>
      </c>
      <c r="I10" s="96" t="s">
        <v>178</v>
      </c>
      <c r="J10" s="96" t="s">
        <v>130</v>
      </c>
      <c r="K10" s="97" t="s">
        <v>129</v>
      </c>
      <c r="L10" s="97" t="s">
        <v>179</v>
      </c>
      <c r="M10" s="97" t="s">
        <v>179</v>
      </c>
      <c r="N10" s="97" t="s">
        <v>179</v>
      </c>
      <c r="O10" s="143" t="s">
        <v>180</v>
      </c>
      <c r="P10" s="100" t="s">
        <v>127</v>
      </c>
    </row>
    <row r="11" spans="1:16" s="101" customFormat="1" ht="15">
      <c r="A11" s="101" t="s">
        <v>35</v>
      </c>
      <c r="B11" s="101" t="s">
        <v>126</v>
      </c>
      <c r="C11" s="101" t="s">
        <v>125</v>
      </c>
      <c r="D11" s="102" t="s">
        <v>124</v>
      </c>
      <c r="E11" s="102" t="s">
        <v>123</v>
      </c>
      <c r="F11" s="171" t="s">
        <v>124</v>
      </c>
      <c r="G11" s="103" t="s">
        <v>123</v>
      </c>
      <c r="H11" s="101" t="s">
        <v>121</v>
      </c>
      <c r="I11" s="101" t="s">
        <v>88</v>
      </c>
      <c r="J11" s="101" t="s">
        <v>121</v>
      </c>
      <c r="K11" s="102" t="s">
        <v>123</v>
      </c>
      <c r="L11" s="102" t="s">
        <v>181</v>
      </c>
      <c r="M11" s="102" t="s">
        <v>181</v>
      </c>
      <c r="N11" s="102" t="s">
        <v>181</v>
      </c>
      <c r="O11" s="148" t="s">
        <v>96</v>
      </c>
      <c r="P11" s="104" t="s">
        <v>122</v>
      </c>
    </row>
    <row r="12" spans="2:16" s="96" customFormat="1" ht="15">
      <c r="B12" s="96" t="s">
        <v>120</v>
      </c>
      <c r="C12" s="96" t="s">
        <v>119</v>
      </c>
      <c r="D12" s="97" t="s">
        <v>118</v>
      </c>
      <c r="E12" s="96" t="s">
        <v>117</v>
      </c>
      <c r="F12" s="170" t="s">
        <v>116</v>
      </c>
      <c r="G12" s="99" t="s">
        <v>115</v>
      </c>
      <c r="H12" s="96" t="s">
        <v>114</v>
      </c>
      <c r="I12" s="96" t="s">
        <v>113</v>
      </c>
      <c r="J12" s="96" t="s">
        <v>113</v>
      </c>
      <c r="K12" s="96" t="s">
        <v>113</v>
      </c>
      <c r="L12" s="96" t="s">
        <v>182</v>
      </c>
      <c r="M12" s="96" t="s">
        <v>112</v>
      </c>
      <c r="N12" s="96" t="s">
        <v>111</v>
      </c>
      <c r="O12" s="100" t="s">
        <v>183</v>
      </c>
      <c r="P12" s="100" t="s">
        <v>184</v>
      </c>
    </row>
    <row r="13" spans="4:15" ht="15">
      <c r="D13" s="105" t="s">
        <v>0</v>
      </c>
      <c r="F13" s="172"/>
      <c r="M13" s="95"/>
      <c r="O13" s="108"/>
    </row>
    <row r="14" spans="1:16" ht="15">
      <c r="A14" s="96">
        <v>1</v>
      </c>
      <c r="B14" s="95" t="s">
        <v>110</v>
      </c>
      <c r="C14" s="112" t="s">
        <v>185</v>
      </c>
      <c r="D14" s="97">
        <v>216074.59747000004</v>
      </c>
      <c r="E14" s="97">
        <v>14579.226899999976</v>
      </c>
      <c r="F14" s="169">
        <v>230654.32437000002</v>
      </c>
      <c r="G14" s="109">
        <v>0.06747311840774882</v>
      </c>
      <c r="H14" s="97">
        <v>222667.75594</v>
      </c>
      <c r="I14" s="149">
        <v>0</v>
      </c>
      <c r="J14" s="97">
        <v>222667.75594</v>
      </c>
      <c r="K14" s="149">
        <v>14579.226899999976</v>
      </c>
      <c r="L14" s="149">
        <v>-2117.190553215626</v>
      </c>
      <c r="M14" s="149">
        <v>-10071.607</v>
      </c>
      <c r="N14" s="149">
        <v>186.61596243145408</v>
      </c>
      <c r="O14" s="150">
        <v>2577.045309215803</v>
      </c>
      <c r="P14" s="110">
        <v>0.011573500160976217</v>
      </c>
    </row>
    <row r="15" spans="4:16" ht="15">
      <c r="D15" s="97"/>
      <c r="E15" s="97"/>
      <c r="F15" s="169"/>
      <c r="G15" s="109"/>
      <c r="H15" s="97"/>
      <c r="I15" s="149"/>
      <c r="J15" s="97"/>
      <c r="K15" s="149"/>
      <c r="L15" s="149"/>
      <c r="M15" s="149"/>
      <c r="N15" s="149"/>
      <c r="O15" s="150"/>
      <c r="P15" s="110"/>
    </row>
    <row r="16" spans="1:16" ht="15">
      <c r="A16" s="96">
        <v>2</v>
      </c>
      <c r="B16" s="95" t="s">
        <v>109</v>
      </c>
      <c r="C16" s="112" t="s">
        <v>108</v>
      </c>
      <c r="D16" s="97">
        <v>75060.95343833335</v>
      </c>
      <c r="E16" s="111">
        <v>2130.6787616666556</v>
      </c>
      <c r="F16" s="169">
        <v>77191.63220000001</v>
      </c>
      <c r="G16" s="109">
        <v>0.028385980514051477</v>
      </c>
      <c r="H16" s="97">
        <v>80649.8154983333</v>
      </c>
      <c r="I16" s="149">
        <v>0</v>
      </c>
      <c r="J16" s="97">
        <v>80649.8154983333</v>
      </c>
      <c r="K16" s="149">
        <v>2130.6787616666556</v>
      </c>
      <c r="L16" s="149">
        <v>-735.4790586017945</v>
      </c>
      <c r="M16" s="149">
        <v>-2657.651</v>
      </c>
      <c r="N16" s="149">
        <v>70.73907858003255</v>
      </c>
      <c r="O16" s="150">
        <v>-1191.712218355106</v>
      </c>
      <c r="P16" s="110">
        <v>-0.014776378730584124</v>
      </c>
    </row>
    <row r="17" spans="4:16" ht="15">
      <c r="D17" s="97"/>
      <c r="E17" s="97"/>
      <c r="F17" s="169"/>
      <c r="G17" s="109"/>
      <c r="H17" s="97"/>
      <c r="I17" s="149"/>
      <c r="J17" s="97"/>
      <c r="K17" s="149"/>
      <c r="L17" s="149"/>
      <c r="M17" s="149"/>
      <c r="N17" s="149"/>
      <c r="O17" s="150"/>
      <c r="P17" s="110"/>
    </row>
    <row r="18" spans="1:16" ht="15">
      <c r="A18" s="96">
        <v>3</v>
      </c>
      <c r="B18" s="95" t="s">
        <v>107</v>
      </c>
      <c r="C18" s="113" t="s">
        <v>106</v>
      </c>
      <c r="D18" s="97">
        <v>125677.26809166667</v>
      </c>
      <c r="E18" s="97">
        <v>7134.584918333337</v>
      </c>
      <c r="F18" s="169">
        <v>132811.85301000002</v>
      </c>
      <c r="G18" s="109">
        <v>0.056769096167252</v>
      </c>
      <c r="H18" s="97">
        <v>136457.846041667</v>
      </c>
      <c r="I18" s="149">
        <v>0</v>
      </c>
      <c r="J18" s="97">
        <v>136457.846041667</v>
      </c>
      <c r="K18" s="149">
        <v>7134.584918333337</v>
      </c>
      <c r="L18" s="149">
        <v>-1231.4391782891898</v>
      </c>
      <c r="M18" s="149">
        <v>-5999.64</v>
      </c>
      <c r="N18" s="149">
        <v>112.42674172875867</v>
      </c>
      <c r="O18" s="150">
        <v>15.932481772905149</v>
      </c>
      <c r="P18" s="110">
        <v>0.00011675753527606035</v>
      </c>
    </row>
    <row r="19" spans="4:16" ht="15">
      <c r="D19" s="97"/>
      <c r="E19" s="97"/>
      <c r="F19" s="169"/>
      <c r="G19" s="109"/>
      <c r="H19" s="97"/>
      <c r="I19" s="149"/>
      <c r="J19" s="97"/>
      <c r="K19" s="149"/>
      <c r="L19" s="149"/>
      <c r="M19" s="149"/>
      <c r="N19" s="149"/>
      <c r="O19" s="150"/>
      <c r="P19" s="110"/>
    </row>
    <row r="20" spans="1:16" ht="15">
      <c r="A20" s="96">
        <v>4</v>
      </c>
      <c r="B20" s="95" t="s">
        <v>105</v>
      </c>
      <c r="C20" s="96">
        <v>25</v>
      </c>
      <c r="D20" s="97">
        <v>66743.70756613201</v>
      </c>
      <c r="E20" s="97">
        <v>3789.048357237995</v>
      </c>
      <c r="F20" s="169">
        <v>70532.95592337</v>
      </c>
      <c r="G20" s="109">
        <v>0.05677012104075388</v>
      </c>
      <c r="H20" s="97">
        <v>69318.742446132</v>
      </c>
      <c r="I20" s="149">
        <v>0</v>
      </c>
      <c r="J20" s="97">
        <v>69318.742446132</v>
      </c>
      <c r="K20" s="149">
        <v>3789.048357237995</v>
      </c>
      <c r="L20" s="149">
        <v>-653.9831558183071</v>
      </c>
      <c r="M20" s="149">
        <v>-4606.254</v>
      </c>
      <c r="N20" s="149">
        <v>36.144305132901806</v>
      </c>
      <c r="O20" s="150">
        <v>-1435.0444934474106</v>
      </c>
      <c r="P20" s="110">
        <v>-0.020702113783477707</v>
      </c>
    </row>
    <row r="21" spans="4:16" ht="15">
      <c r="D21" s="97"/>
      <c r="E21" s="97"/>
      <c r="F21" s="169"/>
      <c r="G21" s="109"/>
      <c r="H21" s="97"/>
      <c r="I21" s="149"/>
      <c r="J21" s="97"/>
      <c r="K21" s="149"/>
      <c r="L21" s="149"/>
      <c r="M21" s="149"/>
      <c r="N21" s="149"/>
      <c r="O21" s="150"/>
      <c r="P21" s="110"/>
    </row>
    <row r="22" spans="1:16" ht="15">
      <c r="A22" s="96">
        <v>5</v>
      </c>
      <c r="B22" s="95" t="s">
        <v>104</v>
      </c>
      <c r="C22" s="113" t="s">
        <v>103</v>
      </c>
      <c r="D22" s="97">
        <v>12038.755110000002</v>
      </c>
      <c r="E22" s="97">
        <v>683.6807899999991</v>
      </c>
      <c r="F22" s="169">
        <v>12722.635900000001</v>
      </c>
      <c r="G22" s="109">
        <v>0.05678999063882437</v>
      </c>
      <c r="H22" s="97">
        <v>13072.63417</v>
      </c>
      <c r="I22" s="149">
        <v>0</v>
      </c>
      <c r="J22" s="97">
        <v>13072.63417</v>
      </c>
      <c r="K22" s="149">
        <v>683.6807899999991</v>
      </c>
      <c r="L22" s="149">
        <v>-117.96082875918428</v>
      </c>
      <c r="M22" s="149">
        <v>-569.254</v>
      </c>
      <c r="N22" s="149">
        <v>10.420922422142896</v>
      </c>
      <c r="O22" s="150">
        <v>6.886883662957645</v>
      </c>
      <c r="P22" s="110">
        <v>0.0005268168276874259</v>
      </c>
    </row>
    <row r="23" spans="4:16" ht="15">
      <c r="D23" s="97"/>
      <c r="E23" s="97"/>
      <c r="F23" s="169"/>
      <c r="G23" s="109"/>
      <c r="H23" s="97"/>
      <c r="I23" s="149"/>
      <c r="J23" s="97"/>
      <c r="K23" s="149"/>
      <c r="L23" s="149"/>
      <c r="M23" s="149"/>
      <c r="N23" s="149"/>
      <c r="O23" s="150"/>
      <c r="P23" s="110"/>
    </row>
    <row r="24" spans="1:16" ht="15">
      <c r="A24" s="96">
        <v>6</v>
      </c>
      <c r="B24" s="95" t="s">
        <v>102</v>
      </c>
      <c r="C24" s="96" t="s">
        <v>91</v>
      </c>
      <c r="D24" s="114">
        <v>6424.019280276</v>
      </c>
      <c r="E24" s="114">
        <v>181.62788032399865</v>
      </c>
      <c r="F24" s="173">
        <v>6605.647160599999</v>
      </c>
      <c r="G24" s="109">
        <v>0.02827324645205536</v>
      </c>
      <c r="H24" s="114">
        <v>6754.24035405592</v>
      </c>
      <c r="I24" s="151">
        <v>0</v>
      </c>
      <c r="J24" s="114">
        <v>6754.24035405592</v>
      </c>
      <c r="K24" s="151">
        <v>181.62788032399865</v>
      </c>
      <c r="L24" s="151">
        <v>-62.94526563106867</v>
      </c>
      <c r="M24" s="151">
        <v>-98.594</v>
      </c>
      <c r="N24" s="151">
        <v>6.091969332329648</v>
      </c>
      <c r="O24" s="150">
        <v>26.180584025259627</v>
      </c>
      <c r="P24" s="110">
        <v>0.0038761700284382374</v>
      </c>
    </row>
    <row r="25" spans="4:16" ht="15">
      <c r="D25" s="97"/>
      <c r="E25" s="97"/>
      <c r="F25" s="169"/>
      <c r="G25" s="115"/>
      <c r="H25" s="111"/>
      <c r="I25" s="149"/>
      <c r="J25" s="97"/>
      <c r="K25" s="149"/>
      <c r="L25" s="149"/>
      <c r="M25" s="149"/>
      <c r="N25" s="149"/>
      <c r="O25" s="150"/>
      <c r="P25" s="110"/>
    </row>
    <row r="26" spans="1:16" ht="15">
      <c r="A26" s="96">
        <v>7</v>
      </c>
      <c r="B26" s="116" t="s">
        <v>55</v>
      </c>
      <c r="D26" s="97">
        <v>502019.50095640816</v>
      </c>
      <c r="E26" s="97">
        <v>28499.64760756196</v>
      </c>
      <c r="F26" s="169">
        <v>530519.5485639701</v>
      </c>
      <c r="G26" s="109">
        <v>0.05677000107220271</v>
      </c>
      <c r="H26" s="97">
        <v>528921.0344501882</v>
      </c>
      <c r="I26" s="149">
        <v>0</v>
      </c>
      <c r="J26" s="97">
        <v>528921.0344501882</v>
      </c>
      <c r="K26" s="149">
        <v>28499.64760756196</v>
      </c>
      <c r="L26" s="149">
        <v>-4918.99804031517</v>
      </c>
      <c r="M26" s="149">
        <v>-24003.000000000004</v>
      </c>
      <c r="N26" s="149">
        <v>422.43897962761963</v>
      </c>
      <c r="O26" s="150">
        <v>0.08854687440594944</v>
      </c>
      <c r="P26" s="110">
        <v>1.6741038574499812E-07</v>
      </c>
    </row>
    <row r="27" spans="2:15" ht="15">
      <c r="B27" s="96"/>
      <c r="D27" s="117">
        <v>0</v>
      </c>
      <c r="E27" s="117"/>
      <c r="F27" s="117"/>
      <c r="H27" s="118"/>
      <c r="I27" s="118"/>
      <c r="J27" s="118"/>
      <c r="K27" s="118"/>
      <c r="L27" s="118"/>
      <c r="M27" s="118"/>
      <c r="N27" s="118"/>
      <c r="O27" s="118"/>
    </row>
    <row r="28" spans="2:13" ht="15">
      <c r="B28" s="96"/>
      <c r="D28" s="152"/>
      <c r="E28" s="118"/>
      <c r="M28" s="95"/>
    </row>
    <row r="29" spans="1:13" ht="15">
      <c r="A29" s="95"/>
      <c r="M29" s="95"/>
    </row>
    <row r="30" ht="15">
      <c r="M30" s="95"/>
    </row>
    <row r="31" spans="1:13" ht="15">
      <c r="A31" s="95" t="s">
        <v>186</v>
      </c>
      <c r="M31" s="153"/>
    </row>
    <row r="32" spans="1:13" ht="15">
      <c r="A32" s="119" t="s">
        <v>187</v>
      </c>
      <c r="M32" s="95"/>
    </row>
    <row r="33" spans="1:13" ht="15">
      <c r="A33" s="119"/>
      <c r="M33" s="95"/>
    </row>
    <row r="34" spans="1:13" ht="15">
      <c r="A34" s="95" t="s">
        <v>188</v>
      </c>
      <c r="M34" s="95"/>
    </row>
    <row r="35" spans="1:13" ht="15">
      <c r="A35" s="119" t="s">
        <v>189</v>
      </c>
      <c r="M35" s="95"/>
    </row>
    <row r="36" ht="15" hidden="1"/>
    <row r="37" ht="15" hidden="1"/>
    <row r="38" spans="2:11" ht="15" hidden="1">
      <c r="B38" s="120" t="s">
        <v>101</v>
      </c>
      <c r="F38" s="97"/>
      <c r="H38" s="97"/>
      <c r="I38" s="97"/>
      <c r="J38" s="97"/>
      <c r="K38" s="97"/>
    </row>
    <row r="39" spans="6:13" ht="15" hidden="1">
      <c r="F39" s="97" t="s">
        <v>100</v>
      </c>
      <c r="G39" s="120"/>
      <c r="H39" s="97"/>
      <c r="I39" s="97" t="s">
        <v>99</v>
      </c>
      <c r="J39" s="108"/>
      <c r="K39" s="108"/>
      <c r="M39" s="95"/>
    </row>
    <row r="40" spans="6:13" ht="15" hidden="1">
      <c r="F40" s="114" t="s">
        <v>98</v>
      </c>
      <c r="G40" s="120"/>
      <c r="H40" s="102" t="s">
        <v>97</v>
      </c>
      <c r="I40" s="114" t="s">
        <v>96</v>
      </c>
      <c r="J40" s="108"/>
      <c r="K40" s="108"/>
      <c r="M40" s="95"/>
    </row>
    <row r="41" spans="2:13" ht="15" hidden="1">
      <c r="B41" s="121" t="s">
        <v>95</v>
      </c>
      <c r="F41" s="122">
        <f>'[3]Rev Runs 12MESEPT2014'!P49+'[3]Rev Runs 12MESEPT2014'!P81+'[3]Rev Runs 12MESEPT2014'!P90</f>
        <v>57963673</v>
      </c>
      <c r="G41" s="95"/>
      <c r="H41" s="123">
        <v>-0.00027</v>
      </c>
      <c r="I41" s="124">
        <f>F41*H41</f>
        <v>-15650.191710000001</v>
      </c>
      <c r="J41" s="108"/>
      <c r="K41" s="108"/>
      <c r="M41" s="95"/>
    </row>
    <row r="42" spans="2:13" ht="15" hidden="1">
      <c r="B42" s="121" t="s">
        <v>94</v>
      </c>
      <c r="F42" s="122">
        <f>'[3]Rev Runs 12MESEPT2014'!P51+'[3]Rev Runs 12MESEPT2014'!P83+'[3]Rev Runs 12MESEPT2014'!P92</f>
        <v>36956089</v>
      </c>
      <c r="G42" s="95"/>
      <c r="H42" s="123">
        <v>-0.00027</v>
      </c>
      <c r="I42" s="124">
        <f>F42*H42</f>
        <v>-9978.14403</v>
      </c>
      <c r="J42" s="108"/>
      <c r="K42" s="108"/>
      <c r="M42" s="95"/>
    </row>
    <row r="43" spans="2:13" ht="15" hidden="1">
      <c r="B43" s="121" t="s">
        <v>93</v>
      </c>
      <c r="F43" s="125">
        <f>'[3]Rev Runs 12MESEPT2014'!P55+'[3]Rev Runs 12MESEPT2014'!P86+'[3]Rev Runs 12MESEPT2014'!P95</f>
        <v>8649684</v>
      </c>
      <c r="G43" s="126"/>
      <c r="H43" s="123">
        <v>-0.00027</v>
      </c>
      <c r="I43" s="127">
        <f>F43*H43</f>
        <v>-2335.41468</v>
      </c>
      <c r="J43" s="108"/>
      <c r="K43" s="108"/>
      <c r="M43" s="95"/>
    </row>
    <row r="44" spans="2:13" ht="15" hidden="1">
      <c r="B44" s="121"/>
      <c r="F44" s="125"/>
      <c r="G44" s="95"/>
      <c r="H44" s="123"/>
      <c r="I44" s="127"/>
      <c r="J44" s="108"/>
      <c r="K44" s="108"/>
      <c r="M44" s="95"/>
    </row>
    <row r="45" spans="2:13" ht="15" hidden="1">
      <c r="B45" s="121" t="s">
        <v>55</v>
      </c>
      <c r="C45" s="95"/>
      <c r="D45" s="95"/>
      <c r="E45" s="95"/>
      <c r="F45" s="93">
        <f>SUM(F41:F44)</f>
        <v>103569446</v>
      </c>
      <c r="I45" s="128">
        <f>SUM(I41:I44)</f>
        <v>-27963.750420000004</v>
      </c>
      <c r="J45" s="95" t="s">
        <v>144</v>
      </c>
      <c r="M45" s="95"/>
    </row>
    <row r="46" spans="10:13" ht="15" hidden="1">
      <c r="J46" s="108"/>
      <c r="K46" s="108"/>
      <c r="M46" s="95"/>
    </row>
    <row r="47" ht="15" hidden="1"/>
    <row r="48" spans="10:16" ht="15" hidden="1">
      <c r="J48" s="95" t="s">
        <v>92</v>
      </c>
      <c r="L48" s="129">
        <v>0</v>
      </c>
      <c r="M48" s="108">
        <v>1</v>
      </c>
      <c r="N48" s="130">
        <f>-D14*$L$49</f>
        <v>0</v>
      </c>
      <c r="P48" s="131">
        <f>0/'[3]Pres &amp; Prop Rev'!D23</f>
        <v>0</v>
      </c>
    </row>
    <row r="49" spans="12:14" ht="15" hidden="1">
      <c r="L49" s="92">
        <f>L48/D26</f>
        <v>0</v>
      </c>
      <c r="M49" s="108">
        <v>11</v>
      </c>
      <c r="N49" s="130">
        <f>-D16*L49</f>
        <v>0</v>
      </c>
    </row>
    <row r="50" spans="13:14" ht="15" hidden="1">
      <c r="M50" s="108">
        <v>21</v>
      </c>
      <c r="N50" s="130">
        <f>-D18*L49</f>
        <v>0</v>
      </c>
    </row>
    <row r="51" spans="13:14" ht="15" hidden="1">
      <c r="M51" s="108">
        <v>25</v>
      </c>
      <c r="N51" s="130">
        <f>-D20*L49</f>
        <v>0</v>
      </c>
    </row>
    <row r="52" spans="13:14" ht="15" hidden="1">
      <c r="M52" s="108">
        <v>31</v>
      </c>
      <c r="N52" s="130">
        <f>-D22*L49</f>
        <v>0</v>
      </c>
    </row>
    <row r="53" spans="13:14" ht="15" hidden="1">
      <c r="M53" s="132" t="s">
        <v>91</v>
      </c>
      <c r="N53" s="130">
        <f>-D24*L49</f>
        <v>0</v>
      </c>
    </row>
    <row r="54" ht="15" hidden="1">
      <c r="N54" s="130">
        <f>SUM(N48:N53)</f>
        <v>0</v>
      </c>
    </row>
    <row r="55" ht="15" hidden="1"/>
    <row r="56" ht="15" hidden="1"/>
    <row r="57" ht="15" hidden="1"/>
    <row r="58" ht="15" hidden="1"/>
    <row r="59" ht="15" hidden="1"/>
    <row r="60" ht="15" hidden="1"/>
    <row r="61" ht="15" hidden="1"/>
    <row r="62" ht="15" hidden="1"/>
    <row r="63" ht="15" hidden="1"/>
  </sheetData>
  <mergeCells count="5">
    <mergeCell ref="A5:N5"/>
    <mergeCell ref="A1:N1"/>
    <mergeCell ref="A2:N2"/>
    <mergeCell ref="A3:N3"/>
    <mergeCell ref="A4:N4"/>
  </mergeCells>
  <conditionalFormatting sqref="D27:F27">
    <cfRule type="cellIs" priority="1" dxfId="0" operator="notEqual" stopIfTrue="1">
      <formula>0</formula>
    </cfRule>
  </conditionalFormatting>
  <printOptions/>
  <pageMargins left="0.5" right="0.5" top="1" bottom="1" header="0.5" footer="0.5"/>
  <pageSetup fitToHeight="1" fitToWidth="1" horizontalDpi="600" verticalDpi="600" orientation="landscape"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Miller</dc:creator>
  <cp:keywords/>
  <dc:description/>
  <cp:lastModifiedBy>Garbarino, Marcus</cp:lastModifiedBy>
  <cp:lastPrinted>2021-05-24T15:26:19Z</cp:lastPrinted>
  <dcterms:created xsi:type="dcterms:W3CDTF">2011-04-12T19:30:53Z</dcterms:created>
  <dcterms:modified xsi:type="dcterms:W3CDTF">2021-05-24T15:28:04Z</dcterms:modified>
  <cp:category/>
  <cp:version/>
  <cp:contentType/>
  <cp:contentStatus/>
</cp:coreProperties>
</file>