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S:\2021\2021 WA DSM Schedules 91 &amp; 90-190\01) 091-090 Filing\"/>
    </mc:Choice>
  </mc:AlternateContent>
  <xr:revisionPtr revIDLastSave="0" documentId="13_ncr:1_{7CC944C6-B3D0-42DA-92E2-4795CAF50425}" xr6:coauthVersionLast="45" xr6:coauthVersionMax="45" xr10:uidLastSave="{00000000-0000-0000-0000-000000000000}"/>
  <bookViews>
    <workbookView xWindow="28680" yWindow="-210" windowWidth="29040" windowHeight="15840" xr2:uid="{00000000-000D-0000-FFFF-FFFF00000000}"/>
  </bookViews>
  <sheets>
    <sheet name="WA Electric - Sched 91" sheetId="1" r:id="rId1"/>
    <sheet name="Revenue By Month" sheetId="14" r:id="rId2"/>
    <sheet name="DSM Balance" sheetId="5" r:id="rId3"/>
    <sheet name="Rev Conv Factor" sheetId="6" r:id="rId4"/>
    <sheet name="Billing Determinants" sheetId="15" r:id="rId5"/>
    <sheet name="Base Revenue" sheetId="16" r:id="rId6"/>
  </sheets>
  <externalReferences>
    <externalReference r:id="rId7"/>
    <externalReference r:id="rId8"/>
    <externalReference r:id="rId9"/>
  </externalReferences>
  <definedNames>
    <definedName name="Base1_Billing2" localSheetId="5">'[1]Pres &amp; Prop Rev'!$N$8</definedName>
    <definedName name="Base1_Billing2">'[2]Pres &amp; Prop Rev'!$N$8</definedName>
    <definedName name="_xlnm.Print_Area" localSheetId="5">'Base Revenue'!$A$1:$P$35</definedName>
    <definedName name="_xlnm.Print_Area" localSheetId="2">'DSM Balance'!$A$19:$E$37</definedName>
    <definedName name="_xlnm.Print_Area" localSheetId="3">'Rev Conv Factor'!$A$1:$E$29</definedName>
    <definedName name="_xlnm.Print_Area" localSheetId="0">'WA Electric - Sched 91'!$A$4:$I$42</definedName>
    <definedName name="SL_RateIncr">'[1]St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3" i="1" l="1"/>
  <c r="C45" i="1"/>
  <c r="E27" i="1" l="1"/>
  <c r="C27" i="1"/>
  <c r="G27" i="1"/>
  <c r="G13" i="1" l="1"/>
  <c r="D13" i="1"/>
  <c r="D20" i="14"/>
  <c r="D19" i="14"/>
  <c r="D18" i="14"/>
  <c r="D17" i="14"/>
  <c r="D16" i="14"/>
  <c r="D15" i="14"/>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20" i="5"/>
  <c r="E15" i="14" l="1"/>
  <c r="F15" i="14" s="1"/>
  <c r="E16" i="14"/>
  <c r="F16" i="14" s="1"/>
  <c r="E17" i="14"/>
  <c r="F17" i="14" s="1"/>
  <c r="E18" i="14"/>
  <c r="F18" i="14" s="1"/>
  <c r="E19" i="14"/>
  <c r="F19" i="14" s="1"/>
  <c r="E20" i="14"/>
  <c r="F20" i="14" s="1"/>
  <c r="B34" i="5" l="1"/>
  <c r="E48" i="1" l="1"/>
  <c r="S23" i="14" l="1"/>
  <c r="T23" i="14"/>
  <c r="U23" i="14"/>
  <c r="V23" i="14"/>
  <c r="W23" i="14"/>
  <c r="X23" i="14"/>
  <c r="Y23" i="14"/>
  <c r="Z23" i="14"/>
  <c r="AA23" i="14"/>
  <c r="AB23" i="14"/>
  <c r="AC23" i="14"/>
  <c r="AD23" i="14"/>
  <c r="S32" i="14"/>
  <c r="T32" i="14"/>
  <c r="U32" i="14"/>
  <c r="V32" i="14"/>
  <c r="W32" i="14"/>
  <c r="X32" i="14"/>
  <c r="Y32" i="14"/>
  <c r="Z32" i="14"/>
  <c r="AA32" i="14"/>
  <c r="AB32" i="14"/>
  <c r="AC32" i="14"/>
  <c r="AD32" i="14"/>
  <c r="R19" i="15"/>
  <c r="S19" i="15"/>
  <c r="T19" i="15"/>
  <c r="U19" i="15"/>
  <c r="V19" i="15"/>
  <c r="W19" i="15"/>
  <c r="X19" i="15"/>
  <c r="Y19" i="15"/>
  <c r="Z19" i="15"/>
  <c r="AA19" i="15"/>
  <c r="AB19" i="15"/>
  <c r="AC19" i="15"/>
  <c r="R20" i="15"/>
  <c r="S6" i="14" s="1"/>
  <c r="S20" i="15"/>
  <c r="T6" i="14" s="1"/>
  <c r="T20" i="15"/>
  <c r="U6" i="14" s="1"/>
  <c r="U20" i="15"/>
  <c r="V6" i="14" s="1"/>
  <c r="V20" i="15"/>
  <c r="W6" i="14" s="1"/>
  <c r="W20" i="15"/>
  <c r="X6" i="14" s="1"/>
  <c r="X20" i="15"/>
  <c r="Y6" i="14" s="1"/>
  <c r="Y20" i="15"/>
  <c r="Z6" i="14" s="1"/>
  <c r="Z20" i="15"/>
  <c r="AA6" i="14" s="1"/>
  <c r="AA20" i="15"/>
  <c r="AB6" i="14" s="1"/>
  <c r="AB20" i="15"/>
  <c r="AC6" i="14" s="1"/>
  <c r="AC20" i="15"/>
  <c r="AD6" i="14" s="1"/>
  <c r="R21" i="15"/>
  <c r="S7" i="14" s="1"/>
  <c r="S21" i="15"/>
  <c r="T7" i="14" s="1"/>
  <c r="T21" i="15"/>
  <c r="U7" i="14" s="1"/>
  <c r="U21" i="15"/>
  <c r="V7" i="14" s="1"/>
  <c r="V21" i="15"/>
  <c r="W7" i="14" s="1"/>
  <c r="W21" i="15"/>
  <c r="X7" i="14" s="1"/>
  <c r="X21" i="15"/>
  <c r="Y7" i="14" s="1"/>
  <c r="Y21" i="15"/>
  <c r="Z7" i="14" s="1"/>
  <c r="Z21" i="15"/>
  <c r="AA7" i="14" s="1"/>
  <c r="AA21" i="15"/>
  <c r="AB7" i="14" s="1"/>
  <c r="AB21" i="15"/>
  <c r="AC7" i="14" s="1"/>
  <c r="AC21" i="15"/>
  <c r="AD7" i="14" s="1"/>
  <c r="R22" i="15"/>
  <c r="S8" i="14" s="1"/>
  <c r="S22" i="15"/>
  <c r="T8" i="14" s="1"/>
  <c r="T22" i="15"/>
  <c r="U8" i="14" s="1"/>
  <c r="U22" i="15"/>
  <c r="V8" i="14" s="1"/>
  <c r="V22" i="15"/>
  <c r="W8" i="14" s="1"/>
  <c r="W22" i="15"/>
  <c r="X8" i="14" s="1"/>
  <c r="X22" i="15"/>
  <c r="Y8" i="14" s="1"/>
  <c r="Y22" i="15"/>
  <c r="Z8" i="14" s="1"/>
  <c r="Z22" i="15"/>
  <c r="AA8" i="14" s="1"/>
  <c r="AA22" i="15"/>
  <c r="AB8" i="14" s="1"/>
  <c r="AB22" i="15"/>
  <c r="AC8" i="14" s="1"/>
  <c r="AC22" i="15"/>
  <c r="AD8" i="14" s="1"/>
  <c r="R23" i="15"/>
  <c r="S9" i="14" s="1"/>
  <c r="S23" i="15"/>
  <c r="T9" i="14" s="1"/>
  <c r="T23" i="15"/>
  <c r="U9" i="14" s="1"/>
  <c r="U23" i="15"/>
  <c r="V9" i="14" s="1"/>
  <c r="V23" i="15"/>
  <c r="W9" i="14" s="1"/>
  <c r="W23" i="15"/>
  <c r="X9" i="14" s="1"/>
  <c r="X23" i="15"/>
  <c r="Y9" i="14" s="1"/>
  <c r="Y23" i="15"/>
  <c r="Z9" i="14" s="1"/>
  <c r="Z23" i="15"/>
  <c r="AA9" i="14" s="1"/>
  <c r="AA23" i="15"/>
  <c r="AB9" i="14" s="1"/>
  <c r="AB23" i="15"/>
  <c r="AC9" i="14" s="1"/>
  <c r="AC23" i="15"/>
  <c r="AD9" i="14" s="1"/>
  <c r="R24" i="15"/>
  <c r="S10" i="14" s="1"/>
  <c r="S24" i="15"/>
  <c r="T10" i="14" s="1"/>
  <c r="T24" i="15"/>
  <c r="U10" i="14" s="1"/>
  <c r="U24" i="15"/>
  <c r="V10" i="14" s="1"/>
  <c r="V24" i="15"/>
  <c r="W10" i="14" s="1"/>
  <c r="W24" i="15"/>
  <c r="X10" i="14" s="1"/>
  <c r="X24" i="15"/>
  <c r="Y10" i="14" s="1"/>
  <c r="Y24" i="15"/>
  <c r="Z10" i="14" s="1"/>
  <c r="Z24" i="15"/>
  <c r="AA10" i="14" s="1"/>
  <c r="AA24" i="15"/>
  <c r="AB10" i="14" s="1"/>
  <c r="AB24" i="15"/>
  <c r="AC10" i="14" s="1"/>
  <c r="AC24" i="15"/>
  <c r="AD10" i="14" s="1"/>
  <c r="Y5" i="14" l="1"/>
  <c r="X25" i="15"/>
  <c r="X5" i="14"/>
  <c r="W25" i="15"/>
  <c r="AD5" i="14"/>
  <c r="AD11" i="14" s="1"/>
  <c r="AC25" i="15"/>
  <c r="V5" i="14"/>
  <c r="V11" i="14" s="1"/>
  <c r="U25" i="15"/>
  <c r="AC5" i="14"/>
  <c r="AB25" i="15"/>
  <c r="U5" i="14"/>
  <c r="U11" i="14" s="1"/>
  <c r="T25" i="15"/>
  <c r="W5" i="14"/>
  <c r="W11" i="14" s="1"/>
  <c r="V25" i="15"/>
  <c r="AB5" i="14"/>
  <c r="AB11" i="14" s="1"/>
  <c r="AA25" i="15"/>
  <c r="T5" i="14"/>
  <c r="T11" i="14" s="1"/>
  <c r="S25" i="15"/>
  <c r="AA5" i="14"/>
  <c r="AA11" i="14" s="1"/>
  <c r="Z25" i="15"/>
  <c r="S5" i="14"/>
  <c r="S11" i="14" s="1"/>
  <c r="S12" i="14" s="1"/>
  <c r="R25" i="15"/>
  <c r="Z5" i="14"/>
  <c r="Z11" i="14" s="1"/>
  <c r="Y25" i="15"/>
  <c r="AC11" i="14"/>
  <c r="AC12" i="14" s="1"/>
  <c r="Y11" i="14"/>
  <c r="X11" i="14"/>
  <c r="X12" i="14" s="1"/>
  <c r="AA12" i="14" l="1"/>
  <c r="T12" i="14"/>
  <c r="AB12" i="14"/>
  <c r="U12" i="14"/>
  <c r="V12" i="14"/>
  <c r="Z12" i="14"/>
  <c r="AD12" i="14"/>
  <c r="W12" i="14"/>
  <c r="Y12" i="14"/>
  <c r="D32" i="14"/>
  <c r="E32" i="14"/>
  <c r="F32" i="14"/>
  <c r="G32" i="14"/>
  <c r="H32" i="14"/>
  <c r="I32" i="14"/>
  <c r="J32" i="14"/>
  <c r="K32" i="14"/>
  <c r="L32" i="14"/>
  <c r="M32" i="14"/>
  <c r="N32" i="14"/>
  <c r="O32" i="14"/>
  <c r="P32" i="14"/>
  <c r="Q32" i="14"/>
  <c r="R32" i="14"/>
  <c r="D23" i="14"/>
  <c r="E23" i="14"/>
  <c r="F23" i="14"/>
  <c r="G23" i="14"/>
  <c r="H23" i="14"/>
  <c r="I23" i="14"/>
  <c r="J23" i="14"/>
  <c r="K23" i="14"/>
  <c r="L23" i="14"/>
  <c r="M23" i="14"/>
  <c r="N23" i="14"/>
  <c r="O23" i="14"/>
  <c r="P23" i="14"/>
  <c r="Q23" i="14"/>
  <c r="R23" i="14"/>
  <c r="B22" i="5" l="1"/>
  <c r="C19" i="15"/>
  <c r="D19" i="15"/>
  <c r="E19" i="15"/>
  <c r="F19" i="15"/>
  <c r="G19" i="15"/>
  <c r="H19" i="15"/>
  <c r="I19" i="15"/>
  <c r="J19" i="15"/>
  <c r="K19" i="15"/>
  <c r="L19" i="15"/>
  <c r="M19" i="15"/>
  <c r="N19" i="15"/>
  <c r="O19" i="15"/>
  <c r="P19" i="15"/>
  <c r="Q19" i="15"/>
  <c r="C20" i="15"/>
  <c r="D6" i="14" s="1"/>
  <c r="D20" i="15"/>
  <c r="E20" i="15"/>
  <c r="F6" i="14" s="1"/>
  <c r="F20" i="15"/>
  <c r="G20" i="15"/>
  <c r="H6" i="14" s="1"/>
  <c r="H20" i="15"/>
  <c r="I6" i="14" s="1"/>
  <c r="I20" i="15"/>
  <c r="J6" i="14" s="1"/>
  <c r="J20" i="15"/>
  <c r="K6" i="14" s="1"/>
  <c r="K20" i="15"/>
  <c r="L6" i="14" s="1"/>
  <c r="L20" i="15"/>
  <c r="M6" i="14" s="1"/>
  <c r="M20" i="15"/>
  <c r="N6" i="14" s="1"/>
  <c r="N20" i="15"/>
  <c r="O6" i="14" s="1"/>
  <c r="O20" i="15"/>
  <c r="P6" i="14" s="1"/>
  <c r="P20" i="15"/>
  <c r="Q6" i="14" s="1"/>
  <c r="Q20" i="15"/>
  <c r="R6" i="14" s="1"/>
  <c r="C21" i="15"/>
  <c r="D7" i="14" s="1"/>
  <c r="D21" i="15"/>
  <c r="E21" i="15"/>
  <c r="F7" i="14" s="1"/>
  <c r="F21" i="15"/>
  <c r="G21" i="15"/>
  <c r="H7" i="14" s="1"/>
  <c r="H21" i="15"/>
  <c r="I7" i="14" s="1"/>
  <c r="I21" i="15"/>
  <c r="J7" i="14" s="1"/>
  <c r="J21" i="15"/>
  <c r="K7" i="14" s="1"/>
  <c r="K21" i="15"/>
  <c r="L7" i="14" s="1"/>
  <c r="L21" i="15"/>
  <c r="M7" i="14" s="1"/>
  <c r="M21" i="15"/>
  <c r="N7" i="14" s="1"/>
  <c r="N21" i="15"/>
  <c r="O7" i="14" s="1"/>
  <c r="O21" i="15"/>
  <c r="P7" i="14" s="1"/>
  <c r="P21" i="15"/>
  <c r="Q7" i="14" s="1"/>
  <c r="Q21" i="15"/>
  <c r="R7" i="14" s="1"/>
  <c r="C22" i="15"/>
  <c r="D8" i="14" s="1"/>
  <c r="D22" i="15"/>
  <c r="E8" i="14" s="1"/>
  <c r="E22" i="15"/>
  <c r="F8" i="14" s="1"/>
  <c r="F22" i="15"/>
  <c r="G22" i="15"/>
  <c r="H8" i="14" s="1"/>
  <c r="H22" i="15"/>
  <c r="I8" i="14" s="1"/>
  <c r="I22" i="15"/>
  <c r="J8" i="14" s="1"/>
  <c r="J22" i="15"/>
  <c r="K8" i="14" s="1"/>
  <c r="K22" i="15"/>
  <c r="L8" i="14" s="1"/>
  <c r="L22" i="15"/>
  <c r="M8" i="14" s="1"/>
  <c r="M22" i="15"/>
  <c r="N8" i="14" s="1"/>
  <c r="N22" i="15"/>
  <c r="O8" i="14" s="1"/>
  <c r="O22" i="15"/>
  <c r="P8" i="14" s="1"/>
  <c r="P22" i="15"/>
  <c r="Q8" i="14" s="1"/>
  <c r="Q22" i="15"/>
  <c r="R8" i="14" s="1"/>
  <c r="C23" i="15"/>
  <c r="D9" i="14" s="1"/>
  <c r="D23" i="15"/>
  <c r="E23" i="15"/>
  <c r="F9" i="14" s="1"/>
  <c r="F23" i="15"/>
  <c r="G23" i="15"/>
  <c r="H9" i="14" s="1"/>
  <c r="H23" i="15"/>
  <c r="I9" i="14" s="1"/>
  <c r="I23" i="15"/>
  <c r="J9" i="14" s="1"/>
  <c r="J23" i="15"/>
  <c r="K9" i="14" s="1"/>
  <c r="K23" i="15"/>
  <c r="L9" i="14" s="1"/>
  <c r="L23" i="15"/>
  <c r="M9" i="14" s="1"/>
  <c r="M23" i="15"/>
  <c r="N9" i="14" s="1"/>
  <c r="N23" i="15"/>
  <c r="O9" i="14" s="1"/>
  <c r="O23" i="15"/>
  <c r="P9" i="14" s="1"/>
  <c r="P23" i="15"/>
  <c r="Q9" i="14" s="1"/>
  <c r="Q23" i="15"/>
  <c r="R9" i="14" s="1"/>
  <c r="C24" i="15"/>
  <c r="D10" i="14" s="1"/>
  <c r="D24" i="15"/>
  <c r="E24" i="15"/>
  <c r="F10" i="14" s="1"/>
  <c r="F24" i="15"/>
  <c r="G24" i="15"/>
  <c r="H10" i="14" s="1"/>
  <c r="H24" i="15"/>
  <c r="I10" i="14" s="1"/>
  <c r="I24" i="15"/>
  <c r="J10" i="14" s="1"/>
  <c r="J24" i="15"/>
  <c r="K10" i="14" s="1"/>
  <c r="K24" i="15"/>
  <c r="L10" i="14" s="1"/>
  <c r="L24" i="15"/>
  <c r="M10" i="14" s="1"/>
  <c r="M24" i="15"/>
  <c r="N10" i="14" s="1"/>
  <c r="N24" i="15"/>
  <c r="O10" i="14" s="1"/>
  <c r="O24" i="15"/>
  <c r="P10" i="14" s="1"/>
  <c r="P24" i="15"/>
  <c r="Q10" i="14" s="1"/>
  <c r="Q24" i="15"/>
  <c r="R10" i="14" s="1"/>
  <c r="Q5" i="14" l="1"/>
  <c r="P25" i="15"/>
  <c r="I5" i="14"/>
  <c r="H25" i="15"/>
  <c r="P5" i="14"/>
  <c r="O25" i="15"/>
  <c r="H5" i="14"/>
  <c r="G25" i="15"/>
  <c r="R5" i="14"/>
  <c r="Q25" i="15"/>
  <c r="O5" i="14"/>
  <c r="N25" i="15"/>
  <c r="F25" i="15"/>
  <c r="J5" i="14"/>
  <c r="I25" i="15"/>
  <c r="N5" i="14"/>
  <c r="M25" i="15"/>
  <c r="F5" i="14"/>
  <c r="E25" i="15"/>
  <c r="M5" i="14"/>
  <c r="L25" i="15"/>
  <c r="E5" i="14"/>
  <c r="D25" i="15"/>
  <c r="L5" i="14"/>
  <c r="K25" i="15"/>
  <c r="C25" i="15"/>
  <c r="K5" i="14"/>
  <c r="J25" i="15"/>
  <c r="D5" i="14"/>
  <c r="AF19" i="15"/>
  <c r="AE19" i="15"/>
  <c r="G10" i="14"/>
  <c r="I7" i="1"/>
  <c r="G6" i="14"/>
  <c r="E7" i="1"/>
  <c r="G8" i="14"/>
  <c r="G7" i="1"/>
  <c r="G7" i="14"/>
  <c r="F7" i="1"/>
  <c r="G9" i="14"/>
  <c r="H7" i="1"/>
  <c r="G5" i="14"/>
  <c r="D7" i="1"/>
  <c r="AF22" i="15"/>
  <c r="AE22" i="15"/>
  <c r="AF24" i="15"/>
  <c r="AE24" i="15"/>
  <c r="AF20" i="15"/>
  <c r="AE20" i="15"/>
  <c r="E9" i="14"/>
  <c r="AF23" i="15"/>
  <c r="AE23" i="15"/>
  <c r="E7" i="14"/>
  <c r="AF21" i="15"/>
  <c r="AE21" i="15"/>
  <c r="E10" i="14"/>
  <c r="E6" i="14"/>
  <c r="I11" i="1" l="1"/>
  <c r="E11" i="1"/>
  <c r="P11" i="14" l="1"/>
  <c r="P12" i="14" s="1"/>
  <c r="R11" i="14"/>
  <c r="R12" i="14" s="1"/>
  <c r="B15" i="5" l="1"/>
  <c r="I13" i="1" l="1"/>
  <c r="H13" i="1"/>
  <c r="F13" i="1"/>
  <c r="E13" i="1"/>
  <c r="P48" i="16"/>
  <c r="F43" i="16"/>
  <c r="I43" i="16" s="1"/>
  <c r="F42" i="16"/>
  <c r="I42" i="16" s="1"/>
  <c r="F41" i="16"/>
  <c r="I41" i="16" s="1"/>
  <c r="I45" i="16" l="1"/>
  <c r="F45" i="16"/>
  <c r="L49" i="16" l="1"/>
  <c r="N53" i="16" l="1"/>
  <c r="N51" i="16"/>
  <c r="N50" i="16"/>
  <c r="N52" i="16"/>
  <c r="N48" i="16"/>
  <c r="N49" i="16"/>
  <c r="N54" i="16" l="1"/>
  <c r="C13" i="1" l="1"/>
  <c r="E15" i="1" l="1"/>
  <c r="E19" i="1" s="1"/>
  <c r="I15" i="1"/>
  <c r="D15" i="1"/>
  <c r="D19" i="1" s="1"/>
  <c r="G15" i="1"/>
  <c r="G19" i="1" s="1"/>
  <c r="G23" i="1" s="1"/>
  <c r="G33" i="1" s="1"/>
  <c r="F15" i="1"/>
  <c r="F19" i="1" s="1"/>
  <c r="F23" i="1" s="1"/>
  <c r="F33" i="1" s="1"/>
  <c r="H15" i="1"/>
  <c r="H19" i="1" s="1"/>
  <c r="H23" i="1" s="1"/>
  <c r="H33" i="1" s="1"/>
  <c r="E21" i="1" l="1"/>
  <c r="D23" i="1"/>
  <c r="E25" i="1"/>
  <c r="E23" i="1"/>
  <c r="Y16" i="14"/>
  <c r="Y25" i="14" s="1"/>
  <c r="I19" i="1"/>
  <c r="I23" i="1" s="1"/>
  <c r="I33" i="1" s="1"/>
  <c r="C15" i="1"/>
  <c r="Z16" i="14" l="1"/>
  <c r="Z25" i="14" s="1"/>
  <c r="E33" i="1"/>
  <c r="AB16" i="14"/>
  <c r="AB25" i="14" s="1"/>
  <c r="V16" i="14"/>
  <c r="V25" i="14" s="1"/>
  <c r="D45" i="1"/>
  <c r="E45" i="1" s="1"/>
  <c r="D33" i="1"/>
  <c r="C19" i="1"/>
  <c r="S16" i="14"/>
  <c r="S25" i="14" s="1"/>
  <c r="AC16" i="14"/>
  <c r="AC25" i="14" s="1"/>
  <c r="AA16" i="14"/>
  <c r="AA25" i="14" s="1"/>
  <c r="U16" i="14"/>
  <c r="U25" i="14" s="1"/>
  <c r="T16" i="14"/>
  <c r="T25" i="14" s="1"/>
  <c r="W16" i="14"/>
  <c r="W25" i="14" s="1"/>
  <c r="AA15" i="14"/>
  <c r="AA24" i="14" s="1"/>
  <c r="T15" i="14"/>
  <c r="T24" i="14" s="1"/>
  <c r="AD15" i="14"/>
  <c r="AD24" i="14" s="1"/>
  <c r="Y15" i="14"/>
  <c r="Y24" i="14" s="1"/>
  <c r="AC15" i="14"/>
  <c r="AC24" i="14" s="1"/>
  <c r="S15" i="14"/>
  <c r="S24" i="14" s="1"/>
  <c r="U15" i="14"/>
  <c r="U24" i="14" s="1"/>
  <c r="D49" i="1"/>
  <c r="D53" i="1" s="1"/>
  <c r="W15" i="14"/>
  <c r="W24" i="14" s="1"/>
  <c r="AB15" i="14"/>
  <c r="AB24" i="14" s="1"/>
  <c r="X15" i="14"/>
  <c r="X24" i="14" s="1"/>
  <c r="V15" i="14"/>
  <c r="V24" i="14" s="1"/>
  <c r="D51" i="1"/>
  <c r="E51" i="1" s="1"/>
  <c r="D50" i="1"/>
  <c r="E50" i="1" s="1"/>
  <c r="Z15" i="14"/>
  <c r="Z24" i="14" s="1"/>
  <c r="AD16" i="14"/>
  <c r="AD25" i="14" s="1"/>
  <c r="X16" i="14"/>
  <c r="X25" i="14" s="1"/>
  <c r="T20" i="14"/>
  <c r="T29" i="14" s="1"/>
  <c r="I25" i="1"/>
  <c r="E55" i="1" l="1"/>
  <c r="E49" i="1"/>
  <c r="E53" i="1" s="1"/>
  <c r="AD20" i="14"/>
  <c r="AD29" i="14" s="1"/>
  <c r="U20" i="14"/>
  <c r="U29" i="14" s="1"/>
  <c r="W20" i="14"/>
  <c r="W29" i="14" s="1"/>
  <c r="V20" i="14"/>
  <c r="V29" i="14" s="1"/>
  <c r="AA20" i="14"/>
  <c r="AA29" i="14" s="1"/>
  <c r="AB20" i="14"/>
  <c r="AB29" i="14" s="1"/>
  <c r="Z20" i="14"/>
  <c r="Z29" i="14" s="1"/>
  <c r="S20" i="14"/>
  <c r="S29" i="14" s="1"/>
  <c r="X20" i="14"/>
  <c r="X29" i="14" s="1"/>
  <c r="AC20" i="14"/>
  <c r="AC29" i="14" s="1"/>
  <c r="Y20" i="14"/>
  <c r="Y29" i="14" s="1"/>
  <c r="D39" i="1"/>
  <c r="C26" i="5"/>
  <c r="E20" i="6"/>
  <c r="E22" i="6" s="1"/>
  <c r="C27" i="5" l="1"/>
  <c r="C29" i="5" s="1"/>
  <c r="D40" i="1"/>
  <c r="E26" i="6"/>
  <c r="D42" i="1" l="1"/>
  <c r="B27" i="5" l="1"/>
  <c r="AF25" i="15" l="1"/>
  <c r="AE25" i="15"/>
  <c r="V17" i="14"/>
  <c r="V26" i="14" s="1"/>
  <c r="Z17" i="14"/>
  <c r="Z26" i="14" s="1"/>
  <c r="AD17" i="14"/>
  <c r="AD26" i="14" s="1"/>
  <c r="S17" i="14"/>
  <c r="S26" i="14" s="1"/>
  <c r="W17" i="14"/>
  <c r="W26" i="14" s="1"/>
  <c r="AA17" i="14"/>
  <c r="AA26" i="14" s="1"/>
  <c r="T17" i="14"/>
  <c r="T26" i="14" s="1"/>
  <c r="X17" i="14"/>
  <c r="X26" i="14" s="1"/>
  <c r="AB17" i="14"/>
  <c r="AB26" i="14" s="1"/>
  <c r="U17" i="14"/>
  <c r="U26" i="14" s="1"/>
  <c r="Y17" i="14"/>
  <c r="Y26" i="14" s="1"/>
  <c r="AC17" i="14"/>
  <c r="AC26" i="14" s="1"/>
  <c r="D11" i="1"/>
  <c r="Q11" i="14"/>
  <c r="Q12" i="14" s="1"/>
  <c r="O17" i="14"/>
  <c r="O26" i="14" s="1"/>
  <c r="Q17" i="14"/>
  <c r="Q26" i="14" s="1"/>
  <c r="P17" i="14"/>
  <c r="P26" i="14" s="1"/>
  <c r="R17" i="14"/>
  <c r="R26" i="14" s="1"/>
  <c r="O11" i="14"/>
  <c r="O12" i="14" s="1"/>
  <c r="O16" i="14"/>
  <c r="O25" i="14" s="1"/>
  <c r="Q16" i="14"/>
  <c r="Q25" i="14" s="1"/>
  <c r="R16" i="14"/>
  <c r="R25" i="14" s="1"/>
  <c r="P16" i="14"/>
  <c r="P25" i="14" s="1"/>
  <c r="G11" i="1"/>
  <c r="K16" i="14"/>
  <c r="M16" i="14"/>
  <c r="L17" i="14"/>
  <c r="M17" i="14"/>
  <c r="J16" i="14"/>
  <c r="J17" i="14"/>
  <c r="H16" i="14"/>
  <c r="N16" i="14"/>
  <c r="N17" i="14"/>
  <c r="I17" i="14"/>
  <c r="K17" i="14"/>
  <c r="H17" i="14"/>
  <c r="G17" i="14"/>
  <c r="L16" i="14"/>
  <c r="G16" i="14"/>
  <c r="I16" i="14"/>
  <c r="D21" i="1" l="1"/>
  <c r="D29" i="1" s="1"/>
  <c r="D31" i="1" s="1"/>
  <c r="D25" i="1"/>
  <c r="V18" i="14"/>
  <c r="V27" i="14" s="1"/>
  <c r="Z18" i="14"/>
  <c r="Z27" i="14" s="1"/>
  <c r="AD18" i="14"/>
  <c r="AD27" i="14" s="1"/>
  <c r="S18" i="14"/>
  <c r="S27" i="14" s="1"/>
  <c r="W18" i="14"/>
  <c r="W27" i="14" s="1"/>
  <c r="AA18" i="14"/>
  <c r="AA27" i="14" s="1"/>
  <c r="T18" i="14"/>
  <c r="T27" i="14" s="1"/>
  <c r="X18" i="14"/>
  <c r="X27" i="14" s="1"/>
  <c r="AB18" i="14"/>
  <c r="AB27" i="14" s="1"/>
  <c r="U18" i="14"/>
  <c r="U27" i="14" s="1"/>
  <c r="Y18" i="14"/>
  <c r="Y27" i="14" s="1"/>
  <c r="AC18" i="14"/>
  <c r="AC27" i="14" s="1"/>
  <c r="F45" i="1"/>
  <c r="R15" i="14"/>
  <c r="R24" i="14" s="1"/>
  <c r="G15" i="14"/>
  <c r="N15" i="14"/>
  <c r="L15" i="14"/>
  <c r="E24" i="14"/>
  <c r="K15" i="14"/>
  <c r="P15" i="14"/>
  <c r="P24" i="14" s="1"/>
  <c r="I15" i="14"/>
  <c r="H15" i="14"/>
  <c r="D24" i="14"/>
  <c r="O15" i="14"/>
  <c r="O24" i="14" s="1"/>
  <c r="J15" i="14"/>
  <c r="M15" i="14"/>
  <c r="Q15" i="14"/>
  <c r="Q24" i="14" s="1"/>
  <c r="O18" i="14"/>
  <c r="O27" i="14" s="1"/>
  <c r="R18" i="14"/>
  <c r="R27" i="14" s="1"/>
  <c r="P18" i="14"/>
  <c r="P27" i="14" s="1"/>
  <c r="Q18" i="14"/>
  <c r="Q27" i="14" s="1"/>
  <c r="G25" i="1"/>
  <c r="G21" i="1"/>
  <c r="G29" i="1" s="1"/>
  <c r="G31" i="1" s="1"/>
  <c r="G18" i="14"/>
  <c r="H18" i="14"/>
  <c r="J18" i="14"/>
  <c r="N18" i="14"/>
  <c r="K18" i="14"/>
  <c r="I18" i="14"/>
  <c r="L18" i="14"/>
  <c r="M18" i="14"/>
  <c r="C32" i="14" l="1"/>
  <c r="W36" i="14" s="1"/>
  <c r="AC36" i="14" l="1"/>
  <c r="R33" i="14"/>
  <c r="T36" i="14"/>
  <c r="V36" i="14"/>
  <c r="Y36" i="14"/>
  <c r="D33" i="14"/>
  <c r="AA34" i="14"/>
  <c r="AC34" i="14"/>
  <c r="X34" i="14"/>
  <c r="T34" i="14"/>
  <c r="AB33" i="14"/>
  <c r="V34" i="14"/>
  <c r="U34" i="14"/>
  <c r="S33" i="14"/>
  <c r="Y34" i="14"/>
  <c r="Z34" i="14"/>
  <c r="AA33" i="14"/>
  <c r="Z33" i="14"/>
  <c r="AD34" i="14"/>
  <c r="AD33" i="14"/>
  <c r="S34" i="14"/>
  <c r="Y33" i="14"/>
  <c r="X33" i="14"/>
  <c r="AC33" i="14"/>
  <c r="AB34" i="14"/>
  <c r="W34" i="14"/>
  <c r="U33" i="14"/>
  <c r="W33" i="14"/>
  <c r="T33" i="14"/>
  <c r="V33" i="14"/>
  <c r="Y38" i="14"/>
  <c r="U38" i="14"/>
  <c r="Z38" i="14"/>
  <c r="AD38" i="14"/>
  <c r="W38" i="14"/>
  <c r="S38" i="14"/>
  <c r="AC38" i="14"/>
  <c r="AA38" i="14"/>
  <c r="X38" i="14"/>
  <c r="T38" i="14"/>
  <c r="AB38" i="14"/>
  <c r="V38" i="14"/>
  <c r="X35" i="14"/>
  <c r="AD35" i="14"/>
  <c r="AB35" i="14"/>
  <c r="S35" i="14"/>
  <c r="U35" i="14"/>
  <c r="W35" i="14"/>
  <c r="AC35" i="14"/>
  <c r="Z35" i="14"/>
  <c r="Y35" i="14"/>
  <c r="AA35" i="14"/>
  <c r="V35" i="14"/>
  <c r="T35" i="14"/>
  <c r="S36" i="14"/>
  <c r="AA36" i="14"/>
  <c r="AB36" i="14"/>
  <c r="AD36" i="14"/>
  <c r="X36" i="14"/>
  <c r="U36" i="14"/>
  <c r="Z36" i="14"/>
  <c r="E33" i="14"/>
  <c r="O35" i="14"/>
  <c r="Q33" i="14"/>
  <c r="Q35" i="14"/>
  <c r="Q34" i="14"/>
  <c r="P35" i="14"/>
  <c r="O33" i="14"/>
  <c r="R35" i="14"/>
  <c r="P34" i="14"/>
  <c r="R34" i="14"/>
  <c r="O34" i="14"/>
  <c r="P33" i="14"/>
  <c r="P36" i="14"/>
  <c r="Q36" i="14"/>
  <c r="O36" i="14"/>
  <c r="R36" i="14"/>
  <c r="N27" i="14"/>
  <c r="L27" i="14"/>
  <c r="L36" i="14" s="1"/>
  <c r="K27" i="14"/>
  <c r="H27" i="14"/>
  <c r="H36" i="14" s="1"/>
  <c r="G27" i="14"/>
  <c r="E27" i="14"/>
  <c r="E36" i="14" s="1"/>
  <c r="D27" i="14"/>
  <c r="D36" i="14" s="1"/>
  <c r="N26" i="14"/>
  <c r="L26" i="14"/>
  <c r="L35" i="14" s="1"/>
  <c r="K26" i="14"/>
  <c r="K35" i="14" s="1"/>
  <c r="J26" i="14"/>
  <c r="H26" i="14"/>
  <c r="H35" i="14" s="1"/>
  <c r="G26" i="14"/>
  <c r="E26" i="14"/>
  <c r="E35" i="14" s="1"/>
  <c r="D26" i="14"/>
  <c r="D35" i="14" s="1"/>
  <c r="M25" i="14"/>
  <c r="M34" i="14" s="1"/>
  <c r="L25" i="14"/>
  <c r="L34" i="14" s="1"/>
  <c r="K25" i="14"/>
  <c r="K34" i="14" s="1"/>
  <c r="J25" i="14"/>
  <c r="H25" i="14"/>
  <c r="H34" i="14" s="1"/>
  <c r="G25" i="14"/>
  <c r="G34" i="14" s="1"/>
  <c r="F25" i="14"/>
  <c r="D25" i="14"/>
  <c r="D34" i="14" s="1"/>
  <c r="N11" i="14"/>
  <c r="N12" i="14" s="1"/>
  <c r="M11" i="14"/>
  <c r="M12" i="14" s="1"/>
  <c r="L11" i="14"/>
  <c r="L12" i="14" s="1"/>
  <c r="K24" i="14"/>
  <c r="J11" i="14"/>
  <c r="J12" i="14" s="1"/>
  <c r="H11" i="14"/>
  <c r="H12" i="14" s="1"/>
  <c r="G24" i="14"/>
  <c r="F11" i="14"/>
  <c r="F12" i="14" s="1"/>
  <c r="E11" i="14"/>
  <c r="E12" i="14" s="1"/>
  <c r="D11" i="14"/>
  <c r="D12" i="14" s="1"/>
  <c r="I11" i="14" l="1"/>
  <c r="I12" i="14" s="1"/>
  <c r="I27" i="14"/>
  <c r="I36" i="14" s="1"/>
  <c r="G33" i="14"/>
  <c r="K33" i="14"/>
  <c r="N25" i="14"/>
  <c r="N34" i="14" s="1"/>
  <c r="F26" i="14"/>
  <c r="F35" i="14" s="1"/>
  <c r="G35" i="14"/>
  <c r="F27" i="14"/>
  <c r="F36" i="14" s="1"/>
  <c r="G36" i="14"/>
  <c r="J27" i="14"/>
  <c r="J36" i="14" s="1"/>
  <c r="K36" i="14"/>
  <c r="E25" i="14"/>
  <c r="E34" i="14" s="1"/>
  <c r="F34" i="14"/>
  <c r="I25" i="14"/>
  <c r="I34" i="14" s="1"/>
  <c r="J34" i="14"/>
  <c r="I26" i="14"/>
  <c r="I35" i="14" s="1"/>
  <c r="J35" i="14"/>
  <c r="M26" i="14"/>
  <c r="M35" i="14" s="1"/>
  <c r="N35" i="14"/>
  <c r="M27" i="14"/>
  <c r="M36" i="14" s="1"/>
  <c r="N36" i="14"/>
  <c r="G11" i="14"/>
  <c r="G12" i="14" s="1"/>
  <c r="K11" i="14"/>
  <c r="K12" i="14" s="1"/>
  <c r="F24" i="14"/>
  <c r="J24" i="14"/>
  <c r="N24" i="14"/>
  <c r="I24" i="14"/>
  <c r="M24" i="14"/>
  <c r="H24" i="14"/>
  <c r="L24" i="14"/>
  <c r="C40" i="1"/>
  <c r="I33" i="14" l="1"/>
  <c r="N33" i="14"/>
  <c r="H33" i="14"/>
  <c r="F33" i="14"/>
  <c r="L33" i="14"/>
  <c r="J33" i="14"/>
  <c r="M33" i="14"/>
  <c r="F11" i="1" l="1"/>
  <c r="V19" i="14" l="1"/>
  <c r="V28" i="14" s="1"/>
  <c r="Z19" i="14"/>
  <c r="Z28" i="14" s="1"/>
  <c r="AD19" i="14"/>
  <c r="AD28" i="14" s="1"/>
  <c r="T19" i="14"/>
  <c r="T28" i="14" s="1"/>
  <c r="X19" i="14"/>
  <c r="X28" i="14" s="1"/>
  <c r="AB19" i="14"/>
  <c r="AB28" i="14" s="1"/>
  <c r="S19" i="14"/>
  <c r="S28" i="14" s="1"/>
  <c r="AA19" i="14"/>
  <c r="AA28" i="14" s="1"/>
  <c r="U19" i="14"/>
  <c r="U28" i="14" s="1"/>
  <c r="AC19" i="14"/>
  <c r="AC28" i="14" s="1"/>
  <c r="W19" i="14"/>
  <c r="W28" i="14" s="1"/>
  <c r="Y19" i="14"/>
  <c r="Y28" i="14" s="1"/>
  <c r="O19" i="14"/>
  <c r="O28" i="14" s="1"/>
  <c r="Q19" i="14"/>
  <c r="Q28" i="14" s="1"/>
  <c r="Q37" i="14" s="1"/>
  <c r="P19" i="14"/>
  <c r="P28" i="14" s="1"/>
  <c r="P37" i="14" s="1"/>
  <c r="R19" i="14"/>
  <c r="R28" i="14" s="1"/>
  <c r="E29" i="1"/>
  <c r="E31" i="1" s="1"/>
  <c r="F21" i="1"/>
  <c r="F29" i="1" s="1"/>
  <c r="F31" i="1" s="1"/>
  <c r="F25" i="1"/>
  <c r="H11" i="1"/>
  <c r="C7" i="1"/>
  <c r="Y37" i="14" l="1"/>
  <c r="Y39" i="14" s="1"/>
  <c r="Y3" i="5" s="1"/>
  <c r="Y5" i="5" s="1"/>
  <c r="Y30" i="14"/>
  <c r="AA37" i="14"/>
  <c r="AA39" i="14" s="1"/>
  <c r="AA3" i="5" s="1"/>
  <c r="AA5" i="5" s="1"/>
  <c r="AA30" i="14"/>
  <c r="T37" i="14"/>
  <c r="T39" i="14" s="1"/>
  <c r="T3" i="5" s="1"/>
  <c r="T5" i="5" s="1"/>
  <c r="T30" i="14"/>
  <c r="W37" i="14"/>
  <c r="W39" i="14" s="1"/>
  <c r="W3" i="5" s="1"/>
  <c r="W5" i="5" s="1"/>
  <c r="W30" i="14"/>
  <c r="S37" i="14"/>
  <c r="S39" i="14" s="1"/>
  <c r="S3" i="5" s="1"/>
  <c r="S5" i="5" s="1"/>
  <c r="S30" i="14"/>
  <c r="AD37" i="14"/>
  <c r="AD39" i="14" s="1"/>
  <c r="AD3" i="5" s="1"/>
  <c r="AD5" i="5" s="1"/>
  <c r="AD30" i="14"/>
  <c r="AC37" i="14"/>
  <c r="AC39" i="14" s="1"/>
  <c r="AC3" i="5" s="1"/>
  <c r="AC5" i="5" s="1"/>
  <c r="AC30" i="14"/>
  <c r="AB37" i="14"/>
  <c r="AB39" i="14" s="1"/>
  <c r="AB3" i="5" s="1"/>
  <c r="AB5" i="5" s="1"/>
  <c r="AB30" i="14"/>
  <c r="Z37" i="14"/>
  <c r="Z39" i="14" s="1"/>
  <c r="Z3" i="5" s="1"/>
  <c r="Z5" i="5" s="1"/>
  <c r="Z30" i="14"/>
  <c r="U37" i="14"/>
  <c r="U39" i="14" s="1"/>
  <c r="U3" i="5" s="1"/>
  <c r="U5" i="5" s="1"/>
  <c r="U30" i="14"/>
  <c r="X37" i="14"/>
  <c r="X39" i="14" s="1"/>
  <c r="X3" i="5" s="1"/>
  <c r="X5" i="5" s="1"/>
  <c r="X30" i="14"/>
  <c r="V37" i="14"/>
  <c r="V39" i="14" s="1"/>
  <c r="V3" i="5" s="1"/>
  <c r="V5" i="5" s="1"/>
  <c r="V30" i="14"/>
  <c r="M20" i="14"/>
  <c r="M29" i="14" s="1"/>
  <c r="M38" i="14" s="1"/>
  <c r="E29" i="14"/>
  <c r="E38" i="14" s="1"/>
  <c r="J20" i="14"/>
  <c r="J29" i="14" s="1"/>
  <c r="J38" i="14" s="1"/>
  <c r="L20" i="14"/>
  <c r="L29" i="14" s="1"/>
  <c r="L38" i="14" s="1"/>
  <c r="I20" i="14"/>
  <c r="I29" i="14" s="1"/>
  <c r="I38" i="14" s="1"/>
  <c r="N20" i="14"/>
  <c r="N29" i="14" s="1"/>
  <c r="N38" i="14" s="1"/>
  <c r="O37" i="14"/>
  <c r="K20" i="14"/>
  <c r="K29" i="14" s="1"/>
  <c r="K38" i="14" s="1"/>
  <c r="G20" i="14"/>
  <c r="R37" i="14"/>
  <c r="I21" i="1"/>
  <c r="I29" i="1" s="1"/>
  <c r="I31" i="1" s="1"/>
  <c r="O20" i="14"/>
  <c r="O29" i="14" s="1"/>
  <c r="O38" i="14" s="1"/>
  <c r="R20" i="14"/>
  <c r="R29" i="14" s="1"/>
  <c r="R38" i="14" s="1"/>
  <c r="P20" i="14"/>
  <c r="P29" i="14" s="1"/>
  <c r="Q20" i="14"/>
  <c r="Q29" i="14" s="1"/>
  <c r="H20" i="14"/>
  <c r="H21" i="1"/>
  <c r="H29" i="1" s="1"/>
  <c r="H31" i="1" s="1"/>
  <c r="H25" i="1"/>
  <c r="H19" i="14"/>
  <c r="H28" i="14" s="1"/>
  <c r="D28" i="14"/>
  <c r="D37" i="14" s="1"/>
  <c r="F28" i="14"/>
  <c r="N19" i="14"/>
  <c r="N28" i="14" s="1"/>
  <c r="E28" i="14"/>
  <c r="I19" i="14"/>
  <c r="I28" i="14" s="1"/>
  <c r="M19" i="14"/>
  <c r="M28" i="14" s="1"/>
  <c r="L19" i="14"/>
  <c r="L28" i="14" s="1"/>
  <c r="G19" i="14"/>
  <c r="G28" i="14" s="1"/>
  <c r="K19" i="14"/>
  <c r="K28" i="14" s="1"/>
  <c r="J19" i="14"/>
  <c r="J28" i="14" s="1"/>
  <c r="C11" i="1"/>
  <c r="C34" i="1" s="1"/>
  <c r="B26" i="5" l="1"/>
  <c r="D26" i="5" s="1"/>
  <c r="C29" i="1"/>
  <c r="C31" i="1" s="1"/>
  <c r="R39" i="14"/>
  <c r="R3" i="5" s="1"/>
  <c r="R5" i="5" s="1"/>
  <c r="F29" i="14"/>
  <c r="F38" i="14" s="1"/>
  <c r="G29" i="14"/>
  <c r="G30" i="14" s="1"/>
  <c r="H29" i="14"/>
  <c r="H38" i="14" s="1"/>
  <c r="P30" i="14"/>
  <c r="P38" i="14"/>
  <c r="P39" i="14" s="1"/>
  <c r="P3" i="5" s="1"/>
  <c r="P5" i="5" s="1"/>
  <c r="O39" i="14"/>
  <c r="O3" i="5" s="1"/>
  <c r="O5" i="5" s="1"/>
  <c r="Q30" i="14"/>
  <c r="Q38" i="14"/>
  <c r="Q39" i="14" s="1"/>
  <c r="Q3" i="5" s="1"/>
  <c r="Q5" i="5" s="1"/>
  <c r="D29" i="14"/>
  <c r="D38" i="14" s="1"/>
  <c r="D39" i="14" s="1"/>
  <c r="D3" i="5" s="1"/>
  <c r="D5" i="5" s="1"/>
  <c r="R30" i="14"/>
  <c r="O30" i="14"/>
  <c r="C25" i="1"/>
  <c r="C21" i="1"/>
  <c r="E37" i="14"/>
  <c r="E39" i="14" s="1"/>
  <c r="E30" i="14"/>
  <c r="H37" i="14"/>
  <c r="J37" i="14"/>
  <c r="J39" i="14" s="1"/>
  <c r="J3" i="5" s="1"/>
  <c r="J5" i="5" s="1"/>
  <c r="J30" i="14"/>
  <c r="G37" i="14"/>
  <c r="I37" i="14"/>
  <c r="I39" i="14" s="1"/>
  <c r="I3" i="5" s="1"/>
  <c r="I5" i="5" s="1"/>
  <c r="I30" i="14"/>
  <c r="F37" i="14"/>
  <c r="K37" i="14"/>
  <c r="K30" i="14"/>
  <c r="L37" i="14"/>
  <c r="L39" i="14" s="1"/>
  <c r="L3" i="5" s="1"/>
  <c r="L5" i="5" s="1"/>
  <c r="L30" i="14"/>
  <c r="M37" i="14"/>
  <c r="M39" i="14" s="1"/>
  <c r="M3" i="5" s="1"/>
  <c r="M5" i="5" s="1"/>
  <c r="M30" i="14"/>
  <c r="N37" i="14"/>
  <c r="N39" i="14" s="1"/>
  <c r="N3" i="5" s="1"/>
  <c r="N5" i="5" s="1"/>
  <c r="N30" i="14"/>
  <c r="C39" i="1"/>
  <c r="C42" i="1" l="1"/>
  <c r="E42" i="1" s="1"/>
  <c r="E39" i="1"/>
  <c r="C36" i="1"/>
  <c r="E3" i="5"/>
  <c r="B29" i="5"/>
  <c r="D29" i="5" s="1"/>
  <c r="F30" i="14"/>
  <c r="D30" i="14"/>
  <c r="G38" i="14"/>
  <c r="G39" i="14" s="1"/>
  <c r="H30" i="14"/>
  <c r="AF30" i="14" s="1"/>
  <c r="F39" i="14"/>
  <c r="F3" i="5" s="1"/>
  <c r="H39" i="14"/>
  <c r="H3" i="5" s="1"/>
  <c r="H5" i="5" s="1"/>
  <c r="K39" i="14"/>
  <c r="K3" i="5" s="1"/>
  <c r="K5" i="5" s="1"/>
  <c r="G3" i="5" l="1"/>
  <c r="AF39" i="14"/>
  <c r="E5" i="5"/>
  <c r="F5" i="5"/>
  <c r="D7" i="5"/>
  <c r="B35" i="5" l="1"/>
  <c r="B36" i="5" s="1"/>
  <c r="B21" i="5"/>
  <c r="E7" i="5"/>
  <c r="F7" i="5" s="1"/>
  <c r="B19" i="5" s="1"/>
  <c r="G5" i="5"/>
  <c r="B23" i="5" l="1"/>
  <c r="G7" i="5"/>
  <c r="H7" i="5" s="1"/>
  <c r="I7" i="5" s="1"/>
  <c r="J7" i="5" s="1"/>
  <c r="K7" i="5" s="1"/>
  <c r="L7" i="5" s="1"/>
  <c r="M7" i="5" s="1"/>
  <c r="N7" i="5" s="1"/>
  <c r="O7" i="5" s="1"/>
  <c r="P7" i="5" s="1"/>
  <c r="Q7" i="5" s="1"/>
  <c r="R7" i="5" s="1"/>
  <c r="S7" i="5" s="1"/>
  <c r="T7" i="5" s="1"/>
  <c r="U7" i="5" s="1"/>
  <c r="V7" i="5" s="1"/>
  <c r="W7" i="5" s="1"/>
  <c r="X7" i="5" s="1"/>
  <c r="Y7" i="5" s="1"/>
  <c r="Z7" i="5" s="1"/>
  <c r="AA7" i="5" s="1"/>
  <c r="AB7" i="5" s="1"/>
  <c r="AC7" i="5" s="1"/>
  <c r="AD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C11" authorId="0" shapeId="0" xr:uid="{00000000-0006-0000-0000-000001000000}">
      <text>
        <r>
          <rPr>
            <b/>
            <sz val="8"/>
            <color indexed="81"/>
            <rFont val="Tahoma"/>
            <family val="2"/>
          </rPr>
          <t>Joe Miller:</t>
        </r>
        <r>
          <rPr>
            <sz val="8"/>
            <color indexed="81"/>
            <rFont val="Tahoma"/>
            <family val="2"/>
          </rPr>
          <t xml:space="preserve">
This is the gross number.  Must times by revenue conversion factor to get net number available to spend</t>
        </r>
      </text>
    </comment>
    <comment ref="C17" authorId="0" shapeId="0" xr:uid="{00000000-0006-0000-0000-000002000000}">
      <text>
        <r>
          <rPr>
            <b/>
            <sz val="8"/>
            <color indexed="81"/>
            <rFont val="Tahoma"/>
            <family val="2"/>
          </rPr>
          <t>Joe Miller:</t>
        </r>
        <r>
          <rPr>
            <sz val="8"/>
            <color indexed="81"/>
            <rFont val="Tahoma"/>
            <family val="2"/>
          </rPr>
          <t xml:space="preserve">
goal seek this number to make DSM Balance zero at end of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C7" authorId="0" shapeId="0" xr:uid="{D5024A42-D25B-4107-BE19-A770985E6DC8}">
      <text>
        <r>
          <rPr>
            <sz val="9"/>
            <color indexed="81"/>
            <rFont val="Tahoma"/>
            <family val="2"/>
          </rPr>
          <t xml:space="preserve">
Balance as of April 30,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4" authorId="0" shapeId="0" xr:uid="{00000000-0006-0000-0400-000001000000}">
      <text>
        <r>
          <rPr>
            <sz val="9"/>
            <color indexed="81"/>
            <rFont val="Tahoma"/>
            <family val="2"/>
          </rPr>
          <t xml:space="preserve">
EREV May Mid-month 5 12 21 - V2 Cal Load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H13" authorId="0" shapeId="0" xr:uid="{00000000-0006-0000-0500-000001000000}">
      <text>
        <r>
          <rPr>
            <sz val="8"/>
            <color indexed="81"/>
            <rFont val="Tahoma"/>
            <family val="2"/>
          </rPr>
          <t>Change the cell range named Bill1Base2 to '2'.
Copy the values from col. D to this column.
Change the cell range named Bill1Base2 back to '1'.
Add impact of BPA ResEx for Schs 12, 22, 32 below since Sch 59 rates are not included in Rate Design tab.</t>
        </r>
      </text>
    </comment>
  </commentList>
</comments>
</file>

<file path=xl/sharedStrings.xml><?xml version="1.0" encoding="utf-8"?>
<sst xmlns="http://schemas.openxmlformats.org/spreadsheetml/2006/main" count="277" uniqueCount="199">
  <si>
    <t/>
  </si>
  <si>
    <t xml:space="preserve"> </t>
  </si>
  <si>
    <t>RESIDENTIAL</t>
  </si>
  <si>
    <t xml:space="preserve">GENERAL SVC. </t>
  </si>
  <si>
    <t>LG. GEN. SVC.</t>
  </si>
  <si>
    <t>EX LG GEN SVC</t>
  </si>
  <si>
    <t>PUMPING</t>
  </si>
  <si>
    <t>ST &amp; AREA LTG</t>
  </si>
  <si>
    <t>TOTAL</t>
  </si>
  <si>
    <t>SCHEDULE 25</t>
  </si>
  <si>
    <t>SCH. 30, 31, 32</t>
  </si>
  <si>
    <t>Source</t>
  </si>
  <si>
    <t>Present DSM Rates</t>
  </si>
  <si>
    <t>Gross DSM Revenue</t>
  </si>
  <si>
    <t>Revenue Conversion Factor</t>
  </si>
  <si>
    <t xml:space="preserve">Net DSM Revenue </t>
  </si>
  <si>
    <t>End March</t>
  </si>
  <si>
    <t>End April</t>
  </si>
  <si>
    <t>End May</t>
  </si>
  <si>
    <t>End June</t>
  </si>
  <si>
    <t>End July</t>
  </si>
  <si>
    <t>End August</t>
  </si>
  <si>
    <t>End September</t>
  </si>
  <si>
    <t>End November</t>
  </si>
  <si>
    <t>End December</t>
  </si>
  <si>
    <t>End January</t>
  </si>
  <si>
    <t>End February</t>
  </si>
  <si>
    <t>Expected elec tariff rider revenue</t>
  </si>
  <si>
    <t>Net change in balance</t>
  </si>
  <si>
    <t>Elec Tariff rider balance</t>
  </si>
  <si>
    <t>Tariff rider balance annual interest rate</t>
  </si>
  <si>
    <t>applied to E  "shareholder owes customer" balances.</t>
  </si>
  <si>
    <t>AVISTA UTILITIES</t>
  </si>
  <si>
    <t>Washington - Electric System</t>
  </si>
  <si>
    <t xml:space="preserve">Line </t>
  </si>
  <si>
    <t>No.</t>
  </si>
  <si>
    <t>Description</t>
  </si>
  <si>
    <t>Factor</t>
  </si>
  <si>
    <t>Revenues</t>
  </si>
  <si>
    <t>Expense:</t>
  </si>
  <si>
    <t xml:space="preserve">  Uncollectibles</t>
  </si>
  <si>
    <t xml:space="preserve">  Commission Fees</t>
  </si>
  <si>
    <t xml:space="preserve">  Washington Excise Tax</t>
  </si>
  <si>
    <t xml:space="preserve">  Franchise Fees</t>
  </si>
  <si>
    <t xml:space="preserve">    Total Expense</t>
  </si>
  <si>
    <t>Net Operating Income Before FIT</t>
  </si>
  <si>
    <t>REVENUE CONVERSION FACTOR</t>
  </si>
  <si>
    <t>Residential Schedule 001</t>
  </si>
  <si>
    <t>General Svc Schedule 011/012</t>
  </si>
  <si>
    <t>Large Gen Svc Schedule 021/022</t>
  </si>
  <si>
    <t>Extra Large Gen Schedule 25</t>
  </si>
  <si>
    <t>Pumping Schedule 31/32</t>
  </si>
  <si>
    <t>Street and Area Lights</t>
  </si>
  <si>
    <t>DSM Rates</t>
  </si>
  <si>
    <t>Net DSM Revenue</t>
  </si>
  <si>
    <t>Total</t>
  </si>
  <si>
    <t>Present Annual DSM Revenue</t>
  </si>
  <si>
    <t>Present</t>
  </si>
  <si>
    <t xml:space="preserve">2015 Washington electric DSM budget </t>
  </si>
  <si>
    <t>Forecast</t>
  </si>
  <si>
    <t>WA001</t>
  </si>
  <si>
    <t>WA011</t>
  </si>
  <si>
    <t>WA012</t>
  </si>
  <si>
    <t>WA021</t>
  </si>
  <si>
    <t>WA022</t>
  </si>
  <si>
    <t>WA025</t>
  </si>
  <si>
    <t>WA031</t>
  </si>
  <si>
    <t>WA032</t>
  </si>
  <si>
    <t>WA04X</t>
  </si>
  <si>
    <t>WA011/12</t>
  </si>
  <si>
    <t>WA021/22</t>
  </si>
  <si>
    <t>WA031/32</t>
  </si>
  <si>
    <t>Forecasted Loads</t>
  </si>
  <si>
    <t>Present Billed Revenue</t>
  </si>
  <si>
    <t>Gross Annual Revenue Recovered</t>
  </si>
  <si>
    <t>Net Annual Revenue to be Recovered</t>
  </si>
  <si>
    <t>Forecasted Usage</t>
  </si>
  <si>
    <t>Total Forecasted Usage</t>
  </si>
  <si>
    <t>Present DSM Revenue as a Percentage of Billed Revenue</t>
  </si>
  <si>
    <t xml:space="preserve">2016 Washington electric DSM budget </t>
  </si>
  <si>
    <t>Percentage DSM Decrease</t>
  </si>
  <si>
    <t>Percentage of Current Base Volumetric Revenue</t>
  </si>
  <si>
    <t>Revenue Spread Based on Current Allocation</t>
  </si>
  <si>
    <t xml:space="preserve">DSM Revenue Increase &lt;Decrease&gt; </t>
  </si>
  <si>
    <t>Percentage Increase &lt;Decrease&gt;</t>
  </si>
  <si>
    <t>Proposed Billed Revenue</t>
  </si>
  <si>
    <t>Overall Billed Percentage Increase &lt;Decrease&gt;</t>
  </si>
  <si>
    <t>Proposed</t>
  </si>
  <si>
    <t>Change</t>
  </si>
  <si>
    <t>Base Revenue</t>
  </si>
  <si>
    <t xml:space="preserve">Revenue Requirement </t>
  </si>
  <si>
    <t>41-48</t>
  </si>
  <si>
    <t>ERM Reduction Calc</t>
  </si>
  <si>
    <t>Schedule 32 only</t>
  </si>
  <si>
    <t>Schedule 22 only</t>
  </si>
  <si>
    <t>Schedule 12 only</t>
  </si>
  <si>
    <t>Impact</t>
  </si>
  <si>
    <t>Sch 59 Rate</t>
  </si>
  <si>
    <t>Determinants</t>
  </si>
  <si>
    <t>Billed Revenue</t>
  </si>
  <si>
    <t>Billing</t>
  </si>
  <si>
    <t>reduce billed revenue for BPA ResEx (already accounted for in Schs 1 &amp; 48)</t>
  </si>
  <si>
    <t>Street &amp; Area Lights</t>
  </si>
  <si>
    <t>30/31/32</t>
  </si>
  <si>
    <t>Pumping Service</t>
  </si>
  <si>
    <t>Extra Large General Service</t>
  </si>
  <si>
    <t>21/22</t>
  </si>
  <si>
    <t>Large General Service</t>
  </si>
  <si>
    <t>11/12</t>
  </si>
  <si>
    <t>General Service</t>
  </si>
  <si>
    <t>Residential</t>
  </si>
  <si>
    <t>(k)</t>
  </si>
  <si>
    <t>(j)</t>
  </si>
  <si>
    <t>(h)</t>
  </si>
  <si>
    <t>(g)</t>
  </si>
  <si>
    <t>(f)</t>
  </si>
  <si>
    <t>(e)</t>
  </si>
  <si>
    <t>(d)</t>
  </si>
  <si>
    <t>(c)</t>
  </si>
  <si>
    <t>(b)</t>
  </si>
  <si>
    <t>(a)</t>
  </si>
  <si>
    <t>Rates (2)</t>
  </si>
  <si>
    <t>Revenue</t>
  </si>
  <si>
    <t>Increase</t>
  </si>
  <si>
    <t>Rates(1)</t>
  </si>
  <si>
    <t>Number</t>
  </si>
  <si>
    <t>Service</t>
  </si>
  <si>
    <t>on Billed</t>
  </si>
  <si>
    <t>ERM</t>
  </si>
  <si>
    <t>General</t>
  </si>
  <si>
    <t>at Present</t>
  </si>
  <si>
    <t>Percent</t>
  </si>
  <si>
    <t>Under Proposed</t>
  </si>
  <si>
    <t>Under Present</t>
  </si>
  <si>
    <t>Schedule</t>
  </si>
  <si>
    <t>Type of</t>
  </si>
  <si>
    <t>Tariff</t>
  </si>
  <si>
    <t>Base</t>
  </si>
  <si>
    <t>Total Billed</t>
  </si>
  <si>
    <t>Base Tariff</t>
  </si>
  <si>
    <t>(000s of Dollars)</t>
  </si>
  <si>
    <t>PROPOSED INCREASE BY SERVICE SCHEDULE</t>
  </si>
  <si>
    <t>WASHINGTON ELECTRIC</t>
  </si>
  <si>
    <t>Accounting Adjustment</t>
  </si>
  <si>
    <t>Manually deducted in Column H</t>
  </si>
  <si>
    <t>CY 2016 expected expenditures</t>
  </si>
  <si>
    <t>CY 2017 expected expenditures + 2% increase</t>
  </si>
  <si>
    <t xml:space="preserve">End October </t>
  </si>
  <si>
    <t>Expected DSM expenditures</t>
  </si>
  <si>
    <t>Proposed DSM Rates</t>
  </si>
  <si>
    <t>Total Annual Forecasted kWh's</t>
  </si>
  <si>
    <t>Annual DSM Expense</t>
  </si>
  <si>
    <t>Annual DSM Revenue</t>
  </si>
  <si>
    <t>End of July Balance</t>
  </si>
  <si>
    <t xml:space="preserve">  Federal Income Tax @ 21%</t>
  </si>
  <si>
    <t>SCHEDULE 1,2</t>
  </si>
  <si>
    <t>SCH. 41-48</t>
  </si>
  <si>
    <t>Basic Charge</t>
  </si>
  <si>
    <t>First 800 kWh's</t>
  </si>
  <si>
    <t>801 - 1500 kWh's</t>
  </si>
  <si>
    <t>Over 1500 kWh's</t>
  </si>
  <si>
    <t>Overfunded</t>
  </si>
  <si>
    <t>Aug 2021 - July 2023 Expenditure Budget</t>
  </si>
  <si>
    <t>Aug 2021 - July 2023 Forecasted Revenue</t>
  </si>
  <si>
    <t>Overfunded "Rebate"</t>
  </si>
  <si>
    <t>Total Projected DSM Balance July 2023</t>
  </si>
  <si>
    <t>August 2021 - July 2022</t>
  </si>
  <si>
    <t>12 MONTHS ENDED DECEMBER 31, 2018</t>
  </si>
  <si>
    <t>Adjusted Billed</t>
  </si>
  <si>
    <t xml:space="preserve">Base </t>
  </si>
  <si>
    <t>Sch 94</t>
  </si>
  <si>
    <t>Sch 93</t>
  </si>
  <si>
    <t>Sch 92</t>
  </si>
  <si>
    <t>Settlement</t>
  </si>
  <si>
    <t>Misc</t>
  </si>
  <si>
    <t>Rate</t>
  </si>
  <si>
    <t>Remand</t>
  </si>
  <si>
    <t>LIRAP</t>
  </si>
  <si>
    <t>Rate Adjustment</t>
  </si>
  <si>
    <t xml:space="preserve">Rate </t>
  </si>
  <si>
    <t xml:space="preserve">Net </t>
  </si>
  <si>
    <t>Adjustment</t>
  </si>
  <si>
    <t>(i)</t>
  </si>
  <si>
    <t>(l)</t>
  </si>
  <si>
    <t>(m)</t>
  </si>
  <si>
    <t>1/2</t>
  </si>
  <si>
    <t>(1) Excludes all present rate adjustments:  Schedule 59 (BPA Residential Exchange), Schedule 75 (Decoupling),</t>
  </si>
  <si>
    <t xml:space="preserve">      Schedule 91 (DSM), Schedule 92 (LIRAP), Schedule 93 (ERM), and Schedule 98 (REC Revenue).</t>
  </si>
  <si>
    <t xml:space="preserve">(2) Includes all present rate adjustments:  Schedule 59 (BPA Residential Exchange), Schedule 75 (Decoupling),  </t>
  </si>
  <si>
    <t xml:space="preserve">     Schedule 91 (DSM), Schedule 92 (LIRAP), Schedule 93 (ERM), and Schedule 98 (REC Revenue).</t>
  </si>
  <si>
    <t>Source:  UE-190334 Compliance Filing, Attachment 1, Page 1</t>
  </si>
  <si>
    <t>UE-190334</t>
  </si>
  <si>
    <t>TWELVE MONTHS ENDED DECEMBER 31, 2018</t>
  </si>
  <si>
    <t>Source:  UE-190334</t>
  </si>
  <si>
    <t>SCH. 11,12,13</t>
  </si>
  <si>
    <t>SCH. 21,22,23</t>
  </si>
  <si>
    <t>$ Change</t>
  </si>
  <si>
    <t>% Change</t>
  </si>
  <si>
    <t>Average Monthly Bill @ 914 kWh's - Increase &lt;Decrease&gt;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</si>
</sst>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0_);_(&quot;$&quot;* \(#,##0.00000\);_(&quot;$&quot;* &quot;-&quot;??_);_(@_)"/>
    <numFmt numFmtId="166" formatCode="_(* #,##0_);_(* \(#,##0\);_(* &quot;-&quot;??_);_(@_)"/>
    <numFmt numFmtId="167" formatCode="0.000000"/>
    <numFmt numFmtId="168" formatCode="#,###_);\(#,###\)"/>
    <numFmt numFmtId="169" formatCode="0.00000"/>
    <numFmt numFmtId="170" formatCode="#,###.0_);\(#,###.0\)"/>
    <numFmt numFmtId="171" formatCode="mmm\ yy"/>
    <numFmt numFmtId="172" formatCode="0.0%"/>
    <numFmt numFmtId="173" formatCode="_(&quot;$&quot;* #,##0.000000_);_(&quot;$&quot;* \(#,##0.000000\);_(&quot;$&quot;* &quot;-&quot;??_);_(@_)"/>
    <numFmt numFmtId="174" formatCode="0.0%;\ \(0.0%\)"/>
    <numFmt numFmtId="175" formatCode="&quot;$&quot;#,##0.000_);\(&quot;$&quot;#,##0.000\)"/>
    <numFmt numFmtId="176" formatCode="&quot;$&quot;#,##0.00000_);\(&quot;$&quot;#,##0.00000\)"/>
    <numFmt numFmtId="177" formatCode="#,##0_);\(#,##0\);"/>
    <numFmt numFmtId="178" formatCode="&quot;$&quot;#,##0"/>
    <numFmt numFmtId="179" formatCode="0.00%;\ \(0.00%\)"/>
  </numFmts>
  <fonts count="45">
    <font>
      <sz val="11"/>
      <color theme="1"/>
      <name val="Calibri"/>
      <family val="2"/>
      <scheme val="minor"/>
    </font>
    <font>
      <sz val="11"/>
      <color theme="1"/>
      <name val="Calibri"/>
      <family val="2"/>
      <scheme val="minor"/>
    </font>
    <font>
      <sz val="10"/>
      <name val="Arial"/>
      <family val="2"/>
    </font>
    <font>
      <sz val="10"/>
      <name val="Arial"/>
      <family val="2"/>
    </font>
    <font>
      <sz val="8"/>
      <name val="Geneva"/>
    </font>
    <font>
      <b/>
      <sz val="8"/>
      <color indexed="10"/>
      <name val="Geneva"/>
    </font>
    <font>
      <sz val="11"/>
      <name val="Calibri"/>
      <family val="2"/>
      <scheme val="minor"/>
    </font>
    <font>
      <b/>
      <sz val="11"/>
      <color theme="1"/>
      <name val="Calibri"/>
      <family val="2"/>
      <scheme val="minor"/>
    </font>
    <font>
      <sz val="8"/>
      <color indexed="81"/>
      <name val="Tahoma"/>
      <family val="2"/>
    </font>
    <font>
      <b/>
      <sz val="8"/>
      <color indexed="81"/>
      <name val="Tahoma"/>
      <family val="2"/>
    </font>
    <font>
      <sz val="9"/>
      <color theme="1"/>
      <name val="Calibri"/>
      <family val="2"/>
      <scheme val="minor"/>
    </font>
    <font>
      <sz val="9"/>
      <name val="Calibri"/>
      <family val="2"/>
      <scheme val="minor"/>
    </font>
    <font>
      <b/>
      <sz val="10"/>
      <name val="Times New Roman"/>
      <family val="1"/>
    </font>
    <font>
      <b/>
      <i/>
      <sz val="10"/>
      <name val="Times New Roman"/>
      <family val="1"/>
    </font>
    <font>
      <sz val="10"/>
      <name val="Times New Roman"/>
      <family val="1"/>
    </font>
    <font>
      <sz val="10"/>
      <color indexed="12"/>
      <name val="Times New Roman"/>
      <family val="1"/>
    </font>
    <font>
      <i/>
      <sz val="10"/>
      <name val="Times New Roman"/>
      <family val="1"/>
    </font>
    <font>
      <b/>
      <sz val="10"/>
      <color indexed="12"/>
      <name val="Times New Roman"/>
      <family val="1"/>
    </font>
    <font>
      <sz val="10"/>
      <color indexed="48"/>
      <name val="Times New Roman"/>
      <family val="1"/>
    </font>
    <font>
      <b/>
      <sz val="10"/>
      <name val="Arial"/>
      <family val="2"/>
    </font>
    <font>
      <sz val="14"/>
      <name val="Times New Roman"/>
      <family val="1"/>
    </font>
    <font>
      <sz val="10"/>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u/>
      <sz val="7.5"/>
      <color theme="0"/>
      <name val="Arial"/>
      <family val="2"/>
    </font>
    <font>
      <sz val="12"/>
      <color indexed="10"/>
      <name val="Times New Roman"/>
      <family val="1"/>
    </font>
    <font>
      <sz val="10"/>
      <name val="Arial"/>
      <family val="2"/>
    </font>
    <font>
      <sz val="10"/>
      <color theme="1"/>
      <name val="Arial"/>
      <family val="2"/>
    </font>
    <font>
      <sz val="10"/>
      <color rgb="FF0000FF"/>
      <name val="Arial"/>
      <family val="2"/>
    </font>
    <font>
      <sz val="10"/>
      <color theme="1"/>
      <name val="Calibri"/>
      <family val="2"/>
      <scheme val="minor"/>
    </font>
    <font>
      <sz val="10"/>
      <name val="Arial"/>
      <family val="2"/>
    </font>
    <font>
      <u/>
      <sz val="10"/>
      <color indexed="12"/>
      <name val="Arial"/>
      <family val="2"/>
    </font>
    <font>
      <sz val="11"/>
      <color rgb="FF0000FF"/>
      <name val="Calibri"/>
      <family val="2"/>
      <scheme val="minor"/>
    </font>
    <font>
      <sz val="10"/>
      <name val="Arial"/>
      <family val="2"/>
    </font>
    <font>
      <u/>
      <sz val="10"/>
      <name val="Arial"/>
      <family val="2"/>
    </font>
    <font>
      <sz val="10"/>
      <color indexed="60"/>
      <name val="Arial"/>
      <family val="2"/>
    </font>
    <font>
      <sz val="9"/>
      <color indexed="81"/>
      <name val="Tahoma"/>
      <family val="2"/>
    </font>
    <font>
      <u val="singleAccounting"/>
      <sz val="11"/>
      <color theme="1"/>
      <name val="Calibri"/>
      <family val="2"/>
      <scheme val="minor"/>
    </font>
    <font>
      <u/>
      <sz val="11"/>
      <color theme="1"/>
      <name val="Calibri"/>
      <family val="2"/>
      <scheme val="minor"/>
    </font>
    <font>
      <b/>
      <sz val="11"/>
      <color rgb="FF0000FF"/>
      <name val="Calibri"/>
      <family val="2"/>
      <scheme val="minor"/>
    </font>
  </fonts>
  <fills count="2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57"/>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9"/>
      </patternFill>
    </fill>
    <fill>
      <patternFill patternType="solid">
        <fgColor rgb="FF00B050"/>
        <bgColor indexed="64"/>
      </patternFill>
    </fill>
  </fills>
  <borders count="1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style="thick">
        <color indexed="64"/>
      </right>
      <top/>
      <bottom/>
      <diagonal/>
    </border>
    <border>
      <left/>
      <right/>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s>
  <cellStyleXfs count="70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30" fillId="3" borderId="0"/>
    <xf numFmtId="43" fontId="2" fillId="0" borderId="0" applyFont="0" applyFill="0" applyBorder="0" applyAlignment="0" applyProtection="0"/>
    <xf numFmtId="0" fontId="2" fillId="0" borderId="0">
      <alignment readingOrder="1"/>
    </xf>
    <xf numFmtId="0" fontId="21" fillId="0" borderId="0"/>
    <xf numFmtId="40" fontId="21" fillId="0" borderId="0" applyFont="0" applyFill="0" applyBorder="0" applyAlignment="0" applyProtection="0"/>
    <xf numFmtId="8" fontId="21" fillId="0" borderId="0" applyFont="0" applyFill="0" applyBorder="0" applyAlignment="0" applyProtection="0"/>
    <xf numFmtId="9" fontId="21" fillId="0" borderId="0" applyFont="0" applyFill="0" applyBorder="0" applyAlignment="0" applyProtection="0"/>
    <xf numFmtId="41" fontId="2" fillId="0" borderId="0" applyFont="0" applyFill="0" applyBorder="0" applyAlignment="0" applyProtection="0"/>
    <xf numFmtId="0" fontId="14" fillId="0" borderId="0"/>
    <xf numFmtId="0" fontId="29" fillId="0" borderId="0" applyNumberFormat="0" applyFill="0" applyBorder="0" applyAlignment="0" applyProtection="0">
      <alignment vertical="top"/>
      <protection locked="0"/>
    </xf>
    <xf numFmtId="44" fontId="2" fillId="0" borderId="0" applyFont="0" applyFill="0" applyBorder="0" applyAlignment="0" applyProtection="0"/>
    <xf numFmtId="9" fontId="14" fillId="0" borderId="0" applyFont="0" applyFill="0" applyBorder="0" applyAlignment="0" applyProtection="0"/>
    <xf numFmtId="43"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0" fontId="22" fillId="0" borderId="0"/>
    <xf numFmtId="0" fontId="23" fillId="0" borderId="0"/>
    <xf numFmtId="0" fontId="14" fillId="0" borderId="0"/>
    <xf numFmtId="0" fontId="22" fillId="0" borderId="0"/>
    <xf numFmtId="0" fontId="14" fillId="0" borderId="0"/>
    <xf numFmtId="0" fontId="2" fillId="0" borderId="0"/>
    <xf numFmtId="0" fontId="2" fillId="0" borderId="0"/>
    <xf numFmtId="0" fontId="24" fillId="0" borderId="0"/>
    <xf numFmtId="0" fontId="2" fillId="0" borderId="0"/>
    <xf numFmtId="9" fontId="14"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38" fontId="26" fillId="0" borderId="0" applyNumberFormat="0" applyFont="0" applyFill="0" applyBorder="0">
      <alignment horizontal="left" indent="4"/>
      <protection locked="0"/>
    </xf>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28" fillId="0" borderId="8">
      <alignment horizontal="center"/>
    </xf>
    <xf numFmtId="3" fontId="27" fillId="0" borderId="0" applyFont="0" applyFill="0" applyBorder="0" applyAlignment="0" applyProtection="0"/>
    <xf numFmtId="0" fontId="27" fillId="4" borderId="0" applyNumberFormat="0" applyFont="0" applyBorder="0" applyAlignment="0" applyProtection="0"/>
    <xf numFmtId="166" fontId="22" fillId="2" borderId="0" applyFont="0" applyFill="0" applyBorder="0" applyAlignment="0" applyProtection="0">
      <alignment wrapText="1"/>
    </xf>
    <xf numFmtId="0" fontId="2" fillId="5" borderId="0" applyNumberFormat="0" applyFont="0" applyFill="0" applyBorder="0" applyAlignment="0" applyProtection="0"/>
    <xf numFmtId="0" fontId="25" fillId="0" borderId="0"/>
    <xf numFmtId="43" fontId="2" fillId="0" borderId="0" applyFont="0" applyFill="0" applyBorder="0" applyAlignment="0" applyProtection="0"/>
    <xf numFmtId="43" fontId="2" fillId="0" borderId="0" applyFon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 fillId="0" borderId="0"/>
    <xf numFmtId="0" fontId="2" fillId="0" borderId="0"/>
    <xf numFmtId="0" fontId="29" fillId="0" borderId="0" applyNumberFormat="0" applyFill="0" applyBorder="0" applyAlignment="0" applyProtection="0">
      <alignment vertical="top"/>
      <protection locked="0"/>
    </xf>
    <xf numFmtId="9" fontId="2" fillId="0" borderId="0" applyFont="0" applyFill="0" applyBorder="0" applyAlignment="0" applyProtection="0"/>
    <xf numFmtId="43" fontId="2" fillId="0" borderId="0" applyFont="0" applyFill="0" applyBorder="0" applyAlignment="0" applyProtection="0"/>
    <xf numFmtId="0" fontId="2" fillId="0" borderId="0"/>
    <xf numFmtId="0" fontId="31" fillId="0" borderId="0">
      <alignment readingOrder="1"/>
    </xf>
    <xf numFmtId="0" fontId="1" fillId="0" borderId="0"/>
    <xf numFmtId="3" fontId="32" fillId="0" borderId="0"/>
    <xf numFmtId="3" fontId="32" fillId="0" borderId="0"/>
    <xf numFmtId="0" fontId="2" fillId="0" borderId="0"/>
    <xf numFmtId="0" fontId="31" fillId="0" borderId="0">
      <alignment readingOrder="1"/>
    </xf>
    <xf numFmtId="0" fontId="1" fillId="0" borderId="0"/>
    <xf numFmtId="3" fontId="32" fillId="0" borderId="0"/>
    <xf numFmtId="3" fontId="32" fillId="0" borderId="0"/>
    <xf numFmtId="0" fontId="2" fillId="0" borderId="0"/>
    <xf numFmtId="0" fontId="1" fillId="0" borderId="0"/>
    <xf numFmtId="3" fontId="32" fillId="0" borderId="0"/>
    <xf numFmtId="3" fontId="32" fillId="0" borderId="0"/>
    <xf numFmtId="0" fontId="2" fillId="0" borderId="0"/>
    <xf numFmtId="3" fontId="32" fillId="0" borderId="0"/>
    <xf numFmtId="0" fontId="2" fillId="0" borderId="0"/>
    <xf numFmtId="0" fontId="35" fillId="0" borderId="0">
      <alignment readingOrder="1"/>
    </xf>
    <xf numFmtId="43" fontId="2" fillId="0" borderId="0" applyFont="0" applyFill="0" applyBorder="0" applyAlignment="0" applyProtection="0"/>
    <xf numFmtId="0" fontId="36"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0" fontId="2" fillId="0" borderId="0">
      <alignment readingOrder="1"/>
    </xf>
    <xf numFmtId="0" fontId="2" fillId="0" borderId="0">
      <alignment readingOrder="1"/>
    </xf>
    <xf numFmtId="0" fontId="2" fillId="0" borderId="0">
      <alignment readingOrder="1"/>
    </xf>
    <xf numFmtId="0" fontId="38"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 fillId="2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2" fillId="20" borderId="0" applyFont="0" applyFill="0" applyBorder="0" applyAlignment="0" applyProtection="0"/>
    <xf numFmtId="0" fontId="2" fillId="20" borderId="0" applyFont="0" applyFill="0" applyBorder="0" applyAlignment="0" applyProtection="0"/>
    <xf numFmtId="2" fontId="2" fillId="20" borderId="0" applyFont="0" applyFill="0" applyBorder="0" applyAlignment="0" applyProtection="0"/>
    <xf numFmtId="41" fontId="40" fillId="2" borderId="10">
      <alignment horizontal="left"/>
      <protection locked="0"/>
    </xf>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 borderId="9" applyNumberFormat="0" applyFont="0" applyAlignment="0" applyProtection="0"/>
    <xf numFmtId="0" fontId="1" fillId="7" borderId="9" applyNumberFormat="0" applyFont="0" applyAlignment="0" applyProtection="0"/>
    <xf numFmtId="0" fontId="1" fillId="7" borderId="9" applyNumberFormat="0" applyFont="0" applyAlignment="0" applyProtection="0"/>
    <xf numFmtId="0" fontId="1" fillId="7" borderId="9" applyNumberFormat="0" applyFont="0" applyAlignment="0" applyProtection="0"/>
    <xf numFmtId="0" fontId="1" fillId="7" borderId="9" applyNumberFormat="0" applyFont="0" applyAlignment="0" applyProtection="0"/>
    <xf numFmtId="0" fontId="1" fillId="7" borderId="9" applyNumberFormat="0" applyFont="0" applyAlignment="0" applyProtection="0"/>
    <xf numFmtId="0" fontId="1" fillId="7" borderId="9" applyNumberFormat="0" applyFont="0" applyAlignment="0" applyProtection="0"/>
    <xf numFmtId="0" fontId="1" fillId="7" borderId="9" applyNumberFormat="0" applyFont="0" applyAlignment="0" applyProtection="0"/>
    <xf numFmtId="0" fontId="1" fillId="7" borderId="9" applyNumberFormat="0" applyFont="0" applyAlignment="0" applyProtection="0"/>
    <xf numFmtId="0" fontId="1" fillId="7" borderId="9" applyNumberFormat="0" applyFont="0" applyAlignment="0" applyProtection="0"/>
    <xf numFmtId="0" fontId="1" fillId="7" borderId="9" applyNumberFormat="0" applyFont="0" applyAlignment="0" applyProtection="0"/>
    <xf numFmtId="0" fontId="1" fillId="7" borderId="9" applyNumberFormat="0" applyFont="0" applyAlignment="0" applyProtection="0"/>
    <xf numFmtId="0" fontId="1" fillId="7" borderId="9" applyNumberFormat="0" applyFont="0" applyAlignment="0" applyProtection="0"/>
    <xf numFmtId="0" fontId="1" fillId="7" borderId="9" applyNumberFormat="0" applyFont="0" applyAlignment="0" applyProtection="0"/>
    <xf numFmtId="0" fontId="1" fillId="7" borderId="9"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0" fontId="2" fillId="0" borderId="0" xfId="3"/>
    <xf numFmtId="0" fontId="4" fillId="0" borderId="0" xfId="3" applyFont="1" applyAlignment="1">
      <alignment horizontal="center"/>
    </xf>
    <xf numFmtId="0" fontId="5" fillId="0" borderId="0" xfId="3" applyFont="1"/>
    <xf numFmtId="10" fontId="0" fillId="0" borderId="0" xfId="2" applyNumberFormat="1" applyFont="1"/>
    <xf numFmtId="0" fontId="0" fillId="0" borderId="0" xfId="0" applyFont="1"/>
    <xf numFmtId="164" fontId="0" fillId="0" borderId="0" xfId="0" applyNumberFormat="1" applyFont="1"/>
    <xf numFmtId="0" fontId="6" fillId="0" borderId="0" xfId="3" applyFont="1" applyAlignment="1">
      <alignment horizontal="left"/>
    </xf>
    <xf numFmtId="0" fontId="6" fillId="0" borderId="0" xfId="3" applyFont="1" applyAlignment="1">
      <alignment horizontal="center"/>
    </xf>
    <xf numFmtId="0" fontId="6" fillId="0" borderId="1" xfId="3" applyFont="1" applyBorder="1" applyAlignment="1">
      <alignment horizontal="center"/>
    </xf>
    <xf numFmtId="0" fontId="6" fillId="0" borderId="0" xfId="3" applyFont="1"/>
    <xf numFmtId="37" fontId="6" fillId="0" borderId="2" xfId="3" applyNumberFormat="1" applyFont="1" applyBorder="1"/>
    <xf numFmtId="37" fontId="6" fillId="0" borderId="0" xfId="3" applyNumberFormat="1" applyFont="1"/>
    <xf numFmtId="0" fontId="6" fillId="0" borderId="0" xfId="3" applyFont="1" applyFill="1"/>
    <xf numFmtId="164" fontId="0" fillId="0" borderId="0" xfId="1" applyNumberFormat="1" applyFont="1"/>
    <xf numFmtId="164" fontId="0" fillId="0" borderId="0" xfId="0" applyNumberFormat="1"/>
    <xf numFmtId="0" fontId="10" fillId="0" borderId="0" xfId="0" applyFont="1"/>
    <xf numFmtId="0" fontId="10" fillId="0" borderId="1" xfId="0" applyFont="1" applyBorder="1"/>
    <xf numFmtId="164" fontId="10" fillId="0" borderId="0" xfId="1" applyNumberFormat="1" applyFont="1"/>
    <xf numFmtId="0" fontId="10" fillId="0" borderId="0" xfId="0" applyFont="1" applyAlignment="1">
      <alignment horizontal="right"/>
    </xf>
    <xf numFmtId="0" fontId="11" fillId="0" borderId="0" xfId="0" applyFont="1"/>
    <xf numFmtId="0" fontId="14" fillId="0" borderId="0" xfId="0" applyFont="1"/>
    <xf numFmtId="166" fontId="14" fillId="0" borderId="0" xfId="12" applyNumberFormat="1" applyFont="1"/>
    <xf numFmtId="0" fontId="15" fillId="0" borderId="0" xfId="0" applyFont="1"/>
    <xf numFmtId="0" fontId="16" fillId="0" borderId="0" xfId="0" applyFont="1"/>
    <xf numFmtId="0" fontId="12" fillId="0" borderId="0" xfId="0" applyFont="1" applyAlignment="1">
      <alignment horizontal="center"/>
    </xf>
    <xf numFmtId="166" fontId="12" fillId="0" borderId="0" xfId="12" applyNumberFormat="1" applyFont="1" applyAlignment="1">
      <alignment horizontal="center"/>
    </xf>
    <xf numFmtId="0" fontId="17" fillId="0" borderId="0" xfId="0" applyFont="1" applyAlignment="1">
      <alignment horizontal="center"/>
    </xf>
    <xf numFmtId="168" fontId="14" fillId="0" borderId="0" xfId="0" applyNumberFormat="1" applyFont="1"/>
    <xf numFmtId="167" fontId="16" fillId="0" borderId="0" xfId="0" applyNumberFormat="1" applyFont="1" applyBorder="1"/>
    <xf numFmtId="0" fontId="14" fillId="0" borderId="0" xfId="0" applyFont="1" applyBorder="1"/>
    <xf numFmtId="0" fontId="15" fillId="0" borderId="0" xfId="0" applyFont="1" applyBorder="1"/>
    <xf numFmtId="0" fontId="16" fillId="0" borderId="0" xfId="0" applyFont="1" applyBorder="1"/>
    <xf numFmtId="167" fontId="14" fillId="0" borderId="0" xfId="0" applyNumberFormat="1" applyFont="1" applyBorder="1"/>
    <xf numFmtId="168" fontId="14" fillId="0" borderId="0" xfId="0" applyNumberFormat="1" applyFont="1" applyBorder="1"/>
    <xf numFmtId="170" fontId="14" fillId="0" borderId="0" xfId="0" applyNumberFormat="1" applyFont="1"/>
    <xf numFmtId="0" fontId="0" fillId="0" borderId="0" xfId="0" applyFont="1" applyFill="1"/>
    <xf numFmtId="164" fontId="10" fillId="0" borderId="0" xfId="1" applyNumberFormat="1" applyFont="1" applyBorder="1"/>
    <xf numFmtId="0" fontId="0" fillId="0" borderId="0" xfId="0" applyFont="1" applyAlignment="1">
      <alignment horizontal="right"/>
    </xf>
    <xf numFmtId="164" fontId="0" fillId="0" borderId="0" xfId="1" applyNumberFormat="1" applyFont="1" applyAlignment="1">
      <alignment horizontal="right"/>
    </xf>
    <xf numFmtId="164" fontId="0" fillId="0" borderId="0" xfId="0" applyNumberFormat="1" applyFont="1" applyBorder="1"/>
    <xf numFmtId="169" fontId="0" fillId="0" borderId="0" xfId="0" applyNumberFormat="1"/>
    <xf numFmtId="10" fontId="0" fillId="0" borderId="0" xfId="0" applyNumberFormat="1"/>
    <xf numFmtId="164" fontId="0" fillId="0" borderId="1" xfId="1" applyNumberFormat="1" applyFont="1" applyBorder="1"/>
    <xf numFmtId="0" fontId="0" fillId="0" borderId="0" xfId="0"/>
    <xf numFmtId="166" fontId="0" fillId="0" borderId="2" xfId="0" applyNumberFormat="1" applyBorder="1"/>
    <xf numFmtId="164" fontId="6" fillId="0" borderId="0" xfId="1" applyNumberFormat="1" applyFont="1" applyFill="1"/>
    <xf numFmtId="164" fontId="0" fillId="0" borderId="1" xfId="0" applyNumberFormat="1" applyFont="1" applyFill="1" applyBorder="1"/>
    <xf numFmtId="0" fontId="20" fillId="0" borderId="0" xfId="0" applyFont="1"/>
    <xf numFmtId="164" fontId="10" fillId="0" borderId="0" xfId="1" applyNumberFormat="1" applyFont="1" applyFill="1"/>
    <xf numFmtId="10" fontId="10" fillId="0" borderId="0" xfId="2" applyNumberFormat="1" applyFont="1" applyFill="1"/>
    <xf numFmtId="0" fontId="0" fillId="0" borderId="6" xfId="0" applyBorder="1"/>
    <xf numFmtId="164" fontId="7" fillId="0" borderId="7" xfId="1" applyNumberFormat="1" applyFont="1" applyBorder="1"/>
    <xf numFmtId="0" fontId="7" fillId="0" borderId="5" xfId="0" applyFont="1" applyBorder="1"/>
    <xf numFmtId="0" fontId="2" fillId="0" borderId="0" xfId="3"/>
    <xf numFmtId="0" fontId="12" fillId="0" borderId="0" xfId="3" applyFont="1" applyAlignment="1">
      <alignment horizontal="center"/>
    </xf>
    <xf numFmtId="0" fontId="12" fillId="0" borderId="0" xfId="3" applyFont="1" applyBorder="1" applyAlignment="1">
      <alignment horizontal="center"/>
    </xf>
    <xf numFmtId="0" fontId="14" fillId="0" borderId="0" xfId="3" applyFont="1" applyAlignment="1">
      <alignment horizontal="center"/>
    </xf>
    <xf numFmtId="167" fontId="12" fillId="0" borderId="0" xfId="3" applyNumberFormat="1" applyFont="1"/>
    <xf numFmtId="167" fontId="14" fillId="0" borderId="0" xfId="3" applyNumberFormat="1" applyFont="1"/>
    <xf numFmtId="10" fontId="18" fillId="0" borderId="0" xfId="3" applyNumberFormat="1" applyFont="1"/>
    <xf numFmtId="0" fontId="12" fillId="0" borderId="0" xfId="3" applyFont="1" applyAlignment="1">
      <alignment horizontal="centerContinuous"/>
    </xf>
    <xf numFmtId="0" fontId="12" fillId="0" borderId="1" xfId="3" applyFont="1" applyBorder="1" applyAlignment="1">
      <alignment horizontal="center"/>
    </xf>
    <xf numFmtId="0" fontId="12" fillId="0" borderId="0" xfId="3" applyFont="1"/>
    <xf numFmtId="0" fontId="13" fillId="0" borderId="0" xfId="3" applyFont="1" applyAlignment="1">
      <alignment horizontal="centerContinuous"/>
    </xf>
    <xf numFmtId="0" fontId="13" fillId="0" borderId="0" xfId="3" applyFont="1" applyBorder="1" applyAlignment="1">
      <alignment horizontal="center"/>
    </xf>
    <xf numFmtId="0" fontId="13" fillId="0" borderId="1" xfId="3" applyFont="1" applyBorder="1" applyAlignment="1">
      <alignment horizontal="center"/>
    </xf>
    <xf numFmtId="167" fontId="16" fillId="0" borderId="0" xfId="3" applyNumberFormat="1" applyFont="1"/>
    <xf numFmtId="167" fontId="16" fillId="0" borderId="0" xfId="14" applyNumberFormat="1" applyFont="1"/>
    <xf numFmtId="167" fontId="16" fillId="0" borderId="0" xfId="3" applyNumberFormat="1" applyFont="1" applyBorder="1"/>
    <xf numFmtId="167" fontId="16" fillId="0" borderId="3" xfId="3" applyNumberFormat="1" applyFont="1" applyBorder="1"/>
    <xf numFmtId="167" fontId="16" fillId="0" borderId="1" xfId="3" applyNumberFormat="1" applyFont="1" applyBorder="1"/>
    <xf numFmtId="166" fontId="0" fillId="0" borderId="0" xfId="0" applyNumberFormat="1"/>
    <xf numFmtId="164" fontId="10" fillId="0" borderId="0" xfId="0" applyNumberFormat="1" applyFont="1"/>
    <xf numFmtId="17" fontId="0" fillId="0" borderId="0" xfId="0" applyNumberFormat="1" applyAlignment="1">
      <alignment horizontal="center"/>
    </xf>
    <xf numFmtId="9" fontId="10" fillId="0" borderId="0" xfId="2" applyFont="1"/>
    <xf numFmtId="0" fontId="0" fillId="0" borderId="0" xfId="0" applyBorder="1"/>
    <xf numFmtId="0" fontId="33" fillId="0" borderId="0" xfId="67" applyFont="1" applyAlignment="1">
      <alignment horizontal="left" indent="1" readingOrder="1"/>
    </xf>
    <xf numFmtId="0" fontId="33" fillId="0" borderId="0" xfId="67" applyFont="1" applyBorder="1" applyAlignment="1">
      <alignment horizontal="left" indent="1" readingOrder="1"/>
    </xf>
    <xf numFmtId="171" fontId="19" fillId="0" borderId="0" xfId="72" applyNumberFormat="1" applyFont="1">
      <alignment readingOrder="1"/>
    </xf>
    <xf numFmtId="0" fontId="34" fillId="0" borderId="0" xfId="0" applyFont="1"/>
    <xf numFmtId="164" fontId="10" fillId="6" borderId="0" xfId="1" applyNumberFormat="1" applyFont="1" applyFill="1" applyBorder="1"/>
    <xf numFmtId="172" fontId="0" fillId="0" borderId="0" xfId="2" applyNumberFormat="1" applyFont="1"/>
    <xf numFmtId="0" fontId="10" fillId="0" borderId="0" xfId="0" applyFont="1" applyFill="1"/>
    <xf numFmtId="167" fontId="0" fillId="0" borderId="0" xfId="0" applyNumberFormat="1"/>
    <xf numFmtId="43" fontId="35" fillId="0" borderId="0" xfId="12" applyFont="1" applyAlignment="1">
      <alignment readingOrder="1"/>
    </xf>
    <xf numFmtId="10" fontId="0" fillId="0" borderId="0" xfId="0" applyNumberFormat="1" applyFont="1"/>
    <xf numFmtId="165" fontId="7" fillId="0" borderId="0" xfId="1" applyNumberFormat="1" applyFont="1"/>
    <xf numFmtId="174" fontId="0" fillId="0" borderId="0" xfId="2" applyNumberFormat="1" applyFont="1"/>
    <xf numFmtId="165" fontId="0" fillId="0" borderId="0" xfId="0" applyNumberFormat="1"/>
    <xf numFmtId="0" fontId="6" fillId="0" borderId="1" xfId="3" applyFont="1" applyBorder="1" applyAlignment="1">
      <alignment horizontal="left"/>
    </xf>
    <xf numFmtId="0" fontId="6" fillId="0" borderId="0" xfId="3" applyFont="1"/>
    <xf numFmtId="10" fontId="2" fillId="0" borderId="0" xfId="14" applyNumberFormat="1" applyFont="1"/>
    <xf numFmtId="166" fontId="2" fillId="0" borderId="0" xfId="86" applyNumberFormat="1" applyFont="1"/>
    <xf numFmtId="166" fontId="0" fillId="0" borderId="0" xfId="0" applyNumberFormat="1" applyFill="1"/>
    <xf numFmtId="0" fontId="2" fillId="0" borderId="0" xfId="0" applyFont="1"/>
    <xf numFmtId="0" fontId="2" fillId="0" borderId="0" xfId="0" applyFont="1" applyAlignment="1">
      <alignment horizontal="center"/>
    </xf>
    <xf numFmtId="5" fontId="2" fillId="0" borderId="0" xfId="0" applyNumberFormat="1" applyFont="1" applyAlignment="1">
      <alignment horizontal="center"/>
    </xf>
    <xf numFmtId="5" fontId="19" fillId="0" borderId="0" xfId="0" applyNumberFormat="1" applyFont="1" applyAlignment="1">
      <alignment horizontal="center"/>
    </xf>
    <xf numFmtId="10" fontId="19" fillId="0" borderId="0" xfId="0" applyNumberFormat="1" applyFont="1" applyAlignment="1">
      <alignment horizontal="center"/>
    </xf>
    <xf numFmtId="0" fontId="19" fillId="0" borderId="0" xfId="0" applyFont="1" applyAlignment="1">
      <alignment horizontal="center"/>
    </xf>
    <xf numFmtId="0" fontId="2" fillId="0" borderId="1" xfId="0" applyFont="1" applyBorder="1" applyAlignment="1">
      <alignment horizontal="center"/>
    </xf>
    <xf numFmtId="5" fontId="2" fillId="0" borderId="1" xfId="0" applyNumberFormat="1" applyFont="1" applyBorder="1" applyAlignment="1">
      <alignment horizontal="center"/>
    </xf>
    <xf numFmtId="10" fontId="19" fillId="0" borderId="1" xfId="0" applyNumberFormat="1" applyFont="1" applyBorder="1" applyAlignment="1">
      <alignment horizontal="center"/>
    </xf>
    <xf numFmtId="0" fontId="19" fillId="0" borderId="1" xfId="0" applyFont="1" applyBorder="1" applyAlignment="1">
      <alignment horizontal="center"/>
    </xf>
    <xf numFmtId="5" fontId="19" fillId="0" borderId="0" xfId="0" applyNumberFormat="1" applyFont="1"/>
    <xf numFmtId="5" fontId="2" fillId="0" borderId="0" xfId="0" applyNumberFormat="1" applyFont="1"/>
    <xf numFmtId="10" fontId="19" fillId="0" borderId="0" xfId="0" applyNumberFormat="1" applyFont="1"/>
    <xf numFmtId="0" fontId="19" fillId="0" borderId="0" xfId="0" applyFont="1"/>
    <xf numFmtId="174" fontId="19" fillId="0" borderId="0" xfId="0" applyNumberFormat="1" applyFont="1" applyAlignment="1">
      <alignment horizontal="center"/>
    </xf>
    <xf numFmtId="172" fontId="19" fillId="0" borderId="0" xfId="0" applyNumberFormat="1" applyFont="1" applyAlignment="1">
      <alignment horizontal="center"/>
    </xf>
    <xf numFmtId="178" fontId="2" fillId="0" borderId="0" xfId="0" applyNumberFormat="1" applyFont="1" applyAlignment="1">
      <alignment horizontal="center"/>
    </xf>
    <xf numFmtId="16" fontId="2" fillId="0" borderId="0" xfId="0" quotePrefix="1" applyNumberFormat="1" applyFont="1" applyAlignment="1">
      <alignment horizontal="center"/>
    </xf>
    <xf numFmtId="0" fontId="2" fillId="0" borderId="0" xfId="0" quotePrefix="1" applyFont="1" applyAlignment="1">
      <alignment horizontal="center"/>
    </xf>
    <xf numFmtId="5" fontId="39" fillId="0" borderId="0" xfId="0" applyNumberFormat="1" applyFont="1" applyAlignment="1">
      <alignment horizontal="center"/>
    </xf>
    <xf numFmtId="179" fontId="19" fillId="0" borderId="0" xfId="0" applyNumberFormat="1" applyFont="1" applyAlignment="1">
      <alignment horizontal="center"/>
    </xf>
    <xf numFmtId="0" fontId="2" fillId="0" borderId="0" xfId="0" applyFont="1" applyAlignment="1">
      <alignment horizontal="left" indent="3"/>
    </xf>
    <xf numFmtId="177" fontId="2" fillId="0" borderId="0" xfId="0" applyNumberFormat="1" applyFont="1"/>
    <xf numFmtId="172" fontId="2" fillId="0" borderId="0" xfId="0" applyNumberFormat="1" applyFont="1"/>
    <xf numFmtId="0" fontId="2" fillId="0" borderId="0" xfId="0" applyFont="1" applyAlignment="1">
      <alignment horizontal="left"/>
    </xf>
    <xf numFmtId="0" fontId="39" fillId="0" borderId="0" xfId="0" applyFont="1"/>
    <xf numFmtId="0" fontId="2" fillId="0" borderId="0" xfId="0" applyFont="1" applyAlignment="1">
      <alignment horizontal="left" indent="1"/>
    </xf>
    <xf numFmtId="3" fontId="2" fillId="0" borderId="0" xfId="0" applyNumberFormat="1" applyFont="1"/>
    <xf numFmtId="165" fontId="2" fillId="0" borderId="0" xfId="382" applyNumberFormat="1" applyFont="1"/>
    <xf numFmtId="164" fontId="2" fillId="0" borderId="0" xfId="382" applyNumberFormat="1" applyFont="1"/>
    <xf numFmtId="3" fontId="2" fillId="0" borderId="0" xfId="0" applyNumberFormat="1" applyFont="1" applyBorder="1"/>
    <xf numFmtId="0" fontId="2" fillId="0" borderId="0" xfId="0" applyFont="1" applyBorder="1"/>
    <xf numFmtId="164" fontId="2" fillId="0" borderId="0" xfId="382" applyNumberFormat="1" applyFont="1" applyBorder="1"/>
    <xf numFmtId="164" fontId="2" fillId="0" borderId="0" xfId="0" applyNumberFormat="1" applyFont="1"/>
    <xf numFmtId="164" fontId="33" fillId="0" borderId="0" xfId="382" applyNumberFormat="1" applyFont="1"/>
    <xf numFmtId="175" fontId="2" fillId="0" borderId="0" xfId="0" applyNumberFormat="1" applyFont="1"/>
    <xf numFmtId="176" fontId="2" fillId="0" borderId="0" xfId="0" applyNumberFormat="1" applyFont="1"/>
    <xf numFmtId="0" fontId="19" fillId="0" borderId="0" xfId="0" applyFont="1" applyAlignment="1">
      <alignment horizontal="right"/>
    </xf>
    <xf numFmtId="0" fontId="19" fillId="0" borderId="0" xfId="0" applyFont="1" applyAlignment="1">
      <alignment horizontal="left"/>
    </xf>
    <xf numFmtId="179" fontId="0" fillId="0" borderId="0" xfId="2" applyNumberFormat="1" applyFont="1"/>
    <xf numFmtId="43" fontId="0" fillId="0" borderId="0" xfId="12" applyFont="1"/>
    <xf numFmtId="164" fontId="10" fillId="0" borderId="0" xfId="1" applyNumberFormat="1" applyFont="1" applyFill="1" applyBorder="1"/>
    <xf numFmtId="164" fontId="42" fillId="0" borderId="0" xfId="0" applyNumberFormat="1" applyFont="1"/>
    <xf numFmtId="0" fontId="43" fillId="0" borderId="0" xfId="0" applyFont="1" applyAlignment="1">
      <alignment horizontal="center"/>
    </xf>
    <xf numFmtId="166" fontId="0" fillId="0" borderId="0" xfId="12" applyNumberFormat="1" applyFont="1"/>
    <xf numFmtId="165" fontId="42" fillId="0" borderId="0" xfId="1" applyNumberFormat="1" applyFont="1"/>
    <xf numFmtId="167" fontId="16" fillId="0" borderId="4" xfId="3" applyNumberFormat="1" applyFont="1" applyBorder="1"/>
    <xf numFmtId="44" fontId="0" fillId="0" borderId="0" xfId="1" applyFont="1"/>
    <xf numFmtId="5" fontId="19" fillId="0" borderId="0" xfId="0" applyNumberFormat="1" applyFont="1" applyAlignment="1">
      <alignment horizontal="center"/>
    </xf>
    <xf numFmtId="43" fontId="33" fillId="0" borderId="0" xfId="12" applyFont="1" applyAlignment="1">
      <alignment readingOrder="1"/>
    </xf>
    <xf numFmtId="169" fontId="37" fillId="0" borderId="0" xfId="0" applyNumberFormat="1" applyFont="1"/>
    <xf numFmtId="165" fontId="44" fillId="0" borderId="0" xfId="0" applyNumberFormat="1" applyFont="1" applyFill="1"/>
    <xf numFmtId="165" fontId="44" fillId="0" borderId="0" xfId="1" applyNumberFormat="1" applyFont="1" applyFill="1"/>
    <xf numFmtId="5" fontId="19" fillId="0" borderId="1" xfId="0" applyNumberFormat="1" applyFont="1" applyBorder="1" applyAlignment="1">
      <alignment horizontal="center"/>
    </xf>
    <xf numFmtId="5" fontId="2" fillId="0" borderId="0" xfId="3" applyNumberFormat="1" applyAlignment="1">
      <alignment horizontal="center"/>
    </xf>
    <xf numFmtId="5" fontId="19" fillId="0" borderId="0" xfId="3" applyNumberFormat="1" applyFont="1" applyAlignment="1">
      <alignment horizontal="center"/>
    </xf>
    <xf numFmtId="5" fontId="39" fillId="0" borderId="0" xfId="3" applyNumberFormat="1" applyFont="1" applyAlignment="1">
      <alignment horizontal="center"/>
    </xf>
    <xf numFmtId="172" fontId="19" fillId="0" borderId="0" xfId="14" applyNumberFormat="1" applyFont="1"/>
    <xf numFmtId="172" fontId="2" fillId="0" borderId="0" xfId="14" applyNumberFormat="1"/>
    <xf numFmtId="9" fontId="0" fillId="0" borderId="0" xfId="2" applyFont="1"/>
    <xf numFmtId="164" fontId="37" fillId="0" borderId="0" xfId="1" applyNumberFormat="1" applyFont="1" applyFill="1"/>
    <xf numFmtId="164" fontId="0" fillId="0" borderId="0" xfId="1" applyNumberFormat="1" applyFont="1" applyFill="1"/>
    <xf numFmtId="164" fontId="0" fillId="0" borderId="0" xfId="0" applyNumberFormat="1" applyFill="1"/>
    <xf numFmtId="0" fontId="0" fillId="0" borderId="0" xfId="0" applyFill="1"/>
    <xf numFmtId="173" fontId="0" fillId="0" borderId="0" xfId="1" applyNumberFormat="1" applyFont="1" applyFill="1"/>
    <xf numFmtId="44" fontId="0" fillId="0" borderId="0" xfId="1" applyFont="1" applyFill="1"/>
    <xf numFmtId="44" fontId="0" fillId="0" borderId="0" xfId="0" applyNumberFormat="1" applyFill="1"/>
    <xf numFmtId="10" fontId="0" fillId="0" borderId="0" xfId="2" applyNumberFormat="1" applyFont="1" applyFill="1"/>
    <xf numFmtId="165" fontId="0" fillId="0" borderId="0" xfId="1" applyNumberFormat="1" applyFont="1" applyFill="1"/>
    <xf numFmtId="165" fontId="0" fillId="0" borderId="0" xfId="0" applyNumberFormat="1" applyFill="1"/>
    <xf numFmtId="43" fontId="0" fillId="0" borderId="0" xfId="0" applyNumberFormat="1"/>
    <xf numFmtId="0" fontId="12" fillId="0" borderId="0" xfId="0" applyFont="1" applyAlignment="1">
      <alignment horizontal="center"/>
    </xf>
    <xf numFmtId="0" fontId="12" fillId="0" borderId="0" xfId="0" applyFont="1" applyBorder="1" applyAlignment="1">
      <alignment horizontal="center"/>
    </xf>
    <xf numFmtId="5" fontId="19" fillId="0" borderId="0" xfId="0" applyNumberFormat="1" applyFont="1" applyAlignment="1">
      <alignment horizontal="center"/>
    </xf>
    <xf numFmtId="5" fontId="2" fillId="21" borderId="0" xfId="0" applyNumberFormat="1" applyFont="1" applyFill="1" applyAlignment="1">
      <alignment horizontal="center"/>
    </xf>
    <xf numFmtId="0" fontId="2" fillId="21" borderId="0" xfId="0" applyFont="1" applyFill="1" applyAlignment="1">
      <alignment horizontal="center"/>
    </xf>
    <xf numFmtId="5" fontId="2" fillId="21" borderId="1" xfId="0" applyNumberFormat="1" applyFont="1" applyFill="1" applyBorder="1" applyAlignment="1">
      <alignment horizontal="center"/>
    </xf>
    <xf numFmtId="5" fontId="2" fillId="21" borderId="0" xfId="0" applyNumberFormat="1" applyFont="1" applyFill="1"/>
    <xf numFmtId="5" fontId="39" fillId="21" borderId="0" xfId="0" applyNumberFormat="1" applyFont="1" applyFill="1" applyAlignment="1">
      <alignment horizontal="center"/>
    </xf>
  </cellXfs>
  <cellStyles count="709">
    <cellStyle name="20% - Accent1 10" xfId="92" xr:uid="{00000000-0005-0000-0000-000000000000}"/>
    <cellStyle name="20% - Accent1 11" xfId="93" xr:uid="{00000000-0005-0000-0000-000001000000}"/>
    <cellStyle name="20% - Accent1 12" xfId="94" xr:uid="{00000000-0005-0000-0000-000002000000}"/>
    <cellStyle name="20% - Accent1 13" xfId="95" xr:uid="{00000000-0005-0000-0000-000003000000}"/>
    <cellStyle name="20% - Accent1 14" xfId="96" xr:uid="{00000000-0005-0000-0000-000004000000}"/>
    <cellStyle name="20% - Accent1 15" xfId="97" xr:uid="{00000000-0005-0000-0000-000005000000}"/>
    <cellStyle name="20% - Accent1 2" xfId="98" xr:uid="{00000000-0005-0000-0000-000006000000}"/>
    <cellStyle name="20% - Accent1 3" xfId="99" xr:uid="{00000000-0005-0000-0000-000007000000}"/>
    <cellStyle name="20% - Accent1 4" xfId="100" xr:uid="{00000000-0005-0000-0000-000008000000}"/>
    <cellStyle name="20% - Accent1 5" xfId="101" xr:uid="{00000000-0005-0000-0000-000009000000}"/>
    <cellStyle name="20% - Accent1 6" xfId="102" xr:uid="{00000000-0005-0000-0000-00000A000000}"/>
    <cellStyle name="20% - Accent1 7" xfId="103" xr:uid="{00000000-0005-0000-0000-00000B000000}"/>
    <cellStyle name="20% - Accent1 8" xfId="104" xr:uid="{00000000-0005-0000-0000-00000C000000}"/>
    <cellStyle name="20% - Accent1 9" xfId="105" xr:uid="{00000000-0005-0000-0000-00000D000000}"/>
    <cellStyle name="20% - Accent2 10" xfId="106" xr:uid="{00000000-0005-0000-0000-00000E000000}"/>
    <cellStyle name="20% - Accent2 11" xfId="107" xr:uid="{00000000-0005-0000-0000-00000F000000}"/>
    <cellStyle name="20% - Accent2 12" xfId="108" xr:uid="{00000000-0005-0000-0000-000010000000}"/>
    <cellStyle name="20% - Accent2 13" xfId="109" xr:uid="{00000000-0005-0000-0000-000011000000}"/>
    <cellStyle name="20% - Accent2 14" xfId="110" xr:uid="{00000000-0005-0000-0000-000012000000}"/>
    <cellStyle name="20% - Accent2 15" xfId="111" xr:uid="{00000000-0005-0000-0000-000013000000}"/>
    <cellStyle name="20% - Accent2 2" xfId="112" xr:uid="{00000000-0005-0000-0000-000014000000}"/>
    <cellStyle name="20% - Accent2 3" xfId="113" xr:uid="{00000000-0005-0000-0000-000015000000}"/>
    <cellStyle name="20% - Accent2 4" xfId="114" xr:uid="{00000000-0005-0000-0000-000016000000}"/>
    <cellStyle name="20% - Accent2 5" xfId="115" xr:uid="{00000000-0005-0000-0000-000017000000}"/>
    <cellStyle name="20% - Accent2 6" xfId="116" xr:uid="{00000000-0005-0000-0000-000018000000}"/>
    <cellStyle name="20% - Accent2 7" xfId="117" xr:uid="{00000000-0005-0000-0000-000019000000}"/>
    <cellStyle name="20% - Accent2 8" xfId="118" xr:uid="{00000000-0005-0000-0000-00001A000000}"/>
    <cellStyle name="20% - Accent2 9" xfId="119" xr:uid="{00000000-0005-0000-0000-00001B000000}"/>
    <cellStyle name="20% - Accent3 10" xfId="120" xr:uid="{00000000-0005-0000-0000-00001C000000}"/>
    <cellStyle name="20% - Accent3 11" xfId="121" xr:uid="{00000000-0005-0000-0000-00001D000000}"/>
    <cellStyle name="20% - Accent3 12" xfId="122" xr:uid="{00000000-0005-0000-0000-00001E000000}"/>
    <cellStyle name="20% - Accent3 13" xfId="123" xr:uid="{00000000-0005-0000-0000-00001F000000}"/>
    <cellStyle name="20% - Accent3 14" xfId="124" xr:uid="{00000000-0005-0000-0000-000020000000}"/>
    <cellStyle name="20% - Accent3 15" xfId="125" xr:uid="{00000000-0005-0000-0000-000021000000}"/>
    <cellStyle name="20% - Accent3 2" xfId="126" xr:uid="{00000000-0005-0000-0000-000022000000}"/>
    <cellStyle name="20% - Accent3 3" xfId="127" xr:uid="{00000000-0005-0000-0000-000023000000}"/>
    <cellStyle name="20% - Accent3 4" xfId="128" xr:uid="{00000000-0005-0000-0000-000024000000}"/>
    <cellStyle name="20% - Accent3 5" xfId="129" xr:uid="{00000000-0005-0000-0000-000025000000}"/>
    <cellStyle name="20% - Accent3 6" xfId="130" xr:uid="{00000000-0005-0000-0000-000026000000}"/>
    <cellStyle name="20% - Accent3 7" xfId="131" xr:uid="{00000000-0005-0000-0000-000027000000}"/>
    <cellStyle name="20% - Accent3 8" xfId="132" xr:uid="{00000000-0005-0000-0000-000028000000}"/>
    <cellStyle name="20% - Accent3 9" xfId="133" xr:uid="{00000000-0005-0000-0000-000029000000}"/>
    <cellStyle name="20% - Accent4 10" xfId="134" xr:uid="{00000000-0005-0000-0000-00002A000000}"/>
    <cellStyle name="20% - Accent4 11" xfId="135" xr:uid="{00000000-0005-0000-0000-00002B000000}"/>
    <cellStyle name="20% - Accent4 12" xfId="136" xr:uid="{00000000-0005-0000-0000-00002C000000}"/>
    <cellStyle name="20% - Accent4 13" xfId="137" xr:uid="{00000000-0005-0000-0000-00002D000000}"/>
    <cellStyle name="20% - Accent4 14" xfId="138" xr:uid="{00000000-0005-0000-0000-00002E000000}"/>
    <cellStyle name="20% - Accent4 15" xfId="139" xr:uid="{00000000-0005-0000-0000-00002F000000}"/>
    <cellStyle name="20% - Accent4 2" xfId="140" xr:uid="{00000000-0005-0000-0000-000030000000}"/>
    <cellStyle name="20% - Accent4 3" xfId="141" xr:uid="{00000000-0005-0000-0000-000031000000}"/>
    <cellStyle name="20% - Accent4 4" xfId="142" xr:uid="{00000000-0005-0000-0000-000032000000}"/>
    <cellStyle name="20% - Accent4 5" xfId="143" xr:uid="{00000000-0005-0000-0000-000033000000}"/>
    <cellStyle name="20% - Accent4 6" xfId="144" xr:uid="{00000000-0005-0000-0000-000034000000}"/>
    <cellStyle name="20% - Accent4 7" xfId="145" xr:uid="{00000000-0005-0000-0000-000035000000}"/>
    <cellStyle name="20% - Accent4 8" xfId="146" xr:uid="{00000000-0005-0000-0000-000036000000}"/>
    <cellStyle name="20% - Accent4 9" xfId="147" xr:uid="{00000000-0005-0000-0000-000037000000}"/>
    <cellStyle name="20% - Accent5 10" xfId="148" xr:uid="{00000000-0005-0000-0000-000038000000}"/>
    <cellStyle name="20% - Accent5 11" xfId="149" xr:uid="{00000000-0005-0000-0000-000039000000}"/>
    <cellStyle name="20% - Accent5 12" xfId="150" xr:uid="{00000000-0005-0000-0000-00003A000000}"/>
    <cellStyle name="20% - Accent5 13" xfId="151" xr:uid="{00000000-0005-0000-0000-00003B000000}"/>
    <cellStyle name="20% - Accent5 14" xfId="152" xr:uid="{00000000-0005-0000-0000-00003C000000}"/>
    <cellStyle name="20% - Accent5 15" xfId="153" xr:uid="{00000000-0005-0000-0000-00003D000000}"/>
    <cellStyle name="20% - Accent5 2" xfId="154" xr:uid="{00000000-0005-0000-0000-00003E000000}"/>
    <cellStyle name="20% - Accent5 3" xfId="155" xr:uid="{00000000-0005-0000-0000-00003F000000}"/>
    <cellStyle name="20% - Accent5 4" xfId="156" xr:uid="{00000000-0005-0000-0000-000040000000}"/>
    <cellStyle name="20% - Accent5 5" xfId="157" xr:uid="{00000000-0005-0000-0000-000041000000}"/>
    <cellStyle name="20% - Accent5 6" xfId="158" xr:uid="{00000000-0005-0000-0000-000042000000}"/>
    <cellStyle name="20% - Accent5 7" xfId="159" xr:uid="{00000000-0005-0000-0000-000043000000}"/>
    <cellStyle name="20% - Accent5 8" xfId="160" xr:uid="{00000000-0005-0000-0000-000044000000}"/>
    <cellStyle name="20% - Accent5 9" xfId="161" xr:uid="{00000000-0005-0000-0000-000045000000}"/>
    <cellStyle name="20% - Accent6 10" xfId="162" xr:uid="{00000000-0005-0000-0000-000046000000}"/>
    <cellStyle name="20% - Accent6 11" xfId="163" xr:uid="{00000000-0005-0000-0000-000047000000}"/>
    <cellStyle name="20% - Accent6 12" xfId="164" xr:uid="{00000000-0005-0000-0000-000048000000}"/>
    <cellStyle name="20% - Accent6 13" xfId="165" xr:uid="{00000000-0005-0000-0000-000049000000}"/>
    <cellStyle name="20% - Accent6 14" xfId="166" xr:uid="{00000000-0005-0000-0000-00004A000000}"/>
    <cellStyle name="20% - Accent6 15" xfId="167" xr:uid="{00000000-0005-0000-0000-00004B000000}"/>
    <cellStyle name="20% - Accent6 2" xfId="168" xr:uid="{00000000-0005-0000-0000-00004C000000}"/>
    <cellStyle name="20% - Accent6 3" xfId="169" xr:uid="{00000000-0005-0000-0000-00004D000000}"/>
    <cellStyle name="20% - Accent6 4" xfId="170" xr:uid="{00000000-0005-0000-0000-00004E000000}"/>
    <cellStyle name="20% - Accent6 5" xfId="171" xr:uid="{00000000-0005-0000-0000-00004F000000}"/>
    <cellStyle name="20% - Accent6 6" xfId="172" xr:uid="{00000000-0005-0000-0000-000050000000}"/>
    <cellStyle name="20% - Accent6 7" xfId="173" xr:uid="{00000000-0005-0000-0000-000051000000}"/>
    <cellStyle name="20% - Accent6 8" xfId="174" xr:uid="{00000000-0005-0000-0000-000052000000}"/>
    <cellStyle name="20% - Accent6 9" xfId="175" xr:uid="{00000000-0005-0000-0000-000053000000}"/>
    <cellStyle name="40% - Accent1 10" xfId="176" xr:uid="{00000000-0005-0000-0000-000054000000}"/>
    <cellStyle name="40% - Accent1 11" xfId="177" xr:uid="{00000000-0005-0000-0000-000055000000}"/>
    <cellStyle name="40% - Accent1 12" xfId="178" xr:uid="{00000000-0005-0000-0000-000056000000}"/>
    <cellStyle name="40% - Accent1 13" xfId="179" xr:uid="{00000000-0005-0000-0000-000057000000}"/>
    <cellStyle name="40% - Accent1 14" xfId="180" xr:uid="{00000000-0005-0000-0000-000058000000}"/>
    <cellStyle name="40% - Accent1 15" xfId="181" xr:uid="{00000000-0005-0000-0000-000059000000}"/>
    <cellStyle name="40% - Accent1 2" xfId="182" xr:uid="{00000000-0005-0000-0000-00005A000000}"/>
    <cellStyle name="40% - Accent1 3" xfId="183" xr:uid="{00000000-0005-0000-0000-00005B000000}"/>
    <cellStyle name="40% - Accent1 4" xfId="184" xr:uid="{00000000-0005-0000-0000-00005C000000}"/>
    <cellStyle name="40% - Accent1 5" xfId="185" xr:uid="{00000000-0005-0000-0000-00005D000000}"/>
    <cellStyle name="40% - Accent1 6" xfId="186" xr:uid="{00000000-0005-0000-0000-00005E000000}"/>
    <cellStyle name="40% - Accent1 7" xfId="187" xr:uid="{00000000-0005-0000-0000-00005F000000}"/>
    <cellStyle name="40% - Accent1 8" xfId="188" xr:uid="{00000000-0005-0000-0000-000060000000}"/>
    <cellStyle name="40% - Accent1 9" xfId="189" xr:uid="{00000000-0005-0000-0000-000061000000}"/>
    <cellStyle name="40% - Accent2 10" xfId="190" xr:uid="{00000000-0005-0000-0000-000062000000}"/>
    <cellStyle name="40% - Accent2 11" xfId="191" xr:uid="{00000000-0005-0000-0000-000063000000}"/>
    <cellStyle name="40% - Accent2 12" xfId="192" xr:uid="{00000000-0005-0000-0000-000064000000}"/>
    <cellStyle name="40% - Accent2 13" xfId="193" xr:uid="{00000000-0005-0000-0000-000065000000}"/>
    <cellStyle name="40% - Accent2 14" xfId="194" xr:uid="{00000000-0005-0000-0000-000066000000}"/>
    <cellStyle name="40% - Accent2 15" xfId="195" xr:uid="{00000000-0005-0000-0000-000067000000}"/>
    <cellStyle name="40% - Accent2 2" xfId="196" xr:uid="{00000000-0005-0000-0000-000068000000}"/>
    <cellStyle name="40% - Accent2 3" xfId="197" xr:uid="{00000000-0005-0000-0000-000069000000}"/>
    <cellStyle name="40% - Accent2 4" xfId="198" xr:uid="{00000000-0005-0000-0000-00006A000000}"/>
    <cellStyle name="40% - Accent2 5" xfId="199" xr:uid="{00000000-0005-0000-0000-00006B000000}"/>
    <cellStyle name="40% - Accent2 6" xfId="200" xr:uid="{00000000-0005-0000-0000-00006C000000}"/>
    <cellStyle name="40% - Accent2 7" xfId="201" xr:uid="{00000000-0005-0000-0000-00006D000000}"/>
    <cellStyle name="40% - Accent2 8" xfId="202" xr:uid="{00000000-0005-0000-0000-00006E000000}"/>
    <cellStyle name="40% - Accent2 9" xfId="203" xr:uid="{00000000-0005-0000-0000-00006F000000}"/>
    <cellStyle name="40% - Accent3 10" xfId="204" xr:uid="{00000000-0005-0000-0000-000070000000}"/>
    <cellStyle name="40% - Accent3 11" xfId="205" xr:uid="{00000000-0005-0000-0000-000071000000}"/>
    <cellStyle name="40% - Accent3 12" xfId="206" xr:uid="{00000000-0005-0000-0000-000072000000}"/>
    <cellStyle name="40% - Accent3 13" xfId="207" xr:uid="{00000000-0005-0000-0000-000073000000}"/>
    <cellStyle name="40% - Accent3 14" xfId="208" xr:uid="{00000000-0005-0000-0000-000074000000}"/>
    <cellStyle name="40% - Accent3 15" xfId="209" xr:uid="{00000000-0005-0000-0000-000075000000}"/>
    <cellStyle name="40% - Accent3 2" xfId="210" xr:uid="{00000000-0005-0000-0000-000076000000}"/>
    <cellStyle name="40% - Accent3 3" xfId="211" xr:uid="{00000000-0005-0000-0000-000077000000}"/>
    <cellStyle name="40% - Accent3 4" xfId="212" xr:uid="{00000000-0005-0000-0000-000078000000}"/>
    <cellStyle name="40% - Accent3 5" xfId="213" xr:uid="{00000000-0005-0000-0000-000079000000}"/>
    <cellStyle name="40% - Accent3 6" xfId="214" xr:uid="{00000000-0005-0000-0000-00007A000000}"/>
    <cellStyle name="40% - Accent3 7" xfId="215" xr:uid="{00000000-0005-0000-0000-00007B000000}"/>
    <cellStyle name="40% - Accent3 8" xfId="216" xr:uid="{00000000-0005-0000-0000-00007C000000}"/>
    <cellStyle name="40% - Accent3 9" xfId="217" xr:uid="{00000000-0005-0000-0000-00007D000000}"/>
    <cellStyle name="40% - Accent4 10" xfId="218" xr:uid="{00000000-0005-0000-0000-00007E000000}"/>
    <cellStyle name="40% - Accent4 11" xfId="219" xr:uid="{00000000-0005-0000-0000-00007F000000}"/>
    <cellStyle name="40% - Accent4 12" xfId="220" xr:uid="{00000000-0005-0000-0000-000080000000}"/>
    <cellStyle name="40% - Accent4 13" xfId="221" xr:uid="{00000000-0005-0000-0000-000081000000}"/>
    <cellStyle name="40% - Accent4 14" xfId="222" xr:uid="{00000000-0005-0000-0000-000082000000}"/>
    <cellStyle name="40% - Accent4 15" xfId="223" xr:uid="{00000000-0005-0000-0000-000083000000}"/>
    <cellStyle name="40% - Accent4 2" xfId="224" xr:uid="{00000000-0005-0000-0000-000084000000}"/>
    <cellStyle name="40% - Accent4 3" xfId="225" xr:uid="{00000000-0005-0000-0000-000085000000}"/>
    <cellStyle name="40% - Accent4 4" xfId="226" xr:uid="{00000000-0005-0000-0000-000086000000}"/>
    <cellStyle name="40% - Accent4 5" xfId="227" xr:uid="{00000000-0005-0000-0000-000087000000}"/>
    <cellStyle name="40% - Accent4 6" xfId="228" xr:uid="{00000000-0005-0000-0000-000088000000}"/>
    <cellStyle name="40% - Accent4 7" xfId="229" xr:uid="{00000000-0005-0000-0000-000089000000}"/>
    <cellStyle name="40% - Accent4 8" xfId="230" xr:uid="{00000000-0005-0000-0000-00008A000000}"/>
    <cellStyle name="40% - Accent4 9" xfId="231" xr:uid="{00000000-0005-0000-0000-00008B000000}"/>
    <cellStyle name="40% - Accent5 10" xfId="232" xr:uid="{00000000-0005-0000-0000-00008C000000}"/>
    <cellStyle name="40% - Accent5 11" xfId="233" xr:uid="{00000000-0005-0000-0000-00008D000000}"/>
    <cellStyle name="40% - Accent5 12" xfId="234" xr:uid="{00000000-0005-0000-0000-00008E000000}"/>
    <cellStyle name="40% - Accent5 13" xfId="235" xr:uid="{00000000-0005-0000-0000-00008F000000}"/>
    <cellStyle name="40% - Accent5 14" xfId="236" xr:uid="{00000000-0005-0000-0000-000090000000}"/>
    <cellStyle name="40% - Accent5 15" xfId="237" xr:uid="{00000000-0005-0000-0000-000091000000}"/>
    <cellStyle name="40% - Accent5 2" xfId="238" xr:uid="{00000000-0005-0000-0000-000092000000}"/>
    <cellStyle name="40% - Accent5 3" xfId="239" xr:uid="{00000000-0005-0000-0000-000093000000}"/>
    <cellStyle name="40% - Accent5 4" xfId="240" xr:uid="{00000000-0005-0000-0000-000094000000}"/>
    <cellStyle name="40% - Accent5 5" xfId="241" xr:uid="{00000000-0005-0000-0000-000095000000}"/>
    <cellStyle name="40% - Accent5 6" xfId="242" xr:uid="{00000000-0005-0000-0000-000096000000}"/>
    <cellStyle name="40% - Accent5 7" xfId="243" xr:uid="{00000000-0005-0000-0000-000097000000}"/>
    <cellStyle name="40% - Accent5 8" xfId="244" xr:uid="{00000000-0005-0000-0000-000098000000}"/>
    <cellStyle name="40% - Accent5 9" xfId="245" xr:uid="{00000000-0005-0000-0000-000099000000}"/>
    <cellStyle name="40% - Accent6 10" xfId="246" xr:uid="{00000000-0005-0000-0000-00009A000000}"/>
    <cellStyle name="40% - Accent6 11" xfId="247" xr:uid="{00000000-0005-0000-0000-00009B000000}"/>
    <cellStyle name="40% - Accent6 12" xfId="248" xr:uid="{00000000-0005-0000-0000-00009C000000}"/>
    <cellStyle name="40% - Accent6 13" xfId="249" xr:uid="{00000000-0005-0000-0000-00009D000000}"/>
    <cellStyle name="40% - Accent6 14" xfId="250" xr:uid="{00000000-0005-0000-0000-00009E000000}"/>
    <cellStyle name="40% - Accent6 15" xfId="251" xr:uid="{00000000-0005-0000-0000-00009F000000}"/>
    <cellStyle name="40% - Accent6 2" xfId="252" xr:uid="{00000000-0005-0000-0000-0000A0000000}"/>
    <cellStyle name="40% - Accent6 3" xfId="253" xr:uid="{00000000-0005-0000-0000-0000A1000000}"/>
    <cellStyle name="40% - Accent6 4" xfId="254" xr:uid="{00000000-0005-0000-0000-0000A2000000}"/>
    <cellStyle name="40% - Accent6 5" xfId="255" xr:uid="{00000000-0005-0000-0000-0000A3000000}"/>
    <cellStyle name="40% - Accent6 6" xfId="256" xr:uid="{00000000-0005-0000-0000-0000A4000000}"/>
    <cellStyle name="40% - Accent6 7" xfId="257" xr:uid="{00000000-0005-0000-0000-0000A5000000}"/>
    <cellStyle name="40% - Accent6 8" xfId="258" xr:uid="{00000000-0005-0000-0000-0000A6000000}"/>
    <cellStyle name="40% - Accent6 9" xfId="259" xr:uid="{00000000-0005-0000-0000-0000A7000000}"/>
    <cellStyle name="Comma" xfId="12" builtinId="3"/>
    <cellStyle name="Comma [0] 2" xfId="7" xr:uid="{00000000-0005-0000-0000-0000A9000000}"/>
    <cellStyle name="Comma [0] 2 2" xfId="24" xr:uid="{00000000-0005-0000-0000-0000AA000000}"/>
    <cellStyle name="Comma 10" xfId="86" xr:uid="{00000000-0005-0000-0000-0000AB000000}"/>
    <cellStyle name="Comma 11" xfId="260" xr:uid="{00000000-0005-0000-0000-0000AC000000}"/>
    <cellStyle name="Comma 12" xfId="261" xr:uid="{00000000-0005-0000-0000-0000AD000000}"/>
    <cellStyle name="Comma 13" xfId="262" xr:uid="{00000000-0005-0000-0000-0000AE000000}"/>
    <cellStyle name="Comma 14" xfId="263" xr:uid="{00000000-0005-0000-0000-0000AF000000}"/>
    <cellStyle name="Comma 15" xfId="264" xr:uid="{00000000-0005-0000-0000-0000B0000000}"/>
    <cellStyle name="Comma 16" xfId="265" xr:uid="{00000000-0005-0000-0000-0000B1000000}"/>
    <cellStyle name="Comma 17" xfId="266" xr:uid="{00000000-0005-0000-0000-0000B2000000}"/>
    <cellStyle name="Comma 18" xfId="267" xr:uid="{00000000-0005-0000-0000-0000B3000000}"/>
    <cellStyle name="Comma 19" xfId="268" xr:uid="{00000000-0005-0000-0000-0000B4000000}"/>
    <cellStyle name="Comma 2" xfId="4" xr:uid="{00000000-0005-0000-0000-0000B5000000}"/>
    <cellStyle name="Comma 2 10" xfId="269" xr:uid="{00000000-0005-0000-0000-0000B6000000}"/>
    <cellStyle name="Comma 2 11" xfId="270" xr:uid="{00000000-0005-0000-0000-0000B7000000}"/>
    <cellStyle name="Comma 2 12" xfId="271" xr:uid="{00000000-0005-0000-0000-0000B8000000}"/>
    <cellStyle name="Comma 2 13" xfId="272" xr:uid="{00000000-0005-0000-0000-0000B9000000}"/>
    <cellStyle name="Comma 2 14" xfId="273" xr:uid="{00000000-0005-0000-0000-0000BA000000}"/>
    <cellStyle name="Comma 2 15" xfId="274" xr:uid="{00000000-0005-0000-0000-0000BB000000}"/>
    <cellStyle name="Comma 2 16" xfId="275" xr:uid="{00000000-0005-0000-0000-0000BC000000}"/>
    <cellStyle name="Comma 2 17" xfId="276" xr:uid="{00000000-0005-0000-0000-0000BD000000}"/>
    <cellStyle name="Comma 2 18" xfId="277" xr:uid="{00000000-0005-0000-0000-0000BE000000}"/>
    <cellStyle name="Comma 2 19" xfId="278" xr:uid="{00000000-0005-0000-0000-0000BF000000}"/>
    <cellStyle name="Comma 2 2" xfId="13" xr:uid="{00000000-0005-0000-0000-0000C0000000}"/>
    <cellStyle name="Comma 2 20" xfId="279" xr:uid="{00000000-0005-0000-0000-0000C1000000}"/>
    <cellStyle name="Comma 2 21" xfId="280" xr:uid="{00000000-0005-0000-0000-0000C2000000}"/>
    <cellStyle name="Comma 2 22" xfId="281" xr:uid="{00000000-0005-0000-0000-0000C3000000}"/>
    <cellStyle name="Comma 2 23" xfId="282" xr:uid="{00000000-0005-0000-0000-0000C4000000}"/>
    <cellStyle name="Comma 2 24" xfId="283" xr:uid="{00000000-0005-0000-0000-0000C5000000}"/>
    <cellStyle name="Comma 2 25" xfId="284" xr:uid="{00000000-0005-0000-0000-0000C6000000}"/>
    <cellStyle name="Comma 2 26" xfId="285" xr:uid="{00000000-0005-0000-0000-0000C7000000}"/>
    <cellStyle name="Comma 2 27" xfId="286" xr:uid="{00000000-0005-0000-0000-0000C8000000}"/>
    <cellStyle name="Comma 2 28" xfId="287" xr:uid="{00000000-0005-0000-0000-0000C9000000}"/>
    <cellStyle name="Comma 2 29" xfId="288" xr:uid="{00000000-0005-0000-0000-0000CA000000}"/>
    <cellStyle name="Comma 2 3" xfId="21" xr:uid="{00000000-0005-0000-0000-0000CB000000}"/>
    <cellStyle name="Comma 2 30" xfId="289" xr:uid="{00000000-0005-0000-0000-0000CC000000}"/>
    <cellStyle name="Comma 2 4" xfId="290" xr:uid="{00000000-0005-0000-0000-0000CD000000}"/>
    <cellStyle name="Comma 2 5" xfId="291" xr:uid="{00000000-0005-0000-0000-0000CE000000}"/>
    <cellStyle name="Comma 2 6" xfId="292" xr:uid="{00000000-0005-0000-0000-0000CF000000}"/>
    <cellStyle name="Comma 2 7" xfId="293" xr:uid="{00000000-0005-0000-0000-0000D0000000}"/>
    <cellStyle name="Comma 2 8" xfId="294" xr:uid="{00000000-0005-0000-0000-0000D1000000}"/>
    <cellStyle name="Comma 2 9" xfId="295" xr:uid="{00000000-0005-0000-0000-0000D2000000}"/>
    <cellStyle name="Comma 20" xfId="296" xr:uid="{00000000-0005-0000-0000-0000D3000000}"/>
    <cellStyle name="Comma 21" xfId="297" xr:uid="{00000000-0005-0000-0000-0000D4000000}"/>
    <cellStyle name="Comma 22" xfId="298" xr:uid="{00000000-0005-0000-0000-0000D5000000}"/>
    <cellStyle name="Comma 23" xfId="299" xr:uid="{00000000-0005-0000-0000-0000D6000000}"/>
    <cellStyle name="Comma 3" xfId="8" xr:uid="{00000000-0005-0000-0000-0000D7000000}"/>
    <cellStyle name="Comma 3 10" xfId="300" xr:uid="{00000000-0005-0000-0000-0000D8000000}"/>
    <cellStyle name="Comma 3 11" xfId="301" xr:uid="{00000000-0005-0000-0000-0000D9000000}"/>
    <cellStyle name="Comma 3 12" xfId="302" xr:uid="{00000000-0005-0000-0000-0000DA000000}"/>
    <cellStyle name="Comma 3 13" xfId="303" xr:uid="{00000000-0005-0000-0000-0000DB000000}"/>
    <cellStyle name="Comma 3 14" xfId="304" xr:uid="{00000000-0005-0000-0000-0000DC000000}"/>
    <cellStyle name="Comma 3 15" xfId="305" xr:uid="{00000000-0005-0000-0000-0000DD000000}"/>
    <cellStyle name="Comma 3 16" xfId="306" xr:uid="{00000000-0005-0000-0000-0000DE000000}"/>
    <cellStyle name="Comma 3 17" xfId="307" xr:uid="{00000000-0005-0000-0000-0000DF000000}"/>
    <cellStyle name="Comma 3 18" xfId="308" xr:uid="{00000000-0005-0000-0000-0000E0000000}"/>
    <cellStyle name="Comma 3 19" xfId="309" xr:uid="{00000000-0005-0000-0000-0000E1000000}"/>
    <cellStyle name="Comma 3 2" xfId="29" xr:uid="{00000000-0005-0000-0000-0000E2000000}"/>
    <cellStyle name="Comma 3 2 2" xfId="310" xr:uid="{00000000-0005-0000-0000-0000E3000000}"/>
    <cellStyle name="Comma 3 20" xfId="311" xr:uid="{00000000-0005-0000-0000-0000E4000000}"/>
    <cellStyle name="Comma 3 21" xfId="312" xr:uid="{00000000-0005-0000-0000-0000E5000000}"/>
    <cellStyle name="Comma 3 22" xfId="313" xr:uid="{00000000-0005-0000-0000-0000E6000000}"/>
    <cellStyle name="Comma 3 23" xfId="314" xr:uid="{00000000-0005-0000-0000-0000E7000000}"/>
    <cellStyle name="Comma 3 24" xfId="315" xr:uid="{00000000-0005-0000-0000-0000E8000000}"/>
    <cellStyle name="Comma 3 25" xfId="316" xr:uid="{00000000-0005-0000-0000-0000E9000000}"/>
    <cellStyle name="Comma 3 26" xfId="317" xr:uid="{00000000-0005-0000-0000-0000EA000000}"/>
    <cellStyle name="Comma 3 27" xfId="318" xr:uid="{00000000-0005-0000-0000-0000EB000000}"/>
    <cellStyle name="Comma 3 28" xfId="319" xr:uid="{00000000-0005-0000-0000-0000EC000000}"/>
    <cellStyle name="Comma 3 29" xfId="320" xr:uid="{00000000-0005-0000-0000-0000ED000000}"/>
    <cellStyle name="Comma 3 3" xfId="65" xr:uid="{00000000-0005-0000-0000-0000EE000000}"/>
    <cellStyle name="Comma 3 3 2" xfId="321" xr:uid="{00000000-0005-0000-0000-0000EF000000}"/>
    <cellStyle name="Comma 3 4" xfId="322" xr:uid="{00000000-0005-0000-0000-0000F0000000}"/>
    <cellStyle name="Comma 3 5" xfId="323" xr:uid="{00000000-0005-0000-0000-0000F1000000}"/>
    <cellStyle name="Comma 3 6" xfId="324" xr:uid="{00000000-0005-0000-0000-0000F2000000}"/>
    <cellStyle name="Comma 3 7" xfId="325" xr:uid="{00000000-0005-0000-0000-0000F3000000}"/>
    <cellStyle name="Comma 3 8" xfId="326" xr:uid="{00000000-0005-0000-0000-0000F4000000}"/>
    <cellStyle name="Comma 3 9" xfId="327" xr:uid="{00000000-0005-0000-0000-0000F5000000}"/>
    <cellStyle name="Comma 4" xfId="9" xr:uid="{00000000-0005-0000-0000-0000F6000000}"/>
    <cellStyle name="Comma 4 10" xfId="328" xr:uid="{00000000-0005-0000-0000-0000F7000000}"/>
    <cellStyle name="Comma 4 11" xfId="329" xr:uid="{00000000-0005-0000-0000-0000F8000000}"/>
    <cellStyle name="Comma 4 12" xfId="330" xr:uid="{00000000-0005-0000-0000-0000F9000000}"/>
    <cellStyle name="Comma 4 13" xfId="331" xr:uid="{00000000-0005-0000-0000-0000FA000000}"/>
    <cellStyle name="Comma 4 14" xfId="332" xr:uid="{00000000-0005-0000-0000-0000FB000000}"/>
    <cellStyle name="Comma 4 15" xfId="333" xr:uid="{00000000-0005-0000-0000-0000FC000000}"/>
    <cellStyle name="Comma 4 16" xfId="334" xr:uid="{00000000-0005-0000-0000-0000FD000000}"/>
    <cellStyle name="Comma 4 17" xfId="335" xr:uid="{00000000-0005-0000-0000-0000FE000000}"/>
    <cellStyle name="Comma 4 18" xfId="336" xr:uid="{00000000-0005-0000-0000-0000FF000000}"/>
    <cellStyle name="Comma 4 19" xfId="337" xr:uid="{00000000-0005-0000-0000-000000010000}"/>
    <cellStyle name="Comma 4 2" xfId="87" xr:uid="{00000000-0005-0000-0000-000001010000}"/>
    <cellStyle name="Comma 4 20" xfId="338" xr:uid="{00000000-0005-0000-0000-000002010000}"/>
    <cellStyle name="Comma 4 21" xfId="339" xr:uid="{00000000-0005-0000-0000-000003010000}"/>
    <cellStyle name="Comma 4 22" xfId="340" xr:uid="{00000000-0005-0000-0000-000004010000}"/>
    <cellStyle name="Comma 4 23" xfId="341" xr:uid="{00000000-0005-0000-0000-000005010000}"/>
    <cellStyle name="Comma 4 24" xfId="342" xr:uid="{00000000-0005-0000-0000-000006010000}"/>
    <cellStyle name="Comma 4 25" xfId="343" xr:uid="{00000000-0005-0000-0000-000007010000}"/>
    <cellStyle name="Comma 4 26" xfId="344" xr:uid="{00000000-0005-0000-0000-000008010000}"/>
    <cellStyle name="Comma 4 27" xfId="345" xr:uid="{00000000-0005-0000-0000-000009010000}"/>
    <cellStyle name="Comma 4 28" xfId="346" xr:uid="{00000000-0005-0000-0000-00000A010000}"/>
    <cellStyle name="Comma 4 3" xfId="347" xr:uid="{00000000-0005-0000-0000-00000B010000}"/>
    <cellStyle name="Comma 4 4" xfId="348" xr:uid="{00000000-0005-0000-0000-00000C010000}"/>
    <cellStyle name="Comma 4 5" xfId="349" xr:uid="{00000000-0005-0000-0000-00000D010000}"/>
    <cellStyle name="Comma 4 6" xfId="350" xr:uid="{00000000-0005-0000-0000-00000E010000}"/>
    <cellStyle name="Comma 4 7" xfId="351" xr:uid="{00000000-0005-0000-0000-00000F010000}"/>
    <cellStyle name="Comma 4 8" xfId="352" xr:uid="{00000000-0005-0000-0000-000010010000}"/>
    <cellStyle name="Comma 4 9" xfId="353" xr:uid="{00000000-0005-0000-0000-000011010000}"/>
    <cellStyle name="Comma 5" xfId="15" xr:uid="{00000000-0005-0000-0000-000012010000}"/>
    <cellStyle name="Comma 5 10" xfId="354" xr:uid="{00000000-0005-0000-0000-000013010000}"/>
    <cellStyle name="Comma 5 11" xfId="355" xr:uid="{00000000-0005-0000-0000-000014010000}"/>
    <cellStyle name="Comma 5 12" xfId="356" xr:uid="{00000000-0005-0000-0000-000015010000}"/>
    <cellStyle name="Comma 5 13" xfId="357" xr:uid="{00000000-0005-0000-0000-000016010000}"/>
    <cellStyle name="Comma 5 14" xfId="358" xr:uid="{00000000-0005-0000-0000-000017010000}"/>
    <cellStyle name="Comma 5 15" xfId="359" xr:uid="{00000000-0005-0000-0000-000018010000}"/>
    <cellStyle name="Comma 5 16" xfId="360" xr:uid="{00000000-0005-0000-0000-000019010000}"/>
    <cellStyle name="Comma 5 17" xfId="361" xr:uid="{00000000-0005-0000-0000-00001A010000}"/>
    <cellStyle name="Comma 5 18" xfId="362" xr:uid="{00000000-0005-0000-0000-00001B010000}"/>
    <cellStyle name="Comma 5 19" xfId="363" xr:uid="{00000000-0005-0000-0000-00001C010000}"/>
    <cellStyle name="Comma 5 2" xfId="364" xr:uid="{00000000-0005-0000-0000-00001D010000}"/>
    <cellStyle name="Comma 5 20" xfId="365" xr:uid="{00000000-0005-0000-0000-00001E010000}"/>
    <cellStyle name="Comma 5 21" xfId="366" xr:uid="{00000000-0005-0000-0000-00001F010000}"/>
    <cellStyle name="Comma 5 22" xfId="367" xr:uid="{00000000-0005-0000-0000-000020010000}"/>
    <cellStyle name="Comma 5 23" xfId="368" xr:uid="{00000000-0005-0000-0000-000021010000}"/>
    <cellStyle name="Comma 5 24" xfId="369" xr:uid="{00000000-0005-0000-0000-000022010000}"/>
    <cellStyle name="Comma 5 25" xfId="370" xr:uid="{00000000-0005-0000-0000-000023010000}"/>
    <cellStyle name="Comma 5 26" xfId="371" xr:uid="{00000000-0005-0000-0000-000024010000}"/>
    <cellStyle name="Comma 5 27" xfId="372" xr:uid="{00000000-0005-0000-0000-000025010000}"/>
    <cellStyle name="Comma 5 28" xfId="373" xr:uid="{00000000-0005-0000-0000-000026010000}"/>
    <cellStyle name="Comma 5 3" xfId="374" xr:uid="{00000000-0005-0000-0000-000027010000}"/>
    <cellStyle name="Comma 5 4" xfId="375" xr:uid="{00000000-0005-0000-0000-000028010000}"/>
    <cellStyle name="Comma 5 5" xfId="376" xr:uid="{00000000-0005-0000-0000-000029010000}"/>
    <cellStyle name="Comma 5 6" xfId="377" xr:uid="{00000000-0005-0000-0000-00002A010000}"/>
    <cellStyle name="Comma 5 7" xfId="378" xr:uid="{00000000-0005-0000-0000-00002B010000}"/>
    <cellStyle name="Comma 5 8" xfId="379" xr:uid="{00000000-0005-0000-0000-00002C010000}"/>
    <cellStyle name="Comma 5 9" xfId="380" xr:uid="{00000000-0005-0000-0000-00002D010000}"/>
    <cellStyle name="Comma 6" xfId="18" xr:uid="{00000000-0005-0000-0000-00002E010000}"/>
    <cellStyle name="Comma 7" xfId="58" xr:uid="{00000000-0005-0000-0000-00002F010000}"/>
    <cellStyle name="Comma 8" xfId="57" xr:uid="{00000000-0005-0000-0000-000030010000}"/>
    <cellStyle name="Comma 9" xfId="84" xr:uid="{00000000-0005-0000-0000-000031010000}"/>
    <cellStyle name="Comma0" xfId="381" xr:uid="{00000000-0005-0000-0000-000032010000}"/>
    <cellStyle name="Currency" xfId="1" builtinId="4"/>
    <cellStyle name="Currency 2" xfId="5" xr:uid="{00000000-0005-0000-0000-000034010000}"/>
    <cellStyle name="Currency 2 10" xfId="382" xr:uid="{00000000-0005-0000-0000-000035010000}"/>
    <cellStyle name="Currency 2 11" xfId="383" xr:uid="{00000000-0005-0000-0000-000036010000}"/>
    <cellStyle name="Currency 2 12" xfId="384" xr:uid="{00000000-0005-0000-0000-000037010000}"/>
    <cellStyle name="Currency 2 13" xfId="385" xr:uid="{00000000-0005-0000-0000-000038010000}"/>
    <cellStyle name="Currency 2 14" xfId="386" xr:uid="{00000000-0005-0000-0000-000039010000}"/>
    <cellStyle name="Currency 2 15" xfId="387" xr:uid="{00000000-0005-0000-0000-00003A010000}"/>
    <cellStyle name="Currency 2 16" xfId="388" xr:uid="{00000000-0005-0000-0000-00003B010000}"/>
    <cellStyle name="Currency 2 17" xfId="389" xr:uid="{00000000-0005-0000-0000-00003C010000}"/>
    <cellStyle name="Currency 2 18" xfId="390" xr:uid="{00000000-0005-0000-0000-00003D010000}"/>
    <cellStyle name="Currency 2 19" xfId="391" xr:uid="{00000000-0005-0000-0000-00003E010000}"/>
    <cellStyle name="Currency 2 2" xfId="27" xr:uid="{00000000-0005-0000-0000-00003F010000}"/>
    <cellStyle name="Currency 2 20" xfId="392" xr:uid="{00000000-0005-0000-0000-000040010000}"/>
    <cellStyle name="Currency 2 21" xfId="393" xr:uid="{00000000-0005-0000-0000-000041010000}"/>
    <cellStyle name="Currency 2 22" xfId="394" xr:uid="{00000000-0005-0000-0000-000042010000}"/>
    <cellStyle name="Currency 2 23" xfId="395" xr:uid="{00000000-0005-0000-0000-000043010000}"/>
    <cellStyle name="Currency 2 24" xfId="396" xr:uid="{00000000-0005-0000-0000-000044010000}"/>
    <cellStyle name="Currency 2 25" xfId="397" xr:uid="{00000000-0005-0000-0000-000045010000}"/>
    <cellStyle name="Currency 2 26" xfId="398" xr:uid="{00000000-0005-0000-0000-000046010000}"/>
    <cellStyle name="Currency 2 27" xfId="399" xr:uid="{00000000-0005-0000-0000-000047010000}"/>
    <cellStyle name="Currency 2 28" xfId="400" xr:uid="{00000000-0005-0000-0000-000048010000}"/>
    <cellStyle name="Currency 2 29" xfId="401" xr:uid="{00000000-0005-0000-0000-000049010000}"/>
    <cellStyle name="Currency 2 3" xfId="30" xr:uid="{00000000-0005-0000-0000-00004A010000}"/>
    <cellStyle name="Currency 2 30" xfId="402" xr:uid="{00000000-0005-0000-0000-00004B010000}"/>
    <cellStyle name="Currency 2 4" xfId="22" xr:uid="{00000000-0005-0000-0000-00004C010000}"/>
    <cellStyle name="Currency 2 5" xfId="403" xr:uid="{00000000-0005-0000-0000-00004D010000}"/>
    <cellStyle name="Currency 2 6" xfId="404" xr:uid="{00000000-0005-0000-0000-00004E010000}"/>
    <cellStyle name="Currency 2 7" xfId="405" xr:uid="{00000000-0005-0000-0000-00004F010000}"/>
    <cellStyle name="Currency 2 8" xfId="406" xr:uid="{00000000-0005-0000-0000-000050010000}"/>
    <cellStyle name="Currency 2 9" xfId="407" xr:uid="{00000000-0005-0000-0000-000051010000}"/>
    <cellStyle name="Currency 3" xfId="31" xr:uid="{00000000-0005-0000-0000-000052010000}"/>
    <cellStyle name="Currency 3 10" xfId="408" xr:uid="{00000000-0005-0000-0000-000053010000}"/>
    <cellStyle name="Currency 3 11" xfId="409" xr:uid="{00000000-0005-0000-0000-000054010000}"/>
    <cellStyle name="Currency 3 12" xfId="410" xr:uid="{00000000-0005-0000-0000-000055010000}"/>
    <cellStyle name="Currency 3 13" xfId="411" xr:uid="{00000000-0005-0000-0000-000056010000}"/>
    <cellStyle name="Currency 3 14" xfId="412" xr:uid="{00000000-0005-0000-0000-000057010000}"/>
    <cellStyle name="Currency 3 15" xfId="413" xr:uid="{00000000-0005-0000-0000-000058010000}"/>
    <cellStyle name="Currency 3 16" xfId="414" xr:uid="{00000000-0005-0000-0000-000059010000}"/>
    <cellStyle name="Currency 3 17" xfId="415" xr:uid="{00000000-0005-0000-0000-00005A010000}"/>
    <cellStyle name="Currency 3 18" xfId="416" xr:uid="{00000000-0005-0000-0000-00005B010000}"/>
    <cellStyle name="Currency 3 19" xfId="417" xr:uid="{00000000-0005-0000-0000-00005C010000}"/>
    <cellStyle name="Currency 3 2" xfId="418" xr:uid="{00000000-0005-0000-0000-00005D010000}"/>
    <cellStyle name="Currency 3 2 2" xfId="419" xr:uid="{00000000-0005-0000-0000-00005E010000}"/>
    <cellStyle name="Currency 3 20" xfId="420" xr:uid="{00000000-0005-0000-0000-00005F010000}"/>
    <cellStyle name="Currency 3 21" xfId="421" xr:uid="{00000000-0005-0000-0000-000060010000}"/>
    <cellStyle name="Currency 3 22" xfId="422" xr:uid="{00000000-0005-0000-0000-000061010000}"/>
    <cellStyle name="Currency 3 23" xfId="423" xr:uid="{00000000-0005-0000-0000-000062010000}"/>
    <cellStyle name="Currency 3 24" xfId="424" xr:uid="{00000000-0005-0000-0000-000063010000}"/>
    <cellStyle name="Currency 3 25" xfId="425" xr:uid="{00000000-0005-0000-0000-000064010000}"/>
    <cellStyle name="Currency 3 26" xfId="426" xr:uid="{00000000-0005-0000-0000-000065010000}"/>
    <cellStyle name="Currency 3 27" xfId="427" xr:uid="{00000000-0005-0000-0000-000066010000}"/>
    <cellStyle name="Currency 3 28" xfId="428" xr:uid="{00000000-0005-0000-0000-000067010000}"/>
    <cellStyle name="Currency 3 29" xfId="429" xr:uid="{00000000-0005-0000-0000-000068010000}"/>
    <cellStyle name="Currency 3 3" xfId="430" xr:uid="{00000000-0005-0000-0000-000069010000}"/>
    <cellStyle name="Currency 3 3 2" xfId="431" xr:uid="{00000000-0005-0000-0000-00006A010000}"/>
    <cellStyle name="Currency 3 4" xfId="432" xr:uid="{00000000-0005-0000-0000-00006B010000}"/>
    <cellStyle name="Currency 3 5" xfId="433" xr:uid="{00000000-0005-0000-0000-00006C010000}"/>
    <cellStyle name="Currency 3 6" xfId="434" xr:uid="{00000000-0005-0000-0000-00006D010000}"/>
    <cellStyle name="Currency 3 7" xfId="435" xr:uid="{00000000-0005-0000-0000-00006E010000}"/>
    <cellStyle name="Currency 3 8" xfId="436" xr:uid="{00000000-0005-0000-0000-00006F010000}"/>
    <cellStyle name="Currency 3 9" xfId="437" xr:uid="{00000000-0005-0000-0000-000070010000}"/>
    <cellStyle name="Currency 4" xfId="32" xr:uid="{00000000-0005-0000-0000-000071010000}"/>
    <cellStyle name="Currency 5" xfId="33" xr:uid="{00000000-0005-0000-0000-000072010000}"/>
    <cellStyle name="Currency 6" xfId="16" xr:uid="{00000000-0005-0000-0000-000073010000}"/>
    <cellStyle name="Currency0" xfId="438" xr:uid="{00000000-0005-0000-0000-000074010000}"/>
    <cellStyle name="Date" xfId="439" xr:uid="{00000000-0005-0000-0000-000075010000}"/>
    <cellStyle name="Fixed" xfId="440" xr:uid="{00000000-0005-0000-0000-000076010000}"/>
    <cellStyle name="Followed Hyperlink" xfId="26" builtinId="9" customBuiltin="1"/>
    <cellStyle name="Followed Hyperlink 2" xfId="60" xr:uid="{00000000-0005-0000-0000-000078010000}"/>
    <cellStyle name="Hyperlink" xfId="63" builtinId="8" customBuiltin="1"/>
    <cellStyle name="Hyperlink 2" xfId="59" xr:uid="{00000000-0005-0000-0000-00007A010000}"/>
    <cellStyle name="Hyperlink 3" xfId="85" xr:uid="{00000000-0005-0000-0000-00007B010000}"/>
    <cellStyle name="Input Cells_EXTERNAL" xfId="441" xr:uid="{00000000-0005-0000-0000-00007C010000}"/>
    <cellStyle name="Manual-Input" xfId="17" xr:uid="{00000000-0005-0000-0000-00007D010000}"/>
    <cellStyle name="Normal" xfId="0" builtinId="0"/>
    <cellStyle name="Normal 10" xfId="83" xr:uid="{00000000-0005-0000-0000-00007F010000}"/>
    <cellStyle name="Normal 10 2" xfId="90" xr:uid="{00000000-0005-0000-0000-000080010000}"/>
    <cellStyle name="Normal 11" xfId="67" xr:uid="{00000000-0005-0000-0000-000081010000}"/>
    <cellStyle name="Normal 11 2" xfId="88" xr:uid="{00000000-0005-0000-0000-000082010000}"/>
    <cellStyle name="Normal 12" xfId="72" xr:uid="{00000000-0005-0000-0000-000083010000}"/>
    <cellStyle name="Normal 12 2" xfId="89" xr:uid="{00000000-0005-0000-0000-000084010000}"/>
    <cellStyle name="Normal 13" xfId="91" xr:uid="{00000000-0005-0000-0000-000085010000}"/>
    <cellStyle name="Normal 14" xfId="442" xr:uid="{00000000-0005-0000-0000-000086010000}"/>
    <cellStyle name="Normal 15" xfId="443" xr:uid="{00000000-0005-0000-0000-000087010000}"/>
    <cellStyle name="Normal 17" xfId="444" xr:uid="{00000000-0005-0000-0000-000088010000}"/>
    <cellStyle name="Normal 18" xfId="445" xr:uid="{00000000-0005-0000-0000-000089010000}"/>
    <cellStyle name="Normal 19" xfId="446" xr:uid="{00000000-0005-0000-0000-00008A010000}"/>
    <cellStyle name="Normal 2" xfId="3" xr:uid="{00000000-0005-0000-0000-00008B010000}"/>
    <cellStyle name="Normal 2 2" xfId="10" xr:uid="{00000000-0005-0000-0000-00008C010000}"/>
    <cellStyle name="Normal 2 2 10" xfId="447" xr:uid="{00000000-0005-0000-0000-00008D010000}"/>
    <cellStyle name="Normal 2 2 11" xfId="448" xr:uid="{00000000-0005-0000-0000-00008E010000}"/>
    <cellStyle name="Normal 2 2 12" xfId="449" xr:uid="{00000000-0005-0000-0000-00008F010000}"/>
    <cellStyle name="Normal 2 2 13" xfId="450" xr:uid="{00000000-0005-0000-0000-000090010000}"/>
    <cellStyle name="Normal 2 2 14" xfId="451" xr:uid="{00000000-0005-0000-0000-000091010000}"/>
    <cellStyle name="Normal 2 2 15" xfId="452" xr:uid="{00000000-0005-0000-0000-000092010000}"/>
    <cellStyle name="Normal 2 2 16" xfId="453" xr:uid="{00000000-0005-0000-0000-000093010000}"/>
    <cellStyle name="Normal 2 2 17" xfId="454" xr:uid="{00000000-0005-0000-0000-000094010000}"/>
    <cellStyle name="Normal 2 2 18" xfId="455" xr:uid="{00000000-0005-0000-0000-000095010000}"/>
    <cellStyle name="Normal 2 2 19" xfId="456" xr:uid="{00000000-0005-0000-0000-000096010000}"/>
    <cellStyle name="Normal 2 2 2" xfId="34" xr:uid="{00000000-0005-0000-0000-000097010000}"/>
    <cellStyle name="Normal 2 2 2 2" xfId="457" xr:uid="{00000000-0005-0000-0000-000098010000}"/>
    <cellStyle name="Normal 2 2 20" xfId="458" xr:uid="{00000000-0005-0000-0000-000099010000}"/>
    <cellStyle name="Normal 2 2 21" xfId="459" xr:uid="{00000000-0005-0000-0000-00009A010000}"/>
    <cellStyle name="Normal 2 2 22" xfId="460" xr:uid="{00000000-0005-0000-0000-00009B010000}"/>
    <cellStyle name="Normal 2 2 23" xfId="461" xr:uid="{00000000-0005-0000-0000-00009C010000}"/>
    <cellStyle name="Normal 2 2 24" xfId="462" xr:uid="{00000000-0005-0000-0000-00009D010000}"/>
    <cellStyle name="Normal 2 2 25" xfId="463" xr:uid="{00000000-0005-0000-0000-00009E010000}"/>
    <cellStyle name="Normal 2 2 26" xfId="464" xr:uid="{00000000-0005-0000-0000-00009F010000}"/>
    <cellStyle name="Normal 2 2 27" xfId="465" xr:uid="{00000000-0005-0000-0000-0000A0010000}"/>
    <cellStyle name="Normal 2 2 28" xfId="466" xr:uid="{00000000-0005-0000-0000-0000A1010000}"/>
    <cellStyle name="Normal 2 2 29" xfId="467" xr:uid="{00000000-0005-0000-0000-0000A2010000}"/>
    <cellStyle name="Normal 2 2 3" xfId="62" xr:uid="{00000000-0005-0000-0000-0000A3010000}"/>
    <cellStyle name="Normal 2 2 4" xfId="71" xr:uid="{00000000-0005-0000-0000-0000A4010000}"/>
    <cellStyle name="Normal 2 2 5" xfId="76" xr:uid="{00000000-0005-0000-0000-0000A5010000}"/>
    <cellStyle name="Normal 2 2 6" xfId="80" xr:uid="{00000000-0005-0000-0000-0000A6010000}"/>
    <cellStyle name="Normal 2 2 7" xfId="468" xr:uid="{00000000-0005-0000-0000-0000A7010000}"/>
    <cellStyle name="Normal 2 2 8" xfId="469" xr:uid="{00000000-0005-0000-0000-0000A8010000}"/>
    <cellStyle name="Normal 2 2 9" xfId="470" xr:uid="{00000000-0005-0000-0000-0000A9010000}"/>
    <cellStyle name="Normal 2 3" xfId="61" xr:uid="{00000000-0005-0000-0000-0000AA010000}"/>
    <cellStyle name="Normal 2 4" xfId="56" xr:uid="{00000000-0005-0000-0000-0000AB010000}"/>
    <cellStyle name="Normal 2 5" xfId="68" xr:uid="{00000000-0005-0000-0000-0000AC010000}"/>
    <cellStyle name="Normal 2 6" xfId="73" xr:uid="{00000000-0005-0000-0000-0000AD010000}"/>
    <cellStyle name="Normal 2 7" xfId="77" xr:uid="{00000000-0005-0000-0000-0000AE010000}"/>
    <cellStyle name="Normal 2 8" xfId="81" xr:uid="{00000000-0005-0000-0000-0000AF010000}"/>
    <cellStyle name="Normal 20" xfId="471" xr:uid="{00000000-0005-0000-0000-0000B0010000}"/>
    <cellStyle name="Normal 21" xfId="472" xr:uid="{00000000-0005-0000-0000-0000B1010000}"/>
    <cellStyle name="Normal 22" xfId="473" xr:uid="{00000000-0005-0000-0000-0000B2010000}"/>
    <cellStyle name="Normal 23" xfId="474" xr:uid="{00000000-0005-0000-0000-0000B3010000}"/>
    <cellStyle name="Normal 25" xfId="475" xr:uid="{00000000-0005-0000-0000-0000B4010000}"/>
    <cellStyle name="Normal 26" xfId="476" xr:uid="{00000000-0005-0000-0000-0000B5010000}"/>
    <cellStyle name="Normal 29" xfId="477" xr:uid="{00000000-0005-0000-0000-0000B6010000}"/>
    <cellStyle name="Normal 3" xfId="11" xr:uid="{00000000-0005-0000-0000-0000B7010000}"/>
    <cellStyle name="Normal 3 10" xfId="478" xr:uid="{00000000-0005-0000-0000-0000B8010000}"/>
    <cellStyle name="Normal 3 11" xfId="479" xr:uid="{00000000-0005-0000-0000-0000B9010000}"/>
    <cellStyle name="Normal 3 12" xfId="480" xr:uid="{00000000-0005-0000-0000-0000BA010000}"/>
    <cellStyle name="Normal 3 13" xfId="481" xr:uid="{00000000-0005-0000-0000-0000BB010000}"/>
    <cellStyle name="Normal 3 14" xfId="482" xr:uid="{00000000-0005-0000-0000-0000BC010000}"/>
    <cellStyle name="Normal 3 15" xfId="483" xr:uid="{00000000-0005-0000-0000-0000BD010000}"/>
    <cellStyle name="Normal 3 16" xfId="484" xr:uid="{00000000-0005-0000-0000-0000BE010000}"/>
    <cellStyle name="Normal 3 17" xfId="485" xr:uid="{00000000-0005-0000-0000-0000BF010000}"/>
    <cellStyle name="Normal 3 18" xfId="486" xr:uid="{00000000-0005-0000-0000-0000C0010000}"/>
    <cellStyle name="Normal 3 19" xfId="487" xr:uid="{00000000-0005-0000-0000-0000C1010000}"/>
    <cellStyle name="Normal 3 2" xfId="25" xr:uid="{00000000-0005-0000-0000-0000C2010000}"/>
    <cellStyle name="Normal 3 20" xfId="488" xr:uid="{00000000-0005-0000-0000-0000C3010000}"/>
    <cellStyle name="Normal 3 21" xfId="489" xr:uid="{00000000-0005-0000-0000-0000C4010000}"/>
    <cellStyle name="Normal 3 22" xfId="490" xr:uid="{00000000-0005-0000-0000-0000C5010000}"/>
    <cellStyle name="Normal 3 23" xfId="491" xr:uid="{00000000-0005-0000-0000-0000C6010000}"/>
    <cellStyle name="Normal 3 24" xfId="492" xr:uid="{00000000-0005-0000-0000-0000C7010000}"/>
    <cellStyle name="Normal 3 25" xfId="493" xr:uid="{00000000-0005-0000-0000-0000C8010000}"/>
    <cellStyle name="Normal 3 26" xfId="494" xr:uid="{00000000-0005-0000-0000-0000C9010000}"/>
    <cellStyle name="Normal 3 27" xfId="495" xr:uid="{00000000-0005-0000-0000-0000CA010000}"/>
    <cellStyle name="Normal 3 28" xfId="496" xr:uid="{00000000-0005-0000-0000-0000CB010000}"/>
    <cellStyle name="Normal 3 29" xfId="497" xr:uid="{00000000-0005-0000-0000-0000CC010000}"/>
    <cellStyle name="Normal 3 3" xfId="19" xr:uid="{00000000-0005-0000-0000-0000CD010000}"/>
    <cellStyle name="Normal 3 30" xfId="498" xr:uid="{00000000-0005-0000-0000-0000CE010000}"/>
    <cellStyle name="Normal 3 31" xfId="499" xr:uid="{00000000-0005-0000-0000-0000CF010000}"/>
    <cellStyle name="Normal 3 4" xfId="66" xr:uid="{00000000-0005-0000-0000-0000D0010000}"/>
    <cellStyle name="Normal 3 5" xfId="69" xr:uid="{00000000-0005-0000-0000-0000D1010000}"/>
    <cellStyle name="Normal 3 6" xfId="74" xr:uid="{00000000-0005-0000-0000-0000D2010000}"/>
    <cellStyle name="Normal 3 7" xfId="78" xr:uid="{00000000-0005-0000-0000-0000D3010000}"/>
    <cellStyle name="Normal 3 8" xfId="82" xr:uid="{00000000-0005-0000-0000-0000D4010000}"/>
    <cellStyle name="Normal 3 9" xfId="500" xr:uid="{00000000-0005-0000-0000-0000D5010000}"/>
    <cellStyle name="Normal 3_GRCW" xfId="35" xr:uid="{00000000-0005-0000-0000-0000D6010000}"/>
    <cellStyle name="Normal 30" xfId="501" xr:uid="{00000000-0005-0000-0000-0000D7010000}"/>
    <cellStyle name="Normal 4" xfId="20" xr:uid="{00000000-0005-0000-0000-0000D8010000}"/>
    <cellStyle name="Normal 4 10" xfId="502" xr:uid="{00000000-0005-0000-0000-0000D9010000}"/>
    <cellStyle name="Normal 4 11" xfId="503" xr:uid="{00000000-0005-0000-0000-0000DA010000}"/>
    <cellStyle name="Normal 4 12" xfId="504" xr:uid="{00000000-0005-0000-0000-0000DB010000}"/>
    <cellStyle name="Normal 4 13" xfId="505" xr:uid="{00000000-0005-0000-0000-0000DC010000}"/>
    <cellStyle name="Normal 4 14" xfId="506" xr:uid="{00000000-0005-0000-0000-0000DD010000}"/>
    <cellStyle name="Normal 4 15" xfId="507" xr:uid="{00000000-0005-0000-0000-0000DE010000}"/>
    <cellStyle name="Normal 4 16" xfId="508" xr:uid="{00000000-0005-0000-0000-0000DF010000}"/>
    <cellStyle name="Normal 4 17" xfId="509" xr:uid="{00000000-0005-0000-0000-0000E0010000}"/>
    <cellStyle name="Normal 4 18" xfId="510" xr:uid="{00000000-0005-0000-0000-0000E1010000}"/>
    <cellStyle name="Normal 4 19" xfId="511" xr:uid="{00000000-0005-0000-0000-0000E2010000}"/>
    <cellStyle name="Normal 4 2" xfId="512" xr:uid="{00000000-0005-0000-0000-0000E3010000}"/>
    <cellStyle name="Normal 4 20" xfId="513" xr:uid="{00000000-0005-0000-0000-0000E4010000}"/>
    <cellStyle name="Normal 4 21" xfId="514" xr:uid="{00000000-0005-0000-0000-0000E5010000}"/>
    <cellStyle name="Normal 4 22" xfId="515" xr:uid="{00000000-0005-0000-0000-0000E6010000}"/>
    <cellStyle name="Normal 4 23" xfId="516" xr:uid="{00000000-0005-0000-0000-0000E7010000}"/>
    <cellStyle name="Normal 4 24" xfId="517" xr:uid="{00000000-0005-0000-0000-0000E8010000}"/>
    <cellStyle name="Normal 4 25" xfId="518" xr:uid="{00000000-0005-0000-0000-0000E9010000}"/>
    <cellStyle name="Normal 4 26" xfId="519" xr:uid="{00000000-0005-0000-0000-0000EA010000}"/>
    <cellStyle name="Normal 4 27" xfId="520" xr:uid="{00000000-0005-0000-0000-0000EB010000}"/>
    <cellStyle name="Normal 4 28" xfId="521" xr:uid="{00000000-0005-0000-0000-0000EC010000}"/>
    <cellStyle name="Normal 4 29" xfId="522" xr:uid="{00000000-0005-0000-0000-0000ED010000}"/>
    <cellStyle name="Normal 4 3" xfId="523" xr:uid="{00000000-0005-0000-0000-0000EE010000}"/>
    <cellStyle name="Normal 4 4" xfId="524" xr:uid="{00000000-0005-0000-0000-0000EF010000}"/>
    <cellStyle name="Normal 4 5" xfId="525" xr:uid="{00000000-0005-0000-0000-0000F0010000}"/>
    <cellStyle name="Normal 4 6" xfId="526" xr:uid="{00000000-0005-0000-0000-0000F1010000}"/>
    <cellStyle name="Normal 4 7" xfId="527" xr:uid="{00000000-0005-0000-0000-0000F2010000}"/>
    <cellStyle name="Normal 4 8" xfId="528" xr:uid="{00000000-0005-0000-0000-0000F3010000}"/>
    <cellStyle name="Normal 4 9" xfId="529" xr:uid="{00000000-0005-0000-0000-0000F4010000}"/>
    <cellStyle name="Normal 5" xfId="36" xr:uid="{00000000-0005-0000-0000-0000F5010000}"/>
    <cellStyle name="Normal 5 10" xfId="530" xr:uid="{00000000-0005-0000-0000-0000F6010000}"/>
    <cellStyle name="Normal 5 11" xfId="531" xr:uid="{00000000-0005-0000-0000-0000F7010000}"/>
    <cellStyle name="Normal 5 12" xfId="532" xr:uid="{00000000-0005-0000-0000-0000F8010000}"/>
    <cellStyle name="Normal 5 13" xfId="533" xr:uid="{00000000-0005-0000-0000-0000F9010000}"/>
    <cellStyle name="Normal 5 14" xfId="534" xr:uid="{00000000-0005-0000-0000-0000FA010000}"/>
    <cellStyle name="Normal 5 15" xfId="535" xr:uid="{00000000-0005-0000-0000-0000FB010000}"/>
    <cellStyle name="Normal 5 16" xfId="536" xr:uid="{00000000-0005-0000-0000-0000FC010000}"/>
    <cellStyle name="Normal 5 17" xfId="537" xr:uid="{00000000-0005-0000-0000-0000FD010000}"/>
    <cellStyle name="Normal 5 18" xfId="538" xr:uid="{00000000-0005-0000-0000-0000FE010000}"/>
    <cellStyle name="Normal 5 19" xfId="539" xr:uid="{00000000-0005-0000-0000-0000FF010000}"/>
    <cellStyle name="Normal 5 2" xfId="37" xr:uid="{00000000-0005-0000-0000-000000020000}"/>
    <cellStyle name="Normal 5 20" xfId="540" xr:uid="{00000000-0005-0000-0000-000001020000}"/>
    <cellStyle name="Normal 5 21" xfId="541" xr:uid="{00000000-0005-0000-0000-000002020000}"/>
    <cellStyle name="Normal 5 22" xfId="542" xr:uid="{00000000-0005-0000-0000-000003020000}"/>
    <cellStyle name="Normal 5 23" xfId="543" xr:uid="{00000000-0005-0000-0000-000004020000}"/>
    <cellStyle name="Normal 5 24" xfId="544" xr:uid="{00000000-0005-0000-0000-000005020000}"/>
    <cellStyle name="Normal 5 25" xfId="545" xr:uid="{00000000-0005-0000-0000-000006020000}"/>
    <cellStyle name="Normal 5 26" xfId="546" xr:uid="{00000000-0005-0000-0000-000007020000}"/>
    <cellStyle name="Normal 5 27" xfId="547" xr:uid="{00000000-0005-0000-0000-000008020000}"/>
    <cellStyle name="Normal 5 28" xfId="548" xr:uid="{00000000-0005-0000-0000-000009020000}"/>
    <cellStyle name="Normal 5 29" xfId="549" xr:uid="{00000000-0005-0000-0000-00000A020000}"/>
    <cellStyle name="Normal 5 3" xfId="550" xr:uid="{00000000-0005-0000-0000-00000B020000}"/>
    <cellStyle name="Normal 5 4" xfId="551" xr:uid="{00000000-0005-0000-0000-00000C020000}"/>
    <cellStyle name="Normal 5 5" xfId="552" xr:uid="{00000000-0005-0000-0000-00000D020000}"/>
    <cellStyle name="Normal 5 6" xfId="553" xr:uid="{00000000-0005-0000-0000-00000E020000}"/>
    <cellStyle name="Normal 5 7" xfId="554" xr:uid="{00000000-0005-0000-0000-00000F020000}"/>
    <cellStyle name="Normal 5 8" xfId="555" xr:uid="{00000000-0005-0000-0000-000010020000}"/>
    <cellStyle name="Normal 5 9" xfId="556" xr:uid="{00000000-0005-0000-0000-000011020000}"/>
    <cellStyle name="Normal 5_GRCW" xfId="38" xr:uid="{00000000-0005-0000-0000-000012020000}"/>
    <cellStyle name="Normal 6" xfId="39" xr:uid="{00000000-0005-0000-0000-000013020000}"/>
    <cellStyle name="Normal 6 2" xfId="70" xr:uid="{00000000-0005-0000-0000-000014020000}"/>
    <cellStyle name="Normal 6 3" xfId="75" xr:uid="{00000000-0005-0000-0000-000015020000}"/>
    <cellStyle name="Normal 6 4" xfId="79" xr:uid="{00000000-0005-0000-0000-000016020000}"/>
    <cellStyle name="Normal 7" xfId="40" xr:uid="{00000000-0005-0000-0000-000017020000}"/>
    <cellStyle name="Normal 8" xfId="41" xr:uid="{00000000-0005-0000-0000-000018020000}"/>
    <cellStyle name="Normal 9" xfId="42" xr:uid="{00000000-0005-0000-0000-000019020000}"/>
    <cellStyle name="Note 2" xfId="557" xr:uid="{00000000-0005-0000-0000-00001A020000}"/>
    <cellStyle name="Note 2 10" xfId="558" xr:uid="{00000000-0005-0000-0000-00001B020000}"/>
    <cellStyle name="Note 2 11" xfId="559" xr:uid="{00000000-0005-0000-0000-00001C020000}"/>
    <cellStyle name="Note 2 12" xfId="560" xr:uid="{00000000-0005-0000-0000-00001D020000}"/>
    <cellStyle name="Note 2 13" xfId="561" xr:uid="{00000000-0005-0000-0000-00001E020000}"/>
    <cellStyle name="Note 2 14" xfId="562" xr:uid="{00000000-0005-0000-0000-00001F020000}"/>
    <cellStyle name="Note 2 15" xfId="563" xr:uid="{00000000-0005-0000-0000-000020020000}"/>
    <cellStyle name="Note 2 2" xfId="564" xr:uid="{00000000-0005-0000-0000-000021020000}"/>
    <cellStyle name="Note 2 3" xfId="565" xr:uid="{00000000-0005-0000-0000-000022020000}"/>
    <cellStyle name="Note 2 4" xfId="566" xr:uid="{00000000-0005-0000-0000-000023020000}"/>
    <cellStyle name="Note 2 5" xfId="567" xr:uid="{00000000-0005-0000-0000-000024020000}"/>
    <cellStyle name="Note 2 6" xfId="568" xr:uid="{00000000-0005-0000-0000-000025020000}"/>
    <cellStyle name="Note 2 7" xfId="569" xr:uid="{00000000-0005-0000-0000-000026020000}"/>
    <cellStyle name="Note 2 8" xfId="570" xr:uid="{00000000-0005-0000-0000-000027020000}"/>
    <cellStyle name="Note 2 9" xfId="571" xr:uid="{00000000-0005-0000-0000-000028020000}"/>
    <cellStyle name="Percent" xfId="2" builtinId="5"/>
    <cellStyle name="Percent 2" xfId="6" xr:uid="{00000000-0005-0000-0000-00002A020000}"/>
    <cellStyle name="Percent 2 10" xfId="572" xr:uid="{00000000-0005-0000-0000-00002B020000}"/>
    <cellStyle name="Percent 2 11" xfId="573" xr:uid="{00000000-0005-0000-0000-00002C020000}"/>
    <cellStyle name="Percent 2 12" xfId="574" xr:uid="{00000000-0005-0000-0000-00002D020000}"/>
    <cellStyle name="Percent 2 13" xfId="575" xr:uid="{00000000-0005-0000-0000-00002E020000}"/>
    <cellStyle name="Percent 2 14" xfId="576" xr:uid="{00000000-0005-0000-0000-00002F020000}"/>
    <cellStyle name="Percent 2 15" xfId="577" xr:uid="{00000000-0005-0000-0000-000030020000}"/>
    <cellStyle name="Percent 2 16" xfId="578" xr:uid="{00000000-0005-0000-0000-000031020000}"/>
    <cellStyle name="Percent 2 17" xfId="579" xr:uid="{00000000-0005-0000-0000-000032020000}"/>
    <cellStyle name="Percent 2 18" xfId="580" xr:uid="{00000000-0005-0000-0000-000033020000}"/>
    <cellStyle name="Percent 2 19" xfId="581" xr:uid="{00000000-0005-0000-0000-000034020000}"/>
    <cellStyle name="Percent 2 2" xfId="14" xr:uid="{00000000-0005-0000-0000-000035020000}"/>
    <cellStyle name="Percent 2 2 10" xfId="582" xr:uid="{00000000-0005-0000-0000-000036020000}"/>
    <cellStyle name="Percent 2 2 11" xfId="583" xr:uid="{00000000-0005-0000-0000-000037020000}"/>
    <cellStyle name="Percent 2 2 12" xfId="584" xr:uid="{00000000-0005-0000-0000-000038020000}"/>
    <cellStyle name="Percent 2 2 13" xfId="585" xr:uid="{00000000-0005-0000-0000-000039020000}"/>
    <cellStyle name="Percent 2 2 14" xfId="586" xr:uid="{00000000-0005-0000-0000-00003A020000}"/>
    <cellStyle name="Percent 2 2 15" xfId="587" xr:uid="{00000000-0005-0000-0000-00003B020000}"/>
    <cellStyle name="Percent 2 2 16" xfId="588" xr:uid="{00000000-0005-0000-0000-00003C020000}"/>
    <cellStyle name="Percent 2 2 17" xfId="589" xr:uid="{00000000-0005-0000-0000-00003D020000}"/>
    <cellStyle name="Percent 2 2 18" xfId="590" xr:uid="{00000000-0005-0000-0000-00003E020000}"/>
    <cellStyle name="Percent 2 2 19" xfId="591" xr:uid="{00000000-0005-0000-0000-00003F020000}"/>
    <cellStyle name="Percent 2 2 2" xfId="28" xr:uid="{00000000-0005-0000-0000-000040020000}"/>
    <cellStyle name="Percent 2 2 20" xfId="592" xr:uid="{00000000-0005-0000-0000-000041020000}"/>
    <cellStyle name="Percent 2 2 21" xfId="593" xr:uid="{00000000-0005-0000-0000-000042020000}"/>
    <cellStyle name="Percent 2 2 22" xfId="594" xr:uid="{00000000-0005-0000-0000-000043020000}"/>
    <cellStyle name="Percent 2 2 23" xfId="595" xr:uid="{00000000-0005-0000-0000-000044020000}"/>
    <cellStyle name="Percent 2 2 24" xfId="596" xr:uid="{00000000-0005-0000-0000-000045020000}"/>
    <cellStyle name="Percent 2 2 25" xfId="597" xr:uid="{00000000-0005-0000-0000-000046020000}"/>
    <cellStyle name="Percent 2 2 26" xfId="598" xr:uid="{00000000-0005-0000-0000-000047020000}"/>
    <cellStyle name="Percent 2 2 27" xfId="599" xr:uid="{00000000-0005-0000-0000-000048020000}"/>
    <cellStyle name="Percent 2 2 28" xfId="600" xr:uid="{00000000-0005-0000-0000-000049020000}"/>
    <cellStyle name="Percent 2 2 3" xfId="601" xr:uid="{00000000-0005-0000-0000-00004A020000}"/>
    <cellStyle name="Percent 2 2 4" xfId="602" xr:uid="{00000000-0005-0000-0000-00004B020000}"/>
    <cellStyle name="Percent 2 2 5" xfId="603" xr:uid="{00000000-0005-0000-0000-00004C020000}"/>
    <cellStyle name="Percent 2 2 6" xfId="604" xr:uid="{00000000-0005-0000-0000-00004D020000}"/>
    <cellStyle name="Percent 2 2 7" xfId="605" xr:uid="{00000000-0005-0000-0000-00004E020000}"/>
    <cellStyle name="Percent 2 2 8" xfId="606" xr:uid="{00000000-0005-0000-0000-00004F020000}"/>
    <cellStyle name="Percent 2 2 9" xfId="607" xr:uid="{00000000-0005-0000-0000-000050020000}"/>
    <cellStyle name="Percent 2 20" xfId="608" xr:uid="{00000000-0005-0000-0000-000051020000}"/>
    <cellStyle name="Percent 2 21" xfId="609" xr:uid="{00000000-0005-0000-0000-000052020000}"/>
    <cellStyle name="Percent 2 22" xfId="610" xr:uid="{00000000-0005-0000-0000-000053020000}"/>
    <cellStyle name="Percent 2 23" xfId="611" xr:uid="{00000000-0005-0000-0000-000054020000}"/>
    <cellStyle name="Percent 2 24" xfId="612" xr:uid="{00000000-0005-0000-0000-000055020000}"/>
    <cellStyle name="Percent 2 25" xfId="613" xr:uid="{00000000-0005-0000-0000-000056020000}"/>
    <cellStyle name="Percent 2 26" xfId="614" xr:uid="{00000000-0005-0000-0000-000057020000}"/>
    <cellStyle name="Percent 2 27" xfId="615" xr:uid="{00000000-0005-0000-0000-000058020000}"/>
    <cellStyle name="Percent 2 28" xfId="616" xr:uid="{00000000-0005-0000-0000-000059020000}"/>
    <cellStyle name="Percent 2 29" xfId="617" xr:uid="{00000000-0005-0000-0000-00005A020000}"/>
    <cellStyle name="Percent 2 3" xfId="23" xr:uid="{00000000-0005-0000-0000-00005B020000}"/>
    <cellStyle name="Percent 2 30" xfId="618" xr:uid="{00000000-0005-0000-0000-00005C020000}"/>
    <cellStyle name="Percent 2 31" xfId="619" xr:uid="{00000000-0005-0000-0000-00005D020000}"/>
    <cellStyle name="Percent 2 4" xfId="620" xr:uid="{00000000-0005-0000-0000-00005E020000}"/>
    <cellStyle name="Percent 2 5" xfId="621" xr:uid="{00000000-0005-0000-0000-00005F020000}"/>
    <cellStyle name="Percent 2 6" xfId="622" xr:uid="{00000000-0005-0000-0000-000060020000}"/>
    <cellStyle name="Percent 2 7" xfId="623" xr:uid="{00000000-0005-0000-0000-000061020000}"/>
    <cellStyle name="Percent 2 8" xfId="624" xr:uid="{00000000-0005-0000-0000-000062020000}"/>
    <cellStyle name="Percent 2 9" xfId="625" xr:uid="{00000000-0005-0000-0000-000063020000}"/>
    <cellStyle name="Percent 3" xfId="43" xr:uid="{00000000-0005-0000-0000-000064020000}"/>
    <cellStyle name="Percent 3 10" xfId="626" xr:uid="{00000000-0005-0000-0000-000065020000}"/>
    <cellStyle name="Percent 3 11" xfId="627" xr:uid="{00000000-0005-0000-0000-000066020000}"/>
    <cellStyle name="Percent 3 12" xfId="628" xr:uid="{00000000-0005-0000-0000-000067020000}"/>
    <cellStyle name="Percent 3 13" xfId="629" xr:uid="{00000000-0005-0000-0000-000068020000}"/>
    <cellStyle name="Percent 3 14" xfId="630" xr:uid="{00000000-0005-0000-0000-000069020000}"/>
    <cellStyle name="Percent 3 15" xfId="631" xr:uid="{00000000-0005-0000-0000-00006A020000}"/>
    <cellStyle name="Percent 3 16" xfId="632" xr:uid="{00000000-0005-0000-0000-00006B020000}"/>
    <cellStyle name="Percent 3 17" xfId="633" xr:uid="{00000000-0005-0000-0000-00006C020000}"/>
    <cellStyle name="Percent 3 18" xfId="634" xr:uid="{00000000-0005-0000-0000-00006D020000}"/>
    <cellStyle name="Percent 3 19" xfId="635" xr:uid="{00000000-0005-0000-0000-00006E020000}"/>
    <cellStyle name="Percent 3 2" xfId="44" xr:uid="{00000000-0005-0000-0000-00006F020000}"/>
    <cellStyle name="Percent 3 20" xfId="636" xr:uid="{00000000-0005-0000-0000-000070020000}"/>
    <cellStyle name="Percent 3 21" xfId="637" xr:uid="{00000000-0005-0000-0000-000071020000}"/>
    <cellStyle name="Percent 3 22" xfId="638" xr:uid="{00000000-0005-0000-0000-000072020000}"/>
    <cellStyle name="Percent 3 23" xfId="639" xr:uid="{00000000-0005-0000-0000-000073020000}"/>
    <cellStyle name="Percent 3 24" xfId="640" xr:uid="{00000000-0005-0000-0000-000074020000}"/>
    <cellStyle name="Percent 3 25" xfId="641" xr:uid="{00000000-0005-0000-0000-000075020000}"/>
    <cellStyle name="Percent 3 26" xfId="642" xr:uid="{00000000-0005-0000-0000-000076020000}"/>
    <cellStyle name="Percent 3 27" xfId="643" xr:uid="{00000000-0005-0000-0000-000077020000}"/>
    <cellStyle name="Percent 3 28" xfId="644" xr:uid="{00000000-0005-0000-0000-000078020000}"/>
    <cellStyle name="Percent 3 29" xfId="645" xr:uid="{00000000-0005-0000-0000-000079020000}"/>
    <cellStyle name="Percent 3 3" xfId="64" xr:uid="{00000000-0005-0000-0000-00007A020000}"/>
    <cellStyle name="Percent 3 3 2" xfId="646" xr:uid="{00000000-0005-0000-0000-00007B020000}"/>
    <cellStyle name="Percent 3 30" xfId="647" xr:uid="{00000000-0005-0000-0000-00007C020000}"/>
    <cellStyle name="Percent 3 4" xfId="648" xr:uid="{00000000-0005-0000-0000-00007D020000}"/>
    <cellStyle name="Percent 3 4 2" xfId="649" xr:uid="{00000000-0005-0000-0000-00007E020000}"/>
    <cellStyle name="Percent 3 5" xfId="650" xr:uid="{00000000-0005-0000-0000-00007F020000}"/>
    <cellStyle name="Percent 3 6" xfId="651" xr:uid="{00000000-0005-0000-0000-000080020000}"/>
    <cellStyle name="Percent 3 7" xfId="652" xr:uid="{00000000-0005-0000-0000-000081020000}"/>
    <cellStyle name="Percent 3 8" xfId="653" xr:uid="{00000000-0005-0000-0000-000082020000}"/>
    <cellStyle name="Percent 3 9" xfId="654" xr:uid="{00000000-0005-0000-0000-000083020000}"/>
    <cellStyle name="Percent 4" xfId="45" xr:uid="{00000000-0005-0000-0000-000084020000}"/>
    <cellStyle name="Percent 4 10" xfId="655" xr:uid="{00000000-0005-0000-0000-000085020000}"/>
    <cellStyle name="Percent 4 11" xfId="656" xr:uid="{00000000-0005-0000-0000-000086020000}"/>
    <cellStyle name="Percent 4 12" xfId="657" xr:uid="{00000000-0005-0000-0000-000087020000}"/>
    <cellStyle name="Percent 4 13" xfId="658" xr:uid="{00000000-0005-0000-0000-000088020000}"/>
    <cellStyle name="Percent 4 14" xfId="659" xr:uid="{00000000-0005-0000-0000-000089020000}"/>
    <cellStyle name="Percent 4 15" xfId="660" xr:uid="{00000000-0005-0000-0000-00008A020000}"/>
    <cellStyle name="Percent 4 16" xfId="661" xr:uid="{00000000-0005-0000-0000-00008B020000}"/>
    <cellStyle name="Percent 4 17" xfId="662" xr:uid="{00000000-0005-0000-0000-00008C020000}"/>
    <cellStyle name="Percent 4 18" xfId="663" xr:uid="{00000000-0005-0000-0000-00008D020000}"/>
    <cellStyle name="Percent 4 19" xfId="664" xr:uid="{00000000-0005-0000-0000-00008E020000}"/>
    <cellStyle name="Percent 4 2" xfId="665" xr:uid="{00000000-0005-0000-0000-00008F020000}"/>
    <cellStyle name="Percent 4 20" xfId="666" xr:uid="{00000000-0005-0000-0000-000090020000}"/>
    <cellStyle name="Percent 4 21" xfId="667" xr:uid="{00000000-0005-0000-0000-000091020000}"/>
    <cellStyle name="Percent 4 22" xfId="668" xr:uid="{00000000-0005-0000-0000-000092020000}"/>
    <cellStyle name="Percent 4 23" xfId="669" xr:uid="{00000000-0005-0000-0000-000093020000}"/>
    <cellStyle name="Percent 4 24" xfId="670" xr:uid="{00000000-0005-0000-0000-000094020000}"/>
    <cellStyle name="Percent 4 25" xfId="671" xr:uid="{00000000-0005-0000-0000-000095020000}"/>
    <cellStyle name="Percent 4 26" xfId="672" xr:uid="{00000000-0005-0000-0000-000096020000}"/>
    <cellStyle name="Percent 4 27" xfId="673" xr:uid="{00000000-0005-0000-0000-000097020000}"/>
    <cellStyle name="Percent 4 28" xfId="674" xr:uid="{00000000-0005-0000-0000-000098020000}"/>
    <cellStyle name="Percent 4 3" xfId="675" xr:uid="{00000000-0005-0000-0000-000099020000}"/>
    <cellStyle name="Percent 4 4" xfId="676" xr:uid="{00000000-0005-0000-0000-00009A020000}"/>
    <cellStyle name="Percent 4 5" xfId="677" xr:uid="{00000000-0005-0000-0000-00009B020000}"/>
    <cellStyle name="Percent 4 6" xfId="678" xr:uid="{00000000-0005-0000-0000-00009C020000}"/>
    <cellStyle name="Percent 4 7" xfId="679" xr:uid="{00000000-0005-0000-0000-00009D020000}"/>
    <cellStyle name="Percent 4 8" xfId="680" xr:uid="{00000000-0005-0000-0000-00009E020000}"/>
    <cellStyle name="Percent 4 9" xfId="681" xr:uid="{00000000-0005-0000-0000-00009F020000}"/>
    <cellStyle name="Percent 5" xfId="46" xr:uid="{00000000-0005-0000-0000-0000A0020000}"/>
    <cellStyle name="Percent 5 10" xfId="682" xr:uid="{00000000-0005-0000-0000-0000A1020000}"/>
    <cellStyle name="Percent 5 11" xfId="683" xr:uid="{00000000-0005-0000-0000-0000A2020000}"/>
    <cellStyle name="Percent 5 12" xfId="684" xr:uid="{00000000-0005-0000-0000-0000A3020000}"/>
    <cellStyle name="Percent 5 13" xfId="685" xr:uid="{00000000-0005-0000-0000-0000A4020000}"/>
    <cellStyle name="Percent 5 14" xfId="686" xr:uid="{00000000-0005-0000-0000-0000A5020000}"/>
    <cellStyle name="Percent 5 15" xfId="687" xr:uid="{00000000-0005-0000-0000-0000A6020000}"/>
    <cellStyle name="Percent 5 16" xfId="688" xr:uid="{00000000-0005-0000-0000-0000A7020000}"/>
    <cellStyle name="Percent 5 17" xfId="689" xr:uid="{00000000-0005-0000-0000-0000A8020000}"/>
    <cellStyle name="Percent 5 18" xfId="690" xr:uid="{00000000-0005-0000-0000-0000A9020000}"/>
    <cellStyle name="Percent 5 19" xfId="691" xr:uid="{00000000-0005-0000-0000-0000AA020000}"/>
    <cellStyle name="Percent 5 2" xfId="692" xr:uid="{00000000-0005-0000-0000-0000AB020000}"/>
    <cellStyle name="Percent 5 20" xfId="693" xr:uid="{00000000-0005-0000-0000-0000AC020000}"/>
    <cellStyle name="Percent 5 21" xfId="694" xr:uid="{00000000-0005-0000-0000-0000AD020000}"/>
    <cellStyle name="Percent 5 22" xfId="695" xr:uid="{00000000-0005-0000-0000-0000AE020000}"/>
    <cellStyle name="Percent 5 23" xfId="696" xr:uid="{00000000-0005-0000-0000-0000AF020000}"/>
    <cellStyle name="Percent 5 24" xfId="697" xr:uid="{00000000-0005-0000-0000-0000B0020000}"/>
    <cellStyle name="Percent 5 25" xfId="698" xr:uid="{00000000-0005-0000-0000-0000B1020000}"/>
    <cellStyle name="Percent 5 26" xfId="699" xr:uid="{00000000-0005-0000-0000-0000B2020000}"/>
    <cellStyle name="Percent 5 27" xfId="700" xr:uid="{00000000-0005-0000-0000-0000B3020000}"/>
    <cellStyle name="Percent 5 28" xfId="701" xr:uid="{00000000-0005-0000-0000-0000B4020000}"/>
    <cellStyle name="Percent 5 3" xfId="702" xr:uid="{00000000-0005-0000-0000-0000B5020000}"/>
    <cellStyle name="Percent 5 4" xfId="703" xr:uid="{00000000-0005-0000-0000-0000B6020000}"/>
    <cellStyle name="Percent 5 5" xfId="704" xr:uid="{00000000-0005-0000-0000-0000B7020000}"/>
    <cellStyle name="Percent 5 6" xfId="705" xr:uid="{00000000-0005-0000-0000-0000B8020000}"/>
    <cellStyle name="Percent 5 7" xfId="706" xr:uid="{00000000-0005-0000-0000-0000B9020000}"/>
    <cellStyle name="Percent 5 8" xfId="707" xr:uid="{00000000-0005-0000-0000-0000BA020000}"/>
    <cellStyle name="Percent 5 9" xfId="708" xr:uid="{00000000-0005-0000-0000-0000BB020000}"/>
    <cellStyle name="PS_Comma" xfId="47" xr:uid="{00000000-0005-0000-0000-0000BC020000}"/>
    <cellStyle name="PSChar" xfId="48" xr:uid="{00000000-0005-0000-0000-0000BD020000}"/>
    <cellStyle name="PSDate" xfId="49" xr:uid="{00000000-0005-0000-0000-0000BE020000}"/>
    <cellStyle name="PSDec" xfId="50" xr:uid="{00000000-0005-0000-0000-0000BF020000}"/>
    <cellStyle name="PSHeading" xfId="51" xr:uid="{00000000-0005-0000-0000-0000C0020000}"/>
    <cellStyle name="PSInt" xfId="52" xr:uid="{00000000-0005-0000-0000-0000C1020000}"/>
    <cellStyle name="PSSpacer" xfId="53" xr:uid="{00000000-0005-0000-0000-0000C2020000}"/>
    <cellStyle name="WM_STANDARD" xfId="54" xr:uid="{00000000-0005-0000-0000-0000C3020000}"/>
    <cellStyle name="WMI_Standard" xfId="55" xr:uid="{00000000-0005-0000-0000-0000C4020000}"/>
  </cellStyles>
  <dxfs count="3">
    <dxf>
      <fill>
        <patternFill>
          <bgColor indexed="29"/>
        </patternFill>
      </fill>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xr9:uid="{00000000-0011-0000-FFFF-FFFF00000000}">
      <tableStyleElement type="wholeTable" dxfId="2"/>
      <tableStyleElement type="headerRow" dxfId="1"/>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4\2014%20WA_ELEC_&amp;_GAS_GRC\Compliance%20Filing%20-%20Final%20Order\Electronic%20WP's\UE-140188%20Compliance%20Attachment%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2\2012%20WA%20GRC\Direct%20Testimony%20&amp;%20Exhibits-FILING\I.%20UE__Avista%20Direct%20Evidence-(Apr2012)\3.%20UE__AVA%20WP's%20(Apr2012)\P.%20UE__Ehrbar%20Workpapers%20(AVA-Apr2012)\Ehrbar%20Electric%20Workpaper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2015\2015_WA_Elec_and_Gas_GRC\Compliance%20Filing%20-%20Final%20Order\UE-150204%20et%20al%20Compliance%20Filing%20Attachment%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2"/>
      <sheetName val="Exh 3"/>
      <sheetName val="LIRAP"/>
      <sheetName val="ERM Offset"/>
      <sheetName val="Sch 98 REC Revenue"/>
      <sheetName val="ROR"/>
      <sheetName val="Bill Determ"/>
      <sheetName val="Bill Impact"/>
      <sheetName val="WA Sch 25"/>
      <sheetName val="Lighting summary"/>
      <sheetName val="St Lts"/>
      <sheetName val="Area Lts"/>
      <sheetName val="Capital Recovery Factor Calc"/>
      <sheetName val="Block Data"/>
      <sheetName val="Rev Runs 12MEJUNE2013"/>
      <sheetName val="LED Rates"/>
    </sheetNames>
    <sheetDataSet>
      <sheetData sheetId="0" refreshError="1">
        <row r="8">
          <cell r="N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ERM"/>
      <sheetName val="ROR"/>
      <sheetName val="Bill Determ"/>
      <sheetName val="WA Sch 25"/>
      <sheetName val="Lighting summary"/>
      <sheetName val="St Lts"/>
      <sheetName val="Area Lts"/>
      <sheetName val="Rev Runs CY"/>
      <sheetName val="Rev Runs LY"/>
    </sheetNames>
    <sheetDataSet>
      <sheetData sheetId="0">
        <row r="8">
          <cell r="N8">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Adder Schedule"/>
      <sheetName val="ERM"/>
      <sheetName val="LIRAP"/>
      <sheetName val="ROR"/>
      <sheetName val="Bill Determ"/>
      <sheetName val="Bill Impact"/>
      <sheetName val="WA Sch 25"/>
      <sheetName val="Lighting summary"/>
      <sheetName val="St Lts"/>
      <sheetName val="Area Lts"/>
      <sheetName val="Capital Recovery Factor Calc"/>
      <sheetName val="Block Data"/>
      <sheetName val="Rev Runs 12MESEPT2014"/>
    </sheetNames>
    <sheetDataSet>
      <sheetData sheetId="0">
        <row r="23">
          <cell r="D23">
            <v>2378478031</v>
          </cell>
        </row>
      </sheetData>
      <sheetData sheetId="1"/>
      <sheetData sheetId="2"/>
      <sheetData sheetId="3"/>
      <sheetData sheetId="4"/>
      <sheetData sheetId="5">
        <row r="11">
          <cell r="H11" t="e">
            <v>#DIV/0!</v>
          </cell>
        </row>
      </sheetData>
      <sheetData sheetId="6"/>
      <sheetData sheetId="7"/>
      <sheetData sheetId="8"/>
      <sheetData sheetId="9"/>
      <sheetData sheetId="10"/>
      <sheetData sheetId="11"/>
      <sheetData sheetId="12"/>
      <sheetData sheetId="13"/>
      <sheetData sheetId="14"/>
      <sheetData sheetId="15"/>
      <sheetData sheetId="16"/>
      <sheetData sheetId="17">
        <row r="49">
          <cell r="P49">
            <v>58008579</v>
          </cell>
        </row>
        <row r="51">
          <cell r="P51">
            <v>37100850</v>
          </cell>
        </row>
        <row r="55">
          <cell r="P55">
            <v>8808245</v>
          </cell>
        </row>
        <row r="81">
          <cell r="P81">
            <v>37242635</v>
          </cell>
        </row>
        <row r="83">
          <cell r="P83">
            <v>23972417</v>
          </cell>
        </row>
        <row r="86">
          <cell r="P86">
            <v>4339230</v>
          </cell>
        </row>
        <row r="90">
          <cell r="P90">
            <v>-37287541</v>
          </cell>
        </row>
        <row r="92">
          <cell r="P92">
            <v>-24117178</v>
          </cell>
        </row>
        <row r="95">
          <cell r="P95">
            <v>-4497791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55"/>
  <sheetViews>
    <sheetView tabSelected="1" view="pageBreakPreview" zoomScale="60" zoomScaleNormal="100" workbookViewId="0">
      <selection activeCell="D13" sqref="D13"/>
    </sheetView>
  </sheetViews>
  <sheetFormatPr defaultRowHeight="15"/>
  <cols>
    <col min="1" max="1" width="12" bestFit="1" customWidth="1"/>
    <col min="2" max="2" width="50.7109375" bestFit="1" customWidth="1"/>
    <col min="3" max="3" width="16.28515625" bestFit="1" customWidth="1"/>
    <col min="4" max="4" width="15.7109375" customWidth="1"/>
    <col min="5" max="7" width="15.28515625" bestFit="1" customWidth="1"/>
    <col min="8" max="8" width="15.7109375" customWidth="1"/>
    <col min="9" max="9" width="16.85546875" customWidth="1"/>
    <col min="10" max="10" width="10" bestFit="1" customWidth="1"/>
    <col min="12" max="12" width="16.85546875" bestFit="1" customWidth="1"/>
  </cols>
  <sheetData>
    <row r="2" spans="1:12">
      <c r="A2" s="1"/>
      <c r="B2" s="3" t="s">
        <v>0</v>
      </c>
      <c r="C2" s="1"/>
      <c r="D2" s="1"/>
      <c r="E2" s="1"/>
      <c r="F2" s="1"/>
      <c r="G2" s="1"/>
      <c r="H2" s="1"/>
      <c r="I2" s="1"/>
      <c r="J2" s="1"/>
    </row>
    <row r="3" spans="1:12">
      <c r="A3" s="5"/>
      <c r="B3" s="5"/>
      <c r="C3" s="5"/>
      <c r="D3" s="5"/>
      <c r="E3" s="5"/>
      <c r="F3" s="5"/>
      <c r="G3" s="5"/>
      <c r="H3" s="5"/>
      <c r="I3" s="5"/>
    </row>
    <row r="4" spans="1:12">
      <c r="A4" s="7"/>
      <c r="B4" s="8"/>
      <c r="C4" s="8" t="s">
        <v>1</v>
      </c>
      <c r="D4" s="8" t="s">
        <v>2</v>
      </c>
      <c r="E4" s="8" t="s">
        <v>3</v>
      </c>
      <c r="F4" s="8" t="s">
        <v>4</v>
      </c>
      <c r="G4" s="8" t="s">
        <v>5</v>
      </c>
      <c r="H4" s="8" t="s">
        <v>6</v>
      </c>
      <c r="I4" s="8" t="s">
        <v>7</v>
      </c>
      <c r="J4" s="2"/>
    </row>
    <row r="5" spans="1:12">
      <c r="A5" s="90" t="s">
        <v>11</v>
      </c>
      <c r="B5" s="9"/>
      <c r="C5" s="9" t="s">
        <v>8</v>
      </c>
      <c r="D5" s="9" t="s">
        <v>155</v>
      </c>
      <c r="E5" s="9" t="s">
        <v>194</v>
      </c>
      <c r="F5" s="9" t="s">
        <v>195</v>
      </c>
      <c r="G5" s="9" t="s">
        <v>9</v>
      </c>
      <c r="H5" s="9" t="s">
        <v>10</v>
      </c>
      <c r="I5" s="9" t="s">
        <v>156</v>
      </c>
      <c r="J5" s="2"/>
    </row>
    <row r="6" spans="1:12">
      <c r="A6" s="10"/>
      <c r="B6" s="10"/>
      <c r="C6" s="11"/>
      <c r="D6" s="11"/>
      <c r="E6" s="11"/>
      <c r="F6" s="11"/>
      <c r="G6" s="11"/>
      <c r="H6" s="11"/>
      <c r="I6" s="11"/>
    </row>
    <row r="7" spans="1:12">
      <c r="A7" s="13" t="s">
        <v>59</v>
      </c>
      <c r="B7" s="91" t="s">
        <v>150</v>
      </c>
      <c r="C7" s="12">
        <f>SUM(D7:I7)</f>
        <v>5683908682.2698154</v>
      </c>
      <c r="D7" s="12">
        <f>SUM('Billing Determinants'!$F19:$Q19)</f>
        <v>2471980587.6022091</v>
      </c>
      <c r="E7" s="12">
        <f>SUM('Billing Determinants'!F20:Q20)</f>
        <v>658351304.81775546</v>
      </c>
      <c r="F7" s="12">
        <f>SUM('Billing Determinants'!F21:Q21)</f>
        <v>1328213987.2388108</v>
      </c>
      <c r="G7" s="12">
        <f>SUM('Billing Determinants'!F22:Q22)</f>
        <v>1061843338</v>
      </c>
      <c r="H7" s="12">
        <f>SUM('Billing Determinants'!F23:Q23)</f>
        <v>147362361.61315906</v>
      </c>
      <c r="I7" s="12">
        <f>SUM('Billing Determinants'!F24:Q24)</f>
        <v>16157102.997881051</v>
      </c>
      <c r="L7" s="135" t="s">
        <v>166</v>
      </c>
    </row>
    <row r="8" spans="1:12">
      <c r="A8" s="36"/>
      <c r="B8" s="5"/>
      <c r="C8" s="5"/>
      <c r="D8" s="5"/>
      <c r="E8" s="5"/>
      <c r="F8" s="5"/>
      <c r="G8" s="5"/>
      <c r="H8" s="5"/>
      <c r="I8" s="5"/>
    </row>
    <row r="9" spans="1:12">
      <c r="A9" s="36"/>
      <c r="B9" s="5" t="s">
        <v>12</v>
      </c>
      <c r="C9" s="5"/>
      <c r="D9" s="146">
        <v>3.2299999999999998E-3</v>
      </c>
      <c r="E9" s="146">
        <v>4.2599999999999999E-3</v>
      </c>
      <c r="F9" s="146">
        <v>3.3300000000000001E-3</v>
      </c>
      <c r="G9" s="146">
        <v>2.0500000000000002E-3</v>
      </c>
      <c r="H9" s="146">
        <v>2.82E-3</v>
      </c>
      <c r="I9" s="147">
        <v>1.3939999999999999E-2</v>
      </c>
    </row>
    <row r="10" spans="1:12">
      <c r="A10" s="36"/>
      <c r="B10" s="5"/>
      <c r="C10" s="5"/>
      <c r="D10" s="5"/>
      <c r="E10" s="5"/>
      <c r="F10" s="5"/>
      <c r="G10" s="5"/>
      <c r="H10" s="5"/>
      <c r="I10" s="5"/>
    </row>
    <row r="11" spans="1:12">
      <c r="A11" s="36"/>
      <c r="B11" s="5" t="s">
        <v>56</v>
      </c>
      <c r="C11" s="6">
        <f>SUM(D11:I11)</f>
        <v>18029597.152423583</v>
      </c>
      <c r="D11" s="6">
        <f t="shared" ref="D11:H11" si="0">D7*D9</f>
        <v>7984497.2979551349</v>
      </c>
      <c r="E11" s="6">
        <f>E7*E9</f>
        <v>2804576.5585236382</v>
      </c>
      <c r="F11" s="6">
        <f t="shared" si="0"/>
        <v>4422952.5775052402</v>
      </c>
      <c r="G11" s="6">
        <f t="shared" si="0"/>
        <v>2176778.8429</v>
      </c>
      <c r="H11" s="6">
        <f t="shared" si="0"/>
        <v>415561.85974910855</v>
      </c>
      <c r="I11" s="6">
        <f>I7*I9</f>
        <v>225230.01579046185</v>
      </c>
    </row>
    <row r="12" spans="1:12">
      <c r="A12" s="36"/>
      <c r="B12" s="5"/>
      <c r="C12" s="6"/>
      <c r="D12" s="6"/>
      <c r="E12" s="6"/>
      <c r="F12" s="6"/>
      <c r="G12" s="6"/>
      <c r="H12" s="6"/>
      <c r="I12" s="6"/>
      <c r="L12" s="139"/>
    </row>
    <row r="13" spans="1:12" s="44" customFormat="1" ht="17.25">
      <c r="A13" s="13" t="s">
        <v>191</v>
      </c>
      <c r="B13" s="5" t="s">
        <v>89</v>
      </c>
      <c r="C13" s="6">
        <f>SUM(D13:I13)</f>
        <v>530520000</v>
      </c>
      <c r="D13" s="6">
        <f>ROUND('Base Revenue'!F14*1000,-3)</f>
        <v>230654000</v>
      </c>
      <c r="E13" s="6">
        <f>ROUND('Base Revenue'!F16*1000,-3)</f>
        <v>77192000</v>
      </c>
      <c r="F13" s="6">
        <f>ROUND('Base Revenue'!F18*1000,-3)</f>
        <v>132812000</v>
      </c>
      <c r="G13" s="6">
        <f>ROUND('Base Revenue'!F20*1000,-3)</f>
        <v>70533000</v>
      </c>
      <c r="H13" s="6">
        <f>ROUND('Base Revenue'!F22*1000,-3)</f>
        <v>12723000</v>
      </c>
      <c r="I13" s="6">
        <f>ROUND('Base Revenue'!F24*1000,-3)</f>
        <v>6606000</v>
      </c>
      <c r="L13" s="140"/>
    </row>
    <row r="14" spans="1:12" s="44" customFormat="1">
      <c r="A14" s="5"/>
      <c r="B14" s="5"/>
      <c r="C14" s="6"/>
      <c r="D14" s="6"/>
      <c r="E14" s="6"/>
      <c r="F14" s="6"/>
      <c r="L14" s="14"/>
    </row>
    <row r="15" spans="1:12" s="44" customFormat="1">
      <c r="A15" s="5"/>
      <c r="B15" s="5" t="s">
        <v>81</v>
      </c>
      <c r="C15" s="86">
        <f>SUM(D15:I15)</f>
        <v>1</v>
      </c>
      <c r="D15" s="4">
        <f>D13/$C$13</f>
        <v>0.43476965995626932</v>
      </c>
      <c r="E15" s="4">
        <f>E13/$C$13</f>
        <v>0.14550252582372011</v>
      </c>
      <c r="F15" s="4">
        <f t="shared" ref="F15:H15" si="1">F13/$C$13</f>
        <v>0.25034305963959891</v>
      </c>
      <c r="G15" s="4">
        <f>G13/$C$13</f>
        <v>0.13295068988916534</v>
      </c>
      <c r="H15" s="4">
        <f t="shared" si="1"/>
        <v>2.3982130739651664E-2</v>
      </c>
      <c r="I15" s="4">
        <f>I13/$C$13</f>
        <v>1.2451933951594663E-2</v>
      </c>
    </row>
    <row r="16" spans="1:12" s="44" customFormat="1">
      <c r="A16" s="5"/>
      <c r="B16" s="5"/>
      <c r="C16" s="86"/>
      <c r="D16" s="4"/>
      <c r="E16" s="4"/>
      <c r="F16" s="4"/>
      <c r="G16" s="4"/>
      <c r="H16" s="4"/>
      <c r="I16" s="4"/>
    </row>
    <row r="17" spans="1:11" s="44" customFormat="1">
      <c r="A17" s="5"/>
      <c r="B17" s="5" t="s">
        <v>90</v>
      </c>
      <c r="C17" s="155">
        <v>14509924.565760205</v>
      </c>
      <c r="D17" s="154"/>
      <c r="E17" s="154"/>
      <c r="F17" s="154"/>
      <c r="G17" s="154"/>
      <c r="H17" s="154"/>
      <c r="I17" s="154"/>
    </row>
    <row r="18" spans="1:11" s="44" customFormat="1">
      <c r="A18" s="5"/>
      <c r="B18" s="5"/>
      <c r="C18" s="5"/>
      <c r="D18" s="5"/>
      <c r="E18" s="5"/>
      <c r="F18" s="5"/>
      <c r="G18" s="5"/>
      <c r="H18" s="5"/>
      <c r="I18" s="5"/>
    </row>
    <row r="19" spans="1:11" s="44" customFormat="1">
      <c r="A19" s="5"/>
      <c r="B19" s="5" t="s">
        <v>82</v>
      </c>
      <c r="C19" s="6">
        <f>SUM(D19:I19)</f>
        <v>14509924.565760206</v>
      </c>
      <c r="D19" s="6">
        <f>$C$17*D15</f>
        <v>6308474.9694466833</v>
      </c>
      <c r="E19" s="6">
        <f>$C$17*E15</f>
        <v>2111230.6738297548</v>
      </c>
      <c r="F19" s="6">
        <f t="shared" ref="F19:H19" si="2">$C$17*F15</f>
        <v>3632458.9109321884</v>
      </c>
      <c r="G19" s="6">
        <f>$C$17*G15</f>
        <v>1929104.4812575669</v>
      </c>
      <c r="H19" s="6">
        <f t="shared" si="2"/>
        <v>347978.90795854462</v>
      </c>
      <c r="I19" s="6">
        <f>$C$17*I15</f>
        <v>180676.62233546693</v>
      </c>
    </row>
    <row r="20" spans="1:11" s="44" customFormat="1">
      <c r="A20" s="5"/>
      <c r="B20" s="5"/>
      <c r="C20" s="6"/>
      <c r="D20" s="6"/>
      <c r="E20" s="6"/>
      <c r="F20" s="6"/>
      <c r="G20" s="6"/>
      <c r="H20" s="6"/>
      <c r="I20" s="6"/>
    </row>
    <row r="21" spans="1:11" s="44" customFormat="1">
      <c r="A21" s="5"/>
      <c r="B21" s="5" t="s">
        <v>83</v>
      </c>
      <c r="C21" s="6">
        <f>C19-C11</f>
        <v>-3519672.5866633765</v>
      </c>
      <c r="D21" s="6">
        <f>D19-D11</f>
        <v>-1676022.3285084516</v>
      </c>
      <c r="E21" s="6">
        <f>E19-E11</f>
        <v>-693345.88469388336</v>
      </c>
      <c r="F21" s="6">
        <f t="shared" ref="F21:I21" si="3">F19-F11</f>
        <v>-790493.66657305183</v>
      </c>
      <c r="G21" s="6">
        <f>G19-G11</f>
        <v>-247674.3616424331</v>
      </c>
      <c r="H21" s="6">
        <f>H19-H11</f>
        <v>-67582.951790563937</v>
      </c>
      <c r="I21" s="6">
        <f t="shared" si="3"/>
        <v>-44553.393454994919</v>
      </c>
    </row>
    <row r="22" spans="1:11" s="44" customFormat="1">
      <c r="A22" s="5"/>
      <c r="B22" s="5"/>
      <c r="C22" s="5"/>
      <c r="D22" s="5"/>
      <c r="E22" s="5"/>
      <c r="F22" s="5"/>
      <c r="G22" s="5"/>
      <c r="H22" s="5"/>
      <c r="I22" s="5"/>
    </row>
    <row r="23" spans="1:11" s="44" customFormat="1">
      <c r="A23" s="5"/>
      <c r="B23" s="5" t="s">
        <v>149</v>
      </c>
      <c r="C23" s="5"/>
      <c r="D23" s="87">
        <f>D19/D7</f>
        <v>2.5519921155876982E-3</v>
      </c>
      <c r="E23" s="87">
        <f>E19/E7</f>
        <v>3.2068451271835556E-3</v>
      </c>
      <c r="F23" s="87">
        <f t="shared" ref="F23:H23" si="4">F19/F7</f>
        <v>2.7348446453900189E-3</v>
      </c>
      <c r="G23" s="87">
        <f t="shared" si="4"/>
        <v>1.8167505621790386E-3</v>
      </c>
      <c r="H23" s="87">
        <f t="shared" si="4"/>
        <v>2.3613825413033489E-3</v>
      </c>
      <c r="I23" s="87">
        <f>I19/I7</f>
        <v>1.1182488739420801E-2</v>
      </c>
      <c r="J23" s="89"/>
    </row>
    <row r="24" spans="1:11" s="44" customFormat="1">
      <c r="A24" s="5"/>
      <c r="B24" s="5"/>
      <c r="C24" s="5"/>
      <c r="D24" s="5"/>
      <c r="E24" s="5"/>
      <c r="F24" s="5"/>
      <c r="G24" s="5"/>
      <c r="H24" s="5"/>
      <c r="I24" s="5"/>
    </row>
    <row r="25" spans="1:11" s="44" customFormat="1">
      <c r="A25" s="5"/>
      <c r="B25" s="5" t="s">
        <v>84</v>
      </c>
      <c r="C25" s="88">
        <f>C19/C11-1</f>
        <v>-0.19521637432649197</v>
      </c>
      <c r="D25" s="88">
        <f>D19/D11-1</f>
        <v>-0.2099095617375546</v>
      </c>
      <c r="E25" s="88">
        <f>E19/E11-1</f>
        <v>-0.24721945371278031</v>
      </c>
      <c r="F25" s="88">
        <f t="shared" ref="F25:H25" si="5">F19/F11-1</f>
        <v>-0.17872533171470917</v>
      </c>
      <c r="G25" s="88">
        <f>G19/G11-1</f>
        <v>-0.11378021357120072</v>
      </c>
      <c r="H25" s="88">
        <f t="shared" si="5"/>
        <v>-0.16263030450235849</v>
      </c>
      <c r="I25" s="88">
        <f>I19/I11-1</f>
        <v>-0.19781285943896687</v>
      </c>
    </row>
    <row r="26" spans="1:11" s="44" customFormat="1">
      <c r="A26" s="36"/>
      <c r="B26" s="5"/>
      <c r="C26" s="6"/>
      <c r="D26" s="6"/>
      <c r="E26" s="6"/>
      <c r="F26" s="6"/>
      <c r="G26" s="6"/>
      <c r="H26" s="6"/>
      <c r="I26" s="6"/>
    </row>
    <row r="27" spans="1:11">
      <c r="A27" s="13"/>
      <c r="B27" s="44" t="s">
        <v>73</v>
      </c>
      <c r="C27" s="46">
        <f>SUM(D27:I27)</f>
        <v>540240000</v>
      </c>
      <c r="D27" s="155">
        <v>231769000</v>
      </c>
      <c r="E27" s="155">
        <f>81602000+1000</f>
        <v>81603000</v>
      </c>
      <c r="F27" s="155">
        <v>139808000</v>
      </c>
      <c r="G27" s="155">
        <f>43524000+23860000</f>
        <v>67384000</v>
      </c>
      <c r="H27" s="155">
        <v>12812000</v>
      </c>
      <c r="I27" s="155">
        <v>6864000</v>
      </c>
      <c r="K27" s="44"/>
    </row>
    <row r="29" spans="1:11" s="44" customFormat="1">
      <c r="B29" s="44" t="s">
        <v>85</v>
      </c>
      <c r="C29" s="15">
        <f>SUM(D29:I29)</f>
        <v>536720327.41333663</v>
      </c>
      <c r="D29" s="15">
        <f>D21+D27</f>
        <v>230092977.67149156</v>
      </c>
      <c r="E29" s="15">
        <f t="shared" ref="E29:F29" si="6">E21+E27</f>
        <v>80909654.115306109</v>
      </c>
      <c r="F29" s="15">
        <f t="shared" si="6"/>
        <v>139017506.33342695</v>
      </c>
      <c r="G29" s="15">
        <f>G21+G27</f>
        <v>67136325.638357565</v>
      </c>
      <c r="H29" s="15">
        <f>H21+H27</f>
        <v>12744417.048209436</v>
      </c>
      <c r="I29" s="15">
        <f>I21+I27</f>
        <v>6819446.606545005</v>
      </c>
    </row>
    <row r="30" spans="1:11" s="44" customFormat="1"/>
    <row r="31" spans="1:11" s="44" customFormat="1">
      <c r="B31" s="44" t="s">
        <v>86</v>
      </c>
      <c r="C31" s="134">
        <f>C29/C27-1</f>
        <v>-6.5150166345760985E-3</v>
      </c>
      <c r="D31" s="134">
        <f>D29/D27-1</f>
        <v>-7.2314344390683738E-3</v>
      </c>
      <c r="E31" s="134">
        <f t="shared" ref="E31:I31" si="7">E29/E27-1</f>
        <v>-8.4965734678122962E-3</v>
      </c>
      <c r="F31" s="134">
        <f>F29/F27-1</f>
        <v>-5.65413757848654E-3</v>
      </c>
      <c r="G31" s="134">
        <f>G29/G27-1</f>
        <v>-3.6755663309159248E-3</v>
      </c>
      <c r="H31" s="134">
        <f t="shared" si="7"/>
        <v>-5.2749728216174852E-3</v>
      </c>
      <c r="I31" s="134">
        <f t="shared" si="7"/>
        <v>-6.4908789998535665E-3</v>
      </c>
    </row>
    <row r="32" spans="1:11" s="44" customFormat="1"/>
    <row r="33" spans="1:9" s="44" customFormat="1">
      <c r="D33" s="87">
        <f t="shared" ref="D33:I33" si="8">D23-D9</f>
        <v>-6.7800788441230164E-4</v>
      </c>
      <c r="E33" s="87">
        <f t="shared" si="8"/>
        <v>-1.0531548728164443E-3</v>
      </c>
      <c r="F33" s="87">
        <f t="shared" si="8"/>
        <v>-5.9515535460998113E-4</v>
      </c>
      <c r="G33" s="87">
        <f t="shared" si="8"/>
        <v>-2.332494378209616E-4</v>
      </c>
      <c r="H33" s="87">
        <f t="shared" si="8"/>
        <v>-4.5861745869665111E-4</v>
      </c>
      <c r="I33" s="87">
        <f t="shared" si="8"/>
        <v>-2.7575112605791978E-3</v>
      </c>
    </row>
    <row r="34" spans="1:9">
      <c r="B34" s="44" t="s">
        <v>78</v>
      </c>
      <c r="C34" s="82">
        <f>C11/C27</f>
        <v>3.3373310292506259E-2</v>
      </c>
      <c r="D34" s="4"/>
      <c r="E34" s="4"/>
      <c r="F34" s="4"/>
      <c r="G34" s="4"/>
      <c r="H34" s="4"/>
      <c r="I34" s="4"/>
    </row>
    <row r="35" spans="1:9" s="44" customFormat="1">
      <c r="C35" s="82"/>
      <c r="D35" s="4"/>
      <c r="E35" s="4"/>
      <c r="F35" s="4"/>
      <c r="G35" s="4"/>
      <c r="H35" s="4"/>
      <c r="I35" s="4"/>
    </row>
    <row r="36" spans="1:9" s="44" customFormat="1">
      <c r="B36" s="44" t="s">
        <v>80</v>
      </c>
      <c r="C36" s="4">
        <f>C21/C11</f>
        <v>-0.195216374326492</v>
      </c>
      <c r="D36" s="4"/>
      <c r="E36" s="4"/>
      <c r="F36" s="4"/>
      <c r="G36" s="4"/>
      <c r="H36" s="4"/>
      <c r="I36" s="4"/>
    </row>
    <row r="37" spans="1:9" s="44" customFormat="1">
      <c r="C37" s="82"/>
      <c r="D37" s="4"/>
      <c r="E37" s="4"/>
      <c r="F37" s="4"/>
      <c r="G37" s="4"/>
      <c r="H37" s="4"/>
      <c r="I37" s="4"/>
    </row>
    <row r="38" spans="1:9">
      <c r="A38" s="44"/>
      <c r="C38" s="44" t="s">
        <v>57</v>
      </c>
      <c r="D38" s="44" t="s">
        <v>87</v>
      </c>
      <c r="E38" s="44" t="s">
        <v>88</v>
      </c>
    </row>
    <row r="39" spans="1:9">
      <c r="B39" t="s">
        <v>13</v>
      </c>
      <c r="C39" s="156">
        <f>C11</f>
        <v>18029597.152423583</v>
      </c>
      <c r="D39" s="157">
        <f>C19</f>
        <v>14509924.565760206</v>
      </c>
      <c r="E39" s="157">
        <f>D39-C39</f>
        <v>-3519672.5866633765</v>
      </c>
      <c r="F39" s="158"/>
      <c r="G39" s="158"/>
    </row>
    <row r="40" spans="1:9">
      <c r="B40" t="s">
        <v>14</v>
      </c>
      <c r="C40" s="159">
        <f>'Rev Conv Factor'!E22</f>
        <v>0.95563100000000001</v>
      </c>
      <c r="D40" s="159">
        <f>'Rev Conv Factor'!E22</f>
        <v>0.95563100000000001</v>
      </c>
      <c r="E40" s="158"/>
      <c r="F40" s="158"/>
      <c r="G40" s="158"/>
    </row>
    <row r="41" spans="1:9">
      <c r="C41" s="158"/>
      <c r="D41" s="158"/>
      <c r="E41" s="158"/>
      <c r="F41" s="158"/>
      <c r="G41" s="158"/>
    </row>
    <row r="42" spans="1:9">
      <c r="B42" t="s">
        <v>15</v>
      </c>
      <c r="C42" s="157">
        <f>C39*C40</f>
        <v>17229641.956367701</v>
      </c>
      <c r="D42" s="157">
        <f>D39*D40</f>
        <v>13866133.722701993</v>
      </c>
      <c r="E42" s="157">
        <f>D42-C42</f>
        <v>-3363508.2336657085</v>
      </c>
      <c r="F42" s="158"/>
      <c r="G42" s="158"/>
    </row>
    <row r="43" spans="1:9">
      <c r="C43" s="158"/>
      <c r="D43" s="158"/>
      <c r="E43" s="158"/>
      <c r="F43" s="158"/>
      <c r="G43" s="158"/>
    </row>
    <row r="44" spans="1:9">
      <c r="C44" s="158" t="s">
        <v>57</v>
      </c>
      <c r="D44" s="158" t="s">
        <v>87</v>
      </c>
      <c r="E44" s="158" t="s">
        <v>196</v>
      </c>
      <c r="F44" s="158" t="s">
        <v>197</v>
      </c>
      <c r="G44" s="158"/>
    </row>
    <row r="45" spans="1:9">
      <c r="B45" s="44" t="s">
        <v>198</v>
      </c>
      <c r="C45" s="160">
        <f>9+(800*0.08076)+(114*0.094)</f>
        <v>84.323999999999998</v>
      </c>
      <c r="D45" s="160">
        <f>9+(800*(0.08076+(D23-D9))+(114*(0.094+(ROUND(D23,5)-D9))))</f>
        <v>83.70407369247016</v>
      </c>
      <c r="E45" s="161">
        <f>D45-C45</f>
        <v>-0.61992630752983757</v>
      </c>
      <c r="F45" s="162">
        <f>E45/C45</f>
        <v>-7.3517184612902327E-3</v>
      </c>
      <c r="G45" s="158"/>
    </row>
    <row r="46" spans="1:9">
      <c r="C46" s="158"/>
      <c r="D46" s="158"/>
      <c r="E46" s="158"/>
      <c r="F46" s="158"/>
      <c r="G46" s="158"/>
    </row>
    <row r="47" spans="1:9">
      <c r="C47" s="158" t="s">
        <v>57</v>
      </c>
      <c r="D47" s="158" t="s">
        <v>88</v>
      </c>
      <c r="E47" s="158" t="s">
        <v>87</v>
      </c>
      <c r="F47" s="158"/>
      <c r="G47" s="158"/>
    </row>
    <row r="48" spans="1:9">
      <c r="B48" t="s">
        <v>157</v>
      </c>
      <c r="C48" s="160">
        <v>9</v>
      </c>
      <c r="D48" s="160">
        <v>0</v>
      </c>
      <c r="E48" s="161">
        <f>C48+D48</f>
        <v>9</v>
      </c>
      <c r="F48" s="158"/>
      <c r="G48" s="158"/>
    </row>
    <row r="49" spans="2:7">
      <c r="B49" t="s">
        <v>158</v>
      </c>
      <c r="C49" s="163">
        <v>8.0759999999999998E-2</v>
      </c>
      <c r="D49" s="163">
        <f>ROUND($D$23,5)-ROUND($D$9,5)</f>
        <v>-6.7999999999999962E-4</v>
      </c>
      <c r="E49" s="164">
        <f>C49+D49</f>
        <v>8.0079999999999998E-2</v>
      </c>
      <c r="F49" s="158"/>
      <c r="G49" s="158"/>
    </row>
    <row r="50" spans="2:7">
      <c r="B50" t="s">
        <v>159</v>
      </c>
      <c r="C50" s="163">
        <v>9.4E-2</v>
      </c>
      <c r="D50" s="163">
        <f>ROUND($D$23,5)-ROUND($D$9,5)</f>
        <v>-6.7999999999999962E-4</v>
      </c>
      <c r="E50" s="164">
        <f t="shared" ref="E50:E51" si="9">C50+D50</f>
        <v>9.332E-2</v>
      </c>
      <c r="F50" s="158"/>
      <c r="G50" s="158"/>
    </row>
    <row r="51" spans="2:7">
      <c r="B51" t="s">
        <v>160</v>
      </c>
      <c r="C51" s="163">
        <v>0.11026</v>
      </c>
      <c r="D51" s="163">
        <f t="shared" ref="D51" si="10">ROUND($D$23,5)-ROUND($D$9,5)</f>
        <v>-6.7999999999999962E-4</v>
      </c>
      <c r="E51" s="164">
        <f t="shared" si="9"/>
        <v>0.10958</v>
      </c>
      <c r="F51" s="158"/>
      <c r="G51" s="158"/>
    </row>
    <row r="52" spans="2:7">
      <c r="C52" s="158"/>
      <c r="D52" s="158"/>
      <c r="E52" s="158"/>
      <c r="F52" s="158"/>
      <c r="G52" s="158"/>
    </row>
    <row r="53" spans="2:7">
      <c r="C53" s="142">
        <f>C48+(800*C49)+(114*C50)</f>
        <v>84.323999999999998</v>
      </c>
      <c r="D53" s="142">
        <f>914*D49</f>
        <v>-0.62151999999999963</v>
      </c>
      <c r="E53" s="142">
        <f>E48+(800*E49)+(114*E50)</f>
        <v>83.702479999999994</v>
      </c>
    </row>
    <row r="55" spans="2:7">
      <c r="E55" s="4">
        <f>D53/C53</f>
        <v>-7.3706180921208628E-3</v>
      </c>
    </row>
  </sheetData>
  <pageMargins left="0.7" right="0.7" top="0.75" bottom="0.75" header="0.3" footer="0.3"/>
  <pageSetup scale="71" orientation="landscape" r:id="rId1"/>
  <headerFooter>
    <oddHeader>&amp;CAVISTA UTILITIES
WASHINGTON ELECTRIC
SCHEDULE 91 - DSM</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AF39"/>
  <sheetViews>
    <sheetView view="pageBreakPreview" zoomScale="60" zoomScaleNormal="100" workbookViewId="0">
      <selection activeCell="F46" sqref="F46"/>
    </sheetView>
  </sheetViews>
  <sheetFormatPr defaultRowHeight="15"/>
  <cols>
    <col min="1" max="1" width="8.28515625" style="44" customWidth="1"/>
    <col min="2" max="2" width="29.42578125" style="44" bestFit="1" customWidth="1"/>
    <col min="3" max="3" width="8.5703125" style="44" bestFit="1" customWidth="1"/>
    <col min="4" max="5" width="14.140625" style="44" bestFit="1" customWidth="1"/>
    <col min="6" max="6" width="14.7109375" style="44" bestFit="1" customWidth="1"/>
    <col min="7" max="9" width="14.140625" style="44" bestFit="1" customWidth="1"/>
    <col min="10" max="11" width="14.7109375" style="44" bestFit="1" customWidth="1"/>
    <col min="12" max="12" width="14.140625" style="44" bestFit="1" customWidth="1"/>
    <col min="13" max="14" width="14.7109375" style="44" bestFit="1" customWidth="1"/>
    <col min="15" max="15" width="13.7109375" style="44" bestFit="1" customWidth="1"/>
    <col min="16" max="16" width="14.140625" style="44" bestFit="1" customWidth="1"/>
    <col min="17" max="17" width="14.7109375" style="44" bestFit="1" customWidth="1"/>
    <col min="18" max="20" width="14.140625" style="44" bestFit="1" customWidth="1"/>
    <col min="21" max="21" width="14.7109375" style="44" bestFit="1" customWidth="1"/>
    <col min="22" max="22" width="14.140625" style="44" bestFit="1" customWidth="1"/>
    <col min="23" max="27" width="14.7109375" style="44" bestFit="1" customWidth="1"/>
    <col min="28" max="29" width="14.140625" style="44" bestFit="1" customWidth="1"/>
    <col min="30" max="30" width="14.7109375" style="44" bestFit="1" customWidth="1"/>
    <col min="31" max="31" width="9.140625" style="44"/>
    <col min="32" max="32" width="12.5703125" style="44" bestFit="1" customWidth="1"/>
    <col min="33" max="16384" width="9.140625" style="44"/>
  </cols>
  <sheetData>
    <row r="4" spans="1:30">
      <c r="A4" s="44" t="s">
        <v>76</v>
      </c>
      <c r="D4" s="74">
        <v>44334</v>
      </c>
      <c r="E4" s="74">
        <v>44365</v>
      </c>
      <c r="F4" s="74">
        <v>44395</v>
      </c>
      <c r="G4" s="74">
        <v>44426</v>
      </c>
      <c r="H4" s="74">
        <v>44457</v>
      </c>
      <c r="I4" s="74">
        <v>44487</v>
      </c>
      <c r="J4" s="74">
        <v>44518</v>
      </c>
      <c r="K4" s="74">
        <v>44548</v>
      </c>
      <c r="L4" s="74">
        <v>44579</v>
      </c>
      <c r="M4" s="74">
        <v>44610</v>
      </c>
      <c r="N4" s="74">
        <v>44638</v>
      </c>
      <c r="O4" s="74">
        <v>44669</v>
      </c>
      <c r="P4" s="74">
        <v>44699</v>
      </c>
      <c r="Q4" s="74">
        <v>44730</v>
      </c>
      <c r="R4" s="74">
        <v>44760</v>
      </c>
      <c r="S4" s="74">
        <v>44791</v>
      </c>
      <c r="T4" s="74">
        <v>44822</v>
      </c>
      <c r="U4" s="74">
        <v>44852</v>
      </c>
      <c r="V4" s="74">
        <v>44883</v>
      </c>
      <c r="W4" s="74">
        <v>44913</v>
      </c>
      <c r="X4" s="74">
        <v>44944</v>
      </c>
      <c r="Y4" s="74">
        <v>44975</v>
      </c>
      <c r="Z4" s="74">
        <v>45003</v>
      </c>
      <c r="AA4" s="74">
        <v>45034</v>
      </c>
      <c r="AB4" s="74">
        <v>45064</v>
      </c>
      <c r="AC4" s="74">
        <v>45095</v>
      </c>
      <c r="AD4" s="74">
        <v>45125</v>
      </c>
    </row>
    <row r="5" spans="1:30">
      <c r="B5" s="44" t="s">
        <v>47</v>
      </c>
      <c r="D5" s="94">
        <f>'Billing Determinants'!C19</f>
        <v>162875615.11305499</v>
      </c>
      <c r="E5" s="94">
        <f>'Billing Determinants'!D19</f>
        <v>162704960.30928802</v>
      </c>
      <c r="F5" s="94">
        <f>'Billing Determinants'!E19</f>
        <v>201725767.43289304</v>
      </c>
      <c r="G5" s="94">
        <f>'Billing Determinants'!F19</f>
        <v>195408992.44276249</v>
      </c>
      <c r="H5" s="94">
        <f>'Billing Determinants'!G19</f>
        <v>154836044.44160548</v>
      </c>
      <c r="I5" s="94">
        <f>'Billing Determinants'!H19</f>
        <v>179532895.31984872</v>
      </c>
      <c r="J5" s="94">
        <f>'Billing Determinants'!I19</f>
        <v>228638854.31410483</v>
      </c>
      <c r="K5" s="94">
        <f>'Billing Determinants'!J19</f>
        <v>288759665.00729716</v>
      </c>
      <c r="L5" s="94">
        <f>'Billing Determinants'!K19</f>
        <v>289139801.5291037</v>
      </c>
      <c r="M5" s="94">
        <f>'Billing Determinants'!L19</f>
        <v>236954906.38102663</v>
      </c>
      <c r="N5" s="94">
        <f>'Billing Determinants'!M19</f>
        <v>222240496.03366679</v>
      </c>
      <c r="O5" s="94">
        <f>'Billing Determinants'!N19</f>
        <v>175624821.28924283</v>
      </c>
      <c r="P5" s="94">
        <f>'Billing Determinants'!O19</f>
        <v>158772217.34669441</v>
      </c>
      <c r="Q5" s="94">
        <f>'Billing Determinants'!P19</f>
        <v>154236623.74039325</v>
      </c>
      <c r="R5" s="94">
        <f>'Billing Determinants'!Q19</f>
        <v>187835269.75646251</v>
      </c>
      <c r="S5" s="94">
        <f>'Billing Determinants'!R19</f>
        <v>187428527.51157242</v>
      </c>
      <c r="T5" s="94">
        <f>'Billing Determinants'!S19</f>
        <v>155130622.69788381</v>
      </c>
      <c r="U5" s="94">
        <f>'Billing Determinants'!T19</f>
        <v>176036009.50173694</v>
      </c>
      <c r="V5" s="94">
        <f>'Billing Determinants'!U19</f>
        <v>225451120.18908483</v>
      </c>
      <c r="W5" s="94">
        <f>'Billing Determinants'!V19</f>
        <v>288057201.98910034</v>
      </c>
      <c r="X5" s="94">
        <f>'Billing Determinants'!W19</f>
        <v>290709541.58891392</v>
      </c>
      <c r="Y5" s="94">
        <f>'Billing Determinants'!X19</f>
        <v>237398869.03240398</v>
      </c>
      <c r="Z5" s="94">
        <f>'Billing Determinants'!Y19</f>
        <v>226870604.42276436</v>
      </c>
      <c r="AA5" s="94">
        <f>'Billing Determinants'!Z19</f>
        <v>180147284.87380084</v>
      </c>
      <c r="AB5" s="94">
        <f>'Billing Determinants'!AA19</f>
        <v>162230792.99604055</v>
      </c>
      <c r="AC5" s="94">
        <f>'Billing Determinants'!AB19</f>
        <v>155786503.87540871</v>
      </c>
      <c r="AD5" s="94">
        <f>'Billing Determinants'!AC19</f>
        <v>188346224.86399573</v>
      </c>
    </row>
    <row r="6" spans="1:30">
      <c r="B6" s="44" t="s">
        <v>48</v>
      </c>
      <c r="D6" s="94">
        <f>'Billing Determinants'!C20</f>
        <v>46343523.812712505</v>
      </c>
      <c r="E6" s="94">
        <f>'Billing Determinants'!D20</f>
        <v>46672743.609347753</v>
      </c>
      <c r="F6" s="94">
        <f>'Billing Determinants'!E20</f>
        <v>55514534.910201535</v>
      </c>
      <c r="G6" s="94">
        <f>'Billing Determinants'!F20</f>
        <v>56021419.049582325</v>
      </c>
      <c r="H6" s="94">
        <f>'Billing Determinants'!G20</f>
        <v>47923129.756051376</v>
      </c>
      <c r="I6" s="94">
        <f>'Billing Determinants'!H20</f>
        <v>51747433.018645644</v>
      </c>
      <c r="J6" s="94">
        <f>'Billing Determinants'!I20</f>
        <v>57074713.181238517</v>
      </c>
      <c r="K6" s="94">
        <f>'Billing Determinants'!J20</f>
        <v>65488060.156565353</v>
      </c>
      <c r="L6" s="94">
        <f>'Billing Determinants'!K20</f>
        <v>65380550.725535899</v>
      </c>
      <c r="M6" s="94">
        <f>'Billing Determinants'!L20</f>
        <v>56552318.902883217</v>
      </c>
      <c r="N6" s="94">
        <f>'Billing Determinants'!M20</f>
        <v>56649305.528244361</v>
      </c>
      <c r="O6" s="94">
        <f>'Billing Determinants'!N20</f>
        <v>48413926.434104346</v>
      </c>
      <c r="P6" s="94">
        <f>'Billing Determinants'!O20</f>
        <v>47559278.014631964</v>
      </c>
      <c r="Q6" s="94">
        <f>'Billing Determinants'!P20</f>
        <v>48377471.741374165</v>
      </c>
      <c r="R6" s="94">
        <f>'Billing Determinants'!Q20</f>
        <v>57163698.30889833</v>
      </c>
      <c r="S6" s="94">
        <f>'Billing Determinants'!R20</f>
        <v>56227101.554639153</v>
      </c>
      <c r="T6" s="94">
        <f>'Billing Determinants'!S20</f>
        <v>47689892.573414646</v>
      </c>
      <c r="U6" s="94">
        <f>'Billing Determinants'!T20</f>
        <v>51044956.021404117</v>
      </c>
      <c r="V6" s="94">
        <f>'Billing Determinants'!U20</f>
        <v>56765598.720298514</v>
      </c>
      <c r="W6" s="94">
        <f>'Billing Determinants'!V20</f>
        <v>65363220.431513749</v>
      </c>
      <c r="X6" s="94">
        <f>'Billing Determinants'!W20</f>
        <v>65332061.839774989</v>
      </c>
      <c r="Y6" s="94">
        <f>'Billing Determinants'!X20</f>
        <v>56004469.31538491</v>
      </c>
      <c r="Z6" s="94">
        <f>'Billing Determinants'!Y20</f>
        <v>56793137.236269794</v>
      </c>
      <c r="AA6" s="94">
        <f>'Billing Determinants'!Z20</f>
        <v>48695262.585395396</v>
      </c>
      <c r="AB6" s="94">
        <f>'Billing Determinants'!AA20</f>
        <v>47900342.983918644</v>
      </c>
      <c r="AC6" s="94">
        <f>'Billing Determinants'!AB20</f>
        <v>48849402.682251081</v>
      </c>
      <c r="AD6" s="94">
        <f>'Billing Determinants'!AC20</f>
        <v>57746537.19132448</v>
      </c>
    </row>
    <row r="7" spans="1:30">
      <c r="B7" s="44" t="s">
        <v>49</v>
      </c>
      <c r="D7" s="94">
        <f>'Billing Determinants'!C21</f>
        <v>104490260.7334657</v>
      </c>
      <c r="E7" s="94">
        <f>'Billing Determinants'!D21</f>
        <v>104226805.10058816</v>
      </c>
      <c r="F7" s="94">
        <f>'Billing Determinants'!E21</f>
        <v>118116390.73807174</v>
      </c>
      <c r="G7" s="94">
        <f>'Billing Determinants'!F21</f>
        <v>117357805.90549169</v>
      </c>
      <c r="H7" s="94">
        <f>'Billing Determinants'!G21</f>
        <v>104504116.35711902</v>
      </c>
      <c r="I7" s="94">
        <f>'Billing Determinants'!H21</f>
        <v>112981619.14138629</v>
      </c>
      <c r="J7" s="94">
        <f>'Billing Determinants'!I21</f>
        <v>111289997.48410282</v>
      </c>
      <c r="K7" s="94">
        <f>'Billing Determinants'!J21</f>
        <v>117495021.49340393</v>
      </c>
      <c r="L7" s="94">
        <f>'Billing Determinants'!K21</f>
        <v>116505171.34450056</v>
      </c>
      <c r="M7" s="94">
        <f>'Billing Determinants'!L21</f>
        <v>104134439.1629983</v>
      </c>
      <c r="N7" s="94">
        <f>'Billing Determinants'!M21</f>
        <v>108726963.81156261</v>
      </c>
      <c r="O7" s="94">
        <f>'Billing Determinants'!N21</f>
        <v>100341247.7365009</v>
      </c>
      <c r="P7" s="94">
        <f>'Billing Determinants'!O21</f>
        <v>104942411.80246997</v>
      </c>
      <c r="Q7" s="94">
        <f>'Billing Determinants'!P21</f>
        <v>107714116.53093126</v>
      </c>
      <c r="R7" s="94">
        <f>'Billing Determinants'!Q21</f>
        <v>122221076.46834341</v>
      </c>
      <c r="S7" s="94">
        <f>'Billing Determinants'!R21</f>
        <v>118535364.34135532</v>
      </c>
      <c r="T7" s="94">
        <f>'Billing Determinants'!S21</f>
        <v>104564343.32715783</v>
      </c>
      <c r="U7" s="94">
        <f>'Billing Determinants'!T21</f>
        <v>114096608.18671881</v>
      </c>
      <c r="V7" s="94">
        <f>'Billing Determinants'!U21</f>
        <v>113929643.43881619</v>
      </c>
      <c r="W7" s="94">
        <f>'Billing Determinants'!V21</f>
        <v>119723258.18107787</v>
      </c>
      <c r="X7" s="94">
        <f>'Billing Determinants'!W21</f>
        <v>117972946.05723335</v>
      </c>
      <c r="Y7" s="94">
        <f>'Billing Determinants'!X21</f>
        <v>104440500.49693872</v>
      </c>
      <c r="Z7" s="94">
        <f>'Billing Determinants'!Y21</f>
        <v>110179049.8228709</v>
      </c>
      <c r="AA7" s="94">
        <f>'Billing Determinants'!Z21</f>
        <v>101877333.3748699</v>
      </c>
      <c r="AB7" s="94">
        <f>'Billing Determinants'!AA21</f>
        <v>106548797.9841841</v>
      </c>
      <c r="AC7" s="94">
        <f>'Billing Determinants'!AB21</f>
        <v>109547156.31851961</v>
      </c>
      <c r="AD7" s="94">
        <f>'Billing Determinants'!AC21</f>
        <v>123421721.8055256</v>
      </c>
    </row>
    <row r="8" spans="1:30">
      <c r="B8" s="44" t="s">
        <v>50</v>
      </c>
      <c r="D8" s="94">
        <f>'Billing Determinants'!C22</f>
        <v>82898149</v>
      </c>
      <c r="E8" s="94">
        <f>'Billing Determinants'!D22</f>
        <v>84772068</v>
      </c>
      <c r="F8" s="94">
        <f>'Billing Determinants'!E22</f>
        <v>83536279</v>
      </c>
      <c r="G8" s="94">
        <f>'Billing Determinants'!F22</f>
        <v>89967555</v>
      </c>
      <c r="H8" s="94">
        <f>'Billing Determinants'!G22</f>
        <v>87018266</v>
      </c>
      <c r="I8" s="94">
        <f>'Billing Determinants'!H22</f>
        <v>89251888</v>
      </c>
      <c r="J8" s="94">
        <f>'Billing Determinants'!I22</f>
        <v>88324209</v>
      </c>
      <c r="K8" s="94">
        <f>'Billing Determinants'!J22</f>
        <v>88354717</v>
      </c>
      <c r="L8" s="94">
        <f>'Billing Determinants'!K22</f>
        <v>90713084</v>
      </c>
      <c r="M8" s="94">
        <f>'Billing Determinants'!L22</f>
        <v>86407808</v>
      </c>
      <c r="N8" s="94">
        <f>'Billing Determinants'!M22</f>
        <v>87419411</v>
      </c>
      <c r="O8" s="94">
        <f>'Billing Determinants'!N22</f>
        <v>88393436</v>
      </c>
      <c r="P8" s="94">
        <f>'Billing Determinants'!O22</f>
        <v>88297376</v>
      </c>
      <c r="Q8" s="94">
        <f>'Billing Determinants'!P22</f>
        <v>89354648</v>
      </c>
      <c r="R8" s="94">
        <f>'Billing Determinants'!Q22</f>
        <v>88340940</v>
      </c>
      <c r="S8" s="94">
        <f>'Billing Determinants'!R22</f>
        <v>93333673</v>
      </c>
      <c r="T8" s="94">
        <f>'Billing Determinants'!S22</f>
        <v>90644957</v>
      </c>
      <c r="U8" s="94">
        <f>'Billing Determinants'!T22</f>
        <v>90594062</v>
      </c>
      <c r="V8" s="94">
        <f>'Billing Determinants'!U22</f>
        <v>89928212</v>
      </c>
      <c r="W8" s="94">
        <f>'Billing Determinants'!V22</f>
        <v>90199403</v>
      </c>
      <c r="X8" s="94">
        <f>'Billing Determinants'!W22</f>
        <v>91956000</v>
      </c>
      <c r="Y8" s="94">
        <f>'Billing Determinants'!X22</f>
        <v>88451009</v>
      </c>
      <c r="Z8" s="94">
        <f>'Billing Determinants'!Y22</f>
        <v>87875457</v>
      </c>
      <c r="AA8" s="94">
        <f>'Billing Determinants'!Z22</f>
        <v>89784580</v>
      </c>
      <c r="AB8" s="94">
        <f>'Billing Determinants'!AA22</f>
        <v>89338445</v>
      </c>
      <c r="AC8" s="94">
        <f>'Billing Determinants'!AB22</f>
        <v>89818552</v>
      </c>
      <c r="AD8" s="94">
        <f>'Billing Determinants'!AC22</f>
        <v>89214489</v>
      </c>
    </row>
    <row r="9" spans="1:30">
      <c r="B9" s="44" t="s">
        <v>51</v>
      </c>
      <c r="D9" s="94">
        <f>'Billing Determinants'!C23</f>
        <v>15864455.054771934</v>
      </c>
      <c r="E9" s="94">
        <f>'Billing Determinants'!D23</f>
        <v>19431851.090974152</v>
      </c>
      <c r="F9" s="94">
        <f>'Billing Determinants'!E23</f>
        <v>27028521.828320011</v>
      </c>
      <c r="G9" s="94">
        <f>'Billing Determinants'!F23</f>
        <v>27511583.226207472</v>
      </c>
      <c r="H9" s="94">
        <f>'Billing Determinants'!G23</f>
        <v>19039222.236826446</v>
      </c>
      <c r="I9" s="94">
        <f>'Billing Determinants'!H23</f>
        <v>11215909.013334222</v>
      </c>
      <c r="J9" s="94">
        <f>'Billing Determinants'!I23</f>
        <v>5042477.2172271349</v>
      </c>
      <c r="K9" s="94">
        <f>'Billing Determinants'!J23</f>
        <v>4308983.5574256219</v>
      </c>
      <c r="L9" s="94">
        <f>'Billing Determinants'!K23</f>
        <v>4420646.3112416742</v>
      </c>
      <c r="M9" s="94">
        <f>'Billing Determinants'!L23</f>
        <v>4082569.9289629622</v>
      </c>
      <c r="N9" s="94">
        <f>'Billing Determinants'!M23</f>
        <v>4754511.4544022735</v>
      </c>
      <c r="O9" s="94">
        <f>'Billing Determinants'!N23</f>
        <v>7124036.5690510347</v>
      </c>
      <c r="P9" s="94">
        <f>'Billing Determinants'!O23</f>
        <v>13597187.504064046</v>
      </c>
      <c r="Q9" s="94">
        <f>'Billing Determinants'!P23</f>
        <v>19634254.167975489</v>
      </c>
      <c r="R9" s="94">
        <f>'Billing Determinants'!Q23</f>
        <v>26630980.426440693</v>
      </c>
      <c r="S9" s="94">
        <f>'Billing Determinants'!R23</f>
        <v>27314685.013230894</v>
      </c>
      <c r="T9" s="94">
        <f>'Billing Determinants'!S23</f>
        <v>19522316.137493681</v>
      </c>
      <c r="U9" s="94">
        <f>'Billing Determinants'!T23</f>
        <v>11396896.819346577</v>
      </c>
      <c r="V9" s="94">
        <f>'Billing Determinants'!U23</f>
        <v>5168817.9562777895</v>
      </c>
      <c r="W9" s="94">
        <f>'Billing Determinants'!V23</f>
        <v>4373234.8659005072</v>
      </c>
      <c r="X9" s="94">
        <f>'Billing Determinants'!W23</f>
        <v>4437212.1957605677</v>
      </c>
      <c r="Y9" s="94">
        <f>'Billing Determinants'!X23</f>
        <v>3984158.2812529067</v>
      </c>
      <c r="Z9" s="94">
        <f>'Billing Determinants'!Y23</f>
        <v>4773819.4789318973</v>
      </c>
      <c r="AA9" s="94">
        <f>'Billing Determinants'!Z23</f>
        <v>7041531.2971402304</v>
      </c>
      <c r="AB9" s="94">
        <f>'Billing Determinants'!AA23</f>
        <v>13203357.355803199</v>
      </c>
      <c r="AC9" s="94">
        <f>'Billing Determinants'!AB23</f>
        <v>19478644.144370764</v>
      </c>
      <c r="AD9" s="94">
        <f>'Billing Determinants'!AC23</f>
        <v>26494620.935993448</v>
      </c>
    </row>
    <row r="10" spans="1:30">
      <c r="B10" s="44" t="s">
        <v>52</v>
      </c>
      <c r="D10" s="94">
        <f>'Billing Determinants'!C24</f>
        <v>1373723.3602483333</v>
      </c>
      <c r="E10" s="94">
        <f>'Billing Determinants'!D24</f>
        <v>1372796.7284548611</v>
      </c>
      <c r="F10" s="94">
        <f>'Billing Determinants'!E24</f>
        <v>1377384.0966677663</v>
      </c>
      <c r="G10" s="94">
        <f>'Billing Determinants'!F24</f>
        <v>1368769.9848067467</v>
      </c>
      <c r="H10" s="94">
        <f>'Billing Determinants'!G24</f>
        <v>1382585.6124156422</v>
      </c>
      <c r="I10" s="94">
        <f>'Billing Determinants'!H24</f>
        <v>1348656.2775461124</v>
      </c>
      <c r="J10" s="94">
        <f>'Billing Determinants'!I24</f>
        <v>1339576.2936307886</v>
      </c>
      <c r="K10" s="94">
        <f>'Billing Determinants'!J24</f>
        <v>1404381.0722308541</v>
      </c>
      <c r="L10" s="94">
        <f>'Billing Determinants'!K24</f>
        <v>1357849.7795550921</v>
      </c>
      <c r="M10" s="94">
        <f>'Billing Determinants'!L24</f>
        <v>1289943.8207213499</v>
      </c>
      <c r="N10" s="94">
        <f>'Billing Determinants'!M24</f>
        <v>1347343.0766535457</v>
      </c>
      <c r="O10" s="94">
        <f>'Billing Determinants'!N24</f>
        <v>1320419.3019775909</v>
      </c>
      <c r="P10" s="94">
        <f>'Billing Determinants'!O24</f>
        <v>1329472.1398669735</v>
      </c>
      <c r="Q10" s="94">
        <f>'Billing Determinants'!P24</f>
        <v>1326189.3874514436</v>
      </c>
      <c r="R10" s="94">
        <f>'Billing Determinants'!Q24</f>
        <v>1341916.2510249089</v>
      </c>
      <c r="S10" s="94">
        <f>'Billing Determinants'!R24</f>
        <v>1334885.3667213374</v>
      </c>
      <c r="T10" s="94">
        <f>'Billing Determinants'!S24</f>
        <v>1350013.7204433866</v>
      </c>
      <c r="U10" s="94">
        <f>'Billing Determinants'!T24</f>
        <v>1324290.5457581985</v>
      </c>
      <c r="V10" s="94">
        <f>'Billing Determinants'!U24</f>
        <v>1319608.4024767058</v>
      </c>
      <c r="W10" s="94">
        <f>'Billing Determinants'!V24</f>
        <v>1370642.3916217822</v>
      </c>
      <c r="X10" s="94">
        <f>'Billing Determinants'!W24</f>
        <v>1337795.5693901929</v>
      </c>
      <c r="Y10" s="94">
        <f>'Billing Determinants'!X24</f>
        <v>1269751.2712114514</v>
      </c>
      <c r="Z10" s="94">
        <f>'Billing Determinants'!Y24</f>
        <v>1334726.5435937513</v>
      </c>
      <c r="AA10" s="94">
        <f>'Billing Determinants'!Z24</f>
        <v>1299637.5227202268</v>
      </c>
      <c r="AB10" s="94">
        <f>'Billing Determinants'!AA24</f>
        <v>1302367.5478664883</v>
      </c>
      <c r="AC10" s="94">
        <f>'Billing Determinants'!AB24</f>
        <v>1301337.0038499897</v>
      </c>
      <c r="AD10" s="94">
        <f>'Billing Determinants'!AC24</f>
        <v>1314428.8389496598</v>
      </c>
    </row>
    <row r="11" spans="1:30">
      <c r="A11" s="44" t="s">
        <v>77</v>
      </c>
      <c r="D11" s="45">
        <f t="shared" ref="D11:N11" si="0">SUM(D5:D10)</f>
        <v>413845727.0742535</v>
      </c>
      <c r="E11" s="45">
        <f t="shared" si="0"/>
        <v>419181224.83865297</v>
      </c>
      <c r="F11" s="45">
        <f t="shared" si="0"/>
        <v>487298878.00615412</v>
      </c>
      <c r="G11" s="45">
        <f t="shared" si="0"/>
        <v>487636125.60885078</v>
      </c>
      <c r="H11" s="45">
        <f t="shared" si="0"/>
        <v>414703364.40401798</v>
      </c>
      <c r="I11" s="45">
        <f t="shared" si="0"/>
        <v>446078400.77076095</v>
      </c>
      <c r="J11" s="45">
        <f t="shared" si="0"/>
        <v>491709827.49030411</v>
      </c>
      <c r="K11" s="45">
        <f t="shared" si="0"/>
        <v>565810828.28692281</v>
      </c>
      <c r="L11" s="45">
        <f t="shared" si="0"/>
        <v>567517103.68993688</v>
      </c>
      <c r="M11" s="45">
        <f t="shared" si="0"/>
        <v>489421986.19659245</v>
      </c>
      <c r="N11" s="45">
        <f t="shared" si="0"/>
        <v>481138030.90452957</v>
      </c>
      <c r="O11" s="45">
        <f t="shared" ref="O11:R11" si="1">SUM(O5:O10)</f>
        <v>421217887.33087671</v>
      </c>
      <c r="P11" s="45">
        <f t="shared" si="1"/>
        <v>414497942.80772728</v>
      </c>
      <c r="Q11" s="45">
        <f t="shared" si="1"/>
        <v>420643303.56812561</v>
      </c>
      <c r="R11" s="45">
        <f t="shared" si="1"/>
        <v>483533881.2111699</v>
      </c>
      <c r="S11" s="45">
        <f t="shared" ref="S11:AD11" si="2">SUM(S5:S10)</f>
        <v>484174236.78751916</v>
      </c>
      <c r="T11" s="45">
        <f t="shared" si="2"/>
        <v>418902145.4563933</v>
      </c>
      <c r="U11" s="45">
        <f t="shared" si="2"/>
        <v>444492823.07496458</v>
      </c>
      <c r="V11" s="45">
        <f t="shared" si="2"/>
        <v>492563000.70695406</v>
      </c>
      <c r="W11" s="45">
        <f t="shared" si="2"/>
        <v>569086960.85921431</v>
      </c>
      <c r="X11" s="45">
        <f t="shared" si="2"/>
        <v>571745557.251073</v>
      </c>
      <c r="Y11" s="45">
        <f t="shared" si="2"/>
        <v>491548757.39719194</v>
      </c>
      <c r="Z11" s="45">
        <f t="shared" si="2"/>
        <v>487826794.50443071</v>
      </c>
      <c r="AA11" s="45">
        <f t="shared" si="2"/>
        <v>428845629.65392661</v>
      </c>
      <c r="AB11" s="45">
        <f t="shared" si="2"/>
        <v>420524103.86781293</v>
      </c>
      <c r="AC11" s="45">
        <f t="shared" si="2"/>
        <v>424781596.02440012</v>
      </c>
      <c r="AD11" s="45">
        <f t="shared" si="2"/>
        <v>486538022.63578892</v>
      </c>
    </row>
    <row r="12" spans="1:30">
      <c r="D12" s="72">
        <f>D11-'Billing Determinants'!C25</f>
        <v>0</v>
      </c>
      <c r="E12" s="72">
        <f>E11-'Billing Determinants'!D25</f>
        <v>0</v>
      </c>
      <c r="F12" s="72">
        <f>F11-'Billing Determinants'!E25</f>
        <v>0</v>
      </c>
      <c r="G12" s="72">
        <f>G11-'Billing Determinants'!F25</f>
        <v>0</v>
      </c>
      <c r="H12" s="72">
        <f>H11-'Billing Determinants'!G25</f>
        <v>0</v>
      </c>
      <c r="I12" s="72">
        <f>I11-'Billing Determinants'!H25</f>
        <v>0</v>
      </c>
      <c r="J12" s="72">
        <f>J11-'Billing Determinants'!I25</f>
        <v>0</v>
      </c>
      <c r="K12" s="72">
        <f>K11-'Billing Determinants'!J25</f>
        <v>0</v>
      </c>
      <c r="L12" s="72">
        <f>L11-'Billing Determinants'!K25</f>
        <v>0</v>
      </c>
      <c r="M12" s="72">
        <f>M11-'Billing Determinants'!L25</f>
        <v>0</v>
      </c>
      <c r="N12" s="72">
        <f>N11-'Billing Determinants'!M25</f>
        <v>0</v>
      </c>
      <c r="O12" s="72">
        <f>O11-'Billing Determinants'!N25</f>
        <v>0</v>
      </c>
      <c r="P12" s="72">
        <f>P11-'Billing Determinants'!O25</f>
        <v>0</v>
      </c>
      <c r="Q12" s="72">
        <f>Q11-'Billing Determinants'!P25</f>
        <v>0</v>
      </c>
      <c r="R12" s="72">
        <f>R11-'Billing Determinants'!Q25</f>
        <v>0</v>
      </c>
      <c r="S12" s="72">
        <f>S11-'Billing Determinants'!R25</f>
        <v>0</v>
      </c>
      <c r="T12" s="72">
        <f>T11-'Billing Determinants'!S25</f>
        <v>0</v>
      </c>
      <c r="U12" s="72">
        <f>U11-'Billing Determinants'!T25</f>
        <v>0</v>
      </c>
      <c r="V12" s="72">
        <f>V11-'Billing Determinants'!U25</f>
        <v>0</v>
      </c>
      <c r="W12" s="72">
        <f>W11-'Billing Determinants'!V25</f>
        <v>0</v>
      </c>
      <c r="X12" s="72">
        <f>X11-'Billing Determinants'!W25</f>
        <v>0</v>
      </c>
      <c r="Y12" s="72">
        <f>Y11-'Billing Determinants'!X25</f>
        <v>0</v>
      </c>
      <c r="Z12" s="72">
        <f>Z11-'Billing Determinants'!Y25</f>
        <v>0</v>
      </c>
      <c r="AA12" s="72">
        <f>AA11-'Billing Determinants'!Z25</f>
        <v>0</v>
      </c>
      <c r="AB12" s="72">
        <f>AB11-'Billing Determinants'!AA25</f>
        <v>0</v>
      </c>
      <c r="AC12" s="72">
        <f>AC11-'Billing Determinants'!AB25</f>
        <v>0</v>
      </c>
      <c r="AD12" s="72">
        <f>AD11-'Billing Determinants'!AC25</f>
        <v>0</v>
      </c>
    </row>
    <row r="14" spans="1:30">
      <c r="A14" s="44" t="s">
        <v>53</v>
      </c>
    </row>
    <row r="15" spans="1:30">
      <c r="B15" s="44" t="s">
        <v>47</v>
      </c>
      <c r="D15" s="145">
        <f>'WA Electric - Sched 91'!D9</f>
        <v>3.2299999999999998E-3</v>
      </c>
      <c r="E15" s="145">
        <f t="shared" ref="E15:F15" si="3">D15</f>
        <v>3.2299999999999998E-3</v>
      </c>
      <c r="F15" s="145">
        <f t="shared" si="3"/>
        <v>3.2299999999999998E-3</v>
      </c>
      <c r="G15" s="41">
        <f>'WA Electric - Sched 91'!$D$23</f>
        <v>2.5519921155876982E-3</v>
      </c>
      <c r="H15" s="41">
        <f>'WA Electric - Sched 91'!$D$23</f>
        <v>2.5519921155876982E-3</v>
      </c>
      <c r="I15" s="41">
        <f>'WA Electric - Sched 91'!$D$23</f>
        <v>2.5519921155876982E-3</v>
      </c>
      <c r="J15" s="41">
        <f>'WA Electric - Sched 91'!$D$23</f>
        <v>2.5519921155876982E-3</v>
      </c>
      <c r="K15" s="41">
        <f>'WA Electric - Sched 91'!$D$23</f>
        <v>2.5519921155876982E-3</v>
      </c>
      <c r="L15" s="41">
        <f>'WA Electric - Sched 91'!$D$23</f>
        <v>2.5519921155876982E-3</v>
      </c>
      <c r="M15" s="41">
        <f>'WA Electric - Sched 91'!$D$23</f>
        <v>2.5519921155876982E-3</v>
      </c>
      <c r="N15" s="41">
        <f>'WA Electric - Sched 91'!$D$23</f>
        <v>2.5519921155876982E-3</v>
      </c>
      <c r="O15" s="41">
        <f>'WA Electric - Sched 91'!$D$23</f>
        <v>2.5519921155876982E-3</v>
      </c>
      <c r="P15" s="41">
        <f>'WA Electric - Sched 91'!$D$23</f>
        <v>2.5519921155876982E-3</v>
      </c>
      <c r="Q15" s="41">
        <f>'WA Electric - Sched 91'!$D$23</f>
        <v>2.5519921155876982E-3</v>
      </c>
      <c r="R15" s="41">
        <f>'WA Electric - Sched 91'!$D$23</f>
        <v>2.5519921155876982E-3</v>
      </c>
      <c r="S15" s="41">
        <f>'WA Electric - Sched 91'!$D$23</f>
        <v>2.5519921155876982E-3</v>
      </c>
      <c r="T15" s="41">
        <f>'WA Electric - Sched 91'!$D$23</f>
        <v>2.5519921155876982E-3</v>
      </c>
      <c r="U15" s="41">
        <f>'WA Electric - Sched 91'!$D$23</f>
        <v>2.5519921155876982E-3</v>
      </c>
      <c r="V15" s="41">
        <f>'WA Electric - Sched 91'!$D$23</f>
        <v>2.5519921155876982E-3</v>
      </c>
      <c r="W15" s="41">
        <f>'WA Electric - Sched 91'!$D$23</f>
        <v>2.5519921155876982E-3</v>
      </c>
      <c r="X15" s="41">
        <f>'WA Electric - Sched 91'!$D$23</f>
        <v>2.5519921155876982E-3</v>
      </c>
      <c r="Y15" s="41">
        <f>'WA Electric - Sched 91'!$D$23</f>
        <v>2.5519921155876982E-3</v>
      </c>
      <c r="Z15" s="41">
        <f>'WA Electric - Sched 91'!$D$23</f>
        <v>2.5519921155876982E-3</v>
      </c>
      <c r="AA15" s="41">
        <f>'WA Electric - Sched 91'!$D$23</f>
        <v>2.5519921155876982E-3</v>
      </c>
      <c r="AB15" s="41">
        <f>'WA Electric - Sched 91'!$D$23</f>
        <v>2.5519921155876982E-3</v>
      </c>
      <c r="AC15" s="41">
        <f>'WA Electric - Sched 91'!$D$23</f>
        <v>2.5519921155876982E-3</v>
      </c>
      <c r="AD15" s="41">
        <f>'WA Electric - Sched 91'!$D$23</f>
        <v>2.5519921155876982E-3</v>
      </c>
    </row>
    <row r="16" spans="1:30">
      <c r="B16" s="44" t="s">
        <v>48</v>
      </c>
      <c r="D16" s="145">
        <f>'WA Electric - Sched 91'!E9</f>
        <v>4.2599999999999999E-3</v>
      </c>
      <c r="E16" s="145">
        <f t="shared" ref="E16:F20" si="4">D16</f>
        <v>4.2599999999999999E-3</v>
      </c>
      <c r="F16" s="145">
        <f t="shared" si="4"/>
        <v>4.2599999999999999E-3</v>
      </c>
      <c r="G16" s="41">
        <f>'WA Electric - Sched 91'!$E$23</f>
        <v>3.2068451271835556E-3</v>
      </c>
      <c r="H16" s="41">
        <f>'WA Electric - Sched 91'!$E$23</f>
        <v>3.2068451271835556E-3</v>
      </c>
      <c r="I16" s="41">
        <f>'WA Electric - Sched 91'!$E$23</f>
        <v>3.2068451271835556E-3</v>
      </c>
      <c r="J16" s="41">
        <f>'WA Electric - Sched 91'!$E$23</f>
        <v>3.2068451271835556E-3</v>
      </c>
      <c r="K16" s="41">
        <f>'WA Electric - Sched 91'!$E$23</f>
        <v>3.2068451271835556E-3</v>
      </c>
      <c r="L16" s="41">
        <f>'WA Electric - Sched 91'!$E$23</f>
        <v>3.2068451271835556E-3</v>
      </c>
      <c r="M16" s="41">
        <f>'WA Electric - Sched 91'!$E$23</f>
        <v>3.2068451271835556E-3</v>
      </c>
      <c r="N16" s="41">
        <f>'WA Electric - Sched 91'!$E$23</f>
        <v>3.2068451271835556E-3</v>
      </c>
      <c r="O16" s="41">
        <f>'WA Electric - Sched 91'!$E$23</f>
        <v>3.2068451271835556E-3</v>
      </c>
      <c r="P16" s="41">
        <f>'WA Electric - Sched 91'!$E$23</f>
        <v>3.2068451271835556E-3</v>
      </c>
      <c r="Q16" s="41">
        <f>'WA Electric - Sched 91'!$E$23</f>
        <v>3.2068451271835556E-3</v>
      </c>
      <c r="R16" s="41">
        <f>'WA Electric - Sched 91'!$E$23</f>
        <v>3.2068451271835556E-3</v>
      </c>
      <c r="S16" s="41">
        <f>'WA Electric - Sched 91'!$E$23</f>
        <v>3.2068451271835556E-3</v>
      </c>
      <c r="T16" s="41">
        <f>'WA Electric - Sched 91'!$E$23</f>
        <v>3.2068451271835556E-3</v>
      </c>
      <c r="U16" s="41">
        <f>'WA Electric - Sched 91'!$E$23</f>
        <v>3.2068451271835556E-3</v>
      </c>
      <c r="V16" s="41">
        <f>'WA Electric - Sched 91'!$E$23</f>
        <v>3.2068451271835556E-3</v>
      </c>
      <c r="W16" s="41">
        <f>'WA Electric - Sched 91'!$E$23</f>
        <v>3.2068451271835556E-3</v>
      </c>
      <c r="X16" s="41">
        <f>'WA Electric - Sched 91'!$E$23</f>
        <v>3.2068451271835556E-3</v>
      </c>
      <c r="Y16" s="41">
        <f>'WA Electric - Sched 91'!$E$23</f>
        <v>3.2068451271835556E-3</v>
      </c>
      <c r="Z16" s="41">
        <f>'WA Electric - Sched 91'!$E$23</f>
        <v>3.2068451271835556E-3</v>
      </c>
      <c r="AA16" s="41">
        <f>'WA Electric - Sched 91'!$E$23</f>
        <v>3.2068451271835556E-3</v>
      </c>
      <c r="AB16" s="41">
        <f>'WA Electric - Sched 91'!$E$23</f>
        <v>3.2068451271835556E-3</v>
      </c>
      <c r="AC16" s="41">
        <f>'WA Electric - Sched 91'!$E$23</f>
        <v>3.2068451271835556E-3</v>
      </c>
      <c r="AD16" s="41">
        <f>'WA Electric - Sched 91'!$E$23</f>
        <v>3.2068451271835556E-3</v>
      </c>
    </row>
    <row r="17" spans="1:32">
      <c r="B17" s="44" t="s">
        <v>49</v>
      </c>
      <c r="D17" s="145">
        <f>'WA Electric - Sched 91'!F9</f>
        <v>3.3300000000000001E-3</v>
      </c>
      <c r="E17" s="145">
        <f t="shared" si="4"/>
        <v>3.3300000000000001E-3</v>
      </c>
      <c r="F17" s="145">
        <f t="shared" si="4"/>
        <v>3.3300000000000001E-3</v>
      </c>
      <c r="G17" s="41">
        <f>'WA Electric - Sched 91'!$F$23</f>
        <v>2.7348446453900189E-3</v>
      </c>
      <c r="H17" s="41">
        <f>'WA Electric - Sched 91'!$F$23</f>
        <v>2.7348446453900189E-3</v>
      </c>
      <c r="I17" s="41">
        <f>'WA Electric - Sched 91'!$F$23</f>
        <v>2.7348446453900189E-3</v>
      </c>
      <c r="J17" s="41">
        <f>'WA Electric - Sched 91'!$F$23</f>
        <v>2.7348446453900189E-3</v>
      </c>
      <c r="K17" s="41">
        <f>'WA Electric - Sched 91'!$F$23</f>
        <v>2.7348446453900189E-3</v>
      </c>
      <c r="L17" s="41">
        <f>'WA Electric - Sched 91'!$F$23</f>
        <v>2.7348446453900189E-3</v>
      </c>
      <c r="M17" s="41">
        <f>'WA Electric - Sched 91'!$F$23</f>
        <v>2.7348446453900189E-3</v>
      </c>
      <c r="N17" s="41">
        <f>'WA Electric - Sched 91'!$F$23</f>
        <v>2.7348446453900189E-3</v>
      </c>
      <c r="O17" s="41">
        <f>'WA Electric - Sched 91'!$F$23</f>
        <v>2.7348446453900189E-3</v>
      </c>
      <c r="P17" s="41">
        <f>'WA Electric - Sched 91'!$F$23</f>
        <v>2.7348446453900189E-3</v>
      </c>
      <c r="Q17" s="41">
        <f>'WA Electric - Sched 91'!$F$23</f>
        <v>2.7348446453900189E-3</v>
      </c>
      <c r="R17" s="41">
        <f>'WA Electric - Sched 91'!$F$23</f>
        <v>2.7348446453900189E-3</v>
      </c>
      <c r="S17" s="41">
        <f>'WA Electric - Sched 91'!$F$23</f>
        <v>2.7348446453900189E-3</v>
      </c>
      <c r="T17" s="41">
        <f>'WA Electric - Sched 91'!$F$23</f>
        <v>2.7348446453900189E-3</v>
      </c>
      <c r="U17" s="41">
        <f>'WA Electric - Sched 91'!$F$23</f>
        <v>2.7348446453900189E-3</v>
      </c>
      <c r="V17" s="41">
        <f>'WA Electric - Sched 91'!$F$23</f>
        <v>2.7348446453900189E-3</v>
      </c>
      <c r="W17" s="41">
        <f>'WA Electric - Sched 91'!$F$23</f>
        <v>2.7348446453900189E-3</v>
      </c>
      <c r="X17" s="41">
        <f>'WA Electric - Sched 91'!$F$23</f>
        <v>2.7348446453900189E-3</v>
      </c>
      <c r="Y17" s="41">
        <f>'WA Electric - Sched 91'!$F$23</f>
        <v>2.7348446453900189E-3</v>
      </c>
      <c r="Z17" s="41">
        <f>'WA Electric - Sched 91'!$F$23</f>
        <v>2.7348446453900189E-3</v>
      </c>
      <c r="AA17" s="41">
        <f>'WA Electric - Sched 91'!$F$23</f>
        <v>2.7348446453900189E-3</v>
      </c>
      <c r="AB17" s="41">
        <f>'WA Electric - Sched 91'!$F$23</f>
        <v>2.7348446453900189E-3</v>
      </c>
      <c r="AC17" s="41">
        <f>'WA Electric - Sched 91'!$F$23</f>
        <v>2.7348446453900189E-3</v>
      </c>
      <c r="AD17" s="41">
        <f>'WA Electric - Sched 91'!$F$23</f>
        <v>2.7348446453900189E-3</v>
      </c>
    </row>
    <row r="18" spans="1:32">
      <c r="B18" s="44" t="s">
        <v>50</v>
      </c>
      <c r="D18" s="145">
        <f>'WA Electric - Sched 91'!F9</f>
        <v>3.3300000000000001E-3</v>
      </c>
      <c r="E18" s="145">
        <f t="shared" si="4"/>
        <v>3.3300000000000001E-3</v>
      </c>
      <c r="F18" s="145">
        <f t="shared" si="4"/>
        <v>3.3300000000000001E-3</v>
      </c>
      <c r="G18" s="41">
        <f>'WA Electric - Sched 91'!$G$23</f>
        <v>1.8167505621790386E-3</v>
      </c>
      <c r="H18" s="41">
        <f>'WA Electric - Sched 91'!$G$23</f>
        <v>1.8167505621790386E-3</v>
      </c>
      <c r="I18" s="41">
        <f>'WA Electric - Sched 91'!$G$23</f>
        <v>1.8167505621790386E-3</v>
      </c>
      <c r="J18" s="41">
        <f>'WA Electric - Sched 91'!$G$23</f>
        <v>1.8167505621790386E-3</v>
      </c>
      <c r="K18" s="41">
        <f>'WA Electric - Sched 91'!$G$23</f>
        <v>1.8167505621790386E-3</v>
      </c>
      <c r="L18" s="41">
        <f>'WA Electric - Sched 91'!$G$23</f>
        <v>1.8167505621790386E-3</v>
      </c>
      <c r="M18" s="41">
        <f>'WA Electric - Sched 91'!$G$23</f>
        <v>1.8167505621790386E-3</v>
      </c>
      <c r="N18" s="41">
        <f>'WA Electric - Sched 91'!$G$23</f>
        <v>1.8167505621790386E-3</v>
      </c>
      <c r="O18" s="41">
        <f>'WA Electric - Sched 91'!$G$23</f>
        <v>1.8167505621790386E-3</v>
      </c>
      <c r="P18" s="41">
        <f>'WA Electric - Sched 91'!$G$23</f>
        <v>1.8167505621790386E-3</v>
      </c>
      <c r="Q18" s="41">
        <f>'WA Electric - Sched 91'!$G$23</f>
        <v>1.8167505621790386E-3</v>
      </c>
      <c r="R18" s="41">
        <f>'WA Electric - Sched 91'!$G$23</f>
        <v>1.8167505621790386E-3</v>
      </c>
      <c r="S18" s="41">
        <f>'WA Electric - Sched 91'!$G$23</f>
        <v>1.8167505621790386E-3</v>
      </c>
      <c r="T18" s="41">
        <f>'WA Electric - Sched 91'!$G$23</f>
        <v>1.8167505621790386E-3</v>
      </c>
      <c r="U18" s="41">
        <f>'WA Electric - Sched 91'!$G$23</f>
        <v>1.8167505621790386E-3</v>
      </c>
      <c r="V18" s="41">
        <f>'WA Electric - Sched 91'!$G$23</f>
        <v>1.8167505621790386E-3</v>
      </c>
      <c r="W18" s="41">
        <f>'WA Electric - Sched 91'!$G$23</f>
        <v>1.8167505621790386E-3</v>
      </c>
      <c r="X18" s="41">
        <f>'WA Electric - Sched 91'!$G$23</f>
        <v>1.8167505621790386E-3</v>
      </c>
      <c r="Y18" s="41">
        <f>'WA Electric - Sched 91'!$G$23</f>
        <v>1.8167505621790386E-3</v>
      </c>
      <c r="Z18" s="41">
        <f>'WA Electric - Sched 91'!$G$23</f>
        <v>1.8167505621790386E-3</v>
      </c>
      <c r="AA18" s="41">
        <f>'WA Electric - Sched 91'!$G$23</f>
        <v>1.8167505621790386E-3</v>
      </c>
      <c r="AB18" s="41">
        <f>'WA Electric - Sched 91'!$G$23</f>
        <v>1.8167505621790386E-3</v>
      </c>
      <c r="AC18" s="41">
        <f>'WA Electric - Sched 91'!$G$23</f>
        <v>1.8167505621790386E-3</v>
      </c>
      <c r="AD18" s="41">
        <f>'WA Electric - Sched 91'!$G$23</f>
        <v>1.8167505621790386E-3</v>
      </c>
    </row>
    <row r="19" spans="1:32">
      <c r="B19" s="44" t="s">
        <v>51</v>
      </c>
      <c r="D19" s="145">
        <f>'WA Electric - Sched 91'!H9</f>
        <v>2.82E-3</v>
      </c>
      <c r="E19" s="145">
        <f t="shared" si="4"/>
        <v>2.82E-3</v>
      </c>
      <c r="F19" s="145">
        <f t="shared" si="4"/>
        <v>2.82E-3</v>
      </c>
      <c r="G19" s="41">
        <f>'WA Electric - Sched 91'!$H$23</f>
        <v>2.3613825413033489E-3</v>
      </c>
      <c r="H19" s="41">
        <f>'WA Electric - Sched 91'!$H$23</f>
        <v>2.3613825413033489E-3</v>
      </c>
      <c r="I19" s="41">
        <f>'WA Electric - Sched 91'!$H$23</f>
        <v>2.3613825413033489E-3</v>
      </c>
      <c r="J19" s="41">
        <f>'WA Electric - Sched 91'!$H$23</f>
        <v>2.3613825413033489E-3</v>
      </c>
      <c r="K19" s="41">
        <f>'WA Electric - Sched 91'!$H$23</f>
        <v>2.3613825413033489E-3</v>
      </c>
      <c r="L19" s="41">
        <f>'WA Electric - Sched 91'!$H$23</f>
        <v>2.3613825413033489E-3</v>
      </c>
      <c r="M19" s="41">
        <f>'WA Electric - Sched 91'!$H$23</f>
        <v>2.3613825413033489E-3</v>
      </c>
      <c r="N19" s="41">
        <f>'WA Electric - Sched 91'!$H$23</f>
        <v>2.3613825413033489E-3</v>
      </c>
      <c r="O19" s="41">
        <f>'WA Electric - Sched 91'!$H$23</f>
        <v>2.3613825413033489E-3</v>
      </c>
      <c r="P19" s="41">
        <f>'WA Electric - Sched 91'!$H$23</f>
        <v>2.3613825413033489E-3</v>
      </c>
      <c r="Q19" s="41">
        <f>'WA Electric - Sched 91'!$H$23</f>
        <v>2.3613825413033489E-3</v>
      </c>
      <c r="R19" s="41">
        <f>'WA Electric - Sched 91'!$H$23</f>
        <v>2.3613825413033489E-3</v>
      </c>
      <c r="S19" s="41">
        <f>'WA Electric - Sched 91'!$H$23</f>
        <v>2.3613825413033489E-3</v>
      </c>
      <c r="T19" s="41">
        <f>'WA Electric - Sched 91'!$H$23</f>
        <v>2.3613825413033489E-3</v>
      </c>
      <c r="U19" s="41">
        <f>'WA Electric - Sched 91'!$H$23</f>
        <v>2.3613825413033489E-3</v>
      </c>
      <c r="V19" s="41">
        <f>'WA Electric - Sched 91'!$H$23</f>
        <v>2.3613825413033489E-3</v>
      </c>
      <c r="W19" s="41">
        <f>'WA Electric - Sched 91'!$H$23</f>
        <v>2.3613825413033489E-3</v>
      </c>
      <c r="X19" s="41">
        <f>'WA Electric - Sched 91'!$H$23</f>
        <v>2.3613825413033489E-3</v>
      </c>
      <c r="Y19" s="41">
        <f>'WA Electric - Sched 91'!$H$23</f>
        <v>2.3613825413033489E-3</v>
      </c>
      <c r="Z19" s="41">
        <f>'WA Electric - Sched 91'!$H$23</f>
        <v>2.3613825413033489E-3</v>
      </c>
      <c r="AA19" s="41">
        <f>'WA Electric - Sched 91'!$H$23</f>
        <v>2.3613825413033489E-3</v>
      </c>
      <c r="AB19" s="41">
        <f>'WA Electric - Sched 91'!$H$23</f>
        <v>2.3613825413033489E-3</v>
      </c>
      <c r="AC19" s="41">
        <f>'WA Electric - Sched 91'!$H$23</f>
        <v>2.3613825413033489E-3</v>
      </c>
      <c r="AD19" s="41">
        <f>'WA Electric - Sched 91'!$H$23</f>
        <v>2.3613825413033489E-3</v>
      </c>
    </row>
    <row r="20" spans="1:32">
      <c r="B20" s="44" t="s">
        <v>52</v>
      </c>
      <c r="D20" s="145">
        <f>'WA Electric - Sched 91'!I9</f>
        <v>1.3939999999999999E-2</v>
      </c>
      <c r="E20" s="145">
        <f t="shared" si="4"/>
        <v>1.3939999999999999E-2</v>
      </c>
      <c r="F20" s="145">
        <f t="shared" si="4"/>
        <v>1.3939999999999999E-2</v>
      </c>
      <c r="G20" s="41">
        <f>'WA Electric - Sched 91'!$I$23</f>
        <v>1.1182488739420801E-2</v>
      </c>
      <c r="H20" s="41">
        <f>'WA Electric - Sched 91'!$I$23</f>
        <v>1.1182488739420801E-2</v>
      </c>
      <c r="I20" s="41">
        <f>'WA Electric - Sched 91'!$I$23</f>
        <v>1.1182488739420801E-2</v>
      </c>
      <c r="J20" s="41">
        <f>'WA Electric - Sched 91'!$I$23</f>
        <v>1.1182488739420801E-2</v>
      </c>
      <c r="K20" s="41">
        <f>'WA Electric - Sched 91'!$I$23</f>
        <v>1.1182488739420801E-2</v>
      </c>
      <c r="L20" s="41">
        <f>'WA Electric - Sched 91'!$I$23</f>
        <v>1.1182488739420801E-2</v>
      </c>
      <c r="M20" s="41">
        <f>'WA Electric - Sched 91'!$I$23</f>
        <v>1.1182488739420801E-2</v>
      </c>
      <c r="N20" s="41">
        <f>'WA Electric - Sched 91'!$I$23</f>
        <v>1.1182488739420801E-2</v>
      </c>
      <c r="O20" s="41">
        <f>'WA Electric - Sched 91'!$I$23</f>
        <v>1.1182488739420801E-2</v>
      </c>
      <c r="P20" s="41">
        <f>'WA Electric - Sched 91'!$I$23</f>
        <v>1.1182488739420801E-2</v>
      </c>
      <c r="Q20" s="41">
        <f>'WA Electric - Sched 91'!$I$23</f>
        <v>1.1182488739420801E-2</v>
      </c>
      <c r="R20" s="41">
        <f>'WA Electric - Sched 91'!$I$23</f>
        <v>1.1182488739420801E-2</v>
      </c>
      <c r="S20" s="41">
        <f>'WA Electric - Sched 91'!$I$23</f>
        <v>1.1182488739420801E-2</v>
      </c>
      <c r="T20" s="41">
        <f>'WA Electric - Sched 91'!$I$23</f>
        <v>1.1182488739420801E-2</v>
      </c>
      <c r="U20" s="41">
        <f>'WA Electric - Sched 91'!$I$23</f>
        <v>1.1182488739420801E-2</v>
      </c>
      <c r="V20" s="41">
        <f>'WA Electric - Sched 91'!$I$23</f>
        <v>1.1182488739420801E-2</v>
      </c>
      <c r="W20" s="41">
        <f>'WA Electric - Sched 91'!$I$23</f>
        <v>1.1182488739420801E-2</v>
      </c>
      <c r="X20" s="41">
        <f>'WA Electric - Sched 91'!$I$23</f>
        <v>1.1182488739420801E-2</v>
      </c>
      <c r="Y20" s="41">
        <f>'WA Electric - Sched 91'!$I$23</f>
        <v>1.1182488739420801E-2</v>
      </c>
      <c r="Z20" s="41">
        <f>'WA Electric - Sched 91'!$I$23</f>
        <v>1.1182488739420801E-2</v>
      </c>
      <c r="AA20" s="41">
        <f>'WA Electric - Sched 91'!$I$23</f>
        <v>1.1182488739420801E-2</v>
      </c>
      <c r="AB20" s="41">
        <f>'WA Electric - Sched 91'!$I$23</f>
        <v>1.1182488739420801E-2</v>
      </c>
      <c r="AC20" s="41">
        <f>'WA Electric - Sched 91'!$I$23</f>
        <v>1.1182488739420801E-2</v>
      </c>
      <c r="AD20" s="41">
        <f>'WA Electric - Sched 91'!$I$23</f>
        <v>1.1182488739420801E-2</v>
      </c>
    </row>
    <row r="21" spans="1:3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row>
    <row r="23" spans="1:32">
      <c r="A23" s="44" t="s">
        <v>13</v>
      </c>
      <c r="D23" s="74">
        <f t="shared" ref="D23:R23" si="5">D4</f>
        <v>44334</v>
      </c>
      <c r="E23" s="74">
        <f t="shared" si="5"/>
        <v>44365</v>
      </c>
      <c r="F23" s="74">
        <f t="shared" si="5"/>
        <v>44395</v>
      </c>
      <c r="G23" s="74">
        <f t="shared" si="5"/>
        <v>44426</v>
      </c>
      <c r="H23" s="74">
        <f t="shared" si="5"/>
        <v>44457</v>
      </c>
      <c r="I23" s="74">
        <f t="shared" si="5"/>
        <v>44487</v>
      </c>
      <c r="J23" s="74">
        <f t="shared" si="5"/>
        <v>44518</v>
      </c>
      <c r="K23" s="74">
        <f t="shared" si="5"/>
        <v>44548</v>
      </c>
      <c r="L23" s="74">
        <f t="shared" si="5"/>
        <v>44579</v>
      </c>
      <c r="M23" s="74">
        <f t="shared" si="5"/>
        <v>44610</v>
      </c>
      <c r="N23" s="74">
        <f t="shared" si="5"/>
        <v>44638</v>
      </c>
      <c r="O23" s="74">
        <f t="shared" si="5"/>
        <v>44669</v>
      </c>
      <c r="P23" s="74">
        <f t="shared" si="5"/>
        <v>44699</v>
      </c>
      <c r="Q23" s="74">
        <f t="shared" si="5"/>
        <v>44730</v>
      </c>
      <c r="R23" s="74">
        <f t="shared" si="5"/>
        <v>44760</v>
      </c>
      <c r="S23" s="74">
        <f t="shared" ref="S23:AD23" si="6">S4</f>
        <v>44791</v>
      </c>
      <c r="T23" s="74">
        <f t="shared" si="6"/>
        <v>44822</v>
      </c>
      <c r="U23" s="74">
        <f t="shared" si="6"/>
        <v>44852</v>
      </c>
      <c r="V23" s="74">
        <f t="shared" si="6"/>
        <v>44883</v>
      </c>
      <c r="W23" s="74">
        <f t="shared" si="6"/>
        <v>44913</v>
      </c>
      <c r="X23" s="74">
        <f t="shared" si="6"/>
        <v>44944</v>
      </c>
      <c r="Y23" s="74">
        <f t="shared" si="6"/>
        <v>44975</v>
      </c>
      <c r="Z23" s="74">
        <f t="shared" si="6"/>
        <v>45003</v>
      </c>
      <c r="AA23" s="74">
        <f t="shared" si="6"/>
        <v>45034</v>
      </c>
      <c r="AB23" s="74">
        <f t="shared" si="6"/>
        <v>45064</v>
      </c>
      <c r="AC23" s="74">
        <f t="shared" si="6"/>
        <v>45095</v>
      </c>
      <c r="AD23" s="74">
        <f t="shared" si="6"/>
        <v>45125</v>
      </c>
    </row>
    <row r="24" spans="1:32">
      <c r="B24" s="44" t="s">
        <v>47</v>
      </c>
      <c r="D24" s="14">
        <f>D5*D15</f>
        <v>526088.23681516759</v>
      </c>
      <c r="E24" s="14">
        <f>E5*E15</f>
        <v>525537.02179900033</v>
      </c>
      <c r="F24" s="14">
        <f t="shared" ref="F24:N24" si="7">F5*F15</f>
        <v>651574.22880824446</v>
      </c>
      <c r="G24" s="14">
        <f t="shared" si="7"/>
        <v>498682.20802886598</v>
      </c>
      <c r="H24" s="14">
        <f t="shared" si="7"/>
        <v>395140.3646237636</v>
      </c>
      <c r="I24" s="14">
        <f t="shared" si="7"/>
        <v>458166.53334488545</v>
      </c>
      <c r="J24" s="14">
        <f t="shared" si="7"/>
        <v>583484.55352659989</v>
      </c>
      <c r="K24" s="14">
        <f t="shared" si="7"/>
        <v>736912.38839836733</v>
      </c>
      <c r="L24" s="14">
        <f t="shared" si="7"/>
        <v>737882.49380486447</v>
      </c>
      <c r="M24" s="14">
        <f t="shared" si="7"/>
        <v>604707.05283420114</v>
      </c>
      <c r="N24" s="14">
        <f t="shared" si="7"/>
        <v>567155.99364221678</v>
      </c>
      <c r="O24" s="14">
        <f t="shared" ref="O24:Q24" si="8">O5*O15</f>
        <v>448193.15923164622</v>
      </c>
      <c r="P24" s="14">
        <f t="shared" si="8"/>
        <v>405185.44684314047</v>
      </c>
      <c r="Q24" s="14">
        <f t="shared" si="8"/>
        <v>393610.64772034995</v>
      </c>
      <c r="R24" s="14">
        <f>R5*R15</f>
        <v>479354.12744778075</v>
      </c>
      <c r="S24" s="14">
        <f t="shared" ref="S24:AD24" si="9">S5*S15</f>
        <v>478316.12444574479</v>
      </c>
      <c r="T24" s="14">
        <f t="shared" si="9"/>
        <v>395892.1260112095</v>
      </c>
      <c r="U24" s="14">
        <f t="shared" si="9"/>
        <v>449242.50830795377</v>
      </c>
      <c r="V24" s="14">
        <f t="shared" si="9"/>
        <v>575349.48117295897</v>
      </c>
      <c r="W24" s="14">
        <f t="shared" si="9"/>
        <v>735119.70831443707</v>
      </c>
      <c r="X24" s="14">
        <f t="shared" si="9"/>
        <v>741888.45806102233</v>
      </c>
      <c r="Y24" s="14">
        <f t="shared" si="9"/>
        <v>605840.04202013148</v>
      </c>
      <c r="Z24" s="14">
        <f t="shared" si="9"/>
        <v>578971.99374551023</v>
      </c>
      <c r="AA24" s="14">
        <f t="shared" si="9"/>
        <v>459734.45064247074</v>
      </c>
      <c r="AB24" s="14">
        <f t="shared" si="9"/>
        <v>414011.70463143545</v>
      </c>
      <c r="AC24" s="14">
        <f t="shared" si="9"/>
        <v>397565.92960501544</v>
      </c>
      <c r="AD24" s="14">
        <f t="shared" si="9"/>
        <v>480658.08085362479</v>
      </c>
    </row>
    <row r="25" spans="1:32">
      <c r="B25" s="44" t="s">
        <v>48</v>
      </c>
      <c r="D25" s="14">
        <f t="shared" ref="D25:N25" si="10">D6*D16</f>
        <v>197423.41144215528</v>
      </c>
      <c r="E25" s="14">
        <f t="shared" si="10"/>
        <v>198825.88777582144</v>
      </c>
      <c r="F25" s="14">
        <f t="shared" si="10"/>
        <v>236491.91871745852</v>
      </c>
      <c r="G25" s="14">
        <f t="shared" si="10"/>
        <v>179652.01469706109</v>
      </c>
      <c r="H25" s="14">
        <f t="shared" si="10"/>
        <v>153682.0551375786</v>
      </c>
      <c r="I25" s="14">
        <f t="shared" si="10"/>
        <v>165946.00342010122</v>
      </c>
      <c r="J25" s="14">
        <f t="shared" si="10"/>
        <v>183029.76585065378</v>
      </c>
      <c r="K25" s="14">
        <f t="shared" si="10"/>
        <v>210010.06660178516</v>
      </c>
      <c r="L25" s="14">
        <f t="shared" si="10"/>
        <v>209665.30050676208</v>
      </c>
      <c r="M25" s="14">
        <f t="shared" si="10"/>
        <v>181354.52830464151</v>
      </c>
      <c r="N25" s="14">
        <f t="shared" si="10"/>
        <v>181665.5493915829</v>
      </c>
      <c r="O25" s="14">
        <f t="shared" ref="O25:R25" si="11">O6*O16</f>
        <v>155255.96407303066</v>
      </c>
      <c r="P25" s="14">
        <f t="shared" si="11"/>
        <v>152515.23895359051</v>
      </c>
      <c r="Q25" s="14">
        <f t="shared" si="11"/>
        <v>155139.05951928589</v>
      </c>
      <c r="R25" s="14">
        <f t="shared" si="11"/>
        <v>183315.12737368146</v>
      </c>
      <c r="S25" s="14">
        <f t="shared" ref="S25:AD25" si="12">S6*S16</f>
        <v>180311.60663614949</v>
      </c>
      <c r="T25" s="14">
        <f t="shared" si="12"/>
        <v>152934.099614962</v>
      </c>
      <c r="U25" s="14">
        <f t="shared" si="12"/>
        <v>163693.26848453868</v>
      </c>
      <c r="V25" s="14">
        <f t="shared" si="12"/>
        <v>182038.48364784638</v>
      </c>
      <c r="W25" s="14">
        <f t="shared" si="12"/>
        <v>209609.7249378245</v>
      </c>
      <c r="X25" s="14">
        <f t="shared" si="12"/>
        <v>209509.80415973713</v>
      </c>
      <c r="Y25" s="14">
        <f t="shared" si="12"/>
        <v>179597.65952454307</v>
      </c>
      <c r="Z25" s="14">
        <f t="shared" si="12"/>
        <v>182126.79540359875</v>
      </c>
      <c r="AA25" s="14">
        <f t="shared" si="12"/>
        <v>156158.16553889893</v>
      </c>
      <c r="AB25" s="14">
        <f t="shared" si="12"/>
        <v>153608.98148840052</v>
      </c>
      <c r="AC25" s="14">
        <f t="shared" si="12"/>
        <v>156652.4689574042</v>
      </c>
      <c r="AD25" s="14">
        <f t="shared" si="12"/>
        <v>185184.20140372287</v>
      </c>
    </row>
    <row r="26" spans="1:32">
      <c r="B26" s="44" t="s">
        <v>49</v>
      </c>
      <c r="D26" s="14">
        <f t="shared" ref="D26:N26" si="13">D7*D17</f>
        <v>347952.56824244082</v>
      </c>
      <c r="E26" s="14">
        <f t="shared" si="13"/>
        <v>347075.26098495856</v>
      </c>
      <c r="F26" s="14">
        <f t="shared" si="13"/>
        <v>393327.58115777891</v>
      </c>
      <c r="G26" s="14">
        <f t="shared" si="13"/>
        <v>320955.36707535508</v>
      </c>
      <c r="H26" s="14">
        <f t="shared" si="13"/>
        <v>285802.52304048243</v>
      </c>
      <c r="I26" s="14">
        <f t="shared" si="13"/>
        <v>308987.17613631475</v>
      </c>
      <c r="J26" s="14">
        <f t="shared" si="13"/>
        <v>304360.85370486724</v>
      </c>
      <c r="K26" s="14">
        <f t="shared" si="13"/>
        <v>321330.63039122091</v>
      </c>
      <c r="L26" s="14">
        <f t="shared" si="13"/>
        <v>318623.54401175404</v>
      </c>
      <c r="M26" s="14">
        <f t="shared" si="13"/>
        <v>284791.51334561862</v>
      </c>
      <c r="N26" s="14">
        <f t="shared" si="13"/>
        <v>297351.35478956637</v>
      </c>
      <c r="O26" s="14">
        <f t="shared" ref="O26:R26" si="14">O7*O17</f>
        <v>274417.72408392286</v>
      </c>
      <c r="P26" s="14">
        <f t="shared" si="14"/>
        <v>287001.19299229933</v>
      </c>
      <c r="Q26" s="14">
        <f t="shared" si="14"/>
        <v>294581.3748275339</v>
      </c>
      <c r="R26" s="14">
        <f t="shared" si="14"/>
        <v>334255.65653325303</v>
      </c>
      <c r="S26" s="14">
        <f t="shared" ref="S26:AD26" si="15">S7*S17</f>
        <v>324175.80645831057</v>
      </c>
      <c r="T26" s="14">
        <f t="shared" si="15"/>
        <v>285967.23444700113</v>
      </c>
      <c r="U26" s="14">
        <f t="shared" si="15"/>
        <v>312036.49795661093</v>
      </c>
      <c r="V26" s="14">
        <f t="shared" si="15"/>
        <v>311579.87530984054</v>
      </c>
      <c r="W26" s="14">
        <f t="shared" si="15"/>
        <v>327424.51156516757</v>
      </c>
      <c r="X26" s="14">
        <f t="shared" si="15"/>
        <v>322637.67982551019</v>
      </c>
      <c r="Y26" s="14">
        <f t="shared" si="15"/>
        <v>285628.54354590649</v>
      </c>
      <c r="Z26" s="14">
        <f t="shared" si="15"/>
        <v>301322.58444223856</v>
      </c>
      <c r="AA26" s="14">
        <f t="shared" si="15"/>
        <v>278618.67966687679</v>
      </c>
      <c r="AB26" s="14">
        <f t="shared" si="15"/>
        <v>291394.40963978873</v>
      </c>
      <c r="AC26" s="14">
        <f t="shared" si="15"/>
        <v>299594.4538754067</v>
      </c>
      <c r="AD26" s="14">
        <f t="shared" si="15"/>
        <v>337539.23500465823</v>
      </c>
    </row>
    <row r="27" spans="1:32">
      <c r="B27" s="44" t="s">
        <v>50</v>
      </c>
      <c r="D27" s="14">
        <f t="shared" ref="D27:N27" si="16">D8*D18</f>
        <v>276050.83617000002</v>
      </c>
      <c r="E27" s="14">
        <f t="shared" si="16"/>
        <v>282290.98644000001</v>
      </c>
      <c r="F27" s="14">
        <f t="shared" si="16"/>
        <v>278175.80907000002</v>
      </c>
      <c r="G27" s="14">
        <f t="shared" si="16"/>
        <v>163448.60612412356</v>
      </c>
      <c r="H27" s="14">
        <f t="shared" si="16"/>
        <v>158090.48367534511</v>
      </c>
      <c r="I27" s="14">
        <f t="shared" si="16"/>
        <v>162148.41769954059</v>
      </c>
      <c r="J27" s="14">
        <f t="shared" si="16"/>
        <v>160463.05635476889</v>
      </c>
      <c r="K27" s="14">
        <f t="shared" si="16"/>
        <v>160518.48178091986</v>
      </c>
      <c r="L27" s="14">
        <f t="shared" si="16"/>
        <v>164803.04635399434</v>
      </c>
      <c r="M27" s="14">
        <f t="shared" si="16"/>
        <v>156981.43376065843</v>
      </c>
      <c r="N27" s="14">
        <f t="shared" si="16"/>
        <v>158819.26407961044</v>
      </c>
      <c r="O27" s="14">
        <f t="shared" ref="O27:R27" si="17">O8*O18</f>
        <v>160588.82454593686</v>
      </c>
      <c r="P27" s="14">
        <f t="shared" si="17"/>
        <v>160414.30748693395</v>
      </c>
      <c r="Q27" s="14">
        <f t="shared" si="17"/>
        <v>162335.10698731011</v>
      </c>
      <c r="R27" s="14">
        <f t="shared" si="17"/>
        <v>160493.45240842472</v>
      </c>
      <c r="S27" s="14">
        <f t="shared" ref="S27:AD27" si="18">S8*S18</f>
        <v>169564.00289298454</v>
      </c>
      <c r="T27" s="14">
        <f t="shared" si="18"/>
        <v>164679.27658844477</v>
      </c>
      <c r="U27" s="14">
        <f t="shared" si="18"/>
        <v>164586.81306858268</v>
      </c>
      <c r="V27" s="14">
        <f t="shared" si="18"/>
        <v>163377.12970675578</v>
      </c>
      <c r="W27" s="14">
        <f t="shared" si="18"/>
        <v>163869.81610846365</v>
      </c>
      <c r="X27" s="14">
        <f t="shared" si="18"/>
        <v>167061.11469573568</v>
      </c>
      <c r="Y27" s="14">
        <f t="shared" si="18"/>
        <v>160693.42032605319</v>
      </c>
      <c r="Z27" s="14">
        <f t="shared" si="18"/>
        <v>159647.78590648994</v>
      </c>
      <c r="AA27" s="14">
        <f t="shared" si="18"/>
        <v>163116.18619000886</v>
      </c>
      <c r="AB27" s="14">
        <f t="shared" si="18"/>
        <v>162305.67017795111</v>
      </c>
      <c r="AC27" s="14">
        <f t="shared" si="18"/>
        <v>163177.90484010722</v>
      </c>
      <c r="AD27" s="14">
        <f t="shared" si="18"/>
        <v>162080.47304526565</v>
      </c>
    </row>
    <row r="28" spans="1:32">
      <c r="B28" s="44" t="s">
        <v>51</v>
      </c>
      <c r="D28" s="14">
        <f t="shared" ref="D28:N28" si="19">D9*D19</f>
        <v>44737.763254456855</v>
      </c>
      <c r="E28" s="14">
        <f t="shared" si="19"/>
        <v>54797.820076547112</v>
      </c>
      <c r="F28" s="14">
        <f t="shared" si="19"/>
        <v>76220.431555862437</v>
      </c>
      <c r="G28" s="14">
        <f t="shared" si="19"/>
        <v>64965.372313980384</v>
      </c>
      <c r="H28" s="14">
        <f t="shared" si="19"/>
        <v>44958.886990036466</v>
      </c>
      <c r="I28" s="14">
        <f t="shared" si="19"/>
        <v>26485.051728934301</v>
      </c>
      <c r="J28" s="14">
        <f t="shared" si="19"/>
        <v>11907.217665680051</v>
      </c>
      <c r="K28" s="14">
        <f t="shared" si="19"/>
        <v>10175.15854326806</v>
      </c>
      <c r="L28" s="14">
        <f t="shared" si="19"/>
        <v>10438.837020643139</v>
      </c>
      <c r="M28" s="14">
        <f t="shared" si="19"/>
        <v>9640.5093539031932</v>
      </c>
      <c r="N28" s="14">
        <f t="shared" si="19"/>
        <v>11227.220340852322</v>
      </c>
      <c r="O28" s="14">
        <f t="shared" ref="O28:R28" si="20">O9*O19</f>
        <v>16822.575577763724</v>
      </c>
      <c r="P28" s="14">
        <f t="shared" si="20"/>
        <v>32108.161182924898</v>
      </c>
      <c r="Q28" s="14">
        <f t="shared" si="20"/>
        <v>46363.985003769834</v>
      </c>
      <c r="R28" s="14">
        <f t="shared" si="20"/>
        <v>62885.932236788271</v>
      </c>
      <c r="S28" s="14">
        <f t="shared" ref="S28:AD28" si="21">S9*S19</f>
        <v>64500.420311443668</v>
      </c>
      <c r="T28" s="14">
        <f t="shared" si="21"/>
        <v>46099.656492882204</v>
      </c>
      <c r="U28" s="14">
        <f t="shared" si="21"/>
        <v>26912.433174240676</v>
      </c>
      <c r="V28" s="14">
        <f t="shared" si="21"/>
        <v>12205.556481129628</v>
      </c>
      <c r="W28" s="14">
        <f t="shared" si="21"/>
        <v>10326.88046135655</v>
      </c>
      <c r="X28" s="14">
        <f t="shared" si="21"/>
        <v>10477.955411127303</v>
      </c>
      <c r="Y28" s="14">
        <f t="shared" si="21"/>
        <v>9408.1218071397707</v>
      </c>
      <c r="Z28" s="14">
        <f t="shared" si="21"/>
        <v>11272.813972883632</v>
      </c>
      <c r="AA28" s="14">
        <f t="shared" si="21"/>
        <v>16627.749069108064</v>
      </c>
      <c r="AB28" s="14">
        <f t="shared" si="21"/>
        <v>31178.177546582825</v>
      </c>
      <c r="AC28" s="14">
        <f t="shared" si="21"/>
        <v>45996.530210777833</v>
      </c>
      <c r="AD28" s="14">
        <f t="shared" si="21"/>
        <v>62563.935316705123</v>
      </c>
    </row>
    <row r="29" spans="1:32">
      <c r="B29" s="44" t="s">
        <v>52</v>
      </c>
      <c r="D29" s="43">
        <f t="shared" ref="D29:H29" si="22">D10*D20</f>
        <v>19149.703641861764</v>
      </c>
      <c r="E29" s="43">
        <f t="shared" si="22"/>
        <v>19136.786394660761</v>
      </c>
      <c r="F29" s="43">
        <f t="shared" si="22"/>
        <v>19200.734307548661</v>
      </c>
      <c r="G29" s="43">
        <f t="shared" si="22"/>
        <v>15306.254941958627</v>
      </c>
      <c r="H29" s="43">
        <f t="shared" si="22"/>
        <v>15460.748042123132</v>
      </c>
      <c r="I29" s="43">
        <f t="shared" ref="I29:M29" si="23">I10*I20</f>
        <v>15081.333637008578</v>
      </c>
      <c r="J29" s="43">
        <f t="shared" si="23"/>
        <v>14979.796819121346</v>
      </c>
      <c r="K29" s="43">
        <f t="shared" si="23"/>
        <v>15704.475526077236</v>
      </c>
      <c r="L29" s="43">
        <f t="shared" si="23"/>
        <v>15184.139869699835</v>
      </c>
      <c r="M29" s="43">
        <f t="shared" si="23"/>
        <v>14424.782249701941</v>
      </c>
      <c r="N29" s="43">
        <f>N10*N20</f>
        <v>15066.648782814853</v>
      </c>
      <c r="O29" s="43">
        <f t="shared" ref="O29:R29" si="24">O10*O20</f>
        <v>14765.573975678284</v>
      </c>
      <c r="P29" s="43">
        <f t="shared" si="24"/>
        <v>14866.807233436108</v>
      </c>
      <c r="Q29" s="43">
        <f t="shared" si="24"/>
        <v>14830.097891515139</v>
      </c>
      <c r="R29" s="43">
        <f t="shared" si="24"/>
        <v>15005.96336633182</v>
      </c>
      <c r="S29" s="43">
        <f t="shared" ref="S29:AD29" si="25">S10*S20</f>
        <v>14927.340581778963</v>
      </c>
      <c r="T29" s="43">
        <f t="shared" si="25"/>
        <v>15096.513226921752</v>
      </c>
      <c r="U29" s="43">
        <f t="shared" si="25"/>
        <v>14808.864115662482</v>
      </c>
      <c r="V29" s="43">
        <f t="shared" si="25"/>
        <v>14756.506101140836</v>
      </c>
      <c r="W29" s="43">
        <f t="shared" si="25"/>
        <v>15327.193110083375</v>
      </c>
      <c r="X29" s="43">
        <f t="shared" si="25"/>
        <v>14959.88389035287</v>
      </c>
      <c r="Y29" s="43">
        <f t="shared" si="25"/>
        <v>14198.979292187303</v>
      </c>
      <c r="Z29" s="43">
        <f t="shared" si="25"/>
        <v>14925.564543943172</v>
      </c>
      <c r="AA29" s="43">
        <f t="shared" si="25"/>
        <v>14533.181963147683</v>
      </c>
      <c r="AB29" s="43">
        <f t="shared" si="25"/>
        <v>14563.710438604088</v>
      </c>
      <c r="AC29" s="43">
        <f t="shared" si="25"/>
        <v>14552.186391744115</v>
      </c>
      <c r="AD29" s="43">
        <f t="shared" si="25"/>
        <v>14698.585690324529</v>
      </c>
    </row>
    <row r="30" spans="1:32">
      <c r="B30" s="44" t="s">
        <v>55</v>
      </c>
      <c r="D30" s="14">
        <f t="shared" ref="D30:K30" si="26">SUM(D24:D29)</f>
        <v>1411402.5195660822</v>
      </c>
      <c r="E30" s="14">
        <f t="shared" si="26"/>
        <v>1427663.7634709883</v>
      </c>
      <c r="F30" s="14">
        <f t="shared" si="26"/>
        <v>1654990.7036168932</v>
      </c>
      <c r="G30" s="14">
        <f t="shared" si="26"/>
        <v>1243009.8231813449</v>
      </c>
      <c r="H30" s="14">
        <f t="shared" si="26"/>
        <v>1053135.0615093294</v>
      </c>
      <c r="I30" s="14">
        <f t="shared" si="26"/>
        <v>1136814.5159667849</v>
      </c>
      <c r="J30" s="14">
        <f t="shared" si="26"/>
        <v>1258225.2439216911</v>
      </c>
      <c r="K30" s="14">
        <f t="shared" si="26"/>
        <v>1454651.2012416385</v>
      </c>
      <c r="L30" s="14">
        <f t="shared" ref="L30:N30" si="27">SUM(L24:L29)</f>
        <v>1456597.3615677177</v>
      </c>
      <c r="M30" s="14">
        <f t="shared" si="27"/>
        <v>1251899.8198487246</v>
      </c>
      <c r="N30" s="14">
        <f t="shared" si="27"/>
        <v>1231286.0310266437</v>
      </c>
      <c r="O30" s="14">
        <f t="shared" ref="O30:R30" si="28">SUM(O24:O29)</f>
        <v>1070043.8214879788</v>
      </c>
      <c r="P30" s="14">
        <f t="shared" si="28"/>
        <v>1052091.154692325</v>
      </c>
      <c r="Q30" s="14">
        <f t="shared" si="28"/>
        <v>1066860.2719497648</v>
      </c>
      <c r="R30" s="14">
        <f t="shared" si="28"/>
        <v>1235310.2593662601</v>
      </c>
      <c r="S30" s="14">
        <f t="shared" ref="S30:AD30" si="29">SUM(S24:S29)</f>
        <v>1231795.301326412</v>
      </c>
      <c r="T30" s="14">
        <f t="shared" si="29"/>
        <v>1060668.9063814213</v>
      </c>
      <c r="U30" s="14">
        <f t="shared" si="29"/>
        <v>1131280.3851075892</v>
      </c>
      <c r="V30" s="14">
        <f t="shared" si="29"/>
        <v>1259307.032419672</v>
      </c>
      <c r="W30" s="14">
        <f t="shared" si="29"/>
        <v>1461677.8344973328</v>
      </c>
      <c r="X30" s="14">
        <f t="shared" si="29"/>
        <v>1466534.8960434855</v>
      </c>
      <c r="Y30" s="14">
        <f t="shared" si="29"/>
        <v>1255366.7665159614</v>
      </c>
      <c r="Z30" s="14">
        <f t="shared" si="29"/>
        <v>1248267.5380146643</v>
      </c>
      <c r="AA30" s="14">
        <f t="shared" si="29"/>
        <v>1088788.4130705111</v>
      </c>
      <c r="AB30" s="14">
        <f t="shared" si="29"/>
        <v>1067062.6539227625</v>
      </c>
      <c r="AC30" s="14">
        <f t="shared" si="29"/>
        <v>1077539.4738804554</v>
      </c>
      <c r="AD30" s="14">
        <f t="shared" si="29"/>
        <v>1242724.5113143011</v>
      </c>
      <c r="AF30" s="15">
        <f>SUM(G30:R30)-'WA Electric - Sched 91'!D39</f>
        <v>0</v>
      </c>
    </row>
    <row r="32" spans="1:32">
      <c r="A32" s="44" t="s">
        <v>54</v>
      </c>
      <c r="C32" s="84">
        <f>'Rev Conv Factor'!E22</f>
        <v>0.95563100000000001</v>
      </c>
      <c r="D32" s="74">
        <f t="shared" ref="D32:R32" si="30">D4</f>
        <v>44334</v>
      </c>
      <c r="E32" s="74">
        <f t="shared" si="30"/>
        <v>44365</v>
      </c>
      <c r="F32" s="74">
        <f t="shared" si="30"/>
        <v>44395</v>
      </c>
      <c r="G32" s="74">
        <f t="shared" si="30"/>
        <v>44426</v>
      </c>
      <c r="H32" s="74">
        <f t="shared" si="30"/>
        <v>44457</v>
      </c>
      <c r="I32" s="74">
        <f t="shared" si="30"/>
        <v>44487</v>
      </c>
      <c r="J32" s="74">
        <f t="shared" si="30"/>
        <v>44518</v>
      </c>
      <c r="K32" s="74">
        <f t="shared" si="30"/>
        <v>44548</v>
      </c>
      <c r="L32" s="74">
        <f t="shared" si="30"/>
        <v>44579</v>
      </c>
      <c r="M32" s="74">
        <f t="shared" si="30"/>
        <v>44610</v>
      </c>
      <c r="N32" s="74">
        <f t="shared" si="30"/>
        <v>44638</v>
      </c>
      <c r="O32" s="74">
        <f t="shared" si="30"/>
        <v>44669</v>
      </c>
      <c r="P32" s="74">
        <f t="shared" si="30"/>
        <v>44699</v>
      </c>
      <c r="Q32" s="74">
        <f t="shared" si="30"/>
        <v>44730</v>
      </c>
      <c r="R32" s="74">
        <f t="shared" si="30"/>
        <v>44760</v>
      </c>
      <c r="S32" s="74">
        <f t="shared" ref="S32:AD32" si="31">S4</f>
        <v>44791</v>
      </c>
      <c r="T32" s="74">
        <f t="shared" si="31"/>
        <v>44822</v>
      </c>
      <c r="U32" s="74">
        <f t="shared" si="31"/>
        <v>44852</v>
      </c>
      <c r="V32" s="74">
        <f t="shared" si="31"/>
        <v>44883</v>
      </c>
      <c r="W32" s="74">
        <f t="shared" si="31"/>
        <v>44913</v>
      </c>
      <c r="X32" s="74">
        <f t="shared" si="31"/>
        <v>44944</v>
      </c>
      <c r="Y32" s="74">
        <f t="shared" si="31"/>
        <v>44975</v>
      </c>
      <c r="Z32" s="74">
        <f t="shared" si="31"/>
        <v>45003</v>
      </c>
      <c r="AA32" s="74">
        <f t="shared" si="31"/>
        <v>45034</v>
      </c>
      <c r="AB32" s="74">
        <f t="shared" si="31"/>
        <v>45064</v>
      </c>
      <c r="AC32" s="74">
        <f t="shared" si="31"/>
        <v>45095</v>
      </c>
      <c r="AD32" s="74">
        <f t="shared" si="31"/>
        <v>45125</v>
      </c>
    </row>
    <row r="33" spans="2:32">
      <c r="B33" s="44" t="s">
        <v>47</v>
      </c>
      <c r="D33" s="14">
        <f>D24*$C$32</f>
        <v>502746.2278359154</v>
      </c>
      <c r="E33" s="14">
        <f>E24*$C$32</f>
        <v>502219.46967880049</v>
      </c>
      <c r="F33" s="14">
        <f t="shared" ref="F33:N33" si="32">F24*$C$32</f>
        <v>622664.53185025149</v>
      </c>
      <c r="G33" s="14">
        <f t="shared" si="32"/>
        <v>476556.17714083323</v>
      </c>
      <c r="H33" s="14">
        <f t="shared" si="32"/>
        <v>377608.38178577181</v>
      </c>
      <c r="I33" s="14">
        <f t="shared" si="32"/>
        <v>437838.14242690621</v>
      </c>
      <c r="J33" s="14">
        <f t="shared" si="32"/>
        <v>557595.92737117817</v>
      </c>
      <c r="K33" s="14">
        <f t="shared" si="32"/>
        <v>704216.32263752015</v>
      </c>
      <c r="L33" s="14">
        <f t="shared" si="32"/>
        <v>705143.3854372364</v>
      </c>
      <c r="M33" s="14">
        <f t="shared" si="32"/>
        <v>577876.80560700048</v>
      </c>
      <c r="N33" s="14">
        <f t="shared" si="32"/>
        <v>541991.84936030523</v>
      </c>
      <c r="O33" s="14">
        <f t="shared" ref="O33:Q33" si="33">O24*$C$32</f>
        <v>428307.27694969729</v>
      </c>
      <c r="P33" s="14">
        <f t="shared" si="33"/>
        <v>387207.77375215717</v>
      </c>
      <c r="Q33" s="14">
        <f t="shared" si="33"/>
        <v>376146.53689164575</v>
      </c>
      <c r="R33" s="14">
        <f>R24*$C$32</f>
        <v>458085.66416705016</v>
      </c>
      <c r="S33" s="14">
        <f t="shared" ref="S33:AD33" si="34">S24*$C$32</f>
        <v>457093.71632021153</v>
      </c>
      <c r="T33" s="14">
        <f t="shared" si="34"/>
        <v>378326.78827221814</v>
      </c>
      <c r="U33" s="14">
        <f t="shared" si="34"/>
        <v>429310.06745683815</v>
      </c>
      <c r="V33" s="14">
        <f t="shared" si="34"/>
        <v>549821.80004279595</v>
      </c>
      <c r="W33" s="14">
        <f t="shared" si="34"/>
        <v>702503.18197623384</v>
      </c>
      <c r="X33" s="14">
        <f t="shared" si="34"/>
        <v>708971.60906531289</v>
      </c>
      <c r="Y33" s="14">
        <f t="shared" si="34"/>
        <v>578959.52519574028</v>
      </c>
      <c r="Z33" s="14">
        <f t="shared" si="34"/>
        <v>553283.5853550157</v>
      </c>
      <c r="AA33" s="14">
        <f t="shared" si="34"/>
        <v>439336.49280191498</v>
      </c>
      <c r="AB33" s="14">
        <f t="shared" si="34"/>
        <v>395642.41930864332</v>
      </c>
      <c r="AC33" s="14">
        <f t="shared" si="34"/>
        <v>379926.32687437051</v>
      </c>
      <c r="AD33" s="14">
        <f t="shared" si="34"/>
        <v>459331.7624642303</v>
      </c>
    </row>
    <row r="34" spans="2:32">
      <c r="B34" s="44" t="s">
        <v>48</v>
      </c>
      <c r="D34" s="14">
        <f t="shared" ref="D34:N34" si="35">D25*$C$32</f>
        <v>188663.93209987829</v>
      </c>
      <c r="E34" s="14">
        <f t="shared" si="35"/>
        <v>190004.18196109601</v>
      </c>
      <c r="F34" s="14">
        <f t="shared" si="35"/>
        <v>225999.00877588362</v>
      </c>
      <c r="G34" s="14">
        <f t="shared" si="35"/>
        <v>171681.0344569672</v>
      </c>
      <c r="H34" s="14">
        <f t="shared" si="35"/>
        <v>146863.33603317937</v>
      </c>
      <c r="I34" s="14">
        <f t="shared" si="35"/>
        <v>158583.14519435476</v>
      </c>
      <c r="J34" s="14">
        <f t="shared" si="35"/>
        <v>174908.91816962612</v>
      </c>
      <c r="K34" s="14">
        <f t="shared" si="35"/>
        <v>200692.12995673055</v>
      </c>
      <c r="L34" s="14">
        <f t="shared" si="35"/>
        <v>200362.66078857754</v>
      </c>
      <c r="M34" s="14">
        <f t="shared" si="35"/>
        <v>173308.00923829287</v>
      </c>
      <c r="N34" s="14">
        <f t="shared" si="35"/>
        <v>173605.23063062775</v>
      </c>
      <c r="O34" s="14">
        <f t="shared" ref="O34:R34" si="36">O25*$C$32</f>
        <v>148367.41220307437</v>
      </c>
      <c r="P34" s="14">
        <f t="shared" si="36"/>
        <v>145748.29031645865</v>
      </c>
      <c r="Q34" s="14">
        <f t="shared" si="36"/>
        <v>148255.69458747469</v>
      </c>
      <c r="R34" s="14">
        <f t="shared" si="36"/>
        <v>175181.61848723859</v>
      </c>
      <c r="S34" s="14">
        <f t="shared" ref="S34:AD34" si="37">S25*$C$32</f>
        <v>172311.36096131019</v>
      </c>
      <c r="T34" s="14">
        <f t="shared" si="37"/>
        <v>146148.56654914576</v>
      </c>
      <c r="U34" s="14">
        <f t="shared" si="37"/>
        <v>156430.36185514819</v>
      </c>
      <c r="V34" s="14">
        <f t="shared" si="37"/>
        <v>173961.61816687509</v>
      </c>
      <c r="W34" s="14">
        <f t="shared" si="37"/>
        <v>200309.55105205817</v>
      </c>
      <c r="X34" s="14">
        <f t="shared" si="37"/>
        <v>200214.06365897376</v>
      </c>
      <c r="Y34" s="14">
        <f t="shared" si="37"/>
        <v>171629.09096909862</v>
      </c>
      <c r="Z34" s="14">
        <f t="shared" si="37"/>
        <v>174046.01161833649</v>
      </c>
      <c r="AA34" s="14">
        <f t="shared" si="37"/>
        <v>149229.58389210352</v>
      </c>
      <c r="AB34" s="14">
        <f t="shared" si="37"/>
        <v>146793.50458874166</v>
      </c>
      <c r="AC34" s="14">
        <f t="shared" si="37"/>
        <v>149701.95556223314</v>
      </c>
      <c r="AD34" s="14">
        <f t="shared" si="37"/>
        <v>176967.76357164109</v>
      </c>
    </row>
    <row r="35" spans="2:32">
      <c r="B35" s="44" t="s">
        <v>49</v>
      </c>
      <c r="D35" s="14">
        <f t="shared" ref="D35:N35" si="38">D26*$C$32</f>
        <v>332514.26074209198</v>
      </c>
      <c r="E35" s="14">
        <f t="shared" si="38"/>
        <v>331675.87873031694</v>
      </c>
      <c r="F35" s="14">
        <f t="shared" si="38"/>
        <v>375876.02970938943</v>
      </c>
      <c r="G35" s="14">
        <f t="shared" si="38"/>
        <v>306714.89839358866</v>
      </c>
      <c r="H35" s="14">
        <f t="shared" si="38"/>
        <v>273121.75089569925</v>
      </c>
      <c r="I35" s="14">
        <f t="shared" si="38"/>
        <v>295277.7241183226</v>
      </c>
      <c r="J35" s="14">
        <f t="shared" si="38"/>
        <v>290856.666986836</v>
      </c>
      <c r="K35" s="14">
        <f t="shared" si="38"/>
        <v>307073.51165139285</v>
      </c>
      <c r="L35" s="14">
        <f t="shared" si="38"/>
        <v>304486.53598749655</v>
      </c>
      <c r="M35" s="14">
        <f t="shared" si="38"/>
        <v>272155.59868998686</v>
      </c>
      <c r="N35" s="14">
        <f t="shared" si="38"/>
        <v>284158.17252890812</v>
      </c>
      <c r="O35" s="14">
        <f t="shared" ref="O35:R35" si="39">O26*$C$32</f>
        <v>262242.08408404328</v>
      </c>
      <c r="P35" s="14">
        <f t="shared" si="39"/>
        <v>274267.237060424</v>
      </c>
      <c r="Q35" s="14">
        <f t="shared" si="39"/>
        <v>281511.09380781103</v>
      </c>
      <c r="R35" s="14">
        <f t="shared" si="39"/>
        <v>319425.06730852911</v>
      </c>
      <c r="S35" s="14">
        <f t="shared" ref="S35:AD35" si="40">S26*$C$32</f>
        <v>309792.45010156179</v>
      </c>
      <c r="T35" s="14">
        <f t="shared" si="40"/>
        <v>273279.15422182216</v>
      </c>
      <c r="U35" s="14">
        <f t="shared" si="40"/>
        <v>298191.75057877408</v>
      </c>
      <c r="V35" s="14">
        <f t="shared" si="40"/>
        <v>297755.38782221824</v>
      </c>
      <c r="W35" s="14">
        <f t="shared" si="40"/>
        <v>312897.01341153268</v>
      </c>
      <c r="X35" s="14">
        <f t="shared" si="40"/>
        <v>308322.56860933214</v>
      </c>
      <c r="Y35" s="14">
        <f t="shared" si="40"/>
        <v>272955.49069731816</v>
      </c>
      <c r="Z35" s="14">
        <f t="shared" si="40"/>
        <v>287953.20269312087</v>
      </c>
      <c r="AA35" s="14">
        <f t="shared" si="40"/>
        <v>266256.64746873715</v>
      </c>
      <c r="AB35" s="14">
        <f t="shared" si="40"/>
        <v>278465.53107848094</v>
      </c>
      <c r="AC35" s="14">
        <f t="shared" si="40"/>
        <v>286301.74755140877</v>
      </c>
      <c r="AD35" s="14">
        <f t="shared" si="40"/>
        <v>322562.95668673655</v>
      </c>
    </row>
    <row r="36" spans="2:32">
      <c r="B36" s="44" t="s">
        <v>50</v>
      </c>
      <c r="D36" s="14">
        <f t="shared" ref="D36:N36" si="41">D27*$C$32</f>
        <v>263802.73661997332</v>
      </c>
      <c r="E36" s="14">
        <f t="shared" si="41"/>
        <v>269766.01766264363</v>
      </c>
      <c r="F36" s="14">
        <f t="shared" si="41"/>
        <v>265833.42659737321</v>
      </c>
      <c r="G36" s="14">
        <f t="shared" si="41"/>
        <v>156196.55491900232</v>
      </c>
      <c r="H36" s="14">
        <f t="shared" si="41"/>
        <v>151076.16700515372</v>
      </c>
      <c r="I36" s="14">
        <f t="shared" si="41"/>
        <v>154954.05455462966</v>
      </c>
      <c r="J36" s="14">
        <f t="shared" si="41"/>
        <v>153343.47100736416</v>
      </c>
      <c r="K36" s="14">
        <f t="shared" si="41"/>
        <v>153396.43726278222</v>
      </c>
      <c r="L36" s="14">
        <f t="shared" si="41"/>
        <v>157490.89999031398</v>
      </c>
      <c r="M36" s="14">
        <f t="shared" si="41"/>
        <v>150016.32452613176</v>
      </c>
      <c r="N36" s="14">
        <f t="shared" si="41"/>
        <v>151772.61215166221</v>
      </c>
      <c r="O36" s="14">
        <f t="shared" ref="O36:R36" si="42">O27*$C$32</f>
        <v>153463.6589896582</v>
      </c>
      <c r="P36" s="14">
        <f t="shared" si="42"/>
        <v>153296.88507804618</v>
      </c>
      <c r="Q36" s="14">
        <f t="shared" si="42"/>
        <v>155132.46062539014</v>
      </c>
      <c r="R36" s="14">
        <f t="shared" si="42"/>
        <v>153372.51841851533</v>
      </c>
      <c r="S36" s="14">
        <f t="shared" ref="S36:AD36" si="43">S27*$C$32</f>
        <v>162040.61764862572</v>
      </c>
      <c r="T36" s="14">
        <f t="shared" si="43"/>
        <v>157372.62176549208</v>
      </c>
      <c r="U36" s="14">
        <f t="shared" si="43"/>
        <v>157284.26075954273</v>
      </c>
      <c r="V36" s="14">
        <f t="shared" si="43"/>
        <v>156128.24983879674</v>
      </c>
      <c r="W36" s="14">
        <f t="shared" si="43"/>
        <v>156599.07623754724</v>
      </c>
      <c r="X36" s="14">
        <f t="shared" si="43"/>
        <v>159648.7800978006</v>
      </c>
      <c r="Y36" s="14">
        <f t="shared" si="43"/>
        <v>153563.61395960653</v>
      </c>
      <c r="Z36" s="14">
        <f t="shared" si="43"/>
        <v>152564.37329360488</v>
      </c>
      <c r="AA36" s="14">
        <f t="shared" si="43"/>
        <v>155878.88412494436</v>
      </c>
      <c r="AB36" s="14">
        <f t="shared" si="43"/>
        <v>155104.32989782561</v>
      </c>
      <c r="AC36" s="14">
        <f t="shared" si="43"/>
        <v>155937.86438025651</v>
      </c>
      <c r="AD36" s="14">
        <f t="shared" si="43"/>
        <v>154889.12453672025</v>
      </c>
    </row>
    <row r="37" spans="2:32">
      <c r="B37" s="44" t="s">
        <v>51</v>
      </c>
      <c r="D37" s="14">
        <f t="shared" ref="D37:N37" si="44">D28*$C$32</f>
        <v>42752.793436619861</v>
      </c>
      <c r="E37" s="14">
        <f t="shared" si="44"/>
        <v>52366.495597570793</v>
      </c>
      <c r="F37" s="14">
        <f t="shared" si="44"/>
        <v>72838.60722816037</v>
      </c>
      <c r="G37" s="14">
        <f t="shared" si="44"/>
        <v>62082.923709781389</v>
      </c>
      <c r="H37" s="14">
        <f t="shared" si="44"/>
        <v>42964.106133175541</v>
      </c>
      <c r="I37" s="14">
        <f t="shared" si="44"/>
        <v>25309.936468773216</v>
      </c>
      <c r="J37" s="14">
        <f t="shared" si="44"/>
        <v>11378.906325071493</v>
      </c>
      <c r="K37" s="14">
        <f t="shared" si="44"/>
        <v>9723.6969338618001</v>
      </c>
      <c r="L37" s="14">
        <f t="shared" si="44"/>
        <v>9975.6762608742229</v>
      </c>
      <c r="M37" s="14">
        <f t="shared" si="44"/>
        <v>9212.7695943798626</v>
      </c>
      <c r="N37" s="14">
        <f t="shared" si="44"/>
        <v>10729.079801549045</v>
      </c>
      <c r="O37" s="14">
        <f t="shared" ref="O37:R37" si="45">O28*$C$32</f>
        <v>16076.174721953925</v>
      </c>
      <c r="P37" s="14">
        <f t="shared" si="45"/>
        <v>30683.554179399704</v>
      </c>
      <c r="Q37" s="14">
        <f t="shared" si="45"/>
        <v>44306.861353137574</v>
      </c>
      <c r="R37" s="14">
        <f t="shared" si="45"/>
        <v>60095.746309374212</v>
      </c>
      <c r="S37" s="14">
        <f t="shared" ref="S37:AD37" si="46">S28*$C$32</f>
        <v>61638.601162645224</v>
      </c>
      <c r="T37" s="14">
        <f t="shared" si="46"/>
        <v>44054.260833949513</v>
      </c>
      <c r="U37" s="14">
        <f t="shared" si="46"/>
        <v>25718.355426732793</v>
      </c>
      <c r="V37" s="14">
        <f t="shared" si="46"/>
        <v>11664.008145618387</v>
      </c>
      <c r="W37" s="14">
        <f t="shared" si="46"/>
        <v>9868.6871021666211</v>
      </c>
      <c r="X37" s="14">
        <f t="shared" si="46"/>
        <v>10013.059007490996</v>
      </c>
      <c r="Y37" s="14">
        <f t="shared" si="46"/>
        <v>8990.6928506787863</v>
      </c>
      <c r="Z37" s="14">
        <f t="shared" si="46"/>
        <v>10772.650489720758</v>
      </c>
      <c r="AA37" s="14">
        <f t="shared" si="46"/>
        <v>15889.992470660809</v>
      </c>
      <c r="AB37" s="14">
        <f t="shared" si="46"/>
        <v>29794.832987018493</v>
      </c>
      <c r="AC37" s="14">
        <f t="shared" si="46"/>
        <v>43955.71016185583</v>
      </c>
      <c r="AD37" s="14">
        <f t="shared" si="46"/>
        <v>59788.036070638234</v>
      </c>
    </row>
    <row r="38" spans="2:32">
      <c r="B38" s="44" t="s">
        <v>52</v>
      </c>
      <c r="D38" s="43">
        <f>D29*$C$32</f>
        <v>18300.050440976</v>
      </c>
      <c r="E38" s="43">
        <f t="shared" ref="E38:N38" si="47">E29*$C$32</f>
        <v>18287.70631911606</v>
      </c>
      <c r="F38" s="43">
        <f t="shared" si="47"/>
        <v>18348.816927057032</v>
      </c>
      <c r="G38" s="43">
        <f t="shared" si="47"/>
        <v>14627.131716438864</v>
      </c>
      <c r="H38" s="43">
        <f t="shared" si="47"/>
        <v>14774.770112242171</v>
      </c>
      <c r="I38" s="43">
        <f t="shared" si="47"/>
        <v>14412.189944868145</v>
      </c>
      <c r="J38" s="43">
        <f t="shared" si="47"/>
        <v>14315.15821405375</v>
      </c>
      <c r="K38" s="43">
        <f t="shared" si="47"/>
        <v>15007.683651460715</v>
      </c>
      <c r="L38" s="43">
        <f t="shared" si="47"/>
        <v>14510.434767821123</v>
      </c>
      <c r="M38" s="43">
        <f t="shared" si="47"/>
        <v>13784.769086064915</v>
      </c>
      <c r="N38" s="43">
        <f t="shared" si="47"/>
        <v>14398.156642970142</v>
      </c>
      <c r="O38" s="43">
        <f t="shared" ref="O38:R38" si="48">O29*$C$32</f>
        <v>14110.440223951415</v>
      </c>
      <c r="P38" s="43">
        <f t="shared" si="48"/>
        <v>14207.181863295782</v>
      </c>
      <c r="Q38" s="43">
        <f t="shared" si="48"/>
        <v>14172.101278166503</v>
      </c>
      <c r="R38" s="43">
        <f t="shared" si="48"/>
        <v>14340.163777731044</v>
      </c>
      <c r="S38" s="43">
        <f t="shared" ref="S38:AD38" si="49">S29*$C$32</f>
        <v>14265.029407506012</v>
      </c>
      <c r="T38" s="43">
        <f t="shared" si="49"/>
        <v>14426.696031556461</v>
      </c>
      <c r="U38" s="43">
        <f t="shared" si="49"/>
        <v>14151.809623714653</v>
      </c>
      <c r="V38" s="43">
        <f t="shared" si="49"/>
        <v>14101.774681939318</v>
      </c>
      <c r="W38" s="43">
        <f t="shared" si="49"/>
        <v>14647.140878982087</v>
      </c>
      <c r="X38" s="43">
        <f t="shared" si="49"/>
        <v>14296.128802021803</v>
      </c>
      <c r="Y38" s="43">
        <f t="shared" si="49"/>
        <v>13568.984779972245</v>
      </c>
      <c r="Z38" s="43">
        <f t="shared" si="49"/>
        <v>14263.332170692958</v>
      </c>
      <c r="AA38" s="43">
        <f t="shared" si="49"/>
        <v>13888.359212624784</v>
      </c>
      <c r="AB38" s="43">
        <f t="shared" si="49"/>
        <v>13917.533170153663</v>
      </c>
      <c r="AC38" s="43">
        <f t="shared" si="49"/>
        <v>13906.520433728821</v>
      </c>
      <c r="AD38" s="43">
        <f t="shared" si="49"/>
        <v>14046.424141830521</v>
      </c>
    </row>
    <row r="39" spans="2:32">
      <c r="B39" s="44" t="s">
        <v>55</v>
      </c>
      <c r="D39" s="15">
        <f t="shared" ref="D39:N39" si="50">SUM(D33:D38)</f>
        <v>1348780.0011754548</v>
      </c>
      <c r="E39" s="15">
        <f t="shared" si="50"/>
        <v>1364319.749949544</v>
      </c>
      <c r="F39" s="15">
        <f t="shared" si="50"/>
        <v>1581560.4210881151</v>
      </c>
      <c r="G39" s="15">
        <f t="shared" si="50"/>
        <v>1187858.7203366116</v>
      </c>
      <c r="H39" s="15">
        <f t="shared" si="50"/>
        <v>1006408.511965222</v>
      </c>
      <c r="I39" s="15">
        <f t="shared" si="50"/>
        <v>1086375.1927078548</v>
      </c>
      <c r="J39" s="15">
        <f t="shared" si="50"/>
        <v>1202399.04807413</v>
      </c>
      <c r="K39" s="15">
        <f t="shared" si="50"/>
        <v>1390109.7820937482</v>
      </c>
      <c r="L39" s="15">
        <f t="shared" si="50"/>
        <v>1391969.5932323197</v>
      </c>
      <c r="M39" s="15">
        <f t="shared" si="50"/>
        <v>1196354.2767418569</v>
      </c>
      <c r="N39" s="15">
        <f t="shared" si="50"/>
        <v>1176655.1011160223</v>
      </c>
      <c r="O39" s="15">
        <f t="shared" ref="O39:R39" si="51">SUM(O33:O38)</f>
        <v>1022567.0471723784</v>
      </c>
      <c r="P39" s="15">
        <f t="shared" si="51"/>
        <v>1005410.9222497815</v>
      </c>
      <c r="Q39" s="15">
        <f t="shared" si="51"/>
        <v>1019524.7485436257</v>
      </c>
      <c r="R39" s="15">
        <f t="shared" si="51"/>
        <v>1180500.7784684384</v>
      </c>
      <c r="S39" s="15">
        <f t="shared" ref="S39:AD39" si="52">SUM(S33:S38)</f>
        <v>1177141.7756018606</v>
      </c>
      <c r="T39" s="15">
        <f t="shared" si="52"/>
        <v>1013608.0876741842</v>
      </c>
      <c r="U39" s="15">
        <f t="shared" si="52"/>
        <v>1081086.6057007504</v>
      </c>
      <c r="V39" s="15">
        <f t="shared" si="52"/>
        <v>1203432.8386982437</v>
      </c>
      <c r="W39" s="15">
        <f t="shared" si="52"/>
        <v>1396824.6506585206</v>
      </c>
      <c r="X39" s="15">
        <f t="shared" si="52"/>
        <v>1401466.209240932</v>
      </c>
      <c r="Y39" s="15">
        <f t="shared" si="52"/>
        <v>1199667.3984524147</v>
      </c>
      <c r="Z39" s="15">
        <f t="shared" si="52"/>
        <v>1192883.1556204916</v>
      </c>
      <c r="AA39" s="15">
        <f t="shared" si="52"/>
        <v>1040479.9599709855</v>
      </c>
      <c r="AB39" s="15">
        <f t="shared" si="52"/>
        <v>1019718.1510308638</v>
      </c>
      <c r="AC39" s="15">
        <f t="shared" si="52"/>
        <v>1029730.1249638536</v>
      </c>
      <c r="AD39" s="15">
        <f t="shared" si="52"/>
        <v>1187586.0674717971</v>
      </c>
      <c r="AF39" s="15">
        <f>SUM(G39:R39)-'WA Electric - Sched 91'!D42</f>
        <v>0</v>
      </c>
    </row>
  </sheetData>
  <pageMargins left="0.3" right="0.42" top="0.5" bottom="0.75" header="0.3" footer="0.3"/>
  <pageSetup scale="2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2"/>
  <sheetViews>
    <sheetView view="pageBreakPreview" zoomScale="85" zoomScaleNormal="100" zoomScaleSheetLayoutView="85" workbookViewId="0">
      <selection activeCell="G21" sqref="G21"/>
    </sheetView>
  </sheetViews>
  <sheetFormatPr defaultRowHeight="15"/>
  <cols>
    <col min="1" max="1" width="41.85546875" bestFit="1" customWidth="1"/>
    <col min="2" max="2" width="18.28515625" bestFit="1" customWidth="1"/>
    <col min="3" max="3" width="19.5703125" customWidth="1"/>
    <col min="4" max="4" width="11.5703125" bestFit="1" customWidth="1"/>
    <col min="5" max="5" width="11.28515625" bestFit="1" customWidth="1"/>
    <col min="6" max="8" width="10.5703125" customWidth="1"/>
    <col min="9" max="10" width="14.28515625" bestFit="1" customWidth="1"/>
    <col min="11" max="11" width="12.85546875" customWidth="1"/>
    <col min="12" max="12" width="10.42578125" bestFit="1" customWidth="1"/>
    <col min="13" max="14" width="10.5703125" customWidth="1"/>
    <col min="15" max="17" width="10.5703125" style="44" customWidth="1"/>
    <col min="18" max="20" width="10.5703125" customWidth="1"/>
    <col min="21" max="21" width="10.7109375" bestFit="1" customWidth="1"/>
    <col min="22" max="31" width="10.7109375" style="44" bestFit="1" customWidth="1"/>
    <col min="32" max="33" width="11.28515625" style="44" bestFit="1" customWidth="1"/>
  </cols>
  <sheetData>
    <row r="1" spans="1:38">
      <c r="A1" s="16"/>
      <c r="B1" s="16"/>
      <c r="C1" s="16"/>
      <c r="D1" s="16"/>
      <c r="E1" s="16"/>
      <c r="F1" s="16">
        <v>2021</v>
      </c>
      <c r="G1" s="16"/>
      <c r="H1" s="16"/>
      <c r="I1" s="16"/>
      <c r="J1" s="16"/>
      <c r="K1" s="16"/>
      <c r="L1" s="16"/>
      <c r="M1" s="16"/>
      <c r="N1" s="16"/>
      <c r="O1" s="16"/>
      <c r="P1" s="16"/>
      <c r="Q1" s="16"/>
      <c r="R1" s="76">
        <v>2022</v>
      </c>
      <c r="S1" s="76"/>
      <c r="T1" s="76"/>
      <c r="U1" s="76"/>
      <c r="V1" s="76"/>
      <c r="W1" s="76"/>
      <c r="X1" s="76"/>
      <c r="Y1" s="76"/>
      <c r="Z1" s="76"/>
      <c r="AA1" s="76"/>
      <c r="AB1" s="76"/>
      <c r="AC1" s="76"/>
      <c r="AD1" s="76">
        <v>2023</v>
      </c>
      <c r="AE1"/>
      <c r="AF1"/>
      <c r="AG1"/>
    </row>
    <row r="2" spans="1:38">
      <c r="A2" s="17"/>
      <c r="B2" s="17"/>
      <c r="C2" s="17" t="s">
        <v>17</v>
      </c>
      <c r="D2" s="17" t="s">
        <v>18</v>
      </c>
      <c r="E2" s="17" t="s">
        <v>19</v>
      </c>
      <c r="F2" s="17" t="s">
        <v>20</v>
      </c>
      <c r="G2" s="17" t="s">
        <v>21</v>
      </c>
      <c r="H2" s="17" t="s">
        <v>22</v>
      </c>
      <c r="I2" s="17" t="s">
        <v>147</v>
      </c>
      <c r="J2" s="17" t="s">
        <v>23</v>
      </c>
      <c r="K2" s="17" t="s">
        <v>24</v>
      </c>
      <c r="L2" s="17" t="s">
        <v>25</v>
      </c>
      <c r="M2" s="17" t="s">
        <v>26</v>
      </c>
      <c r="N2" s="17" t="s">
        <v>16</v>
      </c>
      <c r="O2" s="17" t="s">
        <v>17</v>
      </c>
      <c r="P2" s="17" t="s">
        <v>18</v>
      </c>
      <c r="Q2" s="17" t="s">
        <v>19</v>
      </c>
      <c r="R2" s="17" t="s">
        <v>20</v>
      </c>
      <c r="S2" s="17" t="s">
        <v>21</v>
      </c>
      <c r="T2" s="17" t="s">
        <v>22</v>
      </c>
      <c r="U2" s="17" t="s">
        <v>147</v>
      </c>
      <c r="V2" s="17" t="s">
        <v>23</v>
      </c>
      <c r="W2" s="17" t="s">
        <v>24</v>
      </c>
      <c r="X2" s="17" t="s">
        <v>25</v>
      </c>
      <c r="Y2" s="17" t="s">
        <v>26</v>
      </c>
      <c r="Z2" s="17" t="s">
        <v>16</v>
      </c>
      <c r="AA2" s="17" t="s">
        <v>17</v>
      </c>
      <c r="AB2" s="17" t="s">
        <v>18</v>
      </c>
      <c r="AC2" s="17" t="s">
        <v>19</v>
      </c>
      <c r="AD2" s="17" t="s">
        <v>20</v>
      </c>
      <c r="AE2"/>
      <c r="AF2"/>
      <c r="AG2"/>
    </row>
    <row r="3" spans="1:38">
      <c r="A3" s="16" t="s">
        <v>27</v>
      </c>
      <c r="C3" s="18"/>
      <c r="D3" s="18">
        <f>-'Revenue By Month'!D39</f>
        <v>-1348780.0011754548</v>
      </c>
      <c r="E3" s="18">
        <f>-'Revenue By Month'!E39</f>
        <v>-1364319.749949544</v>
      </c>
      <c r="F3" s="18">
        <f>-'Revenue By Month'!F39</f>
        <v>-1581560.4210881151</v>
      </c>
      <c r="G3" s="18">
        <f>-'Revenue By Month'!G39</f>
        <v>-1187858.7203366116</v>
      </c>
      <c r="H3" s="18">
        <f>-'Revenue By Month'!H39</f>
        <v>-1006408.511965222</v>
      </c>
      <c r="I3" s="18">
        <f>-'Revenue By Month'!I39</f>
        <v>-1086375.1927078548</v>
      </c>
      <c r="J3" s="18">
        <f>-'Revenue By Month'!J39</f>
        <v>-1202399.04807413</v>
      </c>
      <c r="K3" s="18">
        <f>-'Revenue By Month'!K39</f>
        <v>-1390109.7820937482</v>
      </c>
      <c r="L3" s="18">
        <f>-'Revenue By Month'!L39</f>
        <v>-1391969.5932323197</v>
      </c>
      <c r="M3" s="18">
        <f>-'Revenue By Month'!M39</f>
        <v>-1196354.2767418569</v>
      </c>
      <c r="N3" s="18">
        <f>-'Revenue By Month'!N39</f>
        <v>-1176655.1011160223</v>
      </c>
      <c r="O3" s="18">
        <f>-'Revenue By Month'!O39</f>
        <v>-1022567.0471723784</v>
      </c>
      <c r="P3" s="18">
        <f>-'Revenue By Month'!P39</f>
        <v>-1005410.9222497815</v>
      </c>
      <c r="Q3" s="18">
        <f>-'Revenue By Month'!Q39</f>
        <v>-1019524.7485436257</v>
      </c>
      <c r="R3" s="18">
        <f>-'Revenue By Month'!R39</f>
        <v>-1180500.7784684384</v>
      </c>
      <c r="S3" s="18">
        <f>-'Revenue By Month'!S39</f>
        <v>-1177141.7756018606</v>
      </c>
      <c r="T3" s="18">
        <f>-'Revenue By Month'!T39</f>
        <v>-1013608.0876741842</v>
      </c>
      <c r="U3" s="18">
        <f>-'Revenue By Month'!U39</f>
        <v>-1081086.6057007504</v>
      </c>
      <c r="V3" s="18">
        <f>-'Revenue By Month'!V39</f>
        <v>-1203432.8386982437</v>
      </c>
      <c r="W3" s="18">
        <f>-'Revenue By Month'!W39</f>
        <v>-1396824.6506585206</v>
      </c>
      <c r="X3" s="18">
        <f>-'Revenue By Month'!X39</f>
        <v>-1401466.209240932</v>
      </c>
      <c r="Y3" s="18">
        <f>-'Revenue By Month'!Y39</f>
        <v>-1199667.3984524147</v>
      </c>
      <c r="Z3" s="18">
        <f>-'Revenue By Month'!Z39</f>
        <v>-1192883.1556204916</v>
      </c>
      <c r="AA3" s="18">
        <f>-'Revenue By Month'!AA39</f>
        <v>-1040479.9599709855</v>
      </c>
      <c r="AB3" s="18">
        <f>-'Revenue By Month'!AB39</f>
        <v>-1019718.1510308638</v>
      </c>
      <c r="AC3" s="18">
        <f>-'Revenue By Month'!AC39</f>
        <v>-1029730.1249638536</v>
      </c>
      <c r="AD3" s="18">
        <f>-'Revenue By Month'!AD39</f>
        <v>-1187586.0674717971</v>
      </c>
      <c r="AE3"/>
      <c r="AF3"/>
      <c r="AG3"/>
    </row>
    <row r="4" spans="1:38">
      <c r="A4" s="16" t="s">
        <v>148</v>
      </c>
      <c r="C4" s="49"/>
      <c r="D4" s="49">
        <v>686368.9611111111</v>
      </c>
      <c r="E4" s="49">
        <v>1446515.151111111</v>
      </c>
      <c r="F4" s="49">
        <v>823349.45111111121</v>
      </c>
      <c r="G4" s="49">
        <v>892887.24111111113</v>
      </c>
      <c r="H4" s="49">
        <v>992416.5811111111</v>
      </c>
      <c r="I4" s="49">
        <v>1390041.1811111111</v>
      </c>
      <c r="J4" s="49">
        <v>1053519.9611111111</v>
      </c>
      <c r="K4" s="49">
        <v>2247078.2111111111</v>
      </c>
      <c r="L4" s="49">
        <v>914915.00111111114</v>
      </c>
      <c r="M4" s="49">
        <v>1281648.571111111</v>
      </c>
      <c r="N4" s="49">
        <v>1292788.341111111</v>
      </c>
      <c r="O4" s="49">
        <v>1165341.6711111113</v>
      </c>
      <c r="P4" s="49">
        <v>1282887.2711111109</v>
      </c>
      <c r="Q4" s="49">
        <v>1327060.1111111112</v>
      </c>
      <c r="R4" s="49">
        <v>835562.49111111125</v>
      </c>
      <c r="S4" s="49">
        <v>1066688.1911111111</v>
      </c>
      <c r="T4" s="49">
        <v>952694.85111111111</v>
      </c>
      <c r="U4" s="49">
        <v>1358872.2311111111</v>
      </c>
      <c r="V4" s="49">
        <v>1073920.651111111</v>
      </c>
      <c r="W4" s="49">
        <v>3141428.4311111113</v>
      </c>
      <c r="X4" s="49">
        <v>914915.00111111114</v>
      </c>
      <c r="Y4" s="49">
        <v>1281648.571111111</v>
      </c>
      <c r="Z4" s="49">
        <v>1292788.341111111</v>
      </c>
      <c r="AA4" s="49">
        <v>1165341.6711111113</v>
      </c>
      <c r="AB4" s="49">
        <v>1282887.2711111109</v>
      </c>
      <c r="AC4" s="49">
        <v>1327060.1111111112</v>
      </c>
      <c r="AD4" s="49">
        <v>835562.49111111125</v>
      </c>
      <c r="AE4" s="49"/>
      <c r="AF4" s="49"/>
      <c r="AG4" s="49"/>
      <c r="AH4" s="49"/>
      <c r="AI4" s="49"/>
      <c r="AJ4" s="49"/>
      <c r="AK4" s="49"/>
      <c r="AL4" s="49"/>
    </row>
    <row r="5" spans="1:38">
      <c r="A5" s="16" t="s">
        <v>28</v>
      </c>
      <c r="C5" s="49"/>
      <c r="D5" s="49">
        <f>D3+D4</f>
        <v>-662411.04006434372</v>
      </c>
      <c r="E5" s="49">
        <f t="shared" ref="E5:R5" si="0">E3+E4</f>
        <v>82195.401161567075</v>
      </c>
      <c r="F5" s="49">
        <f t="shared" si="0"/>
        <v>-758210.96997700387</v>
      </c>
      <c r="G5" s="49">
        <f t="shared" si="0"/>
        <v>-294971.47922550049</v>
      </c>
      <c r="H5" s="49">
        <f t="shared" si="0"/>
        <v>-13991.930854110862</v>
      </c>
      <c r="I5" s="49">
        <f t="shared" si="0"/>
        <v>303665.98840325628</v>
      </c>
      <c r="J5" s="49">
        <f t="shared" si="0"/>
        <v>-148879.08696301887</v>
      </c>
      <c r="K5" s="49">
        <f t="shared" si="0"/>
        <v>856968.42901736288</v>
      </c>
      <c r="L5" s="49">
        <f t="shared" si="0"/>
        <v>-477054.59212120855</v>
      </c>
      <c r="M5" s="49">
        <f t="shared" si="0"/>
        <v>85294.294369254028</v>
      </c>
      <c r="N5" s="49">
        <f t="shared" si="0"/>
        <v>116133.23999508866</v>
      </c>
      <c r="O5" s="49">
        <f t="shared" si="0"/>
        <v>142774.6239387329</v>
      </c>
      <c r="P5" s="49">
        <f t="shared" si="0"/>
        <v>277476.34886132937</v>
      </c>
      <c r="Q5" s="49">
        <f t="shared" si="0"/>
        <v>307535.36256748554</v>
      </c>
      <c r="R5" s="49">
        <f t="shared" si="0"/>
        <v>-344938.28735732718</v>
      </c>
      <c r="S5" s="49">
        <f t="shared" ref="S5:AD5" si="1">S3+S4</f>
        <v>-110453.58449074952</v>
      </c>
      <c r="T5" s="49">
        <f t="shared" si="1"/>
        <v>-60913.236563073122</v>
      </c>
      <c r="U5" s="49">
        <f t="shared" si="1"/>
        <v>277785.62541036075</v>
      </c>
      <c r="V5" s="49">
        <f t="shared" si="1"/>
        <v>-129512.18758713268</v>
      </c>
      <c r="W5" s="49">
        <f t="shared" si="1"/>
        <v>1744603.7804525907</v>
      </c>
      <c r="X5" s="49">
        <f t="shared" si="1"/>
        <v>-486551.20812982088</v>
      </c>
      <c r="Y5" s="49">
        <f t="shared" si="1"/>
        <v>81981.172658696305</v>
      </c>
      <c r="Z5" s="49">
        <f t="shared" si="1"/>
        <v>99905.185490619391</v>
      </c>
      <c r="AA5" s="49">
        <f t="shared" si="1"/>
        <v>124861.71114012576</v>
      </c>
      <c r="AB5" s="49">
        <f t="shared" si="1"/>
        <v>263169.12008024717</v>
      </c>
      <c r="AC5" s="49">
        <f t="shared" si="1"/>
        <v>297329.98614725762</v>
      </c>
      <c r="AD5" s="49">
        <f t="shared" si="1"/>
        <v>-352023.57636068587</v>
      </c>
      <c r="AE5"/>
      <c r="AF5"/>
      <c r="AG5"/>
    </row>
    <row r="6" spans="1:38">
      <c r="A6" s="16" t="s">
        <v>143</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c r="AF6"/>
      <c r="AG6"/>
    </row>
    <row r="7" spans="1:38">
      <c r="A7" s="16" t="s">
        <v>29</v>
      </c>
      <c r="B7" s="49"/>
      <c r="C7" s="18">
        <v>-1221769.0900000001</v>
      </c>
      <c r="D7" s="18">
        <f t="shared" ref="D7:Q7" si="2">D5+D6+C7</f>
        <v>-1884180.1300643438</v>
      </c>
      <c r="E7" s="18">
        <f t="shared" si="2"/>
        <v>-1801984.7289027767</v>
      </c>
      <c r="F7" s="18">
        <f t="shared" si="2"/>
        <v>-2560195.6988797807</v>
      </c>
      <c r="G7" s="18">
        <f t="shared" si="2"/>
        <v>-2855167.1781052812</v>
      </c>
      <c r="H7" s="18">
        <f t="shared" si="2"/>
        <v>-2869159.1089593922</v>
      </c>
      <c r="I7" s="18">
        <f t="shared" si="2"/>
        <v>-2565493.1205561357</v>
      </c>
      <c r="J7" s="18">
        <f t="shared" si="2"/>
        <v>-2714372.2075191545</v>
      </c>
      <c r="K7" s="18">
        <f t="shared" si="2"/>
        <v>-1857403.7785017916</v>
      </c>
      <c r="L7" s="18">
        <f t="shared" si="2"/>
        <v>-2334458.370623</v>
      </c>
      <c r="M7" s="18">
        <f t="shared" si="2"/>
        <v>-2249164.0762537457</v>
      </c>
      <c r="N7" s="18">
        <f t="shared" si="2"/>
        <v>-2133030.8362586573</v>
      </c>
      <c r="O7" s="18">
        <f t="shared" si="2"/>
        <v>-1990256.2123199245</v>
      </c>
      <c r="P7" s="18">
        <f t="shared" si="2"/>
        <v>-1712779.8634585952</v>
      </c>
      <c r="Q7" s="18">
        <f t="shared" si="2"/>
        <v>-1405244.5008911097</v>
      </c>
      <c r="R7" s="136">
        <f>Q7+R5+R6</f>
        <v>-1750182.788248437</v>
      </c>
      <c r="S7" s="136">
        <f t="shared" ref="S7:AC7" si="3">R7+S5+S6</f>
        <v>-1860636.3727391865</v>
      </c>
      <c r="T7" s="136">
        <f t="shared" si="3"/>
        <v>-1921549.6093022595</v>
      </c>
      <c r="U7" s="136">
        <f t="shared" si="3"/>
        <v>-1643763.9838918988</v>
      </c>
      <c r="V7" s="136">
        <f t="shared" si="3"/>
        <v>-1773276.1714790314</v>
      </c>
      <c r="W7" s="136">
        <f t="shared" si="3"/>
        <v>-28672.391026440775</v>
      </c>
      <c r="X7" s="136">
        <f t="shared" si="3"/>
        <v>-515223.59915626165</v>
      </c>
      <c r="Y7" s="136">
        <f t="shared" si="3"/>
        <v>-433242.42649756535</v>
      </c>
      <c r="Z7" s="136">
        <f t="shared" si="3"/>
        <v>-333337.24100694596</v>
      </c>
      <c r="AA7" s="136">
        <f t="shared" si="3"/>
        <v>-208475.5298668202</v>
      </c>
      <c r="AB7" s="136">
        <f t="shared" si="3"/>
        <v>54693.590213426971</v>
      </c>
      <c r="AC7" s="136">
        <f t="shared" si="3"/>
        <v>352023.57636068459</v>
      </c>
      <c r="AD7" s="81">
        <f>AC7+AD5+AD6</f>
        <v>-1.280568540096283E-9</v>
      </c>
      <c r="AE7"/>
      <c r="AF7"/>
      <c r="AG7"/>
    </row>
    <row r="8" spans="1:38">
      <c r="C8" s="18"/>
      <c r="D8" s="18"/>
      <c r="E8" s="37"/>
      <c r="F8" s="37"/>
      <c r="G8" s="37"/>
      <c r="H8" s="18"/>
      <c r="I8" s="18"/>
      <c r="J8" s="18"/>
      <c r="K8" s="18"/>
      <c r="L8" s="18"/>
      <c r="M8" s="18"/>
      <c r="N8" s="18"/>
      <c r="O8" s="18"/>
      <c r="P8" s="18"/>
      <c r="Q8" s="18"/>
      <c r="R8" s="18"/>
      <c r="S8" s="18"/>
      <c r="T8" s="37"/>
      <c r="U8" s="76"/>
      <c r="V8" s="76"/>
      <c r="W8" s="76"/>
      <c r="X8" s="76"/>
      <c r="Y8" s="76"/>
      <c r="Z8" s="76"/>
      <c r="AA8" s="76"/>
      <c r="AB8" s="76"/>
      <c r="AC8" s="76"/>
      <c r="AD8" s="76"/>
      <c r="AE8" s="76"/>
      <c r="AF8" s="76"/>
      <c r="AG8" s="76"/>
    </row>
    <row r="9" spans="1:38">
      <c r="C9" s="18"/>
      <c r="D9" s="18"/>
      <c r="E9" s="37"/>
      <c r="F9" s="37"/>
      <c r="G9" s="37"/>
      <c r="H9" s="18"/>
      <c r="I9" s="18"/>
      <c r="J9" s="18"/>
      <c r="K9" s="18"/>
      <c r="L9" s="18"/>
      <c r="M9" s="18"/>
      <c r="N9" s="18"/>
      <c r="O9" s="18"/>
      <c r="P9" s="18"/>
      <c r="Q9" s="18"/>
      <c r="R9" s="18"/>
      <c r="S9" s="18"/>
      <c r="T9" s="37"/>
      <c r="U9" s="76"/>
      <c r="V9" s="76"/>
      <c r="W9" s="76"/>
      <c r="X9" s="76"/>
      <c r="Y9" s="76"/>
      <c r="Z9" s="76"/>
      <c r="AA9" s="76"/>
      <c r="AB9" s="76"/>
      <c r="AC9" s="76"/>
      <c r="AD9" s="76"/>
      <c r="AE9" s="76"/>
      <c r="AF9" s="76"/>
      <c r="AG9" s="76"/>
    </row>
    <row r="10" spans="1:38">
      <c r="C10" s="18"/>
      <c r="D10" s="18"/>
      <c r="E10" s="18"/>
      <c r="F10" s="37"/>
      <c r="G10" s="37"/>
      <c r="H10" s="18"/>
      <c r="I10" s="18"/>
      <c r="J10" s="18"/>
      <c r="K10" s="18"/>
      <c r="L10" s="18"/>
      <c r="M10" s="18"/>
      <c r="N10" s="18"/>
      <c r="O10" s="18"/>
      <c r="P10" s="18"/>
      <c r="Q10" s="18"/>
      <c r="R10" s="18"/>
      <c r="S10" s="18"/>
      <c r="T10" s="75"/>
      <c r="U10" s="75"/>
      <c r="V10" s="75"/>
      <c r="W10" s="75"/>
      <c r="X10" s="75"/>
      <c r="Y10" s="75"/>
      <c r="Z10" s="75"/>
      <c r="AA10" s="75"/>
      <c r="AB10" s="75"/>
      <c r="AC10" s="75"/>
      <c r="AD10" s="75"/>
      <c r="AE10" s="75"/>
      <c r="AF10" s="75"/>
      <c r="AG10" s="75"/>
    </row>
    <row r="11" spans="1:38" hidden="1">
      <c r="C11" s="18"/>
      <c r="D11" s="18"/>
      <c r="E11" s="18"/>
      <c r="F11" s="37"/>
      <c r="G11" s="37"/>
      <c r="H11" s="18"/>
      <c r="I11" s="18"/>
      <c r="J11" s="18"/>
      <c r="K11" s="18"/>
      <c r="L11" s="18"/>
      <c r="M11" s="18"/>
      <c r="N11" s="18"/>
      <c r="O11" s="18"/>
      <c r="P11" s="18"/>
      <c r="Q11" s="18"/>
      <c r="R11" s="18"/>
      <c r="S11" s="18"/>
      <c r="T11" s="18"/>
      <c r="U11" s="76"/>
      <c r="V11" s="76"/>
      <c r="W11" s="76"/>
      <c r="X11" s="76"/>
      <c r="Y11" s="76"/>
      <c r="Z11" s="76"/>
      <c r="AA11" s="76"/>
      <c r="AB11" s="76"/>
      <c r="AC11" s="76"/>
      <c r="AD11" s="76"/>
      <c r="AE11" s="76"/>
      <c r="AF11" s="76"/>
      <c r="AG11" s="76"/>
    </row>
    <row r="12" spans="1:38" hidden="1">
      <c r="A12" s="16"/>
      <c r="B12" s="18"/>
      <c r="C12" s="18"/>
      <c r="D12" s="18"/>
      <c r="E12" s="18"/>
      <c r="F12" s="18"/>
      <c r="G12" s="18"/>
      <c r="H12" s="18"/>
      <c r="I12" s="18"/>
      <c r="J12" s="18"/>
      <c r="K12" s="18"/>
      <c r="L12" s="18"/>
      <c r="M12" s="18"/>
      <c r="N12" s="18"/>
      <c r="O12" s="18"/>
      <c r="P12" s="18"/>
      <c r="Q12" s="18"/>
      <c r="R12" s="18"/>
      <c r="S12" s="18"/>
      <c r="T12" s="18"/>
    </row>
    <row r="13" spans="1:38" hidden="1">
      <c r="A13" s="19" t="s">
        <v>30</v>
      </c>
      <c r="B13" s="50">
        <v>0</v>
      </c>
      <c r="C13" s="20" t="s">
        <v>31</v>
      </c>
      <c r="D13" s="16"/>
      <c r="E13" s="16"/>
      <c r="F13" s="16"/>
      <c r="G13" s="16"/>
      <c r="H13" s="16"/>
      <c r="I13" s="16"/>
      <c r="J13" s="16"/>
      <c r="K13" s="16"/>
      <c r="L13" s="16"/>
      <c r="M13" s="16"/>
      <c r="N13" s="16"/>
      <c r="O13" s="16"/>
      <c r="P13" s="16"/>
      <c r="Q13" s="16"/>
      <c r="R13" s="16"/>
      <c r="S13" s="16"/>
      <c r="T13" s="16"/>
    </row>
    <row r="14" spans="1:38" hidden="1">
      <c r="A14" s="19" t="s">
        <v>58</v>
      </c>
      <c r="B14" s="49"/>
      <c r="C14" s="80" t="s">
        <v>145</v>
      </c>
      <c r="D14" s="16"/>
      <c r="E14" s="16"/>
      <c r="F14" s="16"/>
      <c r="G14" s="16"/>
      <c r="H14" s="16"/>
      <c r="I14" s="16"/>
      <c r="J14" s="16"/>
      <c r="K14" s="16"/>
      <c r="L14" s="73"/>
      <c r="M14" s="73"/>
      <c r="N14" s="73"/>
      <c r="O14" s="73"/>
      <c r="P14" s="73"/>
      <c r="Q14" s="73"/>
      <c r="R14" s="73"/>
      <c r="S14" s="73"/>
      <c r="T14" s="16"/>
    </row>
    <row r="15" spans="1:38" hidden="1">
      <c r="A15" s="19" t="s">
        <v>79</v>
      </c>
      <c r="B15" s="49">
        <f>B14*1.02</f>
        <v>0</v>
      </c>
      <c r="C15" s="80" t="s">
        <v>146</v>
      </c>
      <c r="D15" s="16"/>
      <c r="E15" s="16"/>
      <c r="F15" s="16"/>
      <c r="G15" s="16"/>
      <c r="H15" s="16"/>
      <c r="I15" s="16"/>
      <c r="J15" s="16"/>
      <c r="K15" s="16"/>
      <c r="L15" s="73"/>
      <c r="M15" s="73"/>
      <c r="N15" s="73"/>
      <c r="O15" s="73"/>
      <c r="P15" s="73"/>
      <c r="Q15" s="73"/>
      <c r="R15" s="73"/>
      <c r="S15" s="73"/>
      <c r="T15" s="16"/>
    </row>
    <row r="16" spans="1:38" hidden="1">
      <c r="A16" s="19"/>
      <c r="B16" s="18"/>
      <c r="C16" s="16"/>
      <c r="D16" s="16"/>
      <c r="E16" s="16"/>
      <c r="F16" s="16"/>
      <c r="G16" s="16"/>
      <c r="H16" s="16"/>
      <c r="I16" s="16"/>
      <c r="J16" s="16"/>
      <c r="K16" s="16"/>
      <c r="L16" s="16"/>
      <c r="M16" s="73"/>
      <c r="N16" s="16"/>
      <c r="O16" s="16"/>
      <c r="P16" s="16"/>
      <c r="Q16" s="16"/>
      <c r="R16" s="16"/>
      <c r="S16" s="16"/>
      <c r="T16" s="16"/>
    </row>
    <row r="17" spans="1:20" hidden="1">
      <c r="A17" s="19"/>
      <c r="B17" s="18"/>
      <c r="C17" s="16"/>
      <c r="D17" s="16"/>
      <c r="E17" s="16"/>
      <c r="F17" s="16"/>
      <c r="G17" s="16"/>
      <c r="H17" s="16"/>
      <c r="I17" s="16"/>
      <c r="J17" s="16"/>
      <c r="K17" s="16"/>
      <c r="L17" s="73"/>
      <c r="M17" s="73"/>
      <c r="N17" s="73"/>
      <c r="O17" s="73"/>
      <c r="P17" s="73"/>
      <c r="Q17" s="73"/>
      <c r="R17" s="73"/>
      <c r="S17" s="73"/>
      <c r="T17" s="16"/>
    </row>
    <row r="18" spans="1:20">
      <c r="A18" s="19"/>
      <c r="B18" s="18"/>
      <c r="C18" s="16"/>
      <c r="D18" s="16"/>
      <c r="E18" s="16"/>
      <c r="F18" s="16"/>
      <c r="G18" s="16"/>
      <c r="H18" s="16"/>
      <c r="I18" s="16"/>
      <c r="J18" s="16"/>
      <c r="K18" s="16"/>
      <c r="L18" s="16"/>
      <c r="M18" s="73"/>
      <c r="N18" s="16"/>
      <c r="O18" s="16"/>
      <c r="P18" s="16"/>
      <c r="Q18" s="16"/>
      <c r="R18" s="16"/>
      <c r="S18" s="16"/>
      <c r="T18" s="16"/>
    </row>
    <row r="19" spans="1:20">
      <c r="A19" s="38" t="s">
        <v>153</v>
      </c>
      <c r="B19" s="14">
        <f>F7</f>
        <v>-2560195.6988797807</v>
      </c>
      <c r="C19" s="16" t="s">
        <v>164</v>
      </c>
      <c r="D19" s="16"/>
      <c r="E19" s="16"/>
      <c r="F19" s="16"/>
      <c r="G19" s="16"/>
      <c r="H19" s="16"/>
      <c r="I19" s="16"/>
      <c r="J19" s="16"/>
      <c r="K19" s="16"/>
      <c r="L19" s="16"/>
      <c r="M19" s="16"/>
      <c r="N19" s="16"/>
      <c r="O19" s="16"/>
      <c r="P19" s="16"/>
      <c r="Q19" s="16"/>
      <c r="R19" s="16"/>
      <c r="S19" s="16"/>
      <c r="T19" s="16"/>
    </row>
    <row r="20" spans="1:20">
      <c r="A20" s="39" t="s">
        <v>162</v>
      </c>
      <c r="B20" s="40">
        <f>SUM(G4:AD4)</f>
        <v>30369954.446666673</v>
      </c>
      <c r="C20" s="16"/>
      <c r="D20" s="16"/>
      <c r="E20" s="73"/>
      <c r="F20" s="16"/>
      <c r="G20" s="16"/>
      <c r="H20" s="16"/>
      <c r="I20" s="16"/>
      <c r="J20" s="16"/>
      <c r="K20" s="16"/>
      <c r="L20" s="16"/>
      <c r="M20" s="16"/>
      <c r="N20" s="16"/>
      <c r="O20" s="16"/>
      <c r="P20" s="16"/>
      <c r="Q20" s="16"/>
      <c r="R20" s="16"/>
      <c r="S20" s="16"/>
    </row>
    <row r="21" spans="1:20" s="44" customFormat="1">
      <c r="A21" s="39" t="s">
        <v>163</v>
      </c>
      <c r="B21" s="40">
        <f>SUM(G3:AD3)</f>
        <v>-27809758.747786894</v>
      </c>
      <c r="C21" s="16"/>
      <c r="D21" s="16"/>
      <c r="E21" s="73"/>
      <c r="F21" s="16"/>
      <c r="G21" s="16"/>
      <c r="H21" s="16"/>
      <c r="I21" s="16"/>
      <c r="J21" s="16"/>
      <c r="K21" s="16"/>
      <c r="L21" s="16"/>
      <c r="M21" s="16"/>
      <c r="N21" s="16"/>
      <c r="O21" s="16"/>
      <c r="P21" s="16"/>
      <c r="Q21" s="16"/>
      <c r="R21" s="16"/>
      <c r="S21" s="16"/>
    </row>
    <row r="22" spans="1:20">
      <c r="A22" s="39"/>
      <c r="B22" s="47">
        <f>SUM(C6:R6)</f>
        <v>0</v>
      </c>
      <c r="C22" s="16"/>
      <c r="D22" s="16"/>
      <c r="E22" s="16"/>
      <c r="F22" s="16"/>
      <c r="G22" s="16"/>
      <c r="H22" s="16"/>
      <c r="I22" s="16"/>
      <c r="J22" s="16"/>
      <c r="K22" s="16"/>
      <c r="L22" s="16"/>
      <c r="M22" s="16"/>
      <c r="N22" s="16"/>
      <c r="O22" s="16"/>
      <c r="P22" s="16"/>
      <c r="Q22" s="16"/>
      <c r="R22" s="16"/>
      <c r="S22" s="16"/>
    </row>
    <row r="23" spans="1:20">
      <c r="A23" s="5" t="s">
        <v>165</v>
      </c>
      <c r="B23" s="6">
        <f>B19+B20+B22+B21</f>
        <v>0</v>
      </c>
      <c r="C23" s="83" t="s">
        <v>161</v>
      </c>
      <c r="D23" s="16"/>
      <c r="E23" s="16"/>
      <c r="F23" s="16"/>
      <c r="G23" s="16"/>
      <c r="H23" s="16"/>
      <c r="I23" s="16"/>
      <c r="J23" s="16"/>
      <c r="K23" s="16"/>
      <c r="L23" s="16"/>
      <c r="M23" s="16"/>
      <c r="N23" s="16"/>
      <c r="O23" s="16"/>
      <c r="P23" s="16"/>
      <c r="Q23" s="16"/>
      <c r="R23" s="16"/>
      <c r="S23" s="16"/>
    </row>
    <row r="24" spans="1:20">
      <c r="A24" s="5"/>
      <c r="B24" s="5"/>
      <c r="C24" s="16"/>
      <c r="D24" s="16"/>
      <c r="E24" s="16"/>
      <c r="F24" s="16"/>
      <c r="G24" s="16"/>
      <c r="H24" s="16"/>
      <c r="I24" s="16"/>
      <c r="J24" s="16"/>
      <c r="K24" s="16"/>
      <c r="L24" s="16"/>
      <c r="M24" s="16"/>
      <c r="N24" s="16"/>
      <c r="O24" s="16"/>
      <c r="P24" s="16"/>
      <c r="Q24" s="16"/>
      <c r="R24" s="16"/>
      <c r="S24" s="16"/>
    </row>
    <row r="25" spans="1:20" s="44" customFormat="1">
      <c r="A25" s="5"/>
      <c r="B25" s="5" t="s">
        <v>57</v>
      </c>
      <c r="C25" s="5" t="s">
        <v>87</v>
      </c>
      <c r="D25" s="16"/>
      <c r="E25" s="16"/>
      <c r="F25" s="16"/>
      <c r="G25" s="16"/>
      <c r="H25" s="16"/>
      <c r="I25" s="16"/>
      <c r="J25" s="16"/>
      <c r="K25" s="16"/>
      <c r="L25" s="16"/>
      <c r="M25" s="16"/>
      <c r="N25" s="16"/>
      <c r="O25" s="16"/>
      <c r="P25" s="16"/>
      <c r="Q25" s="16"/>
      <c r="R25" s="16"/>
      <c r="S25" s="16"/>
    </row>
    <row r="26" spans="1:20" s="44" customFormat="1">
      <c r="A26" s="5" t="s">
        <v>74</v>
      </c>
      <c r="B26" s="14">
        <f>'WA Electric - Sched 91'!C11</f>
        <v>18029597.152423583</v>
      </c>
      <c r="C26" s="14">
        <f>'WA Electric - Sched 91'!C19</f>
        <v>14509924.565760206</v>
      </c>
      <c r="D26" s="73">
        <f>C26-B26</f>
        <v>-3519672.5866633765</v>
      </c>
      <c r="E26" s="16"/>
      <c r="F26" s="16"/>
      <c r="G26" s="16"/>
      <c r="H26" s="16"/>
      <c r="I26" s="16"/>
      <c r="J26" s="16"/>
      <c r="K26" s="16"/>
      <c r="L26" s="16"/>
      <c r="M26" s="16"/>
      <c r="N26" s="16"/>
      <c r="O26" s="16"/>
      <c r="P26" s="16"/>
      <c r="Q26" s="16"/>
      <c r="R26" s="16"/>
      <c r="S26" s="16"/>
    </row>
    <row r="27" spans="1:20">
      <c r="A27" t="s">
        <v>14</v>
      </c>
      <c r="B27" s="84">
        <f>'Rev Conv Factor'!E22</f>
        <v>0.95563100000000001</v>
      </c>
      <c r="C27" s="84">
        <f>'Rev Conv Factor'!E22</f>
        <v>0.95563100000000001</v>
      </c>
    </row>
    <row r="28" spans="1:20" ht="15.75" thickBot="1">
      <c r="B28" s="51"/>
      <c r="C28" s="51"/>
    </row>
    <row r="29" spans="1:20" ht="16.5" thickTop="1" thickBot="1">
      <c r="A29" s="53" t="s">
        <v>75</v>
      </c>
      <c r="B29" s="52">
        <f>B26*B27</f>
        <v>17229641.956367701</v>
      </c>
      <c r="C29" s="52">
        <f>C26*C27</f>
        <v>13866133.722701993</v>
      </c>
      <c r="D29" s="73">
        <f>C29-B29</f>
        <v>-3363508.2336657085</v>
      </c>
    </row>
    <row r="30" spans="1:20" ht="15.75" thickTop="1">
      <c r="C30" s="44"/>
    </row>
    <row r="31" spans="1:20">
      <c r="C31" s="44"/>
    </row>
    <row r="32" spans="1:20">
      <c r="I32" s="14"/>
      <c r="J32" s="14"/>
      <c r="K32" s="15"/>
      <c r="L32" s="44"/>
    </row>
    <row r="33" spans="1:11">
      <c r="A33" s="138" t="s">
        <v>166</v>
      </c>
    </row>
    <row r="34" spans="1:11">
      <c r="A34" t="s">
        <v>151</v>
      </c>
      <c r="B34" s="15">
        <f>SUM(G4:R4)</f>
        <v>14676146.633333331</v>
      </c>
      <c r="J34" s="44"/>
    </row>
    <row r="35" spans="1:11" ht="17.25">
      <c r="A35" s="44" t="s">
        <v>152</v>
      </c>
      <c r="B35" s="137">
        <f>SUM(G3:R3)</f>
        <v>-13866133.722701989</v>
      </c>
      <c r="I35" s="14"/>
      <c r="J35" s="14"/>
    </row>
    <row r="36" spans="1:11">
      <c r="B36" s="15">
        <f>B34+B35</f>
        <v>810012.91063134186</v>
      </c>
      <c r="G36" s="44"/>
      <c r="I36" s="14"/>
      <c r="J36" s="14"/>
      <c r="K36" s="15"/>
    </row>
    <row r="38" spans="1:11">
      <c r="I38" s="14"/>
    </row>
    <row r="40" spans="1:11">
      <c r="I40" s="82"/>
    </row>
    <row r="42" spans="1:11">
      <c r="I42" s="14"/>
    </row>
  </sheetData>
  <pageMargins left="0.34" right="0.38" top="0.75" bottom="0.75" header="0.3" footer="0.3"/>
  <pageSetup orientation="landscape" r:id="rId1"/>
  <headerFooter>
    <oddHeader>&amp;C&amp;8AVISTA UTILITIES
WASHINGTON ELECTRIC
SCHEDULE 91 - DSM</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68"/>
  <sheetViews>
    <sheetView view="pageBreakPreview" zoomScale="60" zoomScaleNormal="100" workbookViewId="0">
      <selection activeCell="E49" sqref="E49"/>
    </sheetView>
  </sheetViews>
  <sheetFormatPr defaultRowHeight="12.75"/>
  <cols>
    <col min="1" max="1" width="11.5703125" style="21" customWidth="1"/>
    <col min="2" max="2" width="9.140625" style="21"/>
    <col min="3" max="3" width="42" style="21" customWidth="1"/>
    <col min="4" max="4" width="5.85546875" style="21" customWidth="1"/>
    <col min="5" max="5" width="20.140625" style="24" customWidth="1"/>
    <col min="6" max="6" width="19.85546875" style="21" bestFit="1" customWidth="1"/>
    <col min="7" max="15" width="9.140625" style="21"/>
    <col min="16" max="16" width="9.140625" style="23"/>
    <col min="17" max="50" width="9.140625" style="21"/>
    <col min="51" max="51" width="11.42578125" style="21" customWidth="1"/>
    <col min="52" max="16384" width="9.140625" style="21"/>
  </cols>
  <sheetData>
    <row r="1" spans="1:41" ht="13.5">
      <c r="A1" s="61" t="s">
        <v>32</v>
      </c>
      <c r="B1" s="61"/>
      <c r="C1" s="61"/>
      <c r="D1" s="61"/>
      <c r="E1" s="64"/>
      <c r="G1" s="22"/>
    </row>
    <row r="2" spans="1:41" ht="13.5">
      <c r="A2" s="61" t="s">
        <v>14</v>
      </c>
      <c r="B2" s="61"/>
      <c r="C2" s="61"/>
      <c r="D2" s="61"/>
      <c r="E2" s="64"/>
      <c r="G2" s="22"/>
    </row>
    <row r="3" spans="1:41" ht="13.5">
      <c r="A3" s="61" t="s">
        <v>33</v>
      </c>
      <c r="B3" s="61"/>
      <c r="C3" s="61"/>
      <c r="D3" s="61"/>
      <c r="E3" s="64"/>
      <c r="G3" s="22"/>
    </row>
    <row r="4" spans="1:41" ht="13.5">
      <c r="A4" s="61" t="s">
        <v>192</v>
      </c>
      <c r="B4" s="61"/>
      <c r="C4" s="61"/>
      <c r="D4" s="61"/>
      <c r="E4" s="64"/>
      <c r="G4" s="22"/>
    </row>
    <row r="5" spans="1:41">
      <c r="A5" s="54"/>
      <c r="B5" s="54"/>
      <c r="C5" s="54"/>
      <c r="D5" s="54"/>
      <c r="E5" s="54"/>
      <c r="G5" s="22"/>
    </row>
    <row r="6" spans="1:41" s="25" customFormat="1" ht="13.5">
      <c r="A6" s="55" t="s">
        <v>34</v>
      </c>
      <c r="B6" s="55"/>
      <c r="C6" s="55"/>
      <c r="D6" s="55"/>
      <c r="E6" s="65"/>
      <c r="G6" s="26"/>
      <c r="P6" s="27"/>
    </row>
    <row r="7" spans="1:41" s="25" customFormat="1" ht="13.5">
      <c r="A7" s="62" t="s">
        <v>35</v>
      </c>
      <c r="B7" s="55"/>
      <c r="C7" s="62" t="s">
        <v>36</v>
      </c>
      <c r="D7" s="56"/>
      <c r="E7" s="66" t="s">
        <v>37</v>
      </c>
      <c r="G7" s="26"/>
      <c r="P7" s="27"/>
    </row>
    <row r="8" spans="1:41">
      <c r="A8" s="54"/>
      <c r="B8" s="54"/>
      <c r="C8" s="54"/>
      <c r="D8" s="54"/>
      <c r="E8" s="54"/>
      <c r="G8" s="22"/>
    </row>
    <row r="9" spans="1:41">
      <c r="A9" s="57">
        <v>1</v>
      </c>
      <c r="B9" s="54"/>
      <c r="C9" s="63" t="s">
        <v>38</v>
      </c>
      <c r="D9" s="54"/>
      <c r="E9" s="67">
        <v>1</v>
      </c>
    </row>
    <row r="10" spans="1:41">
      <c r="A10" s="57"/>
      <c r="B10" s="54"/>
      <c r="C10" s="54"/>
      <c r="D10" s="54"/>
      <c r="E10" s="67"/>
    </row>
    <row r="11" spans="1:41">
      <c r="A11" s="57"/>
      <c r="B11" s="54"/>
      <c r="C11" s="58" t="s">
        <v>39</v>
      </c>
      <c r="D11" s="59"/>
      <c r="E11" s="67"/>
    </row>
    <row r="12" spans="1:41">
      <c r="A12" s="57">
        <v>2</v>
      </c>
      <c r="B12" s="54"/>
      <c r="C12" s="59" t="s">
        <v>40</v>
      </c>
      <c r="D12" s="59"/>
      <c r="E12" s="68">
        <v>3.7820000000000002E-3</v>
      </c>
    </row>
    <row r="13" spans="1:41">
      <c r="A13" s="57"/>
      <c r="B13" s="54"/>
      <c r="C13" s="59"/>
      <c r="D13" s="59"/>
      <c r="E13" s="67"/>
    </row>
    <row r="14" spans="1:41">
      <c r="A14" s="57">
        <v>3</v>
      </c>
      <c r="B14" s="54"/>
      <c r="C14" s="59" t="s">
        <v>41</v>
      </c>
      <c r="D14" s="59"/>
      <c r="E14" s="67">
        <v>2E-3</v>
      </c>
    </row>
    <row r="15" spans="1:41">
      <c r="A15" s="57"/>
      <c r="B15" s="54"/>
      <c r="C15" s="59"/>
      <c r="D15" s="59"/>
      <c r="E15" s="67"/>
      <c r="AO15" s="28"/>
    </row>
    <row r="16" spans="1:41">
      <c r="A16" s="57">
        <v>4</v>
      </c>
      <c r="B16" s="54"/>
      <c r="C16" s="59" t="s">
        <v>42</v>
      </c>
      <c r="D16" s="59"/>
      <c r="E16" s="67">
        <v>3.8587000000000003E-2</v>
      </c>
    </row>
    <row r="17" spans="1:41">
      <c r="A17" s="57"/>
      <c r="B17" s="54"/>
      <c r="C17" s="59"/>
      <c r="D17" s="59"/>
      <c r="E17" s="67"/>
    </row>
    <row r="18" spans="1:41">
      <c r="A18" s="57">
        <v>5</v>
      </c>
      <c r="B18" s="54"/>
      <c r="C18" s="59" t="s">
        <v>43</v>
      </c>
      <c r="D18" s="59"/>
      <c r="E18" s="69">
        <v>0</v>
      </c>
    </row>
    <row r="19" spans="1:41">
      <c r="A19" s="57"/>
      <c r="B19" s="54"/>
      <c r="C19" s="59"/>
      <c r="D19" s="59"/>
      <c r="E19" s="69"/>
    </row>
    <row r="20" spans="1:41">
      <c r="A20" s="57">
        <v>6</v>
      </c>
      <c r="B20" s="54"/>
      <c r="C20" s="59" t="s">
        <v>44</v>
      </c>
      <c r="D20" s="59"/>
      <c r="E20" s="70">
        <f>E12+E14+E16+E18</f>
        <v>4.4369000000000006E-2</v>
      </c>
    </row>
    <row r="21" spans="1:41">
      <c r="A21" s="54"/>
      <c r="B21" s="54"/>
      <c r="C21" s="59"/>
      <c r="D21" s="59"/>
      <c r="E21" s="69"/>
    </row>
    <row r="22" spans="1:41">
      <c r="A22" s="57">
        <v>7</v>
      </c>
      <c r="B22" s="54"/>
      <c r="C22" s="59" t="s">
        <v>45</v>
      </c>
      <c r="D22" s="59"/>
      <c r="E22" s="69">
        <f>E9-E20</f>
        <v>0.95563100000000001</v>
      </c>
      <c r="AO22" s="28"/>
    </row>
    <row r="23" spans="1:41">
      <c r="A23" s="54"/>
      <c r="B23" s="54"/>
      <c r="C23" s="59"/>
      <c r="D23" s="59"/>
      <c r="E23" s="69"/>
    </row>
    <row r="24" spans="1:41">
      <c r="A24" s="57">
        <v>8</v>
      </c>
      <c r="B24" s="54"/>
      <c r="C24" s="59" t="s">
        <v>154</v>
      </c>
      <c r="D24" s="60"/>
      <c r="E24" s="71">
        <v>0.200683</v>
      </c>
      <c r="G24" s="22"/>
    </row>
    <row r="25" spans="1:41">
      <c r="A25" s="54"/>
      <c r="B25" s="54"/>
      <c r="C25" s="59"/>
      <c r="D25" s="59"/>
      <c r="E25" s="69"/>
      <c r="G25" s="22"/>
    </row>
    <row r="26" spans="1:41" ht="13.5" thickBot="1">
      <c r="A26" s="57">
        <v>9</v>
      </c>
      <c r="B26" s="54"/>
      <c r="C26" s="58" t="s">
        <v>46</v>
      </c>
      <c r="D26" s="59"/>
      <c r="E26" s="141">
        <f>E22-E24</f>
        <v>0.75494799999999995</v>
      </c>
    </row>
    <row r="27" spans="1:41" ht="13.5" thickTop="1"/>
    <row r="29" spans="1:41" ht="18.75">
      <c r="A29" s="48" t="s">
        <v>193</v>
      </c>
    </row>
    <row r="32" spans="1:41">
      <c r="A32" s="166"/>
      <c r="B32" s="166"/>
      <c r="C32" s="166"/>
      <c r="D32" s="166"/>
      <c r="E32" s="166"/>
    </row>
    <row r="33" spans="1:41" s="30" customFormat="1">
      <c r="A33" s="167"/>
      <c r="B33" s="167"/>
      <c r="C33" s="167"/>
      <c r="D33" s="167"/>
      <c r="E33" s="167"/>
      <c r="P33" s="31"/>
    </row>
    <row r="34" spans="1:41" s="30" customFormat="1">
      <c r="A34" s="167"/>
      <c r="B34" s="167"/>
      <c r="C34" s="167"/>
      <c r="D34" s="167"/>
      <c r="E34" s="167"/>
      <c r="P34" s="31"/>
    </row>
    <row r="35" spans="1:41" s="30" customFormat="1">
      <c r="E35" s="32"/>
      <c r="P35" s="31"/>
    </row>
    <row r="36" spans="1:41" s="30" customFormat="1">
      <c r="E36" s="32"/>
      <c r="P36" s="31"/>
    </row>
    <row r="37" spans="1:41" s="30" customFormat="1">
      <c r="E37" s="32"/>
      <c r="P37" s="31"/>
    </row>
    <row r="38" spans="1:41" s="30" customFormat="1">
      <c r="E38" s="29"/>
      <c r="P38" s="31"/>
    </row>
    <row r="39" spans="1:41" s="30" customFormat="1">
      <c r="E39" s="29"/>
      <c r="P39" s="31"/>
    </row>
    <row r="40" spans="1:41" s="30" customFormat="1">
      <c r="E40" s="29"/>
      <c r="P40" s="31"/>
    </row>
    <row r="41" spans="1:41" s="30" customFormat="1">
      <c r="E41" s="29"/>
      <c r="P41" s="31"/>
    </row>
    <row r="42" spans="1:41" s="30" customFormat="1">
      <c r="E42" s="29"/>
      <c r="P42" s="31"/>
    </row>
    <row r="43" spans="1:41" s="30" customFormat="1">
      <c r="E43" s="29"/>
      <c r="F43" s="29"/>
      <c r="P43" s="31"/>
    </row>
    <row r="44" spans="1:41" s="30" customFormat="1">
      <c r="P44" s="31"/>
    </row>
    <row r="45" spans="1:41" s="30" customFormat="1">
      <c r="E45" s="29"/>
      <c r="P45" s="31"/>
    </row>
    <row r="46" spans="1:41" s="30" customFormat="1">
      <c r="E46" s="29"/>
      <c r="P46" s="31"/>
    </row>
    <row r="47" spans="1:41" s="30" customFormat="1">
      <c r="E47" s="29"/>
      <c r="P47" s="31"/>
    </row>
    <row r="48" spans="1:41" s="30" customFormat="1">
      <c r="E48" s="33"/>
      <c r="P48" s="31"/>
      <c r="AO48" s="34"/>
    </row>
    <row r="49" spans="5:41" s="30" customFormat="1">
      <c r="E49" s="29"/>
      <c r="P49" s="31"/>
    </row>
    <row r="50" spans="5:41" s="30" customFormat="1">
      <c r="E50" s="29"/>
      <c r="P50" s="31"/>
    </row>
    <row r="51" spans="5:41" s="30" customFormat="1">
      <c r="E51" s="29"/>
      <c r="P51" s="31"/>
    </row>
    <row r="52" spans="5:41" s="30" customFormat="1">
      <c r="E52" s="29"/>
      <c r="P52" s="31"/>
    </row>
    <row r="53" spans="5:41" s="30" customFormat="1">
      <c r="E53" s="29"/>
      <c r="P53" s="31"/>
    </row>
    <row r="54" spans="5:41" s="30" customFormat="1">
      <c r="E54" s="33"/>
      <c r="P54" s="31"/>
    </row>
    <row r="55" spans="5:41" s="30" customFormat="1">
      <c r="E55" s="32"/>
      <c r="P55" s="31"/>
    </row>
    <row r="58" spans="5:41">
      <c r="AO58" s="35"/>
    </row>
    <row r="63" spans="5:41">
      <c r="AO63" s="35"/>
    </row>
    <row r="68" spans="41:41">
      <c r="AO68" s="35"/>
    </row>
  </sheetData>
  <mergeCells count="3">
    <mergeCell ref="A32:E32"/>
    <mergeCell ref="A33:E33"/>
    <mergeCell ref="A34:E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4:AF48"/>
  <sheetViews>
    <sheetView view="pageBreakPreview" topLeftCell="J1" zoomScale="60" zoomScaleNormal="100" workbookViewId="0">
      <selection activeCell="T33" sqref="T33"/>
    </sheetView>
  </sheetViews>
  <sheetFormatPr defaultRowHeight="15"/>
  <cols>
    <col min="1" max="1" width="11" bestFit="1" customWidth="1"/>
    <col min="2" max="2" width="15" bestFit="1" customWidth="1"/>
    <col min="3" max="3" width="16.85546875" bestFit="1" customWidth="1"/>
    <col min="4" max="4" width="16.5703125" bestFit="1" customWidth="1"/>
    <col min="5" max="5" width="16.28515625" bestFit="1" customWidth="1"/>
    <col min="6" max="7" width="17" bestFit="1" customWidth="1"/>
    <col min="8" max="8" width="16.5703125" bestFit="1" customWidth="1"/>
    <col min="9" max="9" width="17" bestFit="1" customWidth="1"/>
    <col min="10" max="11" width="16.5703125" bestFit="1" customWidth="1"/>
    <col min="12" max="12" width="17.5703125" bestFit="1" customWidth="1"/>
    <col min="13" max="13" width="17.7109375" style="44" bestFit="1" customWidth="1"/>
    <col min="14" max="14" width="16.5703125" style="44" bestFit="1" customWidth="1"/>
    <col min="15" max="15" width="17" style="44" bestFit="1" customWidth="1"/>
    <col min="16" max="16" width="16.85546875" style="44" bestFit="1" customWidth="1"/>
    <col min="17" max="18" width="16.5703125" style="44" bestFit="1" customWidth="1"/>
    <col min="19" max="19" width="16.140625" style="44" bestFit="1" customWidth="1"/>
    <col min="20" max="20" width="16.85546875" style="44" bestFit="1" customWidth="1"/>
    <col min="21" max="21" width="16.140625" style="44" bestFit="1" customWidth="1"/>
    <col min="22" max="22" width="16.85546875" style="44" bestFit="1" customWidth="1"/>
    <col min="23" max="23" width="16.5703125" style="44" bestFit="1" customWidth="1"/>
    <col min="24" max="25" width="17.5703125" style="44" bestFit="1" customWidth="1"/>
    <col min="26" max="26" width="16.5703125" style="44" bestFit="1" customWidth="1"/>
    <col min="27" max="28" width="17" style="44" bestFit="1" customWidth="1"/>
    <col min="29" max="29" width="17.28515625" style="44" bestFit="1" customWidth="1"/>
    <col min="31" max="31" width="16.85546875" bestFit="1" customWidth="1"/>
    <col min="32" max="32" width="16.5703125" bestFit="1" customWidth="1"/>
  </cols>
  <sheetData>
    <row r="4" spans="1:31">
      <c r="A4" s="44" t="s">
        <v>72</v>
      </c>
    </row>
    <row r="7" spans="1:31">
      <c r="B7" s="79"/>
      <c r="C7" s="79">
        <v>44317</v>
      </c>
      <c r="D7" s="79">
        <v>44348</v>
      </c>
      <c r="E7" s="79">
        <v>44378</v>
      </c>
      <c r="F7" s="79">
        <v>44409</v>
      </c>
      <c r="G7" s="79">
        <v>44440</v>
      </c>
      <c r="H7" s="79">
        <v>44470</v>
      </c>
      <c r="I7" s="79">
        <v>44501</v>
      </c>
      <c r="J7" s="79">
        <v>44531</v>
      </c>
      <c r="K7" s="79">
        <v>44562</v>
      </c>
      <c r="L7" s="79">
        <v>44593</v>
      </c>
      <c r="M7" s="79">
        <v>44621</v>
      </c>
      <c r="N7" s="79">
        <v>44652</v>
      </c>
      <c r="O7" s="79">
        <v>44682</v>
      </c>
      <c r="P7" s="79">
        <v>44713</v>
      </c>
      <c r="Q7" s="79">
        <v>44743</v>
      </c>
      <c r="R7" s="79">
        <v>44774</v>
      </c>
      <c r="S7" s="79">
        <v>44805</v>
      </c>
      <c r="T7" s="79">
        <v>44835</v>
      </c>
      <c r="U7" s="79">
        <v>44866</v>
      </c>
      <c r="V7" s="79">
        <v>44896</v>
      </c>
      <c r="W7" s="79">
        <v>44927</v>
      </c>
      <c r="X7" s="79">
        <v>44958</v>
      </c>
      <c r="Y7" s="79">
        <v>44986</v>
      </c>
      <c r="Z7" s="79">
        <v>45017</v>
      </c>
      <c r="AA7" s="79">
        <v>45047</v>
      </c>
      <c r="AB7" s="79">
        <v>45078</v>
      </c>
      <c r="AC7" s="79">
        <v>45108</v>
      </c>
    </row>
    <row r="8" spans="1:31">
      <c r="A8" s="77" t="s">
        <v>60</v>
      </c>
      <c r="B8" s="85"/>
      <c r="C8" s="144">
        <v>162875615.11305499</v>
      </c>
      <c r="D8" s="144">
        <v>162704960.30928802</v>
      </c>
      <c r="E8" s="144">
        <v>201725767.43289304</v>
      </c>
      <c r="F8" s="144">
        <v>195408992.44276249</v>
      </c>
      <c r="G8" s="144">
        <v>154836044.44160548</v>
      </c>
      <c r="H8" s="144">
        <v>179532895.31984872</v>
      </c>
      <c r="I8" s="144">
        <v>228638854.31410483</v>
      </c>
      <c r="J8" s="144">
        <v>288759665.00729716</v>
      </c>
      <c r="K8" s="144">
        <v>289139801.5291037</v>
      </c>
      <c r="L8" s="144">
        <v>236954906.38102663</v>
      </c>
      <c r="M8" s="144">
        <v>222240496.03366679</v>
      </c>
      <c r="N8" s="144">
        <v>175624821.28924283</v>
      </c>
      <c r="O8" s="144">
        <v>158772217.34669441</v>
      </c>
      <c r="P8" s="144">
        <v>154236623.74039325</v>
      </c>
      <c r="Q8" s="144">
        <v>187835269.75646251</v>
      </c>
      <c r="R8" s="144">
        <v>187428527.51157242</v>
      </c>
      <c r="S8" s="144">
        <v>155130622.69788381</v>
      </c>
      <c r="T8" s="144">
        <v>176036009.50173694</v>
      </c>
      <c r="U8" s="144">
        <v>225451120.18908483</v>
      </c>
      <c r="V8" s="144">
        <v>288057201.98910034</v>
      </c>
      <c r="W8" s="144">
        <v>290709541.58891392</v>
      </c>
      <c r="X8" s="144">
        <v>237398869.03240398</v>
      </c>
      <c r="Y8" s="144">
        <v>226870604.42276436</v>
      </c>
      <c r="Z8" s="144">
        <v>180147284.87380084</v>
      </c>
      <c r="AA8" s="144">
        <v>162230792.99604055</v>
      </c>
      <c r="AB8" s="144">
        <v>155786503.87540871</v>
      </c>
      <c r="AC8" s="144">
        <v>188346224.86399573</v>
      </c>
      <c r="AE8" s="72"/>
    </row>
    <row r="9" spans="1:31">
      <c r="A9" s="77" t="s">
        <v>61</v>
      </c>
      <c r="B9" s="85"/>
      <c r="C9" s="144">
        <v>42309765.033803605</v>
      </c>
      <c r="D9" s="144">
        <v>42826035.173754059</v>
      </c>
      <c r="E9" s="144">
        <v>51150710.844265915</v>
      </c>
      <c r="F9" s="144">
        <v>51779131.23159951</v>
      </c>
      <c r="G9" s="144">
        <v>44131214.486846745</v>
      </c>
      <c r="H9" s="144">
        <v>47086203.729955383</v>
      </c>
      <c r="I9" s="144">
        <v>51272740.421958603</v>
      </c>
      <c r="J9" s="144">
        <v>58292812.328183077</v>
      </c>
      <c r="K9" s="144">
        <v>58004212.657289609</v>
      </c>
      <c r="L9" s="144">
        <v>50181153.96351169</v>
      </c>
      <c r="M9" s="144">
        <v>50580997.279053174</v>
      </c>
      <c r="N9" s="144">
        <v>43655727.07144478</v>
      </c>
      <c r="O9" s="144">
        <v>43339499.491076849</v>
      </c>
      <c r="P9" s="144">
        <v>44373439.503949001</v>
      </c>
      <c r="Q9" s="144">
        <v>52736929.122700162</v>
      </c>
      <c r="R9" s="144">
        <v>51931312.776731573</v>
      </c>
      <c r="S9" s="144">
        <v>43780385.800362311</v>
      </c>
      <c r="T9" s="144">
        <v>46357448.472358763</v>
      </c>
      <c r="U9" s="144">
        <v>51025099.333546378</v>
      </c>
      <c r="V9" s="144">
        <v>58186140.990812086</v>
      </c>
      <c r="W9" s="144">
        <v>57915230.104587115</v>
      </c>
      <c r="X9" s="144">
        <v>49645229.93378555</v>
      </c>
      <c r="Y9" s="144">
        <v>50645950.393057443</v>
      </c>
      <c r="Z9" s="144">
        <v>43825004.778709345</v>
      </c>
      <c r="AA9" s="144">
        <v>43522589.892920308</v>
      </c>
      <c r="AB9" s="144">
        <v>44695777.647053719</v>
      </c>
      <c r="AC9" s="144">
        <v>53189545.384864129</v>
      </c>
    </row>
    <row r="10" spans="1:31">
      <c r="A10" s="77" t="s">
        <v>62</v>
      </c>
      <c r="B10" s="85"/>
      <c r="C10" s="144">
        <v>4033758.7789088986</v>
      </c>
      <c r="D10" s="144">
        <v>3846708.4355936954</v>
      </c>
      <c r="E10" s="144">
        <v>4363824.0659356182</v>
      </c>
      <c r="F10" s="144">
        <v>4242287.8179828143</v>
      </c>
      <c r="G10" s="144">
        <v>3791915.2692046347</v>
      </c>
      <c r="H10" s="144">
        <v>4661229.2886902587</v>
      </c>
      <c r="I10" s="144">
        <v>5801972.7592799133</v>
      </c>
      <c r="J10" s="144">
        <v>7195247.8283822769</v>
      </c>
      <c r="K10" s="144">
        <v>7376338.0682462864</v>
      </c>
      <c r="L10" s="144">
        <v>6371164.9393715244</v>
      </c>
      <c r="M10" s="144">
        <v>6068308.2491911864</v>
      </c>
      <c r="N10" s="144">
        <v>4758199.3626595642</v>
      </c>
      <c r="O10" s="144">
        <v>4219778.5235551167</v>
      </c>
      <c r="P10" s="144">
        <v>4004032.2374251597</v>
      </c>
      <c r="Q10" s="144">
        <v>4426769.1861981675</v>
      </c>
      <c r="R10" s="144">
        <v>4295788.7779075801</v>
      </c>
      <c r="S10" s="144">
        <v>3909506.7730523339</v>
      </c>
      <c r="T10" s="144">
        <v>4687507.549045356</v>
      </c>
      <c r="U10" s="144">
        <v>5740499.3867521388</v>
      </c>
      <c r="V10" s="144">
        <v>7177079.4407016635</v>
      </c>
      <c r="W10" s="144">
        <v>7416831.7351878732</v>
      </c>
      <c r="X10" s="144">
        <v>6359239.3815993611</v>
      </c>
      <c r="Y10" s="144">
        <v>6147186.8432123493</v>
      </c>
      <c r="Z10" s="144">
        <v>4870257.8066860493</v>
      </c>
      <c r="AA10" s="144">
        <v>4377753.0909983348</v>
      </c>
      <c r="AB10" s="144">
        <v>4153625.0351973632</v>
      </c>
      <c r="AC10" s="144">
        <v>4556991.8064603489</v>
      </c>
    </row>
    <row r="11" spans="1:31">
      <c r="A11" s="77" t="s">
        <v>63</v>
      </c>
      <c r="B11" s="85"/>
      <c r="C11" s="144">
        <v>102304780.58398484</v>
      </c>
      <c r="D11" s="144">
        <v>102031302.27202481</v>
      </c>
      <c r="E11" s="144">
        <v>115559907.95453063</v>
      </c>
      <c r="F11" s="144">
        <v>114813102.01459484</v>
      </c>
      <c r="G11" s="144">
        <v>102317224.27832106</v>
      </c>
      <c r="H11" s="144">
        <v>110506905.19483158</v>
      </c>
      <c r="I11" s="144">
        <v>108443652.59546401</v>
      </c>
      <c r="J11" s="144">
        <v>114080278.24870051</v>
      </c>
      <c r="K11" s="144">
        <v>113051582.74358556</v>
      </c>
      <c r="L11" s="144">
        <v>101173852.78936779</v>
      </c>
      <c r="M11" s="144">
        <v>105876432.46226543</v>
      </c>
      <c r="N11" s="144">
        <v>97979182.260348767</v>
      </c>
      <c r="O11" s="144">
        <v>102680307.42503056</v>
      </c>
      <c r="P11" s="144">
        <v>105493326.76553531</v>
      </c>
      <c r="Q11" s="144">
        <v>119658864.29073137</v>
      </c>
      <c r="R11" s="144">
        <v>116003476.84107818</v>
      </c>
      <c r="S11" s="144">
        <v>102353719.34765336</v>
      </c>
      <c r="T11" s="144">
        <v>111612016.23205687</v>
      </c>
      <c r="U11" s="144">
        <v>111129662.45600054</v>
      </c>
      <c r="V11" s="144">
        <v>116400587.84288961</v>
      </c>
      <c r="W11" s="144">
        <v>114594661.38154848</v>
      </c>
      <c r="X11" s="144">
        <v>101547316.73695534</v>
      </c>
      <c r="Y11" s="144">
        <v>107332115.45061573</v>
      </c>
      <c r="Z11" s="144">
        <v>99496204.031511515</v>
      </c>
      <c r="AA11" s="144">
        <v>104257861.69028203</v>
      </c>
      <c r="AB11" s="144">
        <v>107290920.01773866</v>
      </c>
      <c r="AC11" s="144">
        <v>120838818.93603241</v>
      </c>
    </row>
    <row r="12" spans="1:31">
      <c r="A12" s="77" t="s">
        <v>64</v>
      </c>
      <c r="B12" s="85"/>
      <c r="C12" s="144">
        <v>2185480.1494808635</v>
      </c>
      <c r="D12" s="144">
        <v>2195502.8285633544</v>
      </c>
      <c r="E12" s="144">
        <v>2556482.7835411164</v>
      </c>
      <c r="F12" s="144">
        <v>2544703.8908968628</v>
      </c>
      <c r="G12" s="144">
        <v>2186892.078797963</v>
      </c>
      <c r="H12" s="144">
        <v>2474713.9465546994</v>
      </c>
      <c r="I12" s="144">
        <v>2846344.8886388144</v>
      </c>
      <c r="J12" s="144">
        <v>3414743.2447034069</v>
      </c>
      <c r="K12" s="144">
        <v>3453588.600914997</v>
      </c>
      <c r="L12" s="144">
        <v>2960586.3736305041</v>
      </c>
      <c r="M12" s="144">
        <v>2850531.3492971836</v>
      </c>
      <c r="N12" s="144">
        <v>2362065.4761521379</v>
      </c>
      <c r="O12" s="144">
        <v>2262104.3774394039</v>
      </c>
      <c r="P12" s="144">
        <v>2220789.7653959561</v>
      </c>
      <c r="Q12" s="144">
        <v>2562212.1776120309</v>
      </c>
      <c r="R12" s="144">
        <v>2531887.5002771411</v>
      </c>
      <c r="S12" s="144">
        <v>2210623.9795044698</v>
      </c>
      <c r="T12" s="144">
        <v>2484591.9546619337</v>
      </c>
      <c r="U12" s="144">
        <v>2799980.9828156545</v>
      </c>
      <c r="V12" s="144">
        <v>3322670.3381882566</v>
      </c>
      <c r="W12" s="144">
        <v>3378284.6756848646</v>
      </c>
      <c r="X12" s="144">
        <v>2893183.7599833705</v>
      </c>
      <c r="Y12" s="144">
        <v>2846934.3722551609</v>
      </c>
      <c r="Z12" s="144">
        <v>2381129.3433583886</v>
      </c>
      <c r="AA12" s="144">
        <v>2290936.2939020726</v>
      </c>
      <c r="AB12" s="144">
        <v>2256236.3007809464</v>
      </c>
      <c r="AC12" s="144">
        <v>2582902.8694931827</v>
      </c>
    </row>
    <row r="13" spans="1:31">
      <c r="A13" s="77" t="s">
        <v>65</v>
      </c>
      <c r="B13" s="85"/>
      <c r="C13" s="144">
        <v>82898149</v>
      </c>
      <c r="D13" s="144">
        <v>84772068</v>
      </c>
      <c r="E13" s="144">
        <v>83536279</v>
      </c>
      <c r="F13" s="144">
        <v>89967555</v>
      </c>
      <c r="G13" s="144">
        <v>87018266</v>
      </c>
      <c r="H13" s="144">
        <v>89251888</v>
      </c>
      <c r="I13" s="144">
        <v>88324209</v>
      </c>
      <c r="J13" s="144">
        <v>88354717</v>
      </c>
      <c r="K13" s="144">
        <v>90713084</v>
      </c>
      <c r="L13" s="144">
        <v>86407808</v>
      </c>
      <c r="M13" s="144">
        <v>87419411</v>
      </c>
      <c r="N13" s="144">
        <v>88393436</v>
      </c>
      <c r="O13" s="144">
        <v>88297376</v>
      </c>
      <c r="P13" s="144">
        <v>89354648</v>
      </c>
      <c r="Q13" s="144">
        <v>88340940</v>
      </c>
      <c r="R13" s="144">
        <v>93333673</v>
      </c>
      <c r="S13" s="144">
        <v>90644957</v>
      </c>
      <c r="T13" s="144">
        <v>90594062</v>
      </c>
      <c r="U13" s="144">
        <v>89928212</v>
      </c>
      <c r="V13" s="144">
        <v>90199403</v>
      </c>
      <c r="W13" s="144">
        <v>91956000</v>
      </c>
      <c r="X13" s="144">
        <v>88451009</v>
      </c>
      <c r="Y13" s="144">
        <v>87875457</v>
      </c>
      <c r="Z13" s="144">
        <v>89784580</v>
      </c>
      <c r="AA13" s="144">
        <v>89338445</v>
      </c>
      <c r="AB13" s="144">
        <v>89818552</v>
      </c>
      <c r="AC13" s="144">
        <v>89214489</v>
      </c>
    </row>
    <row r="14" spans="1:31">
      <c r="A14" s="77" t="s">
        <v>66</v>
      </c>
      <c r="B14" s="85"/>
      <c r="C14" s="144">
        <v>15109493.750956286</v>
      </c>
      <c r="D14" s="144">
        <v>18326058.309736934</v>
      </c>
      <c r="E14" s="144">
        <v>25248998.960289434</v>
      </c>
      <c r="F14" s="144">
        <v>25848614.623561591</v>
      </c>
      <c r="G14" s="144">
        <v>17996125.592452452</v>
      </c>
      <c r="H14" s="144">
        <v>10667619.045927826</v>
      </c>
      <c r="I14" s="144">
        <v>4737113.9024144989</v>
      </c>
      <c r="J14" s="144">
        <v>3998791.9888125011</v>
      </c>
      <c r="K14" s="144">
        <v>4096285.8030744288</v>
      </c>
      <c r="L14" s="144">
        <v>3801025.8197011352</v>
      </c>
      <c r="M14" s="144">
        <v>4464996.046296142</v>
      </c>
      <c r="N14" s="144">
        <v>6711393.4094723072</v>
      </c>
      <c r="O14" s="144">
        <v>12885809.989843041</v>
      </c>
      <c r="P14" s="144">
        <v>18523284.720683198</v>
      </c>
      <c r="Q14" s="144">
        <v>24862418.606696919</v>
      </c>
      <c r="R14" s="144">
        <v>25664305.203413036</v>
      </c>
      <c r="S14" s="144">
        <v>18464948.302845664</v>
      </c>
      <c r="T14" s="144">
        <v>10845733.184894782</v>
      </c>
      <c r="U14" s="144">
        <v>4864500.0686173011</v>
      </c>
      <c r="V14" s="144">
        <v>4064867.0460686833</v>
      </c>
      <c r="W14" s="144">
        <v>4113570.6785885128</v>
      </c>
      <c r="X14" s="144">
        <v>3706030.080737296</v>
      </c>
      <c r="Y14" s="144">
        <v>4485387.2229597773</v>
      </c>
      <c r="Z14" s="144">
        <v>6640745.5680846479</v>
      </c>
      <c r="AA14" s="144">
        <v>12504799.324805431</v>
      </c>
      <c r="AB14" s="144">
        <v>18398892.839024447</v>
      </c>
      <c r="AC14" s="144">
        <v>24726205.89499541</v>
      </c>
    </row>
    <row r="15" spans="1:31">
      <c r="A15" s="77" t="s">
        <v>67</v>
      </c>
      <c r="B15" s="85"/>
      <c r="C15" s="144">
        <v>754961.30381564784</v>
      </c>
      <c r="D15" s="144">
        <v>1105792.781237219</v>
      </c>
      <c r="E15" s="144">
        <v>1779522.868030577</v>
      </c>
      <c r="F15" s="144">
        <v>1662968.6026458803</v>
      </c>
      <c r="G15" s="144">
        <v>1043096.6443739957</v>
      </c>
      <c r="H15" s="144">
        <v>548289.96740639675</v>
      </c>
      <c r="I15" s="144">
        <v>305363.31481263641</v>
      </c>
      <c r="J15" s="144">
        <v>310191.56861312047</v>
      </c>
      <c r="K15" s="144">
        <v>324360.50816724572</v>
      </c>
      <c r="L15" s="144">
        <v>281544.10926182719</v>
      </c>
      <c r="M15" s="144">
        <v>289515.40810613142</v>
      </c>
      <c r="N15" s="144">
        <v>412643.15957872802</v>
      </c>
      <c r="O15" s="144">
        <v>711377.51422100456</v>
      </c>
      <c r="P15" s="144">
        <v>1110969.4472922899</v>
      </c>
      <c r="Q15" s="144">
        <v>1768561.819743773</v>
      </c>
      <c r="R15" s="144">
        <v>1650379.809817859</v>
      </c>
      <c r="S15" s="144">
        <v>1057367.8346480182</v>
      </c>
      <c r="T15" s="144">
        <v>551163.6344517956</v>
      </c>
      <c r="U15" s="144">
        <v>304317.88766048889</v>
      </c>
      <c r="V15" s="144">
        <v>308367.81983182405</v>
      </c>
      <c r="W15" s="144">
        <v>323641.51717205456</v>
      </c>
      <c r="X15" s="144">
        <v>278128.20051561069</v>
      </c>
      <c r="Y15" s="144">
        <v>288432.25597212039</v>
      </c>
      <c r="Z15" s="144">
        <v>400785.7290555826</v>
      </c>
      <c r="AA15" s="144">
        <v>698558.03099776874</v>
      </c>
      <c r="AB15" s="144">
        <v>1079751.3053463176</v>
      </c>
      <c r="AC15" s="144">
        <v>1768415.0409980377</v>
      </c>
    </row>
    <row r="16" spans="1:31">
      <c r="A16" s="78" t="s">
        <v>68</v>
      </c>
      <c r="B16" s="85"/>
      <c r="C16" s="144">
        <v>1373723.3602483333</v>
      </c>
      <c r="D16" s="144">
        <v>1372796.7284548611</v>
      </c>
      <c r="E16" s="144">
        <v>1377384.0966677663</v>
      </c>
      <c r="F16" s="144">
        <v>1368769.9848067467</v>
      </c>
      <c r="G16" s="144">
        <v>1382585.6124156422</v>
      </c>
      <c r="H16" s="144">
        <v>1348656.2775461124</v>
      </c>
      <c r="I16" s="144">
        <v>1339576.2936307886</v>
      </c>
      <c r="J16" s="144">
        <v>1404381.0722308541</v>
      </c>
      <c r="K16" s="144">
        <v>1357849.7795550921</v>
      </c>
      <c r="L16" s="144">
        <v>1289943.8207213499</v>
      </c>
      <c r="M16" s="144">
        <v>1347343.0766535457</v>
      </c>
      <c r="N16" s="144">
        <v>1320419.3019775909</v>
      </c>
      <c r="O16" s="144">
        <v>1329472.1398669735</v>
      </c>
      <c r="P16" s="144">
        <v>1326189.3874514436</v>
      </c>
      <c r="Q16" s="144">
        <v>1341916.2510249089</v>
      </c>
      <c r="R16" s="144">
        <v>1334885.3667213374</v>
      </c>
      <c r="S16" s="144">
        <v>1350013.7204433866</v>
      </c>
      <c r="T16" s="144">
        <v>1324290.5457581985</v>
      </c>
      <c r="U16" s="144">
        <v>1319608.4024767058</v>
      </c>
      <c r="V16" s="144">
        <v>1370642.3916217822</v>
      </c>
      <c r="W16" s="144">
        <v>1337795.5693901929</v>
      </c>
      <c r="X16" s="144">
        <v>1269751.2712114514</v>
      </c>
      <c r="Y16" s="144">
        <v>1334726.5435937513</v>
      </c>
      <c r="Z16" s="144">
        <v>1299637.5227202268</v>
      </c>
      <c r="AA16" s="144">
        <v>1302367.5478664883</v>
      </c>
      <c r="AB16" s="144">
        <v>1301337.0038499897</v>
      </c>
      <c r="AC16" s="144">
        <v>1314428.8389496598</v>
      </c>
    </row>
    <row r="17" spans="1:32">
      <c r="B17" s="72"/>
      <c r="C17" s="72">
        <f>SUM(C8:C16)</f>
        <v>413845727.0742535</v>
      </c>
      <c r="D17" s="72">
        <f t="shared" ref="D17:AC17" si="0">SUM(D8:D16)</f>
        <v>419181224.83865297</v>
      </c>
      <c r="E17" s="72">
        <f t="shared" si="0"/>
        <v>487298878.00615406</v>
      </c>
      <c r="F17" s="72">
        <f t="shared" si="0"/>
        <v>487636125.60885072</v>
      </c>
      <c r="G17" s="72">
        <f t="shared" si="0"/>
        <v>414703364.40401798</v>
      </c>
      <c r="H17" s="72">
        <f t="shared" si="0"/>
        <v>446078400.77076095</v>
      </c>
      <c r="I17" s="72">
        <f t="shared" si="0"/>
        <v>491709827.49030405</v>
      </c>
      <c r="J17" s="72">
        <f t="shared" si="0"/>
        <v>565810828.28692281</v>
      </c>
      <c r="K17" s="72">
        <f t="shared" si="0"/>
        <v>567517103.689937</v>
      </c>
      <c r="L17" s="72">
        <f t="shared" si="0"/>
        <v>489421986.19659245</v>
      </c>
      <c r="M17" s="72">
        <f t="shared" si="0"/>
        <v>481138030.90452951</v>
      </c>
      <c r="N17" s="72">
        <f t="shared" si="0"/>
        <v>421217887.33087671</v>
      </c>
      <c r="O17" s="72">
        <f t="shared" si="0"/>
        <v>414497942.80772728</v>
      </c>
      <c r="P17" s="72">
        <f t="shared" si="0"/>
        <v>420643303.56812561</v>
      </c>
      <c r="Q17" s="72">
        <f t="shared" si="0"/>
        <v>483533881.21116978</v>
      </c>
      <c r="R17" s="72">
        <f t="shared" si="0"/>
        <v>484174236.7875191</v>
      </c>
      <c r="S17" s="72">
        <f t="shared" si="0"/>
        <v>418902145.4563933</v>
      </c>
      <c r="T17" s="72">
        <f t="shared" si="0"/>
        <v>444492823.07496464</v>
      </c>
      <c r="U17" s="72">
        <f t="shared" si="0"/>
        <v>492563000.70695406</v>
      </c>
      <c r="V17" s="72">
        <f t="shared" si="0"/>
        <v>569086960.85921431</v>
      </c>
      <c r="W17" s="72">
        <f t="shared" si="0"/>
        <v>571745557.25107312</v>
      </c>
      <c r="X17" s="72">
        <f t="shared" si="0"/>
        <v>491548757.39719194</v>
      </c>
      <c r="Y17" s="72">
        <f t="shared" si="0"/>
        <v>487826794.50443071</v>
      </c>
      <c r="Z17" s="72">
        <f t="shared" si="0"/>
        <v>428845629.65392661</v>
      </c>
      <c r="AA17" s="72">
        <f t="shared" si="0"/>
        <v>420524103.86781299</v>
      </c>
      <c r="AB17" s="72">
        <f t="shared" si="0"/>
        <v>424781596.02440012</v>
      </c>
      <c r="AC17" s="72">
        <f t="shared" si="0"/>
        <v>486538022.63578892</v>
      </c>
    </row>
    <row r="19" spans="1:32">
      <c r="A19" s="77" t="s">
        <v>60</v>
      </c>
      <c r="B19" s="72"/>
      <c r="C19" s="72">
        <f t="shared" ref="C19:Q19" si="1">C8</f>
        <v>162875615.11305499</v>
      </c>
      <c r="D19" s="72">
        <f t="shared" si="1"/>
        <v>162704960.30928802</v>
      </c>
      <c r="E19" s="72">
        <f t="shared" si="1"/>
        <v>201725767.43289304</v>
      </c>
      <c r="F19" s="72">
        <f t="shared" si="1"/>
        <v>195408992.44276249</v>
      </c>
      <c r="G19" s="72">
        <f t="shared" si="1"/>
        <v>154836044.44160548</v>
      </c>
      <c r="H19" s="72">
        <f t="shared" si="1"/>
        <v>179532895.31984872</v>
      </c>
      <c r="I19" s="72">
        <f t="shared" si="1"/>
        <v>228638854.31410483</v>
      </c>
      <c r="J19" s="72">
        <f t="shared" si="1"/>
        <v>288759665.00729716</v>
      </c>
      <c r="K19" s="72">
        <f t="shared" si="1"/>
        <v>289139801.5291037</v>
      </c>
      <c r="L19" s="72">
        <f t="shared" si="1"/>
        <v>236954906.38102663</v>
      </c>
      <c r="M19" s="72">
        <f t="shared" si="1"/>
        <v>222240496.03366679</v>
      </c>
      <c r="N19" s="72">
        <f t="shared" si="1"/>
        <v>175624821.28924283</v>
      </c>
      <c r="O19" s="72">
        <f t="shared" si="1"/>
        <v>158772217.34669441</v>
      </c>
      <c r="P19" s="72">
        <f t="shared" si="1"/>
        <v>154236623.74039325</v>
      </c>
      <c r="Q19" s="72">
        <f t="shared" si="1"/>
        <v>187835269.75646251</v>
      </c>
      <c r="R19" s="72">
        <f t="shared" ref="R19:AC19" si="2">R8</f>
        <v>187428527.51157242</v>
      </c>
      <c r="S19" s="72">
        <f t="shared" si="2"/>
        <v>155130622.69788381</v>
      </c>
      <c r="T19" s="72">
        <f t="shared" si="2"/>
        <v>176036009.50173694</v>
      </c>
      <c r="U19" s="72">
        <f t="shared" si="2"/>
        <v>225451120.18908483</v>
      </c>
      <c r="V19" s="72">
        <f t="shared" si="2"/>
        <v>288057201.98910034</v>
      </c>
      <c r="W19" s="72">
        <f t="shared" si="2"/>
        <v>290709541.58891392</v>
      </c>
      <c r="X19" s="72">
        <f t="shared" si="2"/>
        <v>237398869.03240398</v>
      </c>
      <c r="Y19" s="72">
        <f t="shared" si="2"/>
        <v>226870604.42276436</v>
      </c>
      <c r="Z19" s="72">
        <f t="shared" si="2"/>
        <v>180147284.87380084</v>
      </c>
      <c r="AA19" s="72">
        <f t="shared" si="2"/>
        <v>162230792.99604055</v>
      </c>
      <c r="AB19" s="72">
        <f t="shared" si="2"/>
        <v>155786503.87540871</v>
      </c>
      <c r="AC19" s="72">
        <f t="shared" si="2"/>
        <v>188346224.86399573</v>
      </c>
      <c r="AE19" s="72">
        <f t="shared" ref="AE19:AE25" si="3">SUM(B19:J19)</f>
        <v>1574482794.3808546</v>
      </c>
      <c r="AF19" s="72">
        <f t="shared" ref="AF19:AF25" si="4">SUM(B19:Q19)</f>
        <v>2999286930.4574447</v>
      </c>
    </row>
    <row r="20" spans="1:32">
      <c r="A20" s="77" t="s">
        <v>69</v>
      </c>
      <c r="B20" s="72"/>
      <c r="C20" s="72">
        <f t="shared" ref="C20:Q20" si="5">C9+C10</f>
        <v>46343523.812712505</v>
      </c>
      <c r="D20" s="72">
        <f t="shared" si="5"/>
        <v>46672743.609347753</v>
      </c>
      <c r="E20" s="72">
        <f t="shared" si="5"/>
        <v>55514534.910201535</v>
      </c>
      <c r="F20" s="72">
        <f t="shared" si="5"/>
        <v>56021419.049582325</v>
      </c>
      <c r="G20" s="72">
        <f t="shared" si="5"/>
        <v>47923129.756051376</v>
      </c>
      <c r="H20" s="72">
        <f t="shared" si="5"/>
        <v>51747433.018645644</v>
      </c>
      <c r="I20" s="72">
        <f t="shared" si="5"/>
        <v>57074713.181238517</v>
      </c>
      <c r="J20" s="72">
        <f t="shared" si="5"/>
        <v>65488060.156565353</v>
      </c>
      <c r="K20" s="72">
        <f t="shared" si="5"/>
        <v>65380550.725535899</v>
      </c>
      <c r="L20" s="72">
        <f t="shared" si="5"/>
        <v>56552318.902883217</v>
      </c>
      <c r="M20" s="72">
        <f t="shared" si="5"/>
        <v>56649305.528244361</v>
      </c>
      <c r="N20" s="72">
        <f t="shared" si="5"/>
        <v>48413926.434104346</v>
      </c>
      <c r="O20" s="72">
        <f t="shared" si="5"/>
        <v>47559278.014631964</v>
      </c>
      <c r="P20" s="72">
        <f t="shared" si="5"/>
        <v>48377471.741374165</v>
      </c>
      <c r="Q20" s="72">
        <f t="shared" si="5"/>
        <v>57163698.30889833</v>
      </c>
      <c r="R20" s="72">
        <f t="shared" ref="R20:AC20" si="6">R9+R10</f>
        <v>56227101.554639153</v>
      </c>
      <c r="S20" s="72">
        <f t="shared" si="6"/>
        <v>47689892.573414646</v>
      </c>
      <c r="T20" s="72">
        <f t="shared" si="6"/>
        <v>51044956.021404117</v>
      </c>
      <c r="U20" s="72">
        <f t="shared" si="6"/>
        <v>56765598.720298514</v>
      </c>
      <c r="V20" s="72">
        <f t="shared" si="6"/>
        <v>65363220.431513749</v>
      </c>
      <c r="W20" s="72">
        <f t="shared" si="6"/>
        <v>65332061.839774989</v>
      </c>
      <c r="X20" s="72">
        <f t="shared" si="6"/>
        <v>56004469.31538491</v>
      </c>
      <c r="Y20" s="72">
        <f t="shared" si="6"/>
        <v>56793137.236269794</v>
      </c>
      <c r="Z20" s="72">
        <f t="shared" si="6"/>
        <v>48695262.585395396</v>
      </c>
      <c r="AA20" s="72">
        <f t="shared" si="6"/>
        <v>47900342.983918644</v>
      </c>
      <c r="AB20" s="72">
        <f t="shared" si="6"/>
        <v>48849402.682251081</v>
      </c>
      <c r="AC20" s="72">
        <f t="shared" si="6"/>
        <v>57746537.19132448</v>
      </c>
      <c r="AE20" s="72">
        <f t="shared" si="3"/>
        <v>426785557.49434507</v>
      </c>
      <c r="AF20" s="72">
        <f t="shared" si="4"/>
        <v>806882107.15001726</v>
      </c>
    </row>
    <row r="21" spans="1:32">
      <c r="A21" s="77" t="s">
        <v>70</v>
      </c>
      <c r="B21" s="72"/>
      <c r="C21" s="72">
        <f t="shared" ref="C21:Q21" si="7">C11+C12</f>
        <v>104490260.7334657</v>
      </c>
      <c r="D21" s="72">
        <f t="shared" si="7"/>
        <v>104226805.10058816</v>
      </c>
      <c r="E21" s="72">
        <f t="shared" si="7"/>
        <v>118116390.73807174</v>
      </c>
      <c r="F21" s="72">
        <f t="shared" si="7"/>
        <v>117357805.90549169</v>
      </c>
      <c r="G21" s="72">
        <f t="shared" si="7"/>
        <v>104504116.35711902</v>
      </c>
      <c r="H21" s="72">
        <f t="shared" si="7"/>
        <v>112981619.14138629</v>
      </c>
      <c r="I21" s="72">
        <f t="shared" si="7"/>
        <v>111289997.48410282</v>
      </c>
      <c r="J21" s="72">
        <f t="shared" si="7"/>
        <v>117495021.49340393</v>
      </c>
      <c r="K21" s="72">
        <f t="shared" si="7"/>
        <v>116505171.34450056</v>
      </c>
      <c r="L21" s="72">
        <f t="shared" si="7"/>
        <v>104134439.1629983</v>
      </c>
      <c r="M21" s="72">
        <f t="shared" si="7"/>
        <v>108726963.81156261</v>
      </c>
      <c r="N21" s="72">
        <f t="shared" si="7"/>
        <v>100341247.7365009</v>
      </c>
      <c r="O21" s="72">
        <f t="shared" si="7"/>
        <v>104942411.80246997</v>
      </c>
      <c r="P21" s="72">
        <f t="shared" si="7"/>
        <v>107714116.53093126</v>
      </c>
      <c r="Q21" s="72">
        <f t="shared" si="7"/>
        <v>122221076.46834341</v>
      </c>
      <c r="R21" s="72">
        <f t="shared" ref="R21:AC21" si="8">R11+R12</f>
        <v>118535364.34135532</v>
      </c>
      <c r="S21" s="72">
        <f t="shared" si="8"/>
        <v>104564343.32715783</v>
      </c>
      <c r="T21" s="72">
        <f t="shared" si="8"/>
        <v>114096608.18671881</v>
      </c>
      <c r="U21" s="72">
        <f t="shared" si="8"/>
        <v>113929643.43881619</v>
      </c>
      <c r="V21" s="72">
        <f t="shared" si="8"/>
        <v>119723258.18107787</v>
      </c>
      <c r="W21" s="72">
        <f t="shared" si="8"/>
        <v>117972946.05723335</v>
      </c>
      <c r="X21" s="72">
        <f t="shared" si="8"/>
        <v>104440500.49693872</v>
      </c>
      <c r="Y21" s="72">
        <f t="shared" si="8"/>
        <v>110179049.8228709</v>
      </c>
      <c r="Z21" s="72">
        <f t="shared" si="8"/>
        <v>101877333.3748699</v>
      </c>
      <c r="AA21" s="72">
        <f t="shared" si="8"/>
        <v>106548797.9841841</v>
      </c>
      <c r="AB21" s="72">
        <f t="shared" si="8"/>
        <v>109547156.31851961</v>
      </c>
      <c r="AC21" s="72">
        <f t="shared" si="8"/>
        <v>123421721.8055256</v>
      </c>
      <c r="AE21" s="72">
        <f t="shared" si="3"/>
        <v>890462016.95362937</v>
      </c>
      <c r="AF21" s="72">
        <f t="shared" si="4"/>
        <v>1655047443.8109365</v>
      </c>
    </row>
    <row r="22" spans="1:32">
      <c r="A22" s="77" t="s">
        <v>65</v>
      </c>
      <c r="B22" s="72"/>
      <c r="C22" s="72">
        <f t="shared" ref="C22:Q22" si="9">C13</f>
        <v>82898149</v>
      </c>
      <c r="D22" s="72">
        <f t="shared" si="9"/>
        <v>84772068</v>
      </c>
      <c r="E22" s="72">
        <f t="shared" si="9"/>
        <v>83536279</v>
      </c>
      <c r="F22" s="72">
        <f t="shared" si="9"/>
        <v>89967555</v>
      </c>
      <c r="G22" s="72">
        <f t="shared" si="9"/>
        <v>87018266</v>
      </c>
      <c r="H22" s="72">
        <f t="shared" si="9"/>
        <v>89251888</v>
      </c>
      <c r="I22" s="72">
        <f t="shared" si="9"/>
        <v>88324209</v>
      </c>
      <c r="J22" s="72">
        <f t="shared" si="9"/>
        <v>88354717</v>
      </c>
      <c r="K22" s="72">
        <f t="shared" si="9"/>
        <v>90713084</v>
      </c>
      <c r="L22" s="72">
        <f t="shared" si="9"/>
        <v>86407808</v>
      </c>
      <c r="M22" s="72">
        <f t="shared" si="9"/>
        <v>87419411</v>
      </c>
      <c r="N22" s="72">
        <f t="shared" si="9"/>
        <v>88393436</v>
      </c>
      <c r="O22" s="72">
        <f t="shared" si="9"/>
        <v>88297376</v>
      </c>
      <c r="P22" s="72">
        <f t="shared" si="9"/>
        <v>89354648</v>
      </c>
      <c r="Q22" s="72">
        <f t="shared" si="9"/>
        <v>88340940</v>
      </c>
      <c r="R22" s="72">
        <f t="shared" ref="R22:AC22" si="10">R13</f>
        <v>93333673</v>
      </c>
      <c r="S22" s="72">
        <f t="shared" si="10"/>
        <v>90644957</v>
      </c>
      <c r="T22" s="72">
        <f t="shared" si="10"/>
        <v>90594062</v>
      </c>
      <c r="U22" s="72">
        <f t="shared" si="10"/>
        <v>89928212</v>
      </c>
      <c r="V22" s="72">
        <f t="shared" si="10"/>
        <v>90199403</v>
      </c>
      <c r="W22" s="72">
        <f t="shared" si="10"/>
        <v>91956000</v>
      </c>
      <c r="X22" s="72">
        <f t="shared" si="10"/>
        <v>88451009</v>
      </c>
      <c r="Y22" s="72">
        <f t="shared" si="10"/>
        <v>87875457</v>
      </c>
      <c r="Z22" s="72">
        <f t="shared" si="10"/>
        <v>89784580</v>
      </c>
      <c r="AA22" s="72">
        <f t="shared" si="10"/>
        <v>89338445</v>
      </c>
      <c r="AB22" s="72">
        <f t="shared" si="10"/>
        <v>89818552</v>
      </c>
      <c r="AC22" s="72">
        <f t="shared" si="10"/>
        <v>89214489</v>
      </c>
      <c r="AE22" s="72">
        <f t="shared" si="3"/>
        <v>694123131</v>
      </c>
      <c r="AF22" s="72">
        <f t="shared" si="4"/>
        <v>1313049834</v>
      </c>
    </row>
    <row r="23" spans="1:32">
      <c r="A23" s="77" t="s">
        <v>71</v>
      </c>
      <c r="B23" s="72"/>
      <c r="C23" s="72">
        <f t="shared" ref="C23:Q23" si="11">C14+C15</f>
        <v>15864455.054771934</v>
      </c>
      <c r="D23" s="72">
        <f t="shared" si="11"/>
        <v>19431851.090974152</v>
      </c>
      <c r="E23" s="72">
        <f t="shared" si="11"/>
        <v>27028521.828320011</v>
      </c>
      <c r="F23" s="72">
        <f t="shared" si="11"/>
        <v>27511583.226207472</v>
      </c>
      <c r="G23" s="72">
        <f t="shared" si="11"/>
        <v>19039222.236826446</v>
      </c>
      <c r="H23" s="72">
        <f t="shared" si="11"/>
        <v>11215909.013334222</v>
      </c>
      <c r="I23" s="72">
        <f t="shared" si="11"/>
        <v>5042477.2172271349</v>
      </c>
      <c r="J23" s="72">
        <f t="shared" si="11"/>
        <v>4308983.5574256219</v>
      </c>
      <c r="K23" s="72">
        <f t="shared" si="11"/>
        <v>4420646.3112416742</v>
      </c>
      <c r="L23" s="72">
        <f t="shared" si="11"/>
        <v>4082569.9289629622</v>
      </c>
      <c r="M23" s="72">
        <f t="shared" si="11"/>
        <v>4754511.4544022735</v>
      </c>
      <c r="N23" s="72">
        <f t="shared" si="11"/>
        <v>7124036.5690510347</v>
      </c>
      <c r="O23" s="72">
        <f t="shared" si="11"/>
        <v>13597187.504064046</v>
      </c>
      <c r="P23" s="72">
        <f t="shared" si="11"/>
        <v>19634254.167975489</v>
      </c>
      <c r="Q23" s="72">
        <f t="shared" si="11"/>
        <v>26630980.426440693</v>
      </c>
      <c r="R23" s="72">
        <f t="shared" ref="R23:AC23" si="12">R14+R15</f>
        <v>27314685.013230894</v>
      </c>
      <c r="S23" s="72">
        <f t="shared" si="12"/>
        <v>19522316.137493681</v>
      </c>
      <c r="T23" s="72">
        <f t="shared" si="12"/>
        <v>11396896.819346577</v>
      </c>
      <c r="U23" s="72">
        <f t="shared" si="12"/>
        <v>5168817.9562777895</v>
      </c>
      <c r="V23" s="72">
        <f t="shared" si="12"/>
        <v>4373234.8659005072</v>
      </c>
      <c r="W23" s="72">
        <f t="shared" si="12"/>
        <v>4437212.1957605677</v>
      </c>
      <c r="X23" s="72">
        <f t="shared" si="12"/>
        <v>3984158.2812529067</v>
      </c>
      <c r="Y23" s="72">
        <f t="shared" si="12"/>
        <v>4773819.4789318973</v>
      </c>
      <c r="Z23" s="72">
        <f t="shared" si="12"/>
        <v>7041531.2971402304</v>
      </c>
      <c r="AA23" s="72">
        <f t="shared" si="12"/>
        <v>13203357.355803199</v>
      </c>
      <c r="AB23" s="72">
        <f t="shared" si="12"/>
        <v>19478644.144370764</v>
      </c>
      <c r="AC23" s="72">
        <f t="shared" si="12"/>
        <v>26494620.935993448</v>
      </c>
      <c r="AE23" s="72">
        <f t="shared" si="3"/>
        <v>129443003.22508699</v>
      </c>
      <c r="AF23" s="72">
        <f t="shared" si="4"/>
        <v>209687189.58722514</v>
      </c>
    </row>
    <row r="24" spans="1:32">
      <c r="A24" s="78" t="s">
        <v>68</v>
      </c>
      <c r="B24" s="72"/>
      <c r="C24" s="72">
        <f t="shared" ref="C24:Q24" si="13">C16</f>
        <v>1373723.3602483333</v>
      </c>
      <c r="D24" s="72">
        <f t="shared" si="13"/>
        <v>1372796.7284548611</v>
      </c>
      <c r="E24" s="72">
        <f t="shared" si="13"/>
        <v>1377384.0966677663</v>
      </c>
      <c r="F24" s="72">
        <f t="shared" si="13"/>
        <v>1368769.9848067467</v>
      </c>
      <c r="G24" s="72">
        <f t="shared" si="13"/>
        <v>1382585.6124156422</v>
      </c>
      <c r="H24" s="72">
        <f t="shared" si="13"/>
        <v>1348656.2775461124</v>
      </c>
      <c r="I24" s="72">
        <f t="shared" si="13"/>
        <v>1339576.2936307886</v>
      </c>
      <c r="J24" s="72">
        <f t="shared" si="13"/>
        <v>1404381.0722308541</v>
      </c>
      <c r="K24" s="72">
        <f t="shared" si="13"/>
        <v>1357849.7795550921</v>
      </c>
      <c r="L24" s="72">
        <f t="shared" si="13"/>
        <v>1289943.8207213499</v>
      </c>
      <c r="M24" s="72">
        <f t="shared" si="13"/>
        <v>1347343.0766535457</v>
      </c>
      <c r="N24" s="72">
        <f t="shared" si="13"/>
        <v>1320419.3019775909</v>
      </c>
      <c r="O24" s="72">
        <f t="shared" si="13"/>
        <v>1329472.1398669735</v>
      </c>
      <c r="P24" s="72">
        <f t="shared" si="13"/>
        <v>1326189.3874514436</v>
      </c>
      <c r="Q24" s="72">
        <f t="shared" si="13"/>
        <v>1341916.2510249089</v>
      </c>
      <c r="R24" s="72">
        <f t="shared" ref="R24:AC24" si="14">R16</f>
        <v>1334885.3667213374</v>
      </c>
      <c r="S24" s="72">
        <f t="shared" si="14"/>
        <v>1350013.7204433866</v>
      </c>
      <c r="T24" s="72">
        <f t="shared" si="14"/>
        <v>1324290.5457581985</v>
      </c>
      <c r="U24" s="72">
        <f t="shared" si="14"/>
        <v>1319608.4024767058</v>
      </c>
      <c r="V24" s="72">
        <f t="shared" si="14"/>
        <v>1370642.3916217822</v>
      </c>
      <c r="W24" s="72">
        <f t="shared" si="14"/>
        <v>1337795.5693901929</v>
      </c>
      <c r="X24" s="72">
        <f t="shared" si="14"/>
        <v>1269751.2712114514</v>
      </c>
      <c r="Y24" s="72">
        <f t="shared" si="14"/>
        <v>1334726.5435937513</v>
      </c>
      <c r="Z24" s="72">
        <f t="shared" si="14"/>
        <v>1299637.5227202268</v>
      </c>
      <c r="AA24" s="72">
        <f t="shared" si="14"/>
        <v>1302367.5478664883</v>
      </c>
      <c r="AB24" s="72">
        <f t="shared" si="14"/>
        <v>1301337.0038499897</v>
      </c>
      <c r="AC24" s="72">
        <f t="shared" si="14"/>
        <v>1314428.8389496598</v>
      </c>
      <c r="AE24" s="72">
        <f t="shared" si="3"/>
        <v>10967873.426001105</v>
      </c>
      <c r="AF24" s="72">
        <f t="shared" si="4"/>
        <v>20281007.18325201</v>
      </c>
    </row>
    <row r="25" spans="1:32">
      <c r="A25" s="78" t="s">
        <v>55</v>
      </c>
      <c r="B25" s="72"/>
      <c r="C25" s="72">
        <f>SUM(C19:C24)</f>
        <v>413845727.0742535</v>
      </c>
      <c r="D25" s="72">
        <f t="shared" ref="D25:AC25" si="15">SUM(D19:D24)</f>
        <v>419181224.83865297</v>
      </c>
      <c r="E25" s="72">
        <f t="shared" si="15"/>
        <v>487298878.00615412</v>
      </c>
      <c r="F25" s="72">
        <f t="shared" si="15"/>
        <v>487636125.60885078</v>
      </c>
      <c r="G25" s="72">
        <f t="shared" si="15"/>
        <v>414703364.40401798</v>
      </c>
      <c r="H25" s="72">
        <f t="shared" si="15"/>
        <v>446078400.77076095</v>
      </c>
      <c r="I25" s="72">
        <f t="shared" si="15"/>
        <v>491709827.49030411</v>
      </c>
      <c r="J25" s="72">
        <f t="shared" si="15"/>
        <v>565810828.28692281</v>
      </c>
      <c r="K25" s="72">
        <f t="shared" si="15"/>
        <v>567517103.68993688</v>
      </c>
      <c r="L25" s="72">
        <f t="shared" si="15"/>
        <v>489421986.19659245</v>
      </c>
      <c r="M25" s="72">
        <f t="shared" si="15"/>
        <v>481138030.90452957</v>
      </c>
      <c r="N25" s="72">
        <f t="shared" si="15"/>
        <v>421217887.33087671</v>
      </c>
      <c r="O25" s="72">
        <f t="shared" si="15"/>
        <v>414497942.80772728</v>
      </c>
      <c r="P25" s="72">
        <f t="shared" si="15"/>
        <v>420643303.56812561</v>
      </c>
      <c r="Q25" s="72">
        <f t="shared" si="15"/>
        <v>483533881.2111699</v>
      </c>
      <c r="R25" s="72">
        <f t="shared" si="15"/>
        <v>484174236.78751916</v>
      </c>
      <c r="S25" s="72">
        <f t="shared" si="15"/>
        <v>418902145.4563933</v>
      </c>
      <c r="T25" s="72">
        <f t="shared" si="15"/>
        <v>444492823.07496458</v>
      </c>
      <c r="U25" s="72">
        <f t="shared" si="15"/>
        <v>492563000.70695406</v>
      </c>
      <c r="V25" s="72">
        <f t="shared" si="15"/>
        <v>569086960.85921431</v>
      </c>
      <c r="W25" s="72">
        <f t="shared" si="15"/>
        <v>571745557.251073</v>
      </c>
      <c r="X25" s="72">
        <f t="shared" si="15"/>
        <v>491548757.39719194</v>
      </c>
      <c r="Y25" s="72">
        <f t="shared" si="15"/>
        <v>487826794.50443071</v>
      </c>
      <c r="Z25" s="72">
        <f t="shared" si="15"/>
        <v>428845629.65392661</v>
      </c>
      <c r="AA25" s="72">
        <f t="shared" si="15"/>
        <v>420524103.86781293</v>
      </c>
      <c r="AB25" s="72">
        <f t="shared" si="15"/>
        <v>424781596.02440012</v>
      </c>
      <c r="AC25" s="72">
        <f t="shared" si="15"/>
        <v>486538022.63578892</v>
      </c>
      <c r="AE25" s="72">
        <f t="shared" si="3"/>
        <v>3726264376.479917</v>
      </c>
      <c r="AF25" s="72">
        <f t="shared" si="4"/>
        <v>7004234512.1888752</v>
      </c>
    </row>
    <row r="38" spans="3:29">
      <c r="D38" s="44"/>
      <c r="E38" s="44"/>
      <c r="F38" s="44"/>
      <c r="G38" s="44"/>
      <c r="H38" s="44"/>
      <c r="I38" s="44"/>
      <c r="J38" s="44"/>
      <c r="K38" s="44"/>
      <c r="L38" s="44"/>
    </row>
    <row r="39" spans="3:29">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row>
    <row r="40" spans="3:29">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row>
    <row r="41" spans="3:29">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row>
    <row r="42" spans="3:29">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row>
    <row r="43" spans="3:29">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row>
    <row r="44" spans="3:29">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row>
    <row r="45" spans="3:29">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row>
    <row r="46" spans="3:29">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row>
    <row r="47" spans="3:29">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row>
    <row r="48" spans="3:29">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row>
  </sheetData>
  <pageMargins left="0.36" right="0.32" top="0.75" bottom="0.75" header="0.3" footer="0.3"/>
  <pageSetup scale="24"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P63"/>
  <sheetViews>
    <sheetView showGridLines="0" view="pageBreakPreview" topLeftCell="A25" zoomScale="85" zoomScaleNormal="100" zoomScaleSheetLayoutView="85" workbookViewId="0">
      <selection activeCell="F75" sqref="F75"/>
    </sheetView>
  </sheetViews>
  <sheetFormatPr defaultColWidth="11.42578125" defaultRowHeight="12.75"/>
  <cols>
    <col min="1" max="1" width="5" style="96" customWidth="1"/>
    <col min="2" max="2" width="23.85546875" style="95" customWidth="1"/>
    <col min="3" max="3" width="8.85546875" style="96" customWidth="1"/>
    <col min="4" max="4" width="12.42578125" style="106" customWidth="1"/>
    <col min="5" max="5" width="9.7109375" style="106" customWidth="1"/>
    <col min="6" max="6" width="15" style="106" bestFit="1" customWidth="1"/>
    <col min="7" max="7" width="10.42578125" style="107" bestFit="1" customWidth="1"/>
    <col min="8" max="8" width="12.28515625" style="95" customWidth="1"/>
    <col min="9" max="9" width="13.28515625" style="95" bestFit="1" customWidth="1"/>
    <col min="10" max="10" width="12.42578125" style="95" customWidth="1"/>
    <col min="11" max="11" width="12.140625" style="95" customWidth="1"/>
    <col min="12" max="12" width="8.140625" style="95" customWidth="1"/>
    <col min="13" max="13" width="10.85546875" style="108" customWidth="1"/>
    <col min="14" max="14" width="9.28515625" style="95" customWidth="1"/>
    <col min="15" max="15" width="12.5703125" style="95" bestFit="1" customWidth="1"/>
    <col min="16" max="16" width="11.42578125" style="95" customWidth="1"/>
    <col min="17" max="16384" width="11.42578125" style="95"/>
  </cols>
  <sheetData>
    <row r="1" spans="1:16" s="96" customFormat="1">
      <c r="A1" s="168" t="s">
        <v>32</v>
      </c>
      <c r="B1" s="168"/>
      <c r="C1" s="168"/>
      <c r="D1" s="168"/>
      <c r="E1" s="168"/>
      <c r="F1" s="168"/>
      <c r="G1" s="168"/>
      <c r="H1" s="168"/>
      <c r="I1" s="168"/>
      <c r="J1" s="168"/>
      <c r="K1" s="168"/>
      <c r="L1" s="168"/>
      <c r="M1" s="168"/>
      <c r="N1" s="168"/>
      <c r="O1" s="95"/>
    </row>
    <row r="2" spans="1:16" s="96" customFormat="1">
      <c r="A2" s="168" t="s">
        <v>142</v>
      </c>
      <c r="B2" s="168"/>
      <c r="C2" s="168"/>
      <c r="D2" s="168"/>
      <c r="E2" s="168"/>
      <c r="F2" s="168"/>
      <c r="G2" s="168"/>
      <c r="H2" s="168"/>
      <c r="I2" s="168"/>
      <c r="J2" s="168"/>
      <c r="K2" s="168"/>
      <c r="L2" s="168"/>
      <c r="M2" s="168"/>
      <c r="N2" s="168"/>
      <c r="O2" s="95"/>
    </row>
    <row r="3" spans="1:16" s="96" customFormat="1">
      <c r="A3" s="168" t="s">
        <v>141</v>
      </c>
      <c r="B3" s="168"/>
      <c r="C3" s="168"/>
      <c r="D3" s="168"/>
      <c r="E3" s="168"/>
      <c r="F3" s="168"/>
      <c r="G3" s="168"/>
      <c r="H3" s="168"/>
      <c r="I3" s="168"/>
      <c r="J3" s="168"/>
      <c r="K3" s="168"/>
      <c r="L3" s="168"/>
      <c r="M3" s="168"/>
      <c r="N3" s="168"/>
      <c r="O3" s="95"/>
    </row>
    <row r="4" spans="1:16" s="96" customFormat="1">
      <c r="A4" s="168" t="s">
        <v>167</v>
      </c>
      <c r="B4" s="168"/>
      <c r="C4" s="168"/>
      <c r="D4" s="168"/>
      <c r="E4" s="168"/>
      <c r="F4" s="168"/>
      <c r="G4" s="168"/>
      <c r="H4" s="168"/>
      <c r="I4" s="168"/>
      <c r="J4" s="168"/>
      <c r="K4" s="168"/>
      <c r="L4" s="168"/>
      <c r="M4" s="168"/>
      <c r="N4" s="168"/>
      <c r="O4" s="95"/>
    </row>
    <row r="5" spans="1:16" s="96" customFormat="1">
      <c r="A5" s="168" t="s">
        <v>140</v>
      </c>
      <c r="B5" s="168"/>
      <c r="C5" s="168"/>
      <c r="D5" s="168"/>
      <c r="E5" s="168"/>
      <c r="F5" s="168"/>
      <c r="G5" s="168"/>
      <c r="H5" s="168"/>
      <c r="I5" s="168"/>
      <c r="J5" s="168"/>
      <c r="K5" s="168"/>
      <c r="L5" s="168"/>
      <c r="M5" s="168"/>
      <c r="N5" s="168"/>
      <c r="O5" s="95"/>
    </row>
    <row r="6" spans="1:16" s="96" customFormat="1">
      <c r="A6" s="133" t="s">
        <v>190</v>
      </c>
      <c r="C6" s="95"/>
      <c r="D6" s="97"/>
      <c r="E6" s="98"/>
      <c r="F6" s="98"/>
      <c r="G6" s="99"/>
      <c r="N6" s="100"/>
      <c r="O6" s="95"/>
    </row>
    <row r="7" spans="1:16" s="96" customFormat="1">
      <c r="C7" s="95"/>
      <c r="D7" s="97"/>
      <c r="E7" s="98"/>
      <c r="F7" s="98"/>
      <c r="G7" s="99"/>
      <c r="N7" s="100"/>
      <c r="O7" s="95"/>
    </row>
    <row r="8" spans="1:16" s="96" customFormat="1">
      <c r="D8" s="97" t="s">
        <v>139</v>
      </c>
      <c r="E8" s="97"/>
      <c r="F8" s="169" t="s">
        <v>139</v>
      </c>
      <c r="G8" s="99" t="s">
        <v>137</v>
      </c>
      <c r="H8" s="96" t="s">
        <v>138</v>
      </c>
      <c r="J8" s="96" t="s">
        <v>168</v>
      </c>
      <c r="K8" s="96" t="s">
        <v>169</v>
      </c>
      <c r="L8" s="96" t="s">
        <v>170</v>
      </c>
      <c r="M8" s="96" t="s">
        <v>171</v>
      </c>
      <c r="N8" s="96" t="s">
        <v>172</v>
      </c>
      <c r="P8" s="100" t="s">
        <v>131</v>
      </c>
    </row>
    <row r="9" spans="1:16" s="96" customFormat="1">
      <c r="D9" s="96" t="s">
        <v>122</v>
      </c>
      <c r="E9" s="97" t="s">
        <v>173</v>
      </c>
      <c r="F9" s="170" t="s">
        <v>122</v>
      </c>
      <c r="G9" s="100" t="s">
        <v>136</v>
      </c>
      <c r="H9" s="96" t="s">
        <v>122</v>
      </c>
      <c r="I9" s="96" t="s">
        <v>174</v>
      </c>
      <c r="J9" s="96" t="s">
        <v>122</v>
      </c>
      <c r="K9" s="97" t="s">
        <v>175</v>
      </c>
      <c r="L9" s="97" t="s">
        <v>176</v>
      </c>
      <c r="M9" s="97" t="s">
        <v>128</v>
      </c>
      <c r="N9" s="97" t="s">
        <v>177</v>
      </c>
      <c r="O9" s="143" t="s">
        <v>55</v>
      </c>
      <c r="P9" s="100" t="s">
        <v>123</v>
      </c>
    </row>
    <row r="10" spans="1:16" s="96" customFormat="1">
      <c r="B10" s="96" t="s">
        <v>135</v>
      </c>
      <c r="C10" s="96" t="s">
        <v>134</v>
      </c>
      <c r="D10" s="97" t="s">
        <v>133</v>
      </c>
      <c r="E10" s="97" t="s">
        <v>129</v>
      </c>
      <c r="F10" s="169" t="s">
        <v>132</v>
      </c>
      <c r="G10" s="99" t="s">
        <v>131</v>
      </c>
      <c r="H10" s="96" t="s">
        <v>130</v>
      </c>
      <c r="I10" s="96" t="s">
        <v>178</v>
      </c>
      <c r="J10" s="96" t="s">
        <v>130</v>
      </c>
      <c r="K10" s="97" t="s">
        <v>129</v>
      </c>
      <c r="L10" s="97" t="s">
        <v>179</v>
      </c>
      <c r="M10" s="97" t="s">
        <v>179</v>
      </c>
      <c r="N10" s="97" t="s">
        <v>179</v>
      </c>
      <c r="O10" s="143" t="s">
        <v>180</v>
      </c>
      <c r="P10" s="100" t="s">
        <v>127</v>
      </c>
    </row>
    <row r="11" spans="1:16" s="101" customFormat="1">
      <c r="A11" s="101" t="s">
        <v>35</v>
      </c>
      <c r="B11" s="101" t="s">
        <v>126</v>
      </c>
      <c r="C11" s="101" t="s">
        <v>125</v>
      </c>
      <c r="D11" s="102" t="s">
        <v>124</v>
      </c>
      <c r="E11" s="102" t="s">
        <v>123</v>
      </c>
      <c r="F11" s="171" t="s">
        <v>124</v>
      </c>
      <c r="G11" s="103" t="s">
        <v>123</v>
      </c>
      <c r="H11" s="101" t="s">
        <v>121</v>
      </c>
      <c r="I11" s="101" t="s">
        <v>88</v>
      </c>
      <c r="J11" s="101" t="s">
        <v>121</v>
      </c>
      <c r="K11" s="102" t="s">
        <v>123</v>
      </c>
      <c r="L11" s="102" t="s">
        <v>181</v>
      </c>
      <c r="M11" s="102" t="s">
        <v>181</v>
      </c>
      <c r="N11" s="102" t="s">
        <v>181</v>
      </c>
      <c r="O11" s="148" t="s">
        <v>96</v>
      </c>
      <c r="P11" s="104" t="s">
        <v>122</v>
      </c>
    </row>
    <row r="12" spans="1:16" s="96" customFormat="1">
      <c r="B12" s="96" t="s">
        <v>120</v>
      </c>
      <c r="C12" s="96" t="s">
        <v>119</v>
      </c>
      <c r="D12" s="97" t="s">
        <v>118</v>
      </c>
      <c r="E12" s="96" t="s">
        <v>117</v>
      </c>
      <c r="F12" s="170" t="s">
        <v>116</v>
      </c>
      <c r="G12" s="99" t="s">
        <v>115</v>
      </c>
      <c r="H12" s="96" t="s">
        <v>114</v>
      </c>
      <c r="I12" s="96" t="s">
        <v>113</v>
      </c>
      <c r="J12" s="96" t="s">
        <v>113</v>
      </c>
      <c r="K12" s="96" t="s">
        <v>113</v>
      </c>
      <c r="L12" s="96" t="s">
        <v>182</v>
      </c>
      <c r="M12" s="96" t="s">
        <v>112</v>
      </c>
      <c r="N12" s="96" t="s">
        <v>111</v>
      </c>
      <c r="O12" s="100" t="s">
        <v>183</v>
      </c>
      <c r="P12" s="100" t="s">
        <v>184</v>
      </c>
    </row>
    <row r="13" spans="1:16">
      <c r="D13" s="105" t="s">
        <v>0</v>
      </c>
      <c r="F13" s="172"/>
      <c r="M13" s="95"/>
      <c r="O13" s="108"/>
    </row>
    <row r="14" spans="1:16">
      <c r="A14" s="96">
        <v>1</v>
      </c>
      <c r="B14" s="95" t="s">
        <v>110</v>
      </c>
      <c r="C14" s="112" t="s">
        <v>185</v>
      </c>
      <c r="D14" s="97">
        <v>216074.59747000004</v>
      </c>
      <c r="E14" s="97">
        <v>14579.226899999976</v>
      </c>
      <c r="F14" s="169">
        <v>230654.32437000002</v>
      </c>
      <c r="G14" s="109">
        <v>6.7473118407748819E-2</v>
      </c>
      <c r="H14" s="97">
        <v>222667.75594</v>
      </c>
      <c r="I14" s="149">
        <v>0</v>
      </c>
      <c r="J14" s="97">
        <v>222667.75594</v>
      </c>
      <c r="K14" s="149">
        <v>14579.226899999976</v>
      </c>
      <c r="L14" s="149">
        <v>-2117.1905532156261</v>
      </c>
      <c r="M14" s="149">
        <v>-10071.607</v>
      </c>
      <c r="N14" s="149">
        <v>186.61596243145408</v>
      </c>
      <c r="O14" s="150">
        <v>2577.0453092158032</v>
      </c>
      <c r="P14" s="110">
        <v>1.1573500160976217E-2</v>
      </c>
    </row>
    <row r="15" spans="1:16">
      <c r="D15" s="97"/>
      <c r="E15" s="97"/>
      <c r="F15" s="169"/>
      <c r="G15" s="109"/>
      <c r="H15" s="97"/>
      <c r="I15" s="149"/>
      <c r="J15" s="97"/>
      <c r="K15" s="149"/>
      <c r="L15" s="149"/>
      <c r="M15" s="149"/>
      <c r="N15" s="149"/>
      <c r="O15" s="150"/>
      <c r="P15" s="110"/>
    </row>
    <row r="16" spans="1:16">
      <c r="A16" s="96">
        <v>2</v>
      </c>
      <c r="B16" s="95" t="s">
        <v>109</v>
      </c>
      <c r="C16" s="112" t="s">
        <v>108</v>
      </c>
      <c r="D16" s="97">
        <v>75060.953438333352</v>
      </c>
      <c r="E16" s="111">
        <v>2130.6787616666556</v>
      </c>
      <c r="F16" s="169">
        <v>77191.632200000007</v>
      </c>
      <c r="G16" s="109">
        <v>2.8385980514051477E-2</v>
      </c>
      <c r="H16" s="97">
        <v>80649.815498333293</v>
      </c>
      <c r="I16" s="149">
        <v>0</v>
      </c>
      <c r="J16" s="97">
        <v>80649.815498333293</v>
      </c>
      <c r="K16" s="149">
        <v>2130.6787616666556</v>
      </c>
      <c r="L16" s="149">
        <v>-735.47905860179446</v>
      </c>
      <c r="M16" s="149">
        <v>-2657.6509999999998</v>
      </c>
      <c r="N16" s="149">
        <v>70.739078580032555</v>
      </c>
      <c r="O16" s="150">
        <v>-1191.712218355106</v>
      </c>
      <c r="P16" s="110">
        <v>-1.4776378730584124E-2</v>
      </c>
    </row>
    <row r="17" spans="1:16">
      <c r="D17" s="97"/>
      <c r="E17" s="97"/>
      <c r="F17" s="169"/>
      <c r="G17" s="109"/>
      <c r="H17" s="97"/>
      <c r="I17" s="149"/>
      <c r="J17" s="97"/>
      <c r="K17" s="149"/>
      <c r="L17" s="149"/>
      <c r="M17" s="149"/>
      <c r="N17" s="149"/>
      <c r="O17" s="150"/>
      <c r="P17" s="110"/>
    </row>
    <row r="18" spans="1:16">
      <c r="A18" s="96">
        <v>3</v>
      </c>
      <c r="B18" s="95" t="s">
        <v>107</v>
      </c>
      <c r="C18" s="113" t="s">
        <v>106</v>
      </c>
      <c r="D18" s="97">
        <v>125677.26809166667</v>
      </c>
      <c r="E18" s="97">
        <v>7134.5849183333366</v>
      </c>
      <c r="F18" s="169">
        <v>132811.85301000002</v>
      </c>
      <c r="G18" s="109">
        <v>5.6769096167252002E-2</v>
      </c>
      <c r="H18" s="97">
        <v>136457.84604166701</v>
      </c>
      <c r="I18" s="149">
        <v>0</v>
      </c>
      <c r="J18" s="97">
        <v>136457.84604166701</v>
      </c>
      <c r="K18" s="149">
        <v>7134.5849183333366</v>
      </c>
      <c r="L18" s="149">
        <v>-1231.4391782891898</v>
      </c>
      <c r="M18" s="149">
        <v>-5999.64</v>
      </c>
      <c r="N18" s="149">
        <v>112.42674172875867</v>
      </c>
      <c r="O18" s="150">
        <v>15.932481772905149</v>
      </c>
      <c r="P18" s="110">
        <v>1.1675753527606035E-4</v>
      </c>
    </row>
    <row r="19" spans="1:16">
      <c r="D19" s="97"/>
      <c r="E19" s="97"/>
      <c r="F19" s="169"/>
      <c r="G19" s="109"/>
      <c r="H19" s="97"/>
      <c r="I19" s="149"/>
      <c r="J19" s="97"/>
      <c r="K19" s="149"/>
      <c r="L19" s="149"/>
      <c r="M19" s="149"/>
      <c r="N19" s="149"/>
      <c r="O19" s="150"/>
      <c r="P19" s="110"/>
    </row>
    <row r="20" spans="1:16">
      <c r="A20" s="96">
        <v>4</v>
      </c>
      <c r="B20" s="95" t="s">
        <v>105</v>
      </c>
      <c r="C20" s="96">
        <v>25</v>
      </c>
      <c r="D20" s="97">
        <v>66743.707566132012</v>
      </c>
      <c r="E20" s="97">
        <v>3789.0483572379949</v>
      </c>
      <c r="F20" s="169">
        <v>70532.955923369998</v>
      </c>
      <c r="G20" s="109">
        <v>5.6770121040753879E-2</v>
      </c>
      <c r="H20" s="97">
        <v>69318.742446132004</v>
      </c>
      <c r="I20" s="149">
        <v>0</v>
      </c>
      <c r="J20" s="97">
        <v>69318.742446132004</v>
      </c>
      <c r="K20" s="149">
        <v>3789.0483572379949</v>
      </c>
      <c r="L20" s="149">
        <v>-653.98315581830707</v>
      </c>
      <c r="M20" s="149">
        <v>-4606.2539999999999</v>
      </c>
      <c r="N20" s="149">
        <v>36.144305132901806</v>
      </c>
      <c r="O20" s="150">
        <v>-1435.0444934474106</v>
      </c>
      <c r="P20" s="110">
        <v>-2.0702113783477707E-2</v>
      </c>
    </row>
    <row r="21" spans="1:16">
      <c r="D21" s="97"/>
      <c r="E21" s="97"/>
      <c r="F21" s="169"/>
      <c r="G21" s="109"/>
      <c r="H21" s="97"/>
      <c r="I21" s="149"/>
      <c r="J21" s="97"/>
      <c r="K21" s="149"/>
      <c r="L21" s="149"/>
      <c r="M21" s="149"/>
      <c r="N21" s="149"/>
      <c r="O21" s="150"/>
      <c r="P21" s="110"/>
    </row>
    <row r="22" spans="1:16">
      <c r="A22" s="96">
        <v>5</v>
      </c>
      <c r="B22" s="95" t="s">
        <v>104</v>
      </c>
      <c r="C22" s="113" t="s">
        <v>103</v>
      </c>
      <c r="D22" s="97">
        <v>12038.755110000002</v>
      </c>
      <c r="E22" s="97">
        <v>683.68078999999909</v>
      </c>
      <c r="F22" s="169">
        <v>12722.635900000001</v>
      </c>
      <c r="G22" s="109">
        <v>5.6789990638824367E-2</v>
      </c>
      <c r="H22" s="97">
        <v>13072.634169999999</v>
      </c>
      <c r="I22" s="149">
        <v>0</v>
      </c>
      <c r="J22" s="97">
        <v>13072.634169999999</v>
      </c>
      <c r="K22" s="149">
        <v>683.68078999999909</v>
      </c>
      <c r="L22" s="149">
        <v>-117.96082875918428</v>
      </c>
      <c r="M22" s="149">
        <v>-569.25400000000002</v>
      </c>
      <c r="N22" s="149">
        <v>10.420922422142896</v>
      </c>
      <c r="O22" s="150">
        <v>6.8868836629576453</v>
      </c>
      <c r="P22" s="110">
        <v>5.2681682768742591E-4</v>
      </c>
    </row>
    <row r="23" spans="1:16">
      <c r="D23" s="97"/>
      <c r="E23" s="97"/>
      <c r="F23" s="169"/>
      <c r="G23" s="109"/>
      <c r="H23" s="97"/>
      <c r="I23" s="149"/>
      <c r="J23" s="97"/>
      <c r="K23" s="149"/>
      <c r="L23" s="149"/>
      <c r="M23" s="149"/>
      <c r="N23" s="149"/>
      <c r="O23" s="150"/>
      <c r="P23" s="110"/>
    </row>
    <row r="24" spans="1:16">
      <c r="A24" s="96">
        <v>6</v>
      </c>
      <c r="B24" s="95" t="s">
        <v>102</v>
      </c>
      <c r="C24" s="96" t="s">
        <v>91</v>
      </c>
      <c r="D24" s="114">
        <v>6424.0192802760002</v>
      </c>
      <c r="E24" s="114">
        <v>181.62788032399865</v>
      </c>
      <c r="F24" s="173">
        <v>6605.6471605999986</v>
      </c>
      <c r="G24" s="109">
        <v>2.827324645205536E-2</v>
      </c>
      <c r="H24" s="114">
        <v>6754.2403540559199</v>
      </c>
      <c r="I24" s="151">
        <v>0</v>
      </c>
      <c r="J24" s="114">
        <v>6754.2403540559199</v>
      </c>
      <c r="K24" s="151">
        <v>181.62788032399865</v>
      </c>
      <c r="L24" s="151">
        <v>-62.945265631068672</v>
      </c>
      <c r="M24" s="151">
        <v>-98.593999999999994</v>
      </c>
      <c r="N24" s="151">
        <v>6.091969332329648</v>
      </c>
      <c r="O24" s="150">
        <v>26.180584025259627</v>
      </c>
      <c r="P24" s="110">
        <v>3.8761700284382374E-3</v>
      </c>
    </row>
    <row r="25" spans="1:16">
      <c r="D25" s="97"/>
      <c r="E25" s="97"/>
      <c r="F25" s="169"/>
      <c r="G25" s="115"/>
      <c r="H25" s="111"/>
      <c r="I25" s="149"/>
      <c r="J25" s="97"/>
      <c r="K25" s="149"/>
      <c r="L25" s="149"/>
      <c r="M25" s="149"/>
      <c r="N25" s="149"/>
      <c r="O25" s="150"/>
      <c r="P25" s="110"/>
    </row>
    <row r="26" spans="1:16">
      <c r="A26" s="96">
        <v>7</v>
      </c>
      <c r="B26" s="116" t="s">
        <v>55</v>
      </c>
      <c r="D26" s="97">
        <v>502019.50095640816</v>
      </c>
      <c r="E26" s="97">
        <v>28499.647607561961</v>
      </c>
      <c r="F26" s="169">
        <v>530519.54856397014</v>
      </c>
      <c r="G26" s="109">
        <v>5.677000107220271E-2</v>
      </c>
      <c r="H26" s="97">
        <v>528921.03445018816</v>
      </c>
      <c r="I26" s="149">
        <v>0</v>
      </c>
      <c r="J26" s="97">
        <v>528921.03445018816</v>
      </c>
      <c r="K26" s="149">
        <v>28499.647607561961</v>
      </c>
      <c r="L26" s="149">
        <v>-4918.9980403151703</v>
      </c>
      <c r="M26" s="149">
        <v>-24003.000000000004</v>
      </c>
      <c r="N26" s="149">
        <v>422.43897962761963</v>
      </c>
      <c r="O26" s="150">
        <v>8.8546874405949438E-2</v>
      </c>
      <c r="P26" s="110">
        <v>1.6741038574499812E-7</v>
      </c>
    </row>
    <row r="27" spans="1:16">
      <c r="B27" s="96"/>
      <c r="D27" s="117">
        <v>0</v>
      </c>
      <c r="E27" s="117"/>
      <c r="F27" s="117"/>
      <c r="H27" s="118"/>
      <c r="I27" s="118"/>
      <c r="J27" s="118"/>
      <c r="K27" s="118"/>
      <c r="L27" s="118"/>
      <c r="M27" s="118"/>
      <c r="N27" s="118"/>
      <c r="O27" s="118"/>
    </row>
    <row r="28" spans="1:16">
      <c r="B28" s="96"/>
      <c r="D28" s="152"/>
      <c r="E28" s="118"/>
      <c r="M28" s="95"/>
    </row>
    <row r="29" spans="1:16">
      <c r="A29" s="95"/>
      <c r="M29" s="95"/>
    </row>
    <row r="30" spans="1:16">
      <c r="M30" s="95"/>
    </row>
    <row r="31" spans="1:16">
      <c r="A31" s="95" t="s">
        <v>186</v>
      </c>
      <c r="M31" s="153"/>
    </row>
    <row r="32" spans="1:16">
      <c r="A32" s="119" t="s">
        <v>187</v>
      </c>
      <c r="M32" s="95"/>
    </row>
    <row r="33" spans="1:16">
      <c r="A33" s="119"/>
      <c r="M33" s="95"/>
    </row>
    <row r="34" spans="1:16">
      <c r="A34" s="95" t="s">
        <v>188</v>
      </c>
      <c r="M34" s="95"/>
    </row>
    <row r="35" spans="1:16">
      <c r="A35" s="119" t="s">
        <v>189</v>
      </c>
      <c r="M35" s="95"/>
    </row>
    <row r="36" spans="1:16" hidden="1"/>
    <row r="37" spans="1:16" hidden="1"/>
    <row r="38" spans="1:16" hidden="1">
      <c r="B38" s="120" t="s">
        <v>101</v>
      </c>
      <c r="F38" s="97"/>
      <c r="H38" s="97"/>
      <c r="I38" s="97"/>
      <c r="J38" s="97"/>
      <c r="K38" s="97"/>
    </row>
    <row r="39" spans="1:16" hidden="1">
      <c r="F39" s="97" t="s">
        <v>100</v>
      </c>
      <c r="G39" s="120"/>
      <c r="H39" s="97"/>
      <c r="I39" s="97" t="s">
        <v>99</v>
      </c>
      <c r="J39" s="108"/>
      <c r="K39" s="108"/>
      <c r="M39" s="95"/>
    </row>
    <row r="40" spans="1:16" hidden="1">
      <c r="F40" s="114" t="s">
        <v>98</v>
      </c>
      <c r="G40" s="120"/>
      <c r="H40" s="102" t="s">
        <v>97</v>
      </c>
      <c r="I40" s="114" t="s">
        <v>96</v>
      </c>
      <c r="J40" s="108"/>
      <c r="K40" s="108"/>
      <c r="M40" s="95"/>
    </row>
    <row r="41" spans="1:16" hidden="1">
      <c r="B41" s="121" t="s">
        <v>95</v>
      </c>
      <c r="F41" s="122">
        <f>'[3]Rev Runs 12MESEPT2014'!P49+'[3]Rev Runs 12MESEPT2014'!P81+'[3]Rev Runs 12MESEPT2014'!P90</f>
        <v>57963673</v>
      </c>
      <c r="G41" s="95"/>
      <c r="H41" s="123">
        <v>-2.7E-4</v>
      </c>
      <c r="I41" s="124">
        <f>F41*H41</f>
        <v>-15650.191710000001</v>
      </c>
      <c r="J41" s="108"/>
      <c r="K41" s="108"/>
      <c r="M41" s="95"/>
    </row>
    <row r="42" spans="1:16" hidden="1">
      <c r="B42" s="121" t="s">
        <v>94</v>
      </c>
      <c r="F42" s="122">
        <f>'[3]Rev Runs 12MESEPT2014'!P51+'[3]Rev Runs 12MESEPT2014'!P83+'[3]Rev Runs 12MESEPT2014'!P92</f>
        <v>36956089</v>
      </c>
      <c r="G42" s="95"/>
      <c r="H42" s="123">
        <v>-2.7E-4</v>
      </c>
      <c r="I42" s="124">
        <f>F42*H42</f>
        <v>-9978.1440299999995</v>
      </c>
      <c r="J42" s="108"/>
      <c r="K42" s="108"/>
      <c r="M42" s="95"/>
    </row>
    <row r="43" spans="1:16" hidden="1">
      <c r="B43" s="121" t="s">
        <v>93</v>
      </c>
      <c r="F43" s="125">
        <f>'[3]Rev Runs 12MESEPT2014'!P55+'[3]Rev Runs 12MESEPT2014'!P86+'[3]Rev Runs 12MESEPT2014'!P95</f>
        <v>8649684</v>
      </c>
      <c r="G43" s="126"/>
      <c r="H43" s="123">
        <v>-2.7E-4</v>
      </c>
      <c r="I43" s="127">
        <f>F43*H43</f>
        <v>-2335.4146799999999</v>
      </c>
      <c r="J43" s="108"/>
      <c r="K43" s="108"/>
      <c r="M43" s="95"/>
    </row>
    <row r="44" spans="1:16" hidden="1">
      <c r="B44" s="121"/>
      <c r="F44" s="125"/>
      <c r="G44" s="95"/>
      <c r="H44" s="123"/>
      <c r="I44" s="127"/>
      <c r="J44" s="108"/>
      <c r="K44" s="108"/>
      <c r="M44" s="95"/>
    </row>
    <row r="45" spans="1:16" hidden="1">
      <c r="B45" s="121" t="s">
        <v>55</v>
      </c>
      <c r="C45" s="95"/>
      <c r="D45" s="95"/>
      <c r="E45" s="95"/>
      <c r="F45" s="93">
        <f>SUM(F41:F44)</f>
        <v>103569446</v>
      </c>
      <c r="I45" s="128">
        <f>SUM(I41:I44)</f>
        <v>-27963.750420000004</v>
      </c>
      <c r="J45" s="95" t="s">
        <v>144</v>
      </c>
      <c r="M45" s="95"/>
    </row>
    <row r="46" spans="1:16" hidden="1">
      <c r="J46" s="108"/>
      <c r="K46" s="108"/>
      <c r="M46" s="95"/>
    </row>
    <row r="47" spans="1:16" hidden="1"/>
    <row r="48" spans="1:16" hidden="1">
      <c r="J48" s="95" t="s">
        <v>92</v>
      </c>
      <c r="L48" s="129">
        <v>0</v>
      </c>
      <c r="M48" s="108">
        <v>1</v>
      </c>
      <c r="N48" s="130">
        <f>-D14*$L$49</f>
        <v>0</v>
      </c>
      <c r="P48" s="131">
        <f>0/'[3]Pres &amp; Prop Rev'!D23</f>
        <v>0</v>
      </c>
    </row>
    <row r="49" spans="12:14" hidden="1">
      <c r="L49" s="92">
        <f>L48/D26</f>
        <v>0</v>
      </c>
      <c r="M49" s="108">
        <v>11</v>
      </c>
      <c r="N49" s="130">
        <f>-D16*L49</f>
        <v>0</v>
      </c>
    </row>
    <row r="50" spans="12:14" hidden="1">
      <c r="M50" s="108">
        <v>21</v>
      </c>
      <c r="N50" s="130">
        <f>-D18*L49</f>
        <v>0</v>
      </c>
    </row>
    <row r="51" spans="12:14" hidden="1">
      <c r="M51" s="108">
        <v>25</v>
      </c>
      <c r="N51" s="130">
        <f>-D20*L49</f>
        <v>0</v>
      </c>
    </row>
    <row r="52" spans="12:14" hidden="1">
      <c r="M52" s="108">
        <v>31</v>
      </c>
      <c r="N52" s="130">
        <f>-D22*L49</f>
        <v>0</v>
      </c>
    </row>
    <row r="53" spans="12:14" hidden="1">
      <c r="M53" s="132" t="s">
        <v>91</v>
      </c>
      <c r="N53" s="130">
        <f>-D24*L49</f>
        <v>0</v>
      </c>
    </row>
    <row r="54" spans="12:14" hidden="1">
      <c r="N54" s="130">
        <f>SUM(N48:N53)</f>
        <v>0</v>
      </c>
    </row>
    <row r="55" spans="12:14" hidden="1"/>
    <row r="56" spans="12:14" hidden="1"/>
    <row r="57" spans="12:14" hidden="1"/>
    <row r="58" spans="12:14" hidden="1"/>
    <row r="59" spans="12:14" hidden="1"/>
    <row r="60" spans="12:14" hidden="1"/>
    <row r="61" spans="12:14" hidden="1"/>
    <row r="62" spans="12:14" hidden="1"/>
    <row r="63" spans="12:14" hidden="1"/>
  </sheetData>
  <mergeCells count="5">
    <mergeCell ref="A5:N5"/>
    <mergeCell ref="A1:N1"/>
    <mergeCell ref="A2:N2"/>
    <mergeCell ref="A3:N3"/>
    <mergeCell ref="A4:N4"/>
  </mergeCells>
  <conditionalFormatting sqref="D27:F27">
    <cfRule type="cellIs" dxfId="0" priority="1" stopIfTrue="1" operator="notEqual">
      <formula>0</formula>
    </cfRule>
  </conditionalFormatting>
  <pageMargins left="0.5" right="0.5" top="1" bottom="1" header="0.5" footer="0.5"/>
  <pageSetup scale="68"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WA Electric - Sched 91</vt:lpstr>
      <vt:lpstr>Revenue By Month</vt:lpstr>
      <vt:lpstr>DSM Balance</vt:lpstr>
      <vt:lpstr>Rev Conv Factor</vt:lpstr>
      <vt:lpstr>Billing Determinants</vt:lpstr>
      <vt:lpstr>Base Revenue</vt:lpstr>
      <vt:lpstr>'Base Revenue'!Print_Area</vt:lpstr>
      <vt:lpstr>'DSM Balance'!Print_Area</vt:lpstr>
      <vt:lpstr>'Rev Conv Factor'!Print_Area</vt:lpstr>
      <vt:lpstr>'WA Electric - Sched 91'!Print_Area</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Miller</dc:creator>
  <cp:lastModifiedBy>Garbarino, Marcus</cp:lastModifiedBy>
  <cp:lastPrinted>2021-05-24T15:26:19Z</cp:lastPrinted>
  <dcterms:created xsi:type="dcterms:W3CDTF">2011-04-12T19:30:53Z</dcterms:created>
  <dcterms:modified xsi:type="dcterms:W3CDTF">2021-05-24T15:28:04Z</dcterms:modified>
</cp:coreProperties>
</file>