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priceout'!$A$1:$R$100</definedName>
    <definedName name="_xlnm.Print_Area" localSheetId="2">'Co. Pro Tonnage'!$A$1:$P$14</definedName>
    <definedName name="_xlnm.Print_Area" localSheetId="0">'References'!$A$1:$H$64</definedName>
    <definedName name="_xlnm.Print_Titles" localSheetId="1">'Calc. and priceout'!$1:$1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<sst xmlns="http://schemas.openxmlformats.org/spreadsheetml/2006/main" count="227" uniqueCount="200">
  <si>
    <t>Pro Forma</t>
  </si>
  <si>
    <t>Adj.</t>
  </si>
  <si>
    <t>%</t>
  </si>
  <si>
    <t>Total</t>
  </si>
  <si>
    <t>Disposal Summary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</si>
  <si>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</si>
  <si>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</si>
  <si>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</si>
  <si>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</si>
  <si>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</si>
  <si>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</si>
  <si>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</si>
  <si>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</si>
  <si>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Roll Off garbage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</si>
  <si>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</si>
  <si>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</si>
  <si>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</si>
  <si>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</si>
  <si>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</si>
  <si>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</si>
  <si>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</si>
  <si>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</si>
  <si>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</si>
  <si>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</si>
  <si>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</si>
  <si>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</si>
  <si>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</si>
  <si>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</si>
  <si>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</si>
  <si>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</si>
  <si>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</si>
  <si>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</si>
  <si>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</si>
  <si>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</si>
  <si>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</si>
  <si>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</si>
  <si>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</si>
  <si>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</si>
  <si>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</si>
  <si>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</si>
  <si>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</si>
  <si>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</si>
  <si>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</si>
  <si>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</si>
  <si>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</si>
  <si>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</si>
  <si>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</si>
  <si>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</si>
  <si>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</si>
  <si>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</si>
  <si>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</si>
  <si>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</si>
  <si>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</si>
  <si>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</si>
  <si>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</si>
  <si>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</si>
  <si>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</si>
  <si>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</si>
  <si>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</si>
  <si>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</si>
  <si>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</si>
  <si>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</si>
  <si>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</si>
  <si>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</si>
  <si>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</si>
  <si>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</si>
  <si>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</si>
  <si>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</si>
  <si>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</si>
  <si>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</si>
  <si>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</si>
  <si>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</si>
  <si>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</si>
  <si>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</si>
  <si>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</si>
  <si>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</si>
  <si>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</si>
  <si>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</si>
  <si>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</si>
  <si>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</si>
  <si>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</si>
  <si>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</si>
  <si>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</si>
  <si>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</si>
  <si>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</si>
  <si>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</si>
  <si>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</si>
  <si>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</si>
  <si>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</si>
  <si>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</si>
  <si>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</si>
  <si>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</si>
  <si>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</si>
  <si>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</si>
  <si>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</si>
  <si>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</si>
  <si>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</si>
  <si>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</si>
  <si>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</si>
  <si>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</si>
  <si>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</si>
  <si>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</si>
  <si>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</si>
  <si>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</si>
  <si>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</si>
  <si>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</si>
  <si>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</si>
  <si>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</si>
  <si>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Company Proposed Tariff</t>
  </si>
  <si>
    <t>Roll Off</t>
  </si>
  <si>
    <t>Estimated</t>
  </si>
  <si>
    <t>WM Skagit</t>
  </si>
  <si>
    <t>(per TG-180752)</t>
  </si>
  <si>
    <t>32 GAL CAN MSW EOW</t>
  </si>
  <si>
    <t>1-32 GAL CAN MSW</t>
  </si>
  <si>
    <t>2-32 GAL CANS MSW</t>
  </si>
  <si>
    <t>3-32 GAL CANS MSW</t>
  </si>
  <si>
    <t>35 GAL CART MSW 1X WK</t>
  </si>
  <si>
    <t>2-35 GAL CARTS MSW</t>
  </si>
  <si>
    <t>1-64 GAL CART MSW</t>
  </si>
  <si>
    <t>2-64 GAL CARTS MSW</t>
  </si>
  <si>
    <t>6-64 GAL CARTS MSW</t>
  </si>
  <si>
    <t>10-64 GAL CARTS MSW</t>
  </si>
  <si>
    <t>30-64 GAL CARTS MSW</t>
  </si>
  <si>
    <t>1-96 GAL CART MSW</t>
  </si>
  <si>
    <t>2-96 GAL CARTS MSW</t>
  </si>
  <si>
    <t>1 YD MSW EOW</t>
  </si>
  <si>
    <t>1-1 YD 1X PER WEEK</t>
  </si>
  <si>
    <t>2-1 YD 1X PER WEEK</t>
  </si>
  <si>
    <t>2-1 YD 2X PER WEEK</t>
  </si>
  <si>
    <t>3-1 YD 2X PER WEEK</t>
  </si>
  <si>
    <t>1-1 YD 3X PER WEEK</t>
  </si>
  <si>
    <t>1.5 YD MSW EOW</t>
  </si>
  <si>
    <t>1-1.5 YD 1X PER WEEK</t>
  </si>
  <si>
    <t>1-1.5 YD 2X PER WEEK</t>
  </si>
  <si>
    <t>2YD FEL ON CALL</t>
  </si>
  <si>
    <t>2 YD MSW EOW</t>
  </si>
  <si>
    <t>1-2 YD 1X PER WEEK</t>
  </si>
  <si>
    <t>2-2 YD 1X PER WEEK</t>
  </si>
  <si>
    <t>3-2 YD 1X PER WEEK</t>
  </si>
  <si>
    <t>4-2 YD 1X PER WEEK</t>
  </si>
  <si>
    <t>5-2 YD 1X PER WEEK</t>
  </si>
  <si>
    <t>6-2 YD 1X PER WEEK</t>
  </si>
  <si>
    <t>7-2 YD 1X PER WEEK</t>
  </si>
  <si>
    <t>1-2 YD 2X PER WEEK</t>
  </si>
  <si>
    <t>2-2 YD 2X PER WEEK</t>
  </si>
  <si>
    <t>7-2 YD 2X PER WEEK</t>
  </si>
  <si>
    <t>1-2 YD 3X PER WEEK</t>
  </si>
  <si>
    <t>3 YD MSW EOW</t>
  </si>
  <si>
    <t>1-3 YD 1X PER WEEK</t>
  </si>
  <si>
    <t>2-3 YD 1X PER WEEK</t>
  </si>
  <si>
    <t>3-3 YD 1X PER WEEK</t>
  </si>
  <si>
    <t>4-3 YD 1X PER WEEK</t>
  </si>
  <si>
    <t>7-3 YD 1X PER WEEK</t>
  </si>
  <si>
    <t>1-3 YD 2X PER WEEK</t>
  </si>
  <si>
    <t>1-8 YD 3X PER WEEK</t>
  </si>
  <si>
    <t>2-3 YD 3X PER WEEK</t>
  </si>
  <si>
    <t>4YD FEL ON CALL</t>
  </si>
  <si>
    <t>4 YD 1X PER WEEK</t>
  </si>
  <si>
    <t>4 YD MSW EOW</t>
  </si>
  <si>
    <t>2-4 YD 1X PER WEEK</t>
  </si>
  <si>
    <t>6-4 YD 1X PER WEEK</t>
  </si>
  <si>
    <t>8-4 YD 1X PER WEEK</t>
  </si>
  <si>
    <t>1-4 YD 2X PER WEEK</t>
  </si>
  <si>
    <t>2-4 YD 2X PER WEEK</t>
  </si>
  <si>
    <t>4-4 YD 2X PER WEEK</t>
  </si>
  <si>
    <t>1-4 YD 3X PER WEEK</t>
  </si>
  <si>
    <t>6YD FEL ON CALL</t>
  </si>
  <si>
    <t>6 YD MSW EOW</t>
  </si>
  <si>
    <t>1-6 YD 1X PER WEEK</t>
  </si>
  <si>
    <t>2-6 YD 1X PER WEEK</t>
  </si>
  <si>
    <t>3-6 YD 1X PER WEEK</t>
  </si>
  <si>
    <t>4-6 YD 1X PER WEEK</t>
  </si>
  <si>
    <t>5-6 YD 1X PER WEEK</t>
  </si>
  <si>
    <t>6-6 YD 1X PER WEEK</t>
  </si>
  <si>
    <t>1-6 YD 2X PER WEEK</t>
  </si>
  <si>
    <t>2-6 YD 2X PER WEEK</t>
  </si>
  <si>
    <t>4-6 YD 2X PER WEEK</t>
  </si>
  <si>
    <t>7-6 YD 2X PER WEEK</t>
  </si>
  <si>
    <t>1-6 YD 3X PER WEEK</t>
  </si>
  <si>
    <t>2-6 YD 3X PER WEEK</t>
  </si>
  <si>
    <t>8 YD MSW EOW</t>
  </si>
  <si>
    <t>1-8 YD 1X PER WEEK</t>
  </si>
  <si>
    <t>1-8 YD 2X PER WEEK</t>
  </si>
  <si>
    <t>32 GAL CAN MSW 1X MO</t>
  </si>
  <si>
    <t>32 GAL CAN MSW ON CALL</t>
  </si>
  <si>
    <t>1-20 GAL MINI CAN MSW</t>
  </si>
  <si>
    <t>2-20 GAL MINI CAN MSW</t>
  </si>
  <si>
    <t>4-32 GAL CANS MSW</t>
  </si>
  <si>
    <t>5-32 GAL CANS MSW</t>
  </si>
  <si>
    <t>6-32 GAL CANS MSW</t>
  </si>
  <si>
    <t>20 GAL CART MSW</t>
  </si>
  <si>
    <t>35 GAL CART MSW 1X MO</t>
  </si>
  <si>
    <t>35 GAL CART MSW ON CALL</t>
  </si>
  <si>
    <t>35 GAL CART MSW EOW</t>
  </si>
  <si>
    <t>1-35 GAL CART MSW</t>
  </si>
  <si>
    <t>3-35 GAL CARTS MSW</t>
  </si>
  <si>
    <t>4-35 GAL CARTS MSW</t>
  </si>
  <si>
    <t>Monthly Customers/Containers</t>
  </si>
  <si>
    <t>3-64 GAL CARTS MSW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</si>
</sst>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6">
      <alignment/>
      <protection/>
    </xf>
    <xf numFmtId="0" fontId="63" fillId="0" borderId="0" xfId="66" applyFont="1">
      <alignment/>
      <protection/>
    </xf>
    <xf numFmtId="0" fontId="64" fillId="0" borderId="0" xfId="66" applyFont="1" applyAlignment="1">
      <alignment horizontal="center"/>
      <protection/>
    </xf>
    <xf numFmtId="44" fontId="65" fillId="0" borderId="0" xfId="56" applyFont="1" applyAlignment="1">
      <alignment horizontal="center"/>
    </xf>
    <xf numFmtId="0" fontId="66" fillId="0" borderId="0" xfId="66" applyFont="1" applyAlignment="1">
      <alignment horizontal="center"/>
      <protection/>
    </xf>
    <xf numFmtId="44" fontId="66" fillId="0" borderId="0" xfId="56" applyFont="1" applyAlignment="1">
      <alignment horizontal="center"/>
    </xf>
    <xf numFmtId="0" fontId="67" fillId="0" borderId="0" xfId="66" applyFont="1">
      <alignment/>
      <protection/>
    </xf>
    <xf numFmtId="0" fontId="68" fillId="0" borderId="0" xfId="66" applyFont="1">
      <alignment/>
      <protection/>
    </xf>
    <xf numFmtId="44" fontId="63" fillId="0" borderId="0" xfId="56" applyFont="1" applyBorder="1" applyAlignment="1">
      <alignment/>
    </xf>
    <xf numFmtId="0" fontId="63" fillId="0" borderId="0" xfId="66" applyFont="1" applyBorder="1">
      <alignment/>
      <protection/>
    </xf>
    <xf numFmtId="44" fontId="69" fillId="0" borderId="0" xfId="56" applyFont="1" applyBorder="1" applyAlignment="1">
      <alignment/>
    </xf>
    <xf numFmtId="174" fontId="63" fillId="0" borderId="0" xfId="56" applyNumberFormat="1" applyFont="1" applyBorder="1" applyAlignment="1">
      <alignment/>
    </xf>
    <xf numFmtId="174" fontId="70" fillId="0" borderId="0" xfId="56" applyNumberFormat="1" applyFont="1" applyBorder="1" applyAlignment="1">
      <alignment/>
    </xf>
    <xf numFmtId="44" fontId="63" fillId="0" borderId="0" xfId="66" applyNumberFormat="1" applyFont="1" applyBorder="1">
      <alignment/>
      <protection/>
    </xf>
    <xf numFmtId="174" fontId="65" fillId="0" borderId="0" xfId="56" applyNumberFormat="1" applyFont="1" applyBorder="1" applyAlignment="1">
      <alignment/>
    </xf>
    <xf numFmtId="174" fontId="71" fillId="0" borderId="0" xfId="56" applyNumberFormat="1" applyFont="1" applyBorder="1" applyAlignment="1">
      <alignment/>
    </xf>
    <xf numFmtId="43" fontId="63" fillId="0" borderId="0" xfId="66" applyNumberFormat="1" applyFont="1" applyBorder="1">
      <alignment/>
      <protection/>
    </xf>
    <xf numFmtId="174" fontId="63" fillId="0" borderId="0" xfId="66" applyNumberFormat="1" applyFont="1" applyBorder="1">
      <alignment/>
      <protection/>
    </xf>
    <xf numFmtId="174" fontId="70" fillId="0" borderId="0" xfId="66" applyNumberFormat="1" applyFont="1" applyBorder="1">
      <alignment/>
      <protection/>
    </xf>
    <xf numFmtId="43" fontId="65" fillId="0" borderId="0" xfId="66" applyNumberFormat="1" applyFont="1" applyBorder="1">
      <alignment/>
      <protection/>
    </xf>
    <xf numFmtId="43" fontId="66" fillId="0" borderId="0" xfId="66" applyNumberFormat="1" applyFont="1" applyBorder="1">
      <alignment/>
      <protection/>
    </xf>
    <xf numFmtId="43" fontId="71" fillId="0" borderId="0" xfId="66" applyNumberFormat="1" applyFont="1" applyBorder="1">
      <alignment/>
      <protection/>
    </xf>
    <xf numFmtId="43" fontId="70" fillId="0" borderId="0" xfId="66" applyNumberFormat="1" applyFont="1" applyBorder="1">
      <alignment/>
      <protection/>
    </xf>
    <xf numFmtId="0" fontId="2" fillId="0" borderId="0" xfId="66" applyBorder="1">
      <alignment/>
      <protection/>
    </xf>
    <xf numFmtId="183" fontId="63" fillId="0" borderId="0" xfId="66" applyNumberFormat="1" applyFont="1" applyBorder="1">
      <alignment/>
      <protection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172" fontId="0" fillId="0" borderId="0" xfId="77" applyNumberFormat="1" applyFont="1" applyAlignment="1">
      <alignment/>
    </xf>
    <xf numFmtId="0" fontId="6" fillId="0" borderId="0" xfId="67" applyFont="1" applyBorder="1">
      <alignment/>
      <protection/>
    </xf>
    <xf numFmtId="0" fontId="61" fillId="0" borderId="0" xfId="0" applyFont="1" applyBorder="1" applyAlignment="1">
      <alignment horizontal="center"/>
    </xf>
    <xf numFmtId="172" fontId="63" fillId="0" borderId="0" xfId="77" applyNumberFormat="1" applyFont="1" applyBorder="1" applyAlignment="1">
      <alignment/>
    </xf>
    <xf numFmtId="174" fontId="66" fillId="0" borderId="0" xfId="53" applyNumberFormat="1" applyFont="1" applyBorder="1" applyAlignment="1">
      <alignment/>
    </xf>
    <xf numFmtId="43" fontId="63" fillId="0" borderId="0" xfId="42" applyFont="1" applyBorder="1" applyAlignment="1">
      <alignment/>
    </xf>
    <xf numFmtId="43" fontId="7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69" fillId="0" borderId="0" xfId="78" applyNumberFormat="1" applyFont="1" applyAlignment="1">
      <alignment horizontal="center"/>
    </xf>
    <xf numFmtId="179" fontId="69" fillId="0" borderId="0" xfId="7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2" fillId="0" borderId="0" xfId="55" applyNumberFormat="1" applyFont="1" applyBorder="1" applyAlignment="1">
      <alignment/>
    </xf>
    <xf numFmtId="0" fontId="72" fillId="0" borderId="0" xfId="0" applyFont="1" applyAlignment="1">
      <alignment/>
    </xf>
    <xf numFmtId="166" fontId="72" fillId="0" borderId="0" xfId="42" applyNumberFormat="1" applyFont="1" applyBorder="1" applyAlignment="1">
      <alignment/>
    </xf>
    <xf numFmtId="166" fontId="72" fillId="0" borderId="0" xfId="42" applyNumberFormat="1" applyFont="1" applyAlignment="1">
      <alignment/>
    </xf>
    <xf numFmtId="166" fontId="73" fillId="0" borderId="0" xfId="42" applyNumberFormat="1" applyFont="1" applyBorder="1" applyAlignment="1">
      <alignment/>
    </xf>
    <xf numFmtId="166" fontId="73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1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1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1" fillId="36" borderId="11" xfId="0" applyFont="1" applyFill="1" applyBorder="1" applyAlignment="1">
      <alignment horizontal="center" wrapText="1"/>
    </xf>
    <xf numFmtId="0" fontId="61" fillId="36" borderId="11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wrapText="1"/>
    </xf>
    <xf numFmtId="166" fontId="61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4" applyFont="1" applyFill="1" applyBorder="1" applyAlignment="1">
      <alignment horizontal="left"/>
      <protection/>
    </xf>
    <xf numFmtId="3" fontId="61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1" fillId="36" borderId="11" xfId="0" applyNumberFormat="1" applyFont="1" applyFill="1" applyBorder="1" applyAlignment="1">
      <alignment/>
    </xf>
    <xf numFmtId="166" fontId="61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1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4" applyFont="1" applyFill="1" applyBorder="1" applyAlignment="1">
      <alignment horizontal="left"/>
      <protection/>
    </xf>
    <xf numFmtId="166" fontId="61" fillId="0" borderId="0" xfId="42" applyNumberFormat="1" applyFont="1" applyBorder="1" applyAlignment="1">
      <alignment horizontal="right"/>
    </xf>
    <xf numFmtId="44" fontId="61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2" fillId="0" borderId="0" xfId="70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1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4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7" applyNumberFormat="1" applyFont="1" applyBorder="1" applyAlignment="1">
      <alignment horizontal="right"/>
    </xf>
    <xf numFmtId="10" fontId="0" fillId="0" borderId="0" xfId="77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4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1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5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6" fillId="0" borderId="0" xfId="53" applyNumberFormat="1" applyFont="1" applyAlignment="1">
      <alignment/>
    </xf>
    <xf numFmtId="174" fontId="75" fillId="0" borderId="0" xfId="0" applyNumberFormat="1" applyFont="1" applyAlignment="1">
      <alignment/>
    </xf>
    <xf numFmtId="184" fontId="0" fillId="0" borderId="0" xfId="77" applyNumberFormat="1" applyFont="1" applyAlignment="1">
      <alignment/>
    </xf>
    <xf numFmtId="179" fontId="0" fillId="0" borderId="0" xfId="77" applyNumberFormat="1" applyFont="1" applyAlignment="1">
      <alignment/>
    </xf>
    <xf numFmtId="179" fontId="0" fillId="0" borderId="0" xfId="77" applyNumberFormat="1" applyFont="1" applyBorder="1" applyAlignment="1">
      <alignment/>
    </xf>
    <xf numFmtId="179" fontId="77" fillId="0" borderId="0" xfId="77" applyNumberFormat="1" applyFont="1" applyAlignment="1">
      <alignment/>
    </xf>
    <xf numFmtId="179" fontId="78" fillId="0" borderId="0" xfId="77" applyNumberFormat="1" applyFont="1" applyAlignment="1">
      <alignment/>
    </xf>
    <xf numFmtId="10" fontId="4" fillId="0" borderId="0" xfId="78" applyNumberFormat="1" applyFont="1" applyAlignment="1">
      <alignment horizontal="center"/>
    </xf>
    <xf numFmtId="44" fontId="75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7" fillId="0" borderId="0" xfId="0" applyNumberFormat="1" applyFont="1" applyAlignment="1">
      <alignment/>
    </xf>
    <xf numFmtId="179" fontId="10" fillId="0" borderId="0" xfId="78" applyNumberFormat="1" applyFont="1" applyAlignment="1">
      <alignment horizontal="right"/>
    </xf>
    <xf numFmtId="179" fontId="79" fillId="0" borderId="0" xfId="77" applyNumberFormat="1" applyFont="1" applyAlignment="1">
      <alignment/>
    </xf>
    <xf numFmtId="10" fontId="0" fillId="0" borderId="0" xfId="77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43" fontId="80" fillId="0" borderId="0" xfId="42" applyFont="1" applyAlignment="1">
      <alignment/>
    </xf>
    <xf numFmtId="166" fontId="80" fillId="0" borderId="0" xfId="42" applyNumberFormat="1" applyFont="1" applyAlignment="1">
      <alignment/>
    </xf>
    <xf numFmtId="166" fontId="81" fillId="0" borderId="0" xfId="42" applyNumberFormat="1" applyFont="1" applyAlignment="1">
      <alignment/>
    </xf>
    <xf numFmtId="10" fontId="61" fillId="0" borderId="0" xfId="77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1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10" fontId="0" fillId="0" borderId="0" xfId="0" applyNumberFormat="1" applyFont="1" applyBorder="1" applyAlignment="1">
      <alignment/>
    </xf>
    <xf numFmtId="44" fontId="0" fillId="0" borderId="0" xfId="53" applyFont="1" applyBorder="1" applyAlignment="1">
      <alignment/>
    </xf>
    <xf numFmtId="44" fontId="0" fillId="0" borderId="0" xfId="53" applyFont="1" applyFill="1" applyBorder="1" applyAlignment="1">
      <alignment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2" xfId="67"/>
    <cellStyle name="Normal 2 2 2 2 3" xfId="68"/>
    <cellStyle name="Normal 2 8" xfId="69"/>
    <cellStyle name="Normal 90" xfId="70"/>
    <cellStyle name="Normal 93" xfId="71"/>
    <cellStyle name="Normal 94" xfId="72"/>
    <cellStyle name="Normal 98" xfId="73"/>
    <cellStyle name="Normal_Price out" xfId="74"/>
    <cellStyle name="Note" xfId="75"/>
    <cellStyle name="Output" xfId="76"/>
    <cellStyle name="Percent" xfId="77"/>
    <cellStyle name="Percent 2" xfId="78"/>
    <cellStyle name="Percent 2 6" xfId="79"/>
    <cellStyle name="Percent 3" xfId="80"/>
    <cellStyle name="PS_Comma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Title" xfId="88"/>
    <cellStyle name="Total" xfId="89"/>
    <cellStyle name="Warning Text" xfId="90"/>
    <cellStyle name="WM_STANDAR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44">
      <selection activeCell="B49" sqref="B49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2" t="s">
        <v>15</v>
      </c>
      <c r="B1" s="162"/>
      <c r="C1" s="162"/>
      <c r="D1" s="162"/>
      <c r="E1" s="162"/>
      <c r="F1" s="162"/>
      <c r="G1" s="162"/>
      <c r="H1" s="162"/>
    </row>
    <row r="2" spans="1:8" ht="15">
      <c r="A2" s="47" t="s">
        <v>16</v>
      </c>
      <c r="B2" s="48" t="s">
        <v>17</v>
      </c>
      <c r="C2" s="48" t="s">
        <v>18</v>
      </c>
      <c r="D2" s="48" t="s">
        <v>19</v>
      </c>
      <c r="E2" s="49" t="s">
        <v>20</v>
      </c>
      <c r="F2" s="49" t="s">
        <v>21</v>
      </c>
      <c r="G2" s="49" t="s">
        <v>22</v>
      </c>
      <c r="H2" s="48" t="s">
        <v>23</v>
      </c>
    </row>
    <row r="3" spans="1:8" ht="15">
      <c r="A3" s="47" t="s">
        <v>24</v>
      </c>
      <c r="B3" s="50">
        <f>52*5/12</f>
        <v>21.666666666666668</v>
      </c>
      <c r="C3" s="51">
        <f>$B$3*2</f>
        <v>43.333333333333336</v>
      </c>
      <c r="D3" s="51">
        <f>$B$3*3</f>
        <v>65</v>
      </c>
      <c r="E3" s="51">
        <f>$B$3*4</f>
        <v>86.66666666666667</v>
      </c>
      <c r="F3" s="51">
        <f>$B$3*5</f>
        <v>108.33333333333334</v>
      </c>
      <c r="G3" s="51">
        <f>$B$3*6</f>
        <v>130</v>
      </c>
      <c r="H3" s="51">
        <f>$B$3*7</f>
        <v>151.66666666666669</v>
      </c>
    </row>
    <row r="4" spans="1:8" ht="15">
      <c r="A4" s="47" t="s">
        <v>25</v>
      </c>
      <c r="B4" s="50">
        <f>52*4/12</f>
        <v>17.333333333333332</v>
      </c>
      <c r="C4" s="51">
        <f>$B$4*2</f>
        <v>34.666666666666664</v>
      </c>
      <c r="D4" s="51">
        <f>$B$4*3</f>
        <v>52</v>
      </c>
      <c r="E4" s="51">
        <f>$B$4*4</f>
        <v>69.33333333333333</v>
      </c>
      <c r="F4" s="51">
        <f>$B$4*5</f>
        <v>86.66666666666666</v>
      </c>
      <c r="G4" s="51">
        <f>$B$4*6</f>
        <v>104</v>
      </c>
      <c r="H4" s="51">
        <f>$B$4*7</f>
        <v>121.33333333333333</v>
      </c>
    </row>
    <row r="5" spans="1:8" ht="15">
      <c r="A5" s="47" t="s">
        <v>26</v>
      </c>
      <c r="B5" s="50">
        <f>52*3/12</f>
        <v>13</v>
      </c>
      <c r="C5" s="51">
        <f>$B$5*2</f>
        <v>26</v>
      </c>
      <c r="D5" s="51">
        <f>$B$5*3</f>
        <v>39</v>
      </c>
      <c r="E5" s="51">
        <f>$B$5*4</f>
        <v>52</v>
      </c>
      <c r="F5" s="51">
        <f>$B$5*5</f>
        <v>65</v>
      </c>
      <c r="G5" s="51">
        <f>$B$5*6</f>
        <v>78</v>
      </c>
      <c r="H5" s="51">
        <f>$B$5*7</f>
        <v>91</v>
      </c>
    </row>
    <row r="6" spans="1:8" ht="15">
      <c r="A6" s="47" t="s">
        <v>27</v>
      </c>
      <c r="B6" s="50">
        <f>52*2/12</f>
        <v>8.666666666666666</v>
      </c>
      <c r="C6" s="52">
        <f>$B$6*2</f>
        <v>17.333333333333332</v>
      </c>
      <c r="D6" s="52">
        <f>$B$6*3</f>
        <v>26</v>
      </c>
      <c r="E6" s="52">
        <f>$B$6*4</f>
        <v>34.666666666666664</v>
      </c>
      <c r="F6" s="52">
        <f>$B$6*5</f>
        <v>43.33333333333333</v>
      </c>
      <c r="G6" s="52">
        <f>$B$6*6</f>
        <v>52</v>
      </c>
      <c r="H6" s="52">
        <f>$B$6*7</f>
        <v>60.666666666666664</v>
      </c>
    </row>
    <row r="7" spans="1:8" ht="15">
      <c r="A7" s="47" t="s">
        <v>28</v>
      </c>
      <c r="B7" s="50">
        <f>52/12</f>
        <v>4.333333333333333</v>
      </c>
      <c r="C7" s="52">
        <f>$B$7*2</f>
        <v>8.666666666666666</v>
      </c>
      <c r="D7" s="52">
        <f>$B$7*3</f>
        <v>13</v>
      </c>
      <c r="E7" s="52">
        <f>$B$7*4</f>
        <v>17.333333333333332</v>
      </c>
      <c r="F7" s="52">
        <f>$B$7*5</f>
        <v>21.666666666666664</v>
      </c>
      <c r="G7" s="52">
        <f>$B$7*6</f>
        <v>26</v>
      </c>
      <c r="H7" s="52">
        <f>$B$7*7</f>
        <v>30.333333333333332</v>
      </c>
    </row>
    <row r="8" spans="1:8" ht="15">
      <c r="A8" s="47" t="s">
        <v>29</v>
      </c>
      <c r="B8" s="50">
        <f>26/12</f>
        <v>2.1666666666666665</v>
      </c>
      <c r="C8" s="52">
        <f>$B$8*2</f>
        <v>4.333333333333333</v>
      </c>
      <c r="D8" s="52">
        <f>$B$8*3</f>
        <v>6.5</v>
      </c>
      <c r="E8" s="52">
        <f>$B$8*4</f>
        <v>8.666666666666666</v>
      </c>
      <c r="F8" s="52">
        <f>$B$8*5</f>
        <v>10.833333333333332</v>
      </c>
      <c r="G8" s="52">
        <f>$B$8*6</f>
        <v>13</v>
      </c>
      <c r="H8" s="52">
        <f>$B$8*7</f>
        <v>15.166666666666666</v>
      </c>
    </row>
    <row r="9" spans="1:8" ht="15">
      <c r="A9" s="47" t="s">
        <v>30</v>
      </c>
      <c r="B9" s="50">
        <f>12/12</f>
        <v>1</v>
      </c>
      <c r="C9" s="52">
        <f>$B$9*2</f>
        <v>2</v>
      </c>
      <c r="D9" s="52">
        <f>$B$9*3</f>
        <v>3</v>
      </c>
      <c r="E9" s="52">
        <f>$B$9*4</f>
        <v>4</v>
      </c>
      <c r="F9" s="52">
        <f>$B$9*5</f>
        <v>5</v>
      </c>
      <c r="G9" s="52">
        <f>$B$9*6</f>
        <v>6</v>
      </c>
      <c r="H9" s="52">
        <f>$B$9*7</f>
        <v>7</v>
      </c>
    </row>
    <row r="10" spans="1:8" ht="15">
      <c r="A10" s="47"/>
      <c r="B10" s="50"/>
      <c r="C10" s="52"/>
      <c r="D10" s="52"/>
      <c r="E10" s="52"/>
      <c r="F10" s="52"/>
      <c r="G10" s="52"/>
      <c r="H10" s="52"/>
    </row>
    <row r="11" spans="1:8" ht="15">
      <c r="A11" s="162" t="s">
        <v>31</v>
      </c>
      <c r="B11" s="162"/>
      <c r="C11" s="52"/>
      <c r="D11" s="52"/>
      <c r="E11" s="52"/>
      <c r="F11" s="52"/>
      <c r="G11" s="52"/>
      <c r="H11" s="52"/>
    </row>
    <row r="12" spans="1:8" ht="15">
      <c r="A12" s="53" t="s">
        <v>32</v>
      </c>
      <c r="B12" s="54" t="s">
        <v>33</v>
      </c>
      <c r="C12" s="52"/>
      <c r="D12" s="52"/>
      <c r="E12" s="52"/>
      <c r="F12" s="52"/>
      <c r="G12" s="52"/>
      <c r="H12" s="52"/>
    </row>
    <row r="13" spans="1:8" ht="15">
      <c r="A13" s="55" t="s">
        <v>34</v>
      </c>
      <c r="B13" s="56">
        <v>20</v>
      </c>
      <c r="C13" s="52"/>
      <c r="D13" s="52"/>
      <c r="E13" s="52"/>
      <c r="F13" s="52"/>
      <c r="G13" s="52"/>
      <c r="H13" s="52"/>
    </row>
    <row r="14" spans="1:8" ht="15">
      <c r="A14" s="55" t="s">
        <v>35</v>
      </c>
      <c r="B14" s="56">
        <v>34</v>
      </c>
      <c r="C14" s="52"/>
      <c r="D14" s="52"/>
      <c r="E14" s="52"/>
      <c r="F14" s="52"/>
      <c r="G14" s="52"/>
      <c r="H14" s="52"/>
    </row>
    <row r="15" spans="1:8" ht="15">
      <c r="A15" s="55" t="s">
        <v>36</v>
      </c>
      <c r="B15" s="56">
        <v>51</v>
      </c>
      <c r="C15" s="52"/>
      <c r="D15" s="52"/>
      <c r="E15" s="52"/>
      <c r="F15" s="52"/>
      <c r="G15" s="52"/>
      <c r="H15" s="52"/>
    </row>
    <row r="16" spans="1:8" ht="15">
      <c r="A16" s="55" t="s">
        <v>37</v>
      </c>
      <c r="B16" s="56">
        <v>77</v>
      </c>
      <c r="C16" s="52"/>
      <c r="D16" s="52"/>
      <c r="E16" s="52"/>
      <c r="F16" s="47" t="s">
        <v>38</v>
      </c>
      <c r="G16" s="56">
        <v>2000</v>
      </c>
      <c r="H16" s="52"/>
    </row>
    <row r="17" spans="1:8" ht="15">
      <c r="A17" s="55" t="s">
        <v>39</v>
      </c>
      <c r="B17" s="56">
        <v>97</v>
      </c>
      <c r="C17" s="52"/>
      <c r="D17" s="52"/>
      <c r="E17" s="52"/>
      <c r="F17" s="47" t="s">
        <v>40</v>
      </c>
      <c r="G17" s="57" t="s">
        <v>41</v>
      </c>
      <c r="H17" s="52"/>
    </row>
    <row r="18" spans="1:8" ht="15">
      <c r="A18" s="55" t="s">
        <v>42</v>
      </c>
      <c r="B18" s="56">
        <v>117</v>
      </c>
      <c r="C18" s="52"/>
      <c r="D18" s="52"/>
      <c r="E18" s="52"/>
      <c r="F18" s="47"/>
      <c r="G18" s="47"/>
      <c r="H18" s="52"/>
    </row>
    <row r="19" spans="1:8" ht="15">
      <c r="A19" s="55" t="s">
        <v>43</v>
      </c>
      <c r="B19" s="56">
        <v>157</v>
      </c>
      <c r="C19" s="52"/>
      <c r="D19" s="52"/>
      <c r="E19" s="52"/>
      <c r="F19" s="58"/>
      <c r="G19" s="59"/>
      <c r="H19" s="52"/>
    </row>
    <row r="20" spans="1:8" ht="15">
      <c r="A20" s="55" t="s">
        <v>44</v>
      </c>
      <c r="B20" s="56">
        <v>37</v>
      </c>
      <c r="C20" s="52" t="s">
        <v>45</v>
      </c>
      <c r="D20" s="52"/>
      <c r="E20" s="52"/>
      <c r="F20" s="58"/>
      <c r="G20" s="59"/>
      <c r="H20" s="52"/>
    </row>
    <row r="21" spans="1:8" ht="15">
      <c r="A21" s="55" t="s">
        <v>46</v>
      </c>
      <c r="B21" s="56">
        <v>47</v>
      </c>
      <c r="C21" s="52"/>
      <c r="D21" s="52"/>
      <c r="E21" s="52"/>
      <c r="F21" s="52"/>
      <c r="G21" s="52"/>
      <c r="H21" s="52"/>
    </row>
    <row r="22" spans="1:8" ht="15">
      <c r="A22" s="55" t="s">
        <v>47</v>
      </c>
      <c r="B22" s="56">
        <v>68</v>
      </c>
      <c r="C22" s="52"/>
      <c r="D22" s="52"/>
      <c r="E22" s="52"/>
      <c r="F22" s="52"/>
      <c r="G22" s="52"/>
      <c r="H22" s="52"/>
    </row>
    <row r="23" spans="1:8" ht="15">
      <c r="A23" s="55" t="s">
        <v>48</v>
      </c>
      <c r="B23" s="56">
        <v>34</v>
      </c>
      <c r="C23" s="52"/>
      <c r="D23" s="52"/>
      <c r="E23" s="52"/>
      <c r="F23" s="52"/>
      <c r="G23" s="52"/>
      <c r="H23" s="52"/>
    </row>
    <row r="24" spans="1:8" ht="15">
      <c r="A24" s="55" t="s">
        <v>49</v>
      </c>
      <c r="B24" s="56">
        <v>34</v>
      </c>
      <c r="C24" s="52"/>
      <c r="D24" s="52"/>
      <c r="E24" s="52"/>
      <c r="F24" s="52"/>
      <c r="G24" s="52"/>
      <c r="H24" s="52"/>
    </row>
    <row r="25" spans="1:8" ht="15">
      <c r="A25" s="53" t="s">
        <v>50</v>
      </c>
      <c r="B25" s="56"/>
      <c r="C25" s="52"/>
      <c r="D25" s="52"/>
      <c r="E25" s="52"/>
      <c r="F25" s="52"/>
      <c r="G25" s="52"/>
      <c r="H25" s="52"/>
    </row>
    <row r="26" spans="1:8" ht="15">
      <c r="A26" s="55" t="s">
        <v>51</v>
      </c>
      <c r="B26" s="56">
        <v>29</v>
      </c>
      <c r="C26" s="52"/>
      <c r="D26" s="52"/>
      <c r="E26" s="52"/>
      <c r="F26" s="52"/>
      <c r="G26" s="52"/>
      <c r="H26" s="52"/>
    </row>
    <row r="27" spans="1:8" ht="15">
      <c r="A27" s="55" t="s">
        <v>52</v>
      </c>
      <c r="B27" s="56">
        <v>175</v>
      </c>
      <c r="C27" s="52"/>
      <c r="D27" s="52"/>
      <c r="E27" s="52"/>
      <c r="F27" s="52"/>
      <c r="G27" s="52"/>
      <c r="H27" s="52"/>
    </row>
    <row r="28" spans="1:8" ht="15">
      <c r="A28" s="55" t="s">
        <v>53</v>
      </c>
      <c r="B28" s="56">
        <v>250</v>
      </c>
      <c r="C28" s="52"/>
      <c r="D28" s="52"/>
      <c r="E28" s="52"/>
      <c r="F28" s="52"/>
      <c r="G28" s="52"/>
      <c r="H28" s="52"/>
    </row>
    <row r="29" spans="1:8" ht="15">
      <c r="A29" s="55" t="s">
        <v>54</v>
      </c>
      <c r="B29" s="56">
        <v>324</v>
      </c>
      <c r="C29" s="52"/>
      <c r="D29" s="52"/>
      <c r="E29" s="52"/>
      <c r="F29" s="52"/>
      <c r="G29" s="52"/>
      <c r="H29" s="52"/>
    </row>
    <row r="30" spans="1:8" ht="15">
      <c r="A30" s="55" t="s">
        <v>55</v>
      </c>
      <c r="B30" s="56">
        <v>473</v>
      </c>
      <c r="C30" s="52"/>
      <c r="D30" s="52"/>
      <c r="E30" s="52"/>
      <c r="F30" s="52"/>
      <c r="G30" s="52"/>
      <c r="H30" s="52"/>
    </row>
    <row r="31" spans="1:8" ht="15">
      <c r="A31" s="55" t="s">
        <v>56</v>
      </c>
      <c r="B31" s="56">
        <v>613</v>
      </c>
      <c r="C31" s="52"/>
      <c r="D31" s="52"/>
      <c r="E31" s="52"/>
      <c r="F31" s="52"/>
      <c r="G31" s="52"/>
      <c r="H31" s="52"/>
    </row>
    <row r="32" spans="1:8" ht="15">
      <c r="A32" s="55" t="s">
        <v>57</v>
      </c>
      <c r="B32" s="56">
        <v>840</v>
      </c>
      <c r="C32" s="52"/>
      <c r="D32" s="52"/>
      <c r="E32" s="52"/>
      <c r="F32" s="52"/>
      <c r="G32" s="52"/>
      <c r="H32" s="52"/>
    </row>
    <row r="33" spans="1:8" ht="15">
      <c r="A33" s="55" t="s">
        <v>58</v>
      </c>
      <c r="B33" s="56">
        <v>980</v>
      </c>
      <c r="C33" s="52"/>
      <c r="D33" s="52"/>
      <c r="E33" s="52"/>
      <c r="F33" s="52"/>
      <c r="G33" s="52"/>
      <c r="H33" s="52"/>
    </row>
    <row r="34" spans="1:8" ht="15">
      <c r="A34" s="55" t="s">
        <v>59</v>
      </c>
      <c r="B34" s="56">
        <v>482</v>
      </c>
      <c r="C34" s="52" t="s">
        <v>45</v>
      </c>
      <c r="D34" s="52"/>
      <c r="E34" s="52"/>
      <c r="F34" s="52"/>
      <c r="G34" s="52"/>
      <c r="H34" s="52"/>
    </row>
    <row r="35" spans="1:8" ht="15">
      <c r="A35" s="55" t="s">
        <v>60</v>
      </c>
      <c r="B35" s="56">
        <v>689</v>
      </c>
      <c r="C35" s="52" t="s">
        <v>45</v>
      </c>
      <c r="D35" s="52"/>
      <c r="E35" s="52"/>
      <c r="F35" s="52"/>
      <c r="G35" s="52"/>
      <c r="H35" s="52"/>
    </row>
    <row r="36" spans="1:8" ht="15">
      <c r="A36" s="55" t="s">
        <v>61</v>
      </c>
      <c r="B36" s="56">
        <v>892</v>
      </c>
      <c r="C36" s="52" t="s">
        <v>45</v>
      </c>
      <c r="D36" s="52"/>
      <c r="E36" s="52"/>
      <c r="F36" s="52"/>
      <c r="G36" s="52"/>
      <c r="H36" s="52"/>
    </row>
    <row r="37" spans="1:8" ht="15">
      <c r="A37" s="55" t="s">
        <v>62</v>
      </c>
      <c r="B37" s="56">
        <v>1301</v>
      </c>
      <c r="C37" s="52"/>
      <c r="D37" s="52"/>
      <c r="E37" s="52"/>
      <c r="F37" s="52"/>
      <c r="G37" s="52"/>
      <c r="H37" s="52"/>
    </row>
    <row r="38" spans="1:8" ht="15">
      <c r="A38" s="55" t="s">
        <v>63</v>
      </c>
      <c r="B38" s="56">
        <v>1686</v>
      </c>
      <c r="C38" s="52"/>
      <c r="D38" s="52"/>
      <c r="E38" s="52"/>
      <c r="F38" s="52"/>
      <c r="G38" s="52"/>
      <c r="H38" s="52"/>
    </row>
    <row r="39" spans="1:8" ht="15">
      <c r="A39" s="55" t="s">
        <v>64</v>
      </c>
      <c r="B39" s="56">
        <v>2046</v>
      </c>
      <c r="C39" s="52"/>
      <c r="D39" s="52"/>
      <c r="E39" s="52"/>
      <c r="F39" s="52"/>
      <c r="G39" s="52"/>
      <c r="H39" s="52"/>
    </row>
    <row r="40" spans="1:8" ht="15">
      <c r="A40" s="55" t="s">
        <v>65</v>
      </c>
      <c r="B40" s="56">
        <v>2310</v>
      </c>
      <c r="C40" s="52"/>
      <c r="D40" s="52"/>
      <c r="E40" s="52"/>
      <c r="F40" s="52"/>
      <c r="G40" s="52"/>
      <c r="H40" s="52"/>
    </row>
    <row r="41" spans="1:8" ht="15">
      <c r="A41" s="55" t="s">
        <v>66</v>
      </c>
      <c r="B41" s="56">
        <v>2800</v>
      </c>
      <c r="C41" s="52" t="s">
        <v>45</v>
      </c>
      <c r="D41" s="52"/>
      <c r="E41" s="52"/>
      <c r="F41" s="52"/>
      <c r="G41" s="52"/>
      <c r="H41" s="52"/>
    </row>
    <row r="42" spans="1:8" ht="15">
      <c r="A42" s="55" t="s">
        <v>67</v>
      </c>
      <c r="B42" s="56">
        <v>125</v>
      </c>
      <c r="C42" s="52"/>
      <c r="D42" s="52"/>
      <c r="E42" s="52"/>
      <c r="F42" s="52"/>
      <c r="G42" s="52"/>
      <c r="H42" s="52"/>
    </row>
    <row r="43" spans="1:8" ht="15">
      <c r="A43" s="47"/>
      <c r="B43" s="163" t="s">
        <v>68</v>
      </c>
      <c r="C43" s="163"/>
      <c r="D43" s="47"/>
      <c r="E43" s="47"/>
      <c r="F43" s="47"/>
      <c r="G43" s="47"/>
      <c r="H43" s="47"/>
    </row>
    <row r="44" spans="1:8" ht="15">
      <c r="A44" s="47"/>
      <c r="B44" s="47"/>
      <c r="C44" s="47"/>
      <c r="D44" s="47"/>
      <c r="E44" s="47"/>
      <c r="F44" s="47"/>
      <c r="G44" s="47"/>
      <c r="H44" s="47"/>
    </row>
    <row r="45" spans="1:8" ht="15">
      <c r="A45" s="47"/>
      <c r="B45" s="47"/>
      <c r="C45" s="47"/>
      <c r="D45" s="47"/>
      <c r="E45" s="47"/>
      <c r="F45" s="47"/>
      <c r="G45" s="47"/>
      <c r="H45" s="47"/>
    </row>
    <row r="46" spans="1:8" ht="15">
      <c r="A46" s="60" t="s">
        <v>69</v>
      </c>
      <c r="B46" s="61" t="s">
        <v>70</v>
      </c>
      <c r="C46" s="61" t="s">
        <v>71</v>
      </c>
      <c r="D46" s="47"/>
      <c r="E46" s="47"/>
      <c r="F46" s="164" t="s">
        <v>72</v>
      </c>
      <c r="G46" s="164"/>
      <c r="H46" s="47"/>
    </row>
    <row r="47" spans="1:8" ht="15">
      <c r="A47" s="62" t="s">
        <v>73</v>
      </c>
      <c r="B47" s="123">
        <v>99</v>
      </c>
      <c r="C47" s="124">
        <f>B47/2000</f>
        <v>0.0495</v>
      </c>
      <c r="D47" s="47"/>
      <c r="E47" s="47"/>
      <c r="F47" s="47" t="s">
        <v>74</v>
      </c>
      <c r="G47" s="143">
        <v>0.0175</v>
      </c>
      <c r="H47" s="47"/>
    </row>
    <row r="48" spans="1:8" ht="15">
      <c r="A48" s="62" t="s">
        <v>75</v>
      </c>
      <c r="B48" s="122">
        <v>101</v>
      </c>
      <c r="C48" s="125">
        <f>B48/2000</f>
        <v>0.0505</v>
      </c>
      <c r="D48" s="47"/>
      <c r="E48" s="47"/>
      <c r="F48" s="47" t="s">
        <v>76</v>
      </c>
      <c r="G48" s="144">
        <v>0.0051</v>
      </c>
      <c r="H48" s="47"/>
    </row>
    <row r="49" spans="1:8" ht="15">
      <c r="A49" s="55" t="s">
        <v>77</v>
      </c>
      <c r="B49" s="123">
        <f>B48-B47</f>
        <v>2</v>
      </c>
      <c r="C49" s="126">
        <f>C48-C47</f>
        <v>0.0010000000000000009</v>
      </c>
      <c r="D49" s="47"/>
      <c r="E49" s="47"/>
      <c r="F49" s="47" t="s">
        <v>78</v>
      </c>
      <c r="G49" s="151">
        <v>0.00427</v>
      </c>
      <c r="H49" s="47"/>
    </row>
    <row r="50" spans="1:8" ht="15">
      <c r="A50" s="47"/>
      <c r="B50" s="47"/>
      <c r="C50" s="47"/>
      <c r="D50" s="47"/>
      <c r="E50" s="47"/>
      <c r="G50" s="149">
        <f>SUM(G47:G49)</f>
        <v>0.02687</v>
      </c>
      <c r="H50" s="47"/>
    </row>
    <row r="51" spans="1:8" ht="15">
      <c r="A51" s="47"/>
      <c r="C51" s="63" t="s">
        <v>79</v>
      </c>
      <c r="D51" s="47"/>
      <c r="E51" s="47"/>
      <c r="H51" s="47"/>
    </row>
    <row r="52" spans="1:8" ht="15">
      <c r="A52" s="47" t="s">
        <v>80</v>
      </c>
      <c r="C52" s="64">
        <f>B49</f>
        <v>2</v>
      </c>
      <c r="D52" s="47"/>
      <c r="E52" s="47"/>
      <c r="F52" s="47"/>
      <c r="G52" s="145"/>
      <c r="H52" s="47"/>
    </row>
    <row r="53" spans="1:8" ht="15">
      <c r="A53" s="47" t="s">
        <v>82</v>
      </c>
      <c r="C53" s="64">
        <f>C52/$G$57</f>
        <v>2.0552238652595234</v>
      </c>
      <c r="D53" s="47"/>
      <c r="E53" s="47"/>
      <c r="F53" s="47" t="s">
        <v>3</v>
      </c>
      <c r="G53" s="146">
        <f>+G52+G50</f>
        <v>0.02687</v>
      </c>
      <c r="H53" s="47"/>
    </row>
    <row r="54" spans="1:8" ht="15">
      <c r="A54" s="47" t="s">
        <v>83</v>
      </c>
      <c r="C54" s="66">
        <f>'Calc. and priceout'!C107</f>
        <v>17582.550900000002</v>
      </c>
      <c r="D54" s="47"/>
      <c r="E54" s="47"/>
      <c r="F54" s="47"/>
      <c r="G54" s="47"/>
      <c r="H54" s="47"/>
    </row>
    <row r="55" spans="1:8" ht="17.25">
      <c r="A55" s="53" t="s">
        <v>84</v>
      </c>
      <c r="C55" s="148">
        <f>C53*C54</f>
        <v>36136.07822182032</v>
      </c>
      <c r="D55" s="47"/>
      <c r="E55" s="47"/>
      <c r="F55" s="47"/>
      <c r="G55" s="65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7" ht="15">
      <c r="A57" s="47" t="s">
        <v>109</v>
      </c>
      <c r="C57" s="139">
        <f>+'Co. Pro Tonnage'!J11</f>
        <v>9874.920000000042</v>
      </c>
      <c r="F57" s="47" t="s">
        <v>81</v>
      </c>
      <c r="G57" s="65">
        <f>1-G53</f>
        <v>0.97313</v>
      </c>
    </row>
    <row r="58" spans="1:3" ht="17.25">
      <c r="A58" s="47"/>
      <c r="B58" s="150"/>
      <c r="C58" s="140"/>
    </row>
    <row r="59" spans="1:3" ht="17.25">
      <c r="A59" s="53"/>
      <c r="B59" s="139"/>
      <c r="C59" s="141">
        <f>+C57+C55</f>
        <v>46010.99822182036</v>
      </c>
    </row>
    <row r="60" spans="1:3" ht="17.25">
      <c r="A60" s="53"/>
      <c r="B60" s="138"/>
      <c r="C60" s="141"/>
    </row>
    <row r="61" spans="1:3" ht="17.25">
      <c r="A61" s="53"/>
      <c r="B61" s="140"/>
      <c r="C61" s="141"/>
    </row>
    <row r="62" spans="1:3" ht="17.25">
      <c r="A62" s="53"/>
      <c r="B62" s="152"/>
      <c r="C62" s="141"/>
    </row>
    <row r="64" spans="1:2" ht="48.75" customHeight="1">
      <c r="A64" s="165"/>
      <c r="B64" s="165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tabSelected="1" zoomScale="80" zoomScaleNormal="80" zoomScalePageLayoutView="0" workbookViewId="0" topLeftCell="A1">
      <pane xSplit="3" ySplit="1" topLeftCell="L8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105" sqref="X105"/>
    </sheetView>
  </sheetViews>
  <sheetFormatPr defaultColWidth="8.8515625" defaultRowHeight="15"/>
  <cols>
    <col min="1" max="1" width="4.57421875" style="71" customWidth="1"/>
    <col min="2" max="2" width="21.140625" style="90" customWidth="1"/>
    <col min="3" max="3" width="31.7109375" style="71" bestFit="1" customWidth="1"/>
    <col min="4" max="4" width="11.57421875" style="94" customWidth="1"/>
    <col min="5" max="5" width="18.421875" style="71" customWidth="1"/>
    <col min="6" max="6" width="13.28125" style="71" customWidth="1"/>
    <col min="7" max="7" width="14.57421875" style="71" customWidth="1"/>
    <col min="8" max="8" width="21.421875" style="71" customWidth="1"/>
    <col min="9" max="9" width="16.28125" style="89" customWidth="1"/>
    <col min="10" max="10" width="14.140625" style="71" customWidth="1"/>
    <col min="11" max="11" width="14.28125" style="71" customWidth="1"/>
    <col min="12" max="12" width="10.7109375" style="71" customWidth="1"/>
    <col min="13" max="13" width="14.28125" style="71" customWidth="1"/>
    <col min="14" max="14" width="16.28125" style="71" customWidth="1"/>
    <col min="15" max="15" width="16.57421875" style="71" customWidth="1"/>
    <col min="16" max="16" width="13.57421875" style="71" bestFit="1" customWidth="1"/>
    <col min="17" max="17" width="16.57421875" style="71" bestFit="1" customWidth="1"/>
    <col min="18" max="18" width="16.28125" style="71" customWidth="1"/>
    <col min="19" max="20" width="8.8515625" style="71" customWidth="1"/>
    <col min="21" max="21" width="11.57421875" style="71" customWidth="1"/>
    <col min="22" max="23" width="8.8515625" style="71" customWidth="1"/>
    <col min="24" max="24" width="13.00390625" style="71" bestFit="1" customWidth="1"/>
    <col min="25" max="25" width="12.28125" style="71" bestFit="1" customWidth="1"/>
    <col min="26" max="16384" width="8.8515625" style="71" customWidth="1"/>
  </cols>
  <sheetData>
    <row r="1" spans="1:25" ht="42" customHeight="1">
      <c r="A1" s="60"/>
      <c r="B1" s="67" t="s">
        <v>85</v>
      </c>
      <c r="C1" s="68" t="s">
        <v>86</v>
      </c>
      <c r="D1" s="67" t="s">
        <v>198</v>
      </c>
      <c r="E1" s="67" t="s">
        <v>87</v>
      </c>
      <c r="F1" s="60" t="s">
        <v>88</v>
      </c>
      <c r="G1" s="67" t="s">
        <v>31</v>
      </c>
      <c r="H1" s="69" t="s">
        <v>89</v>
      </c>
      <c r="I1" s="70" t="s">
        <v>90</v>
      </c>
      <c r="J1" s="67" t="s">
        <v>77</v>
      </c>
      <c r="K1" s="67" t="s">
        <v>91</v>
      </c>
      <c r="L1" s="69" t="s">
        <v>92</v>
      </c>
      <c r="M1" s="67" t="s">
        <v>93</v>
      </c>
      <c r="N1" s="69" t="s">
        <v>108</v>
      </c>
      <c r="O1" s="69" t="s">
        <v>94</v>
      </c>
      <c r="P1" s="67" t="s">
        <v>95</v>
      </c>
      <c r="Q1" s="69" t="s">
        <v>96</v>
      </c>
      <c r="R1" s="67" t="s">
        <v>97</v>
      </c>
      <c r="Y1" s="71" t="s">
        <v>67</v>
      </c>
    </row>
    <row r="2" spans="1:22" s="75" customFormat="1" ht="15">
      <c r="A2" s="166" t="s">
        <v>98</v>
      </c>
      <c r="B2" s="72">
        <v>23</v>
      </c>
      <c r="C2" s="155" t="s">
        <v>184</v>
      </c>
      <c r="D2" s="158">
        <v>133</v>
      </c>
      <c r="E2" s="77">
        <v>1</v>
      </c>
      <c r="F2" s="117">
        <f>+E2*D2*12</f>
        <v>1596</v>
      </c>
      <c r="G2" s="131">
        <f>+References!B14</f>
        <v>34</v>
      </c>
      <c r="H2" s="97">
        <f>G2*F2</f>
        <v>54264</v>
      </c>
      <c r="I2" s="76">
        <f>$C$110*H2</f>
        <v>40690.12175906883</v>
      </c>
      <c r="J2" s="73">
        <f>(References!$C$49*I2)</f>
        <v>40.690121759068866</v>
      </c>
      <c r="K2" s="73">
        <f>J2/References!$G$57</f>
        <v>41.81365465977707</v>
      </c>
      <c r="L2" s="137">
        <f>ROUND(((K2/F2)*E2),2)</f>
        <v>0.03</v>
      </c>
      <c r="M2" s="27">
        <v>6.33</v>
      </c>
      <c r="N2" s="73">
        <f>L2+M2</f>
        <v>6.36</v>
      </c>
      <c r="O2" s="73">
        <f>D2*M2*12</f>
        <v>10102.68</v>
      </c>
      <c r="P2" s="74">
        <f>N2</f>
        <v>6.36</v>
      </c>
      <c r="Q2" s="74">
        <f>D2*P2*12</f>
        <v>10150.56</v>
      </c>
      <c r="R2" s="74">
        <f>Q2-O2</f>
        <v>47.8799999999992</v>
      </c>
      <c r="U2" s="153">
        <f>+N2/M2-1</f>
        <v>0.004739336492890933</v>
      </c>
      <c r="V2" s="27"/>
    </row>
    <row r="3" spans="1:22" s="75" customFormat="1" ht="15">
      <c r="A3" s="166"/>
      <c r="B3" s="72">
        <v>25</v>
      </c>
      <c r="C3" s="155" t="s">
        <v>185</v>
      </c>
      <c r="D3" s="158">
        <v>2</v>
      </c>
      <c r="E3" s="77">
        <v>1</v>
      </c>
      <c r="F3" s="120">
        <f>+E3*D3*12</f>
        <v>24</v>
      </c>
      <c r="G3" s="131">
        <f>+G2</f>
        <v>34</v>
      </c>
      <c r="H3" s="120">
        <f>G3*F3</f>
        <v>816</v>
      </c>
      <c r="I3" s="76">
        <f>$C$110*H3</f>
        <v>611.8815302115613</v>
      </c>
      <c r="J3" s="121">
        <f>(References!$C$49*I3)</f>
        <v>0.6118815302115619</v>
      </c>
      <c r="K3" s="121">
        <f>J3/References!$G$57</f>
        <v>0.628776761801159</v>
      </c>
      <c r="L3" s="137">
        <f>ROUND(((K3/F3)*E3),2)</f>
        <v>0.03</v>
      </c>
      <c r="M3" s="27">
        <v>7.53</v>
      </c>
      <c r="N3" s="121">
        <f>L3+M3</f>
        <v>7.5600000000000005</v>
      </c>
      <c r="O3" s="121">
        <f>D3*M3*12</f>
        <v>180.72</v>
      </c>
      <c r="P3" s="74">
        <f>N3</f>
        <v>7.5600000000000005</v>
      </c>
      <c r="Q3" s="74">
        <f>D3*P3*12</f>
        <v>181.44</v>
      </c>
      <c r="R3" s="74">
        <f>Q3-O3</f>
        <v>0.7199999999999989</v>
      </c>
      <c r="U3" s="153">
        <f>+N3/M3-1</f>
        <v>0.003984063745019917</v>
      </c>
      <c r="V3" s="27"/>
    </row>
    <row r="4" spans="1:22" s="75" customFormat="1" ht="15">
      <c r="A4" s="166"/>
      <c r="B4" s="72">
        <v>23</v>
      </c>
      <c r="C4" s="155" t="s">
        <v>113</v>
      </c>
      <c r="D4" s="158">
        <v>363</v>
      </c>
      <c r="E4" s="77">
        <v>2.1666666666666665</v>
      </c>
      <c r="F4" s="154">
        <f aca="true" t="shared" si="0" ref="F4:F26">+E4*D4*12</f>
        <v>9438</v>
      </c>
      <c r="G4" s="131">
        <f>+G3</f>
        <v>34</v>
      </c>
      <c r="H4" s="154">
        <f aca="true" t="shared" si="1" ref="H4:H26">G4*F4</f>
        <v>320892</v>
      </c>
      <c r="I4" s="76">
        <f aca="true" t="shared" si="2" ref="I4:I26">$C$110*H4</f>
        <v>240622.4117556965</v>
      </c>
      <c r="J4" s="121">
        <f>(References!$C$49*I4)</f>
        <v>240.6224117556967</v>
      </c>
      <c r="K4" s="121">
        <f>J4/References!$G$57</f>
        <v>247.26646157830578</v>
      </c>
      <c r="L4" s="137">
        <f aca="true" t="shared" si="3" ref="L4:L26">ROUND(((K4/F4)*E4),2)</f>
        <v>0.06</v>
      </c>
      <c r="M4" s="27">
        <v>12.89</v>
      </c>
      <c r="N4" s="121">
        <f aca="true" t="shared" si="4" ref="M4:N26">L4+M4</f>
        <v>12.950000000000001</v>
      </c>
      <c r="O4" s="121">
        <f aca="true" t="shared" si="5" ref="O4:O26">D4*M4*12</f>
        <v>56148.84000000001</v>
      </c>
      <c r="P4" s="74">
        <f aca="true" t="shared" si="6" ref="P4:P26">N4</f>
        <v>12.950000000000001</v>
      </c>
      <c r="Q4" s="74">
        <f aca="true" t="shared" si="7" ref="Q4:Q26">D4*P4*12</f>
        <v>56410.200000000004</v>
      </c>
      <c r="R4" s="74">
        <f aca="true" t="shared" si="8" ref="R4:R26">Q4-O4</f>
        <v>261.3599999999933</v>
      </c>
      <c r="U4" s="153">
        <f aca="true" t="shared" si="9" ref="U4:U26">+N4/M4-1</f>
        <v>0.004654771140419012</v>
      </c>
      <c r="V4" s="27"/>
    </row>
    <row r="5" spans="1:22" s="75" customFormat="1" ht="15">
      <c r="A5" s="166"/>
      <c r="B5" s="72">
        <v>23</v>
      </c>
      <c r="C5" s="155" t="s">
        <v>186</v>
      </c>
      <c r="D5" s="158">
        <v>86</v>
      </c>
      <c r="E5" s="77">
        <v>4.333</v>
      </c>
      <c r="F5" s="154">
        <f t="shared" si="0"/>
        <v>4471.656000000001</v>
      </c>
      <c r="G5" s="131">
        <f>+References!B13</f>
        <v>20</v>
      </c>
      <c r="H5" s="154">
        <f t="shared" si="1"/>
        <v>89433.12000000002</v>
      </c>
      <c r="I5" s="76">
        <f t="shared" si="2"/>
        <v>67061.85578087525</v>
      </c>
      <c r="J5" s="121">
        <f>(References!$C$49*I5)</f>
        <v>67.0618557808753</v>
      </c>
      <c r="K5" s="121">
        <f>J5/References!$G$57</f>
        <v>68.91356322472363</v>
      </c>
      <c r="L5" s="137">
        <f t="shared" si="3"/>
        <v>0.07</v>
      </c>
      <c r="M5" s="27">
        <v>15.14</v>
      </c>
      <c r="N5" s="121">
        <f t="shared" si="4"/>
        <v>15.21</v>
      </c>
      <c r="O5" s="121">
        <f t="shared" si="5"/>
        <v>15624.48</v>
      </c>
      <c r="P5" s="74">
        <f t="shared" si="6"/>
        <v>15.21</v>
      </c>
      <c r="Q5" s="74">
        <f t="shared" si="7"/>
        <v>15696.720000000001</v>
      </c>
      <c r="R5" s="74">
        <f t="shared" si="8"/>
        <v>72.2400000000016</v>
      </c>
      <c r="U5" s="153">
        <f t="shared" si="9"/>
        <v>0.004623513870541718</v>
      </c>
      <c r="V5" s="27"/>
    </row>
    <row r="6" spans="1:22" s="75" customFormat="1" ht="15">
      <c r="A6" s="166"/>
      <c r="B6" s="72">
        <v>23</v>
      </c>
      <c r="C6" s="155" t="s">
        <v>187</v>
      </c>
      <c r="D6" s="158">
        <v>2</v>
      </c>
      <c r="E6" s="77">
        <v>4.333</v>
      </c>
      <c r="F6" s="154">
        <f t="shared" si="0"/>
        <v>103.992</v>
      </c>
      <c r="G6" s="131">
        <f>+G5</f>
        <v>20</v>
      </c>
      <c r="H6" s="154">
        <f t="shared" si="1"/>
        <v>2079.84</v>
      </c>
      <c r="I6" s="76">
        <f t="shared" si="2"/>
        <v>1559.5780414157032</v>
      </c>
      <c r="J6" s="121">
        <f>(References!$C$49*I6)</f>
        <v>1.5595780414157046</v>
      </c>
      <c r="K6" s="121">
        <f>J6/References!$G$57</f>
        <v>1.6026410052261306</v>
      </c>
      <c r="L6" s="137">
        <f t="shared" si="3"/>
        <v>0.07</v>
      </c>
      <c r="M6" s="27">
        <f>+M5*2</f>
        <v>30.28</v>
      </c>
      <c r="N6" s="121">
        <f t="shared" si="4"/>
        <v>30.35</v>
      </c>
      <c r="O6" s="121">
        <f t="shared" si="5"/>
        <v>726.72</v>
      </c>
      <c r="P6" s="74">
        <f t="shared" si="6"/>
        <v>30.35</v>
      </c>
      <c r="Q6" s="74">
        <f t="shared" si="7"/>
        <v>728.4000000000001</v>
      </c>
      <c r="R6" s="74">
        <f t="shared" si="8"/>
        <v>1.6800000000000637</v>
      </c>
      <c r="U6" s="153">
        <f t="shared" si="9"/>
        <v>0.002311756935270859</v>
      </c>
      <c r="V6" s="27"/>
    </row>
    <row r="7" spans="1:22" s="75" customFormat="1" ht="15">
      <c r="A7" s="166"/>
      <c r="B7" s="72">
        <v>23</v>
      </c>
      <c r="C7" s="155" t="s">
        <v>114</v>
      </c>
      <c r="D7" s="158">
        <v>2507</v>
      </c>
      <c r="E7" s="77">
        <v>4.333</v>
      </c>
      <c r="F7" s="154">
        <f t="shared" si="0"/>
        <v>130353.97200000001</v>
      </c>
      <c r="G7" s="131">
        <f>+G4</f>
        <v>34</v>
      </c>
      <c r="H7" s="154">
        <f t="shared" si="1"/>
        <v>4432035.048</v>
      </c>
      <c r="I7" s="76">
        <f t="shared" si="2"/>
        <v>3323382.827354793</v>
      </c>
      <c r="J7" s="121">
        <f>(References!$C$49*I7)</f>
        <v>3323.382827354796</v>
      </c>
      <c r="K7" s="121">
        <f>J7/References!$G$57</f>
        <v>3415.1478500866233</v>
      </c>
      <c r="L7" s="137">
        <f t="shared" si="3"/>
        <v>0.11</v>
      </c>
      <c r="M7" s="27">
        <v>17.66</v>
      </c>
      <c r="N7" s="121">
        <f t="shared" si="4"/>
        <v>17.77</v>
      </c>
      <c r="O7" s="121">
        <f t="shared" si="5"/>
        <v>531283.4400000001</v>
      </c>
      <c r="P7" s="74">
        <f t="shared" si="6"/>
        <v>17.77</v>
      </c>
      <c r="Q7" s="74">
        <f t="shared" si="7"/>
        <v>534592.6799999999</v>
      </c>
      <c r="R7" s="74">
        <f t="shared" si="8"/>
        <v>3309.2399999998743</v>
      </c>
      <c r="U7" s="153">
        <f t="shared" si="9"/>
        <v>0.006228765571913986</v>
      </c>
      <c r="V7" s="27"/>
    </row>
    <row r="8" spans="1:22" s="75" customFormat="1" ht="15">
      <c r="A8" s="166"/>
      <c r="B8" s="72">
        <v>23</v>
      </c>
      <c r="C8" s="155" t="s">
        <v>115</v>
      </c>
      <c r="D8" s="158">
        <f>543+543</f>
        <v>1086</v>
      </c>
      <c r="E8" s="77">
        <v>4.333</v>
      </c>
      <c r="F8" s="154">
        <f t="shared" si="0"/>
        <v>56467.656</v>
      </c>
      <c r="G8" s="131">
        <f>+G7</f>
        <v>34</v>
      </c>
      <c r="H8" s="154">
        <f t="shared" si="1"/>
        <v>1919900.304</v>
      </c>
      <c r="I8" s="76">
        <f t="shared" si="2"/>
        <v>1439646.4900308356</v>
      </c>
      <c r="J8" s="121">
        <f>(References!$C$49*I8)</f>
        <v>1439.646490030837</v>
      </c>
      <c r="K8" s="121">
        <f>J8/References!$G$57</f>
        <v>1479.3979119242413</v>
      </c>
      <c r="L8" s="137">
        <f t="shared" si="3"/>
        <v>0.11</v>
      </c>
      <c r="M8" s="27">
        <v>26.459999999999997</v>
      </c>
      <c r="N8" s="121">
        <f t="shared" si="4"/>
        <v>26.569999999999997</v>
      </c>
      <c r="O8" s="121">
        <f t="shared" si="5"/>
        <v>344826.72</v>
      </c>
      <c r="P8" s="74">
        <f t="shared" si="6"/>
        <v>26.569999999999997</v>
      </c>
      <c r="Q8" s="74">
        <f t="shared" si="7"/>
        <v>346260.24</v>
      </c>
      <c r="R8" s="74">
        <f t="shared" si="8"/>
        <v>1433.5200000000186</v>
      </c>
      <c r="U8" s="153">
        <f t="shared" si="9"/>
        <v>0.004157218442932598</v>
      </c>
      <c r="V8" s="27"/>
    </row>
    <row r="9" spans="1:22" s="75" customFormat="1" ht="15">
      <c r="A9" s="166"/>
      <c r="B9" s="72">
        <v>23</v>
      </c>
      <c r="C9" s="155" t="s">
        <v>116</v>
      </c>
      <c r="D9" s="158">
        <v>120</v>
      </c>
      <c r="E9" s="77">
        <v>4.333</v>
      </c>
      <c r="F9" s="154">
        <f t="shared" si="0"/>
        <v>6239.52</v>
      </c>
      <c r="G9" s="131">
        <f>+G8</f>
        <v>34</v>
      </c>
      <c r="H9" s="154">
        <f t="shared" si="1"/>
        <v>212143.68000000002</v>
      </c>
      <c r="I9" s="76">
        <f t="shared" si="2"/>
        <v>159076.96022440173</v>
      </c>
      <c r="J9" s="121">
        <f>(References!$C$49*I9)</f>
        <v>159.07696022440186</v>
      </c>
      <c r="K9" s="121">
        <f>J9/References!$G$57</f>
        <v>163.46938253306533</v>
      </c>
      <c r="L9" s="137">
        <f t="shared" si="3"/>
        <v>0.11</v>
      </c>
      <c r="M9" s="27">
        <v>35.260000000000005</v>
      </c>
      <c r="N9" s="121">
        <f t="shared" si="4"/>
        <v>35.370000000000005</v>
      </c>
      <c r="O9" s="121">
        <f t="shared" si="5"/>
        <v>50774.40000000001</v>
      </c>
      <c r="P9" s="74">
        <f t="shared" si="6"/>
        <v>35.370000000000005</v>
      </c>
      <c r="Q9" s="74">
        <f t="shared" si="7"/>
        <v>50932.8</v>
      </c>
      <c r="R9" s="74">
        <f t="shared" si="8"/>
        <v>158.39999999999418</v>
      </c>
      <c r="U9" s="153">
        <f t="shared" si="9"/>
        <v>0.00311968235961424</v>
      </c>
      <c r="V9" s="27"/>
    </row>
    <row r="10" spans="1:22" s="75" customFormat="1" ht="15">
      <c r="A10" s="166"/>
      <c r="B10" s="72">
        <v>23</v>
      </c>
      <c r="C10" s="155" t="s">
        <v>188</v>
      </c>
      <c r="D10" s="158">
        <v>36</v>
      </c>
      <c r="E10" s="77">
        <v>4.333</v>
      </c>
      <c r="F10" s="154">
        <f t="shared" si="0"/>
        <v>1871.856</v>
      </c>
      <c r="G10" s="131">
        <f>+G9</f>
        <v>34</v>
      </c>
      <c r="H10" s="154">
        <f t="shared" si="1"/>
        <v>63643.104</v>
      </c>
      <c r="I10" s="76">
        <f t="shared" si="2"/>
        <v>47723.08806732052</v>
      </c>
      <c r="J10" s="121">
        <f>(References!$C$49*I10)</f>
        <v>47.72308806732056</v>
      </c>
      <c r="K10" s="121">
        <f>J10/References!$G$57</f>
        <v>49.0408147599196</v>
      </c>
      <c r="L10" s="137">
        <f t="shared" si="3"/>
        <v>0.11</v>
      </c>
      <c r="M10" s="27">
        <v>44.06</v>
      </c>
      <c r="N10" s="121">
        <f t="shared" si="4"/>
        <v>44.17</v>
      </c>
      <c r="O10" s="121">
        <f t="shared" si="5"/>
        <v>19033.920000000002</v>
      </c>
      <c r="P10" s="74">
        <f t="shared" si="6"/>
        <v>44.17</v>
      </c>
      <c r="Q10" s="74">
        <f t="shared" si="7"/>
        <v>19081.440000000002</v>
      </c>
      <c r="R10" s="74">
        <f t="shared" si="8"/>
        <v>47.52000000000044</v>
      </c>
      <c r="U10" s="153">
        <f t="shared" si="9"/>
        <v>0.0024965955515205973</v>
      </c>
      <c r="V10" s="27"/>
    </row>
    <row r="11" spans="1:22" s="75" customFormat="1" ht="15">
      <c r="A11" s="166"/>
      <c r="B11" s="72">
        <v>23</v>
      </c>
      <c r="C11" s="155" t="s">
        <v>189</v>
      </c>
      <c r="D11" s="158">
        <v>5</v>
      </c>
      <c r="E11" s="77">
        <v>4.333</v>
      </c>
      <c r="F11" s="154">
        <f t="shared" si="0"/>
        <v>259.98</v>
      </c>
      <c r="G11" s="131">
        <f>+G10</f>
        <v>34</v>
      </c>
      <c r="H11" s="154">
        <f t="shared" si="1"/>
        <v>8839.32</v>
      </c>
      <c r="I11" s="76">
        <f t="shared" si="2"/>
        <v>6628.206676016738</v>
      </c>
      <c r="J11" s="121">
        <f>(References!$C$49*I11)</f>
        <v>6.628206676016744</v>
      </c>
      <c r="K11" s="121">
        <f>J11/References!$G$57</f>
        <v>6.811224272211055</v>
      </c>
      <c r="L11" s="137">
        <f t="shared" si="3"/>
        <v>0.11</v>
      </c>
      <c r="M11" s="27">
        <v>52.86</v>
      </c>
      <c r="N11" s="121">
        <f t="shared" si="4"/>
        <v>52.97</v>
      </c>
      <c r="O11" s="121">
        <f t="shared" si="5"/>
        <v>3171.6000000000004</v>
      </c>
      <c r="P11" s="74">
        <f t="shared" si="6"/>
        <v>52.97</v>
      </c>
      <c r="Q11" s="74">
        <f t="shared" si="7"/>
        <v>3178.2000000000003</v>
      </c>
      <c r="R11" s="74">
        <f t="shared" si="8"/>
        <v>6.599999999999909</v>
      </c>
      <c r="U11" s="153">
        <f t="shared" si="9"/>
        <v>0.002080968596292143</v>
      </c>
      <c r="V11" s="27"/>
    </row>
    <row r="12" spans="1:22" s="75" customFormat="1" ht="15">
      <c r="A12" s="166"/>
      <c r="B12" s="72">
        <v>23</v>
      </c>
      <c r="C12" s="155" t="s">
        <v>190</v>
      </c>
      <c r="D12" s="158">
        <v>6</v>
      </c>
      <c r="E12" s="77">
        <v>4.333</v>
      </c>
      <c r="F12" s="154">
        <f t="shared" si="0"/>
        <v>311.976</v>
      </c>
      <c r="G12" s="131">
        <f>+G11</f>
        <v>34</v>
      </c>
      <c r="H12" s="154">
        <f t="shared" si="1"/>
        <v>10607.184</v>
      </c>
      <c r="I12" s="76">
        <f t="shared" si="2"/>
        <v>7953.848011220085</v>
      </c>
      <c r="J12" s="121">
        <f>(References!$C$49*I12)</f>
        <v>7.953848011220092</v>
      </c>
      <c r="K12" s="121">
        <f>J12/References!$G$57</f>
        <v>8.173469126653265</v>
      </c>
      <c r="L12" s="137">
        <f t="shared" si="3"/>
        <v>0.11</v>
      </c>
      <c r="M12" s="27">
        <v>61.660000000000004</v>
      </c>
      <c r="N12" s="121">
        <f t="shared" si="4"/>
        <v>61.77</v>
      </c>
      <c r="O12" s="121">
        <f t="shared" si="5"/>
        <v>4439.52</v>
      </c>
      <c r="P12" s="74">
        <f t="shared" si="6"/>
        <v>61.77</v>
      </c>
      <c r="Q12" s="74">
        <f t="shared" si="7"/>
        <v>4447.4400000000005</v>
      </c>
      <c r="R12" s="74">
        <f t="shared" si="8"/>
        <v>7.920000000000073</v>
      </c>
      <c r="U12" s="153">
        <f t="shared" si="9"/>
        <v>0.0017839766461238415</v>
      </c>
      <c r="V12" s="27"/>
    </row>
    <row r="13" spans="1:22" s="75" customFormat="1" ht="15">
      <c r="A13" s="166"/>
      <c r="B13" s="72">
        <v>23</v>
      </c>
      <c r="C13" s="155" t="s">
        <v>191</v>
      </c>
      <c r="D13" s="158">
        <v>446</v>
      </c>
      <c r="E13" s="77">
        <v>4.333</v>
      </c>
      <c r="F13" s="154">
        <f t="shared" si="0"/>
        <v>23190.216</v>
      </c>
      <c r="G13" s="131">
        <f>+G5</f>
        <v>20</v>
      </c>
      <c r="H13" s="154">
        <f t="shared" si="1"/>
        <v>463804.32</v>
      </c>
      <c r="I13" s="76">
        <f t="shared" si="2"/>
        <v>347785.9032357018</v>
      </c>
      <c r="J13" s="121">
        <f>(References!$C$49*I13)</f>
        <v>347.7859032357021</v>
      </c>
      <c r="K13" s="121">
        <f>J13/References!$G$57</f>
        <v>357.3889441654271</v>
      </c>
      <c r="L13" s="137">
        <f t="shared" si="3"/>
        <v>0.07</v>
      </c>
      <c r="M13" s="27">
        <v>16.84</v>
      </c>
      <c r="N13" s="121">
        <f t="shared" si="4"/>
        <v>16.91</v>
      </c>
      <c r="O13" s="121">
        <f t="shared" si="5"/>
        <v>90127.68000000001</v>
      </c>
      <c r="P13" s="74">
        <f t="shared" si="6"/>
        <v>16.91</v>
      </c>
      <c r="Q13" s="74">
        <f t="shared" si="7"/>
        <v>90502.31999999999</v>
      </c>
      <c r="R13" s="74">
        <f t="shared" si="8"/>
        <v>374.63999999998487</v>
      </c>
      <c r="U13" s="153">
        <f t="shared" si="9"/>
        <v>0.004156769596199483</v>
      </c>
      <c r="V13" s="27"/>
    </row>
    <row r="14" spans="1:22" s="75" customFormat="1" ht="15">
      <c r="A14" s="166"/>
      <c r="B14" s="72">
        <v>23</v>
      </c>
      <c r="C14" s="155" t="s">
        <v>192</v>
      </c>
      <c r="D14" s="158">
        <v>18</v>
      </c>
      <c r="E14" s="77">
        <v>1</v>
      </c>
      <c r="F14" s="154">
        <f t="shared" si="0"/>
        <v>216</v>
      </c>
      <c r="G14" s="131">
        <f>+References!B20</f>
        <v>37</v>
      </c>
      <c r="H14" s="154">
        <f t="shared" si="1"/>
        <v>7992</v>
      </c>
      <c r="I14" s="76">
        <f t="shared" si="2"/>
        <v>5992.83969295441</v>
      </c>
      <c r="J14" s="121">
        <f>(References!$C$49*I14)</f>
        <v>5.992839692954415</v>
      </c>
      <c r="K14" s="121">
        <f>J14/References!$G$57</f>
        <v>6.158313578817234</v>
      </c>
      <c r="L14" s="137">
        <f t="shared" si="3"/>
        <v>0.03</v>
      </c>
      <c r="M14" s="27">
        <v>8.639999999999999</v>
      </c>
      <c r="N14" s="121">
        <f t="shared" si="4"/>
        <v>8.669999999999998</v>
      </c>
      <c r="O14" s="121">
        <f t="shared" si="5"/>
        <v>1866.2399999999998</v>
      </c>
      <c r="P14" s="74">
        <f t="shared" si="6"/>
        <v>8.669999999999998</v>
      </c>
      <c r="Q14" s="74">
        <f t="shared" si="7"/>
        <v>1872.7199999999998</v>
      </c>
      <c r="R14" s="74">
        <f t="shared" si="8"/>
        <v>6.480000000000018</v>
      </c>
      <c r="U14" s="153">
        <f t="shared" si="9"/>
        <v>0.003472222222222099</v>
      </c>
      <c r="V14" s="27"/>
    </row>
    <row r="15" spans="1:22" s="75" customFormat="1" ht="15">
      <c r="A15" s="166"/>
      <c r="B15" s="72">
        <v>23</v>
      </c>
      <c r="C15" s="155" t="s">
        <v>193</v>
      </c>
      <c r="D15" s="158">
        <v>81</v>
      </c>
      <c r="E15" s="77">
        <v>1</v>
      </c>
      <c r="F15" s="154">
        <f t="shared" si="0"/>
        <v>972</v>
      </c>
      <c r="G15" s="131">
        <f aca="true" t="shared" si="10" ref="G15:G20">+G14</f>
        <v>37</v>
      </c>
      <c r="H15" s="154">
        <f t="shared" si="1"/>
        <v>35964</v>
      </c>
      <c r="I15" s="76">
        <f t="shared" si="2"/>
        <v>26967.778618294844</v>
      </c>
      <c r="J15" s="121">
        <f>(References!$C$49*I15)</f>
        <v>26.96777861829487</v>
      </c>
      <c r="K15" s="121">
        <f>J15/References!$G$57</f>
        <v>27.712411104677553</v>
      </c>
      <c r="L15" s="137">
        <f t="shared" si="3"/>
        <v>0.03</v>
      </c>
      <c r="M15" s="27">
        <v>8.639999999999999</v>
      </c>
      <c r="N15" s="121">
        <f t="shared" si="4"/>
        <v>8.669999999999998</v>
      </c>
      <c r="O15" s="121">
        <f t="shared" si="5"/>
        <v>8398.079999999998</v>
      </c>
      <c r="P15" s="74">
        <f t="shared" si="6"/>
        <v>8.669999999999998</v>
      </c>
      <c r="Q15" s="74">
        <f t="shared" si="7"/>
        <v>8427.239999999998</v>
      </c>
      <c r="R15" s="74">
        <f t="shared" si="8"/>
        <v>29.159999999999854</v>
      </c>
      <c r="U15" s="153">
        <f t="shared" si="9"/>
        <v>0.003472222222222099</v>
      </c>
      <c r="V15" s="27"/>
    </row>
    <row r="16" spans="1:22" s="75" customFormat="1" ht="15">
      <c r="A16" s="166"/>
      <c r="B16" s="72">
        <v>23</v>
      </c>
      <c r="C16" s="155" t="s">
        <v>194</v>
      </c>
      <c r="D16" s="158">
        <v>67</v>
      </c>
      <c r="E16" s="77">
        <v>2.1667</v>
      </c>
      <c r="F16" s="154">
        <f t="shared" si="0"/>
        <v>1742.0268</v>
      </c>
      <c r="G16" s="131">
        <f t="shared" si="10"/>
        <v>37</v>
      </c>
      <c r="H16" s="154">
        <f t="shared" si="1"/>
        <v>64454.9916</v>
      </c>
      <c r="I16" s="76">
        <f t="shared" si="2"/>
        <v>48331.885894584964</v>
      </c>
      <c r="J16" s="121">
        <f>(References!$C$49*I16)</f>
        <v>48.33188589458501</v>
      </c>
      <c r="K16" s="121">
        <f>J16/References!$G$57</f>
        <v>49.666422671775614</v>
      </c>
      <c r="L16" s="137">
        <f t="shared" si="3"/>
        <v>0.06</v>
      </c>
      <c r="M16" s="27">
        <v>14.01</v>
      </c>
      <c r="N16" s="121">
        <f t="shared" si="4"/>
        <v>14.07</v>
      </c>
      <c r="O16" s="121">
        <f t="shared" si="5"/>
        <v>11264.039999999999</v>
      </c>
      <c r="P16" s="74">
        <f t="shared" si="6"/>
        <v>14.07</v>
      </c>
      <c r="Q16" s="74">
        <f t="shared" si="7"/>
        <v>11312.28</v>
      </c>
      <c r="R16" s="74">
        <f t="shared" si="8"/>
        <v>48.2400000000016</v>
      </c>
      <c r="U16" s="153">
        <f t="shared" si="9"/>
        <v>0.004282655246252709</v>
      </c>
      <c r="V16" s="27"/>
    </row>
    <row r="17" spans="1:22" s="75" customFormat="1" ht="15">
      <c r="A17" s="166"/>
      <c r="B17" s="72">
        <v>23</v>
      </c>
      <c r="C17" s="155" t="s">
        <v>195</v>
      </c>
      <c r="D17" s="158">
        <v>3414</v>
      </c>
      <c r="E17" s="77">
        <v>4.333</v>
      </c>
      <c r="F17" s="154">
        <f t="shared" si="0"/>
        <v>177514.344</v>
      </c>
      <c r="G17" s="131">
        <f t="shared" si="10"/>
        <v>37</v>
      </c>
      <c r="H17" s="154">
        <f t="shared" si="1"/>
        <v>6568030.728</v>
      </c>
      <c r="I17" s="76">
        <f t="shared" si="2"/>
        <v>4925069.47588872</v>
      </c>
      <c r="J17" s="121">
        <f>(References!$C$49*I17)</f>
        <v>4925.069475888724</v>
      </c>
      <c r="K17" s="121">
        <f>J17/References!$G$57</f>
        <v>5061.0601624538585</v>
      </c>
      <c r="L17" s="137">
        <f t="shared" si="3"/>
        <v>0.12</v>
      </c>
      <c r="M17" s="27">
        <v>19.11</v>
      </c>
      <c r="N17" s="121">
        <f t="shared" si="4"/>
        <v>19.23</v>
      </c>
      <c r="O17" s="121">
        <f t="shared" si="5"/>
        <v>782898.48</v>
      </c>
      <c r="P17" s="74">
        <f t="shared" si="6"/>
        <v>19.23</v>
      </c>
      <c r="Q17" s="74">
        <f t="shared" si="7"/>
        <v>787814.64</v>
      </c>
      <c r="R17" s="74">
        <f t="shared" si="8"/>
        <v>4916.160000000033</v>
      </c>
      <c r="U17" s="153">
        <f t="shared" si="9"/>
        <v>0.006279434850863463</v>
      </c>
      <c r="V17" s="27"/>
    </row>
    <row r="18" spans="1:22" s="75" customFormat="1" ht="15">
      <c r="A18" s="166"/>
      <c r="B18" s="72">
        <v>23</v>
      </c>
      <c r="C18" s="155" t="s">
        <v>118</v>
      </c>
      <c r="D18" s="158">
        <v>56</v>
      </c>
      <c r="E18" s="77">
        <v>4.333</v>
      </c>
      <c r="F18" s="154">
        <f t="shared" si="0"/>
        <v>2911.7760000000003</v>
      </c>
      <c r="G18" s="131">
        <f t="shared" si="10"/>
        <v>37</v>
      </c>
      <c r="H18" s="154">
        <f t="shared" si="1"/>
        <v>107735.71200000001</v>
      </c>
      <c r="I18" s="76">
        <f t="shared" si="2"/>
        <v>80786.14254533344</v>
      </c>
      <c r="J18" s="121">
        <f>(References!$C$49*I18)</f>
        <v>80.7861425453335</v>
      </c>
      <c r="K18" s="121">
        <f>J18/References!$G$57</f>
        <v>83.01680407071358</v>
      </c>
      <c r="L18" s="137">
        <f t="shared" si="3"/>
        <v>0.12</v>
      </c>
      <c r="M18" s="27">
        <f>+M17*2</f>
        <v>38.22</v>
      </c>
      <c r="N18" s="27">
        <f>+N17*2</f>
        <v>38.46</v>
      </c>
      <c r="O18" s="121">
        <f t="shared" si="5"/>
        <v>25683.839999999997</v>
      </c>
      <c r="P18" s="74">
        <f t="shared" si="6"/>
        <v>38.46</v>
      </c>
      <c r="Q18" s="74">
        <f t="shared" si="7"/>
        <v>25845.120000000003</v>
      </c>
      <c r="R18" s="74">
        <f t="shared" si="8"/>
        <v>161.2800000000061</v>
      </c>
      <c r="U18" s="153">
        <f t="shared" si="9"/>
        <v>0.006279434850863463</v>
      </c>
      <c r="V18" s="118"/>
    </row>
    <row r="19" spans="1:22" s="75" customFormat="1" ht="15">
      <c r="A19" s="166"/>
      <c r="B19" s="72">
        <v>23</v>
      </c>
      <c r="C19" s="155" t="s">
        <v>196</v>
      </c>
      <c r="D19" s="158">
        <v>3</v>
      </c>
      <c r="E19" s="77">
        <v>4.333</v>
      </c>
      <c r="F19" s="154">
        <f t="shared" si="0"/>
        <v>155.988</v>
      </c>
      <c r="G19" s="131">
        <f t="shared" si="10"/>
        <v>37</v>
      </c>
      <c r="H19" s="154">
        <f t="shared" si="1"/>
        <v>5771.556</v>
      </c>
      <c r="I19" s="76">
        <f t="shared" si="2"/>
        <v>4327.8290649285755</v>
      </c>
      <c r="J19" s="121">
        <f>(References!$C$49*I19)</f>
        <v>4.327829064928579</v>
      </c>
      <c r="K19" s="121">
        <f>J19/References!$G$57</f>
        <v>4.447328789502512</v>
      </c>
      <c r="L19" s="137">
        <f t="shared" si="3"/>
        <v>0.12</v>
      </c>
      <c r="M19" s="27">
        <f>+M17*3</f>
        <v>57.33</v>
      </c>
      <c r="N19" s="27">
        <f>+N17*3</f>
        <v>57.69</v>
      </c>
      <c r="O19" s="121">
        <f t="shared" si="5"/>
        <v>2063.88</v>
      </c>
      <c r="P19" s="74">
        <f t="shared" si="6"/>
        <v>57.69</v>
      </c>
      <c r="Q19" s="74">
        <f t="shared" si="7"/>
        <v>2076.84</v>
      </c>
      <c r="R19" s="74">
        <f t="shared" si="8"/>
        <v>12.960000000000036</v>
      </c>
      <c r="U19" s="153">
        <f t="shared" si="9"/>
        <v>0.006279434850863463</v>
      </c>
      <c r="V19" s="118"/>
    </row>
    <row r="20" spans="1:22" s="75" customFormat="1" ht="15">
      <c r="A20" s="166"/>
      <c r="B20" s="72">
        <v>23</v>
      </c>
      <c r="C20" s="155" t="s">
        <v>197</v>
      </c>
      <c r="D20" s="158">
        <v>4</v>
      </c>
      <c r="E20" s="77">
        <v>4.333</v>
      </c>
      <c r="F20" s="154">
        <f t="shared" si="0"/>
        <v>207.984</v>
      </c>
      <c r="G20" s="131">
        <f t="shared" si="10"/>
        <v>37</v>
      </c>
      <c r="H20" s="154">
        <f t="shared" si="1"/>
        <v>7695.408</v>
      </c>
      <c r="I20" s="76">
        <f t="shared" si="2"/>
        <v>5770.4387532381015</v>
      </c>
      <c r="J20" s="121">
        <f>(References!$C$49*I20)</f>
        <v>5.770438753238107</v>
      </c>
      <c r="K20" s="121">
        <f>J20/References!$G$57</f>
        <v>5.929771719336683</v>
      </c>
      <c r="L20" s="137">
        <f t="shared" si="3"/>
        <v>0.12</v>
      </c>
      <c r="M20" s="27">
        <f>+M17*4</f>
        <v>76.44</v>
      </c>
      <c r="N20" s="27">
        <f>+N17*4</f>
        <v>76.92</v>
      </c>
      <c r="O20" s="121">
        <f t="shared" si="5"/>
        <v>3669.12</v>
      </c>
      <c r="P20" s="74">
        <f t="shared" si="6"/>
        <v>76.92</v>
      </c>
      <c r="Q20" s="74">
        <f t="shared" si="7"/>
        <v>3692.16</v>
      </c>
      <c r="R20" s="74">
        <f t="shared" si="8"/>
        <v>23.039999999999964</v>
      </c>
      <c r="U20" s="153">
        <f t="shared" si="9"/>
        <v>0.006279434850863463</v>
      </c>
      <c r="V20" s="118"/>
    </row>
    <row r="21" spans="1:22" s="75" customFormat="1" ht="15">
      <c r="A21" s="166"/>
      <c r="B21" s="72">
        <v>23</v>
      </c>
      <c r="C21" s="155" t="s">
        <v>119</v>
      </c>
      <c r="D21" s="158">
        <v>1923</v>
      </c>
      <c r="E21" s="77">
        <v>4.333</v>
      </c>
      <c r="F21" s="154">
        <f t="shared" si="0"/>
        <v>99988.308</v>
      </c>
      <c r="G21" s="131">
        <f>+References!B21</f>
        <v>47</v>
      </c>
      <c r="H21" s="154">
        <f t="shared" si="1"/>
        <v>4699450.476</v>
      </c>
      <c r="I21" s="76">
        <f t="shared" si="2"/>
        <v>3523905.5740298163</v>
      </c>
      <c r="J21" s="121">
        <f>(References!$C$49*I21)</f>
        <v>3523.9055740298195</v>
      </c>
      <c r="K21" s="121">
        <f>J21/References!$G$57</f>
        <v>3621.2074173335723</v>
      </c>
      <c r="L21" s="137">
        <f t="shared" si="3"/>
        <v>0.16</v>
      </c>
      <c r="M21" s="27">
        <v>28.189999999999998</v>
      </c>
      <c r="N21" s="121">
        <f t="shared" si="4"/>
        <v>28.349999999999998</v>
      </c>
      <c r="O21" s="121">
        <f t="shared" si="5"/>
        <v>650512.44</v>
      </c>
      <c r="P21" s="74">
        <f t="shared" si="6"/>
        <v>28.349999999999998</v>
      </c>
      <c r="Q21" s="74">
        <f t="shared" si="7"/>
        <v>654204.6</v>
      </c>
      <c r="R21" s="74">
        <f t="shared" si="8"/>
        <v>3692.1600000000326</v>
      </c>
      <c r="U21" s="153">
        <f t="shared" si="9"/>
        <v>0.005675771550195163</v>
      </c>
      <c r="V21" s="118"/>
    </row>
    <row r="22" spans="1:22" s="75" customFormat="1" ht="15">
      <c r="A22" s="166"/>
      <c r="B22" s="72">
        <v>23</v>
      </c>
      <c r="C22" s="155" t="s">
        <v>120</v>
      </c>
      <c r="D22" s="158">
        <v>42</v>
      </c>
      <c r="E22" s="77">
        <v>4.333</v>
      </c>
      <c r="F22" s="154">
        <f t="shared" si="0"/>
        <v>2183.8320000000003</v>
      </c>
      <c r="G22" s="131">
        <f>+G21</f>
        <v>47</v>
      </c>
      <c r="H22" s="154">
        <f t="shared" si="1"/>
        <v>102640.10400000002</v>
      </c>
      <c r="I22" s="76">
        <f t="shared" si="2"/>
        <v>76965.17634386497</v>
      </c>
      <c r="J22" s="121">
        <f>(References!$C$49*I22)</f>
        <v>76.96517634386504</v>
      </c>
      <c r="K22" s="121">
        <f>J22/References!$G$57</f>
        <v>79.09033360790957</v>
      </c>
      <c r="L22" s="137">
        <f t="shared" si="3"/>
        <v>0.16</v>
      </c>
      <c r="M22" s="27">
        <f>+M21*2</f>
        <v>56.379999999999995</v>
      </c>
      <c r="N22" s="27">
        <f>+N21*2</f>
        <v>56.699999999999996</v>
      </c>
      <c r="O22" s="121">
        <f t="shared" si="5"/>
        <v>28415.52</v>
      </c>
      <c r="P22" s="74">
        <f t="shared" si="6"/>
        <v>56.699999999999996</v>
      </c>
      <c r="Q22" s="74">
        <f t="shared" si="7"/>
        <v>28576.799999999996</v>
      </c>
      <c r="R22" s="74">
        <f t="shared" si="8"/>
        <v>161.2799999999952</v>
      </c>
      <c r="U22" s="153">
        <f t="shared" si="9"/>
        <v>0.005675771550195163</v>
      </c>
      <c r="V22" s="118"/>
    </row>
    <row r="23" spans="1:22" s="75" customFormat="1" ht="15">
      <c r="A23" s="166"/>
      <c r="B23" s="72">
        <v>23</v>
      </c>
      <c r="C23" s="155" t="s">
        <v>199</v>
      </c>
      <c r="D23" s="158">
        <v>3</v>
      </c>
      <c r="E23" s="77">
        <v>4.333</v>
      </c>
      <c r="F23" s="154">
        <f t="shared" si="0"/>
        <v>155.988</v>
      </c>
      <c r="G23" s="131">
        <f>+G22</f>
        <v>47</v>
      </c>
      <c r="H23" s="154">
        <f t="shared" si="1"/>
        <v>7331.436</v>
      </c>
      <c r="I23" s="76">
        <f t="shared" si="2"/>
        <v>5497.5125959903535</v>
      </c>
      <c r="J23" s="121">
        <f>(References!$C$49*I23)</f>
        <v>5.497512595990359</v>
      </c>
      <c r="K23" s="121">
        <f>J23/References!$G$57</f>
        <v>5.649309543422111</v>
      </c>
      <c r="L23" s="137">
        <f t="shared" si="3"/>
        <v>0.16</v>
      </c>
      <c r="M23" s="27">
        <f>+M21*3</f>
        <v>84.57</v>
      </c>
      <c r="N23" s="27">
        <f>+N21*3</f>
        <v>85.05</v>
      </c>
      <c r="O23" s="121">
        <f t="shared" si="5"/>
        <v>3044.5199999999995</v>
      </c>
      <c r="P23" s="74">
        <f t="shared" si="6"/>
        <v>85.05</v>
      </c>
      <c r="Q23" s="74">
        <f t="shared" si="7"/>
        <v>3061.7999999999997</v>
      </c>
      <c r="R23" s="74">
        <f t="shared" si="8"/>
        <v>17.2800000000002</v>
      </c>
      <c r="U23" s="153">
        <f t="shared" si="9"/>
        <v>0.005675771550195163</v>
      </c>
      <c r="V23" s="118"/>
    </row>
    <row r="24" spans="1:22" s="75" customFormat="1" ht="15">
      <c r="A24" s="166"/>
      <c r="B24" s="72">
        <v>23</v>
      </c>
      <c r="C24" s="155" t="s">
        <v>124</v>
      </c>
      <c r="D24" s="158">
        <v>652</v>
      </c>
      <c r="E24" s="77">
        <v>4.333</v>
      </c>
      <c r="F24" s="154">
        <f t="shared" si="0"/>
        <v>33901.392</v>
      </c>
      <c r="G24" s="131">
        <f>+References!B22</f>
        <v>68</v>
      </c>
      <c r="H24" s="154">
        <f t="shared" si="1"/>
        <v>2305294.656</v>
      </c>
      <c r="I24" s="76">
        <f t="shared" si="2"/>
        <v>1728636.3011051654</v>
      </c>
      <c r="J24" s="121">
        <f>(References!$C$49*I24)</f>
        <v>1728.636301105167</v>
      </c>
      <c r="K24" s="121">
        <f>J24/References!$G$57</f>
        <v>1776.3672901926432</v>
      </c>
      <c r="L24" s="137">
        <f t="shared" si="3"/>
        <v>0.23</v>
      </c>
      <c r="M24" s="27">
        <v>37.239999999999995</v>
      </c>
      <c r="N24" s="121">
        <f t="shared" si="4"/>
        <v>37.46999999999999</v>
      </c>
      <c r="O24" s="121">
        <f t="shared" si="5"/>
        <v>291365.75999999995</v>
      </c>
      <c r="P24" s="74">
        <f t="shared" si="6"/>
        <v>37.46999999999999</v>
      </c>
      <c r="Q24" s="74">
        <f t="shared" si="7"/>
        <v>293165.2799999999</v>
      </c>
      <c r="R24" s="74">
        <f t="shared" si="8"/>
        <v>1799.5199999999604</v>
      </c>
      <c r="U24" s="153">
        <f t="shared" si="9"/>
        <v>0.006176154672395295</v>
      </c>
      <c r="V24" s="118"/>
    </row>
    <row r="25" spans="1:22" s="75" customFormat="1" ht="15">
      <c r="A25" s="166"/>
      <c r="B25" s="72">
        <v>23</v>
      </c>
      <c r="C25" s="155" t="s">
        <v>125</v>
      </c>
      <c r="D25" s="158">
        <v>28</v>
      </c>
      <c r="E25" s="77">
        <v>4.333</v>
      </c>
      <c r="F25" s="154">
        <f t="shared" si="0"/>
        <v>1455.8880000000001</v>
      </c>
      <c r="G25" s="131">
        <f>+G24</f>
        <v>68</v>
      </c>
      <c r="H25" s="154">
        <f t="shared" si="1"/>
        <v>99000.384</v>
      </c>
      <c r="I25" s="76">
        <f t="shared" si="2"/>
        <v>74235.91477138747</v>
      </c>
      <c r="J25" s="121">
        <f>(References!$C$49*I25)</f>
        <v>74.23591477138754</v>
      </c>
      <c r="K25" s="121">
        <f>J25/References!$G$57</f>
        <v>76.28571184876382</v>
      </c>
      <c r="L25" s="137">
        <f t="shared" si="3"/>
        <v>0.23</v>
      </c>
      <c r="M25" s="27">
        <f>+M24*2</f>
        <v>74.47999999999999</v>
      </c>
      <c r="N25" s="27">
        <f>+N24*2</f>
        <v>74.93999999999998</v>
      </c>
      <c r="O25" s="121">
        <f t="shared" si="5"/>
        <v>25025.279999999995</v>
      </c>
      <c r="P25" s="74">
        <f t="shared" si="6"/>
        <v>74.93999999999998</v>
      </c>
      <c r="Q25" s="74">
        <f t="shared" si="7"/>
        <v>25179.839999999997</v>
      </c>
      <c r="R25" s="74">
        <f t="shared" si="8"/>
        <v>154.5600000000013</v>
      </c>
      <c r="U25" s="153">
        <f t="shared" si="9"/>
        <v>0.006176154672395295</v>
      </c>
      <c r="V25" s="118"/>
    </row>
    <row r="26" spans="1:22" s="75" customFormat="1" ht="15">
      <c r="A26" s="166"/>
      <c r="B26" s="72">
        <v>25</v>
      </c>
      <c r="C26" s="155" t="s">
        <v>49</v>
      </c>
      <c r="D26" s="159">
        <v>1500</v>
      </c>
      <c r="E26" s="77">
        <v>1</v>
      </c>
      <c r="F26" s="154">
        <f t="shared" si="0"/>
        <v>18000</v>
      </c>
      <c r="G26" s="131">
        <f>+References!B24</f>
        <v>34</v>
      </c>
      <c r="H26" s="154">
        <f t="shared" si="1"/>
        <v>612000</v>
      </c>
      <c r="I26" s="76">
        <f t="shared" si="2"/>
        <v>458911.147658671</v>
      </c>
      <c r="J26" s="121">
        <f>(References!$C$49*I26)</f>
        <v>458.91114765867144</v>
      </c>
      <c r="K26" s="121">
        <f>J26/References!$G$57</f>
        <v>471.5825713508693</v>
      </c>
      <c r="L26" s="137">
        <f t="shared" si="3"/>
        <v>0.03</v>
      </c>
      <c r="M26" s="27">
        <v>4.93</v>
      </c>
      <c r="N26" s="121">
        <f t="shared" si="4"/>
        <v>4.96</v>
      </c>
      <c r="O26" s="121">
        <f t="shared" si="5"/>
        <v>88740</v>
      </c>
      <c r="P26" s="74">
        <f t="shared" si="6"/>
        <v>4.96</v>
      </c>
      <c r="Q26" s="74">
        <f t="shared" si="7"/>
        <v>89280</v>
      </c>
      <c r="R26" s="74">
        <f t="shared" si="8"/>
        <v>540</v>
      </c>
      <c r="U26" s="153">
        <f t="shared" si="9"/>
        <v>0.006085192697768749</v>
      </c>
      <c r="V26" s="118"/>
    </row>
    <row r="27" spans="1:23" s="75" customFormat="1" ht="15">
      <c r="A27" s="80"/>
      <c r="B27" s="81"/>
      <c r="C27" s="82" t="s">
        <v>3</v>
      </c>
      <c r="D27" s="83">
        <f>SUM(D2:D26)</f>
        <v>12583</v>
      </c>
      <c r="E27" s="84"/>
      <c r="F27" s="83">
        <f>SUM(F2:F26)</f>
        <v>573734.3508000001</v>
      </c>
      <c r="G27" s="133"/>
      <c r="H27" s="85">
        <f>SUM(H2:H26)</f>
        <v>22201819.3716</v>
      </c>
      <c r="I27" s="86">
        <f>SUM(I2:I26)</f>
        <v>16648141.189430507</v>
      </c>
      <c r="J27" s="87"/>
      <c r="K27" s="87"/>
      <c r="L27" s="87"/>
      <c r="M27" s="87"/>
      <c r="N27" s="87"/>
      <c r="O27" s="88">
        <f>SUM(O2:O26)</f>
        <v>3049387.92</v>
      </c>
      <c r="P27" s="88"/>
      <c r="Q27" s="88">
        <f>SUM(Q2:Q26)</f>
        <v>3066671.7599999993</v>
      </c>
      <c r="R27" s="88">
        <f>SUM(R2:R26)</f>
        <v>17283.8399999999</v>
      </c>
      <c r="U27" s="160">
        <f>+R27/O27</f>
        <v>0.005667970246304346</v>
      </c>
      <c r="V27" s="118"/>
      <c r="W27" s="75">
        <f>+I27/F27</f>
        <v>29.01715953771423</v>
      </c>
    </row>
    <row r="28" spans="1:25" s="75" customFormat="1" ht="15" customHeight="1">
      <c r="A28" s="167" t="s">
        <v>99</v>
      </c>
      <c r="B28" s="72">
        <v>36</v>
      </c>
      <c r="C28" s="155" t="s">
        <v>113</v>
      </c>
      <c r="D28" s="155">
        <v>1</v>
      </c>
      <c r="E28" s="155">
        <v>0.5</v>
      </c>
      <c r="F28" s="154">
        <f>+E28*D28*52</f>
        <v>26</v>
      </c>
      <c r="G28" s="132">
        <f>References!$B$26</f>
        <v>29</v>
      </c>
      <c r="H28" s="79">
        <f aca="true" t="shared" si="11" ref="H28:H88">F28*G28</f>
        <v>754</v>
      </c>
      <c r="I28" s="76">
        <f aca="true" t="shared" si="12" ref="I28:I34">$C$110*H28</f>
        <v>565.3905315925457</v>
      </c>
      <c r="J28" s="73">
        <f>References!$C$49*I28</f>
        <v>0.5653905315925462</v>
      </c>
      <c r="K28" s="73">
        <f>J28/References!$G$57</f>
        <v>0.5810020568603846</v>
      </c>
      <c r="L28" s="121">
        <f>ROUND((K28/F28),2)</f>
        <v>0.02</v>
      </c>
      <c r="M28" s="27">
        <v>4.01</v>
      </c>
      <c r="N28" s="73">
        <f>L28+M28</f>
        <v>4.029999999999999</v>
      </c>
      <c r="O28" s="73">
        <f aca="true" t="shared" si="13" ref="O28:O69">F28*M28</f>
        <v>104.25999999999999</v>
      </c>
      <c r="P28" s="74">
        <f aca="true" t="shared" si="14" ref="P28:P69">N28</f>
        <v>4.029999999999999</v>
      </c>
      <c r="Q28" s="74">
        <f aca="true" t="shared" si="15" ref="Q28:Q69">F28*P28</f>
        <v>104.77999999999999</v>
      </c>
      <c r="R28" s="74">
        <f aca="true" t="shared" si="16" ref="R28:R69">Q28-O28</f>
        <v>0.519999999999996</v>
      </c>
      <c r="U28" s="153">
        <f aca="true" t="shared" si="17" ref="U28:U80">+N28/M28-1</f>
        <v>0.004987531172069737</v>
      </c>
      <c r="V28" s="118"/>
      <c r="X28" s="75">
        <f>32/202</f>
        <v>0.15841584158415842</v>
      </c>
      <c r="Y28" s="161">
        <f>+X28*F28</f>
        <v>4.118811881188119</v>
      </c>
    </row>
    <row r="29" spans="1:25" s="75" customFormat="1" ht="15">
      <c r="A29" s="166"/>
      <c r="B29" s="72">
        <v>36</v>
      </c>
      <c r="C29" s="155" t="s">
        <v>114</v>
      </c>
      <c r="D29" s="155">
        <v>30</v>
      </c>
      <c r="E29" s="155">
        <v>1</v>
      </c>
      <c r="F29" s="154">
        <f aca="true" t="shared" si="18" ref="F29:F92">+E29*D29*52</f>
        <v>1560</v>
      </c>
      <c r="G29" s="132">
        <f>References!$B$26</f>
        <v>29</v>
      </c>
      <c r="H29" s="79">
        <f t="shared" si="11"/>
        <v>45240</v>
      </c>
      <c r="I29" s="76">
        <f t="shared" si="12"/>
        <v>33923.43189555274</v>
      </c>
      <c r="J29" s="73">
        <f>References!$C$49*I29</f>
        <v>33.923431895552774</v>
      </c>
      <c r="K29" s="121">
        <f>J29/References!$G$57</f>
        <v>34.860123411623086</v>
      </c>
      <c r="L29" s="121">
        <f aca="true" t="shared" si="19" ref="L29:L98">ROUND((K29/F29),2)</f>
        <v>0.02</v>
      </c>
      <c r="M29" s="27">
        <v>4.01</v>
      </c>
      <c r="N29" s="73">
        <f>L29+M29</f>
        <v>4.029999999999999</v>
      </c>
      <c r="O29" s="73">
        <f t="shared" si="13"/>
        <v>6255.599999999999</v>
      </c>
      <c r="P29" s="74">
        <f t="shared" si="14"/>
        <v>4.029999999999999</v>
      </c>
      <c r="Q29" s="74">
        <f t="shared" si="15"/>
        <v>6286.799999999999</v>
      </c>
      <c r="R29" s="74">
        <f t="shared" si="16"/>
        <v>31.199999999999818</v>
      </c>
      <c r="U29" s="153">
        <f t="shared" si="17"/>
        <v>0.004987531172069737</v>
      </c>
      <c r="V29" s="118"/>
      <c r="X29" s="75">
        <f>32/202</f>
        <v>0.15841584158415842</v>
      </c>
      <c r="Y29" s="161">
        <f aca="true" t="shared" si="20" ref="Y29:Y92">+X29*F29</f>
        <v>247.12871287128712</v>
      </c>
    </row>
    <row r="30" spans="1:25" s="75" customFormat="1" ht="15">
      <c r="A30" s="166"/>
      <c r="B30" s="72">
        <v>36</v>
      </c>
      <c r="C30" s="155" t="s">
        <v>115</v>
      </c>
      <c r="D30" s="155">
        <v>32</v>
      </c>
      <c r="E30" s="155">
        <v>1</v>
      </c>
      <c r="F30" s="154">
        <f t="shared" si="18"/>
        <v>1664</v>
      </c>
      <c r="G30" s="132">
        <f>References!$B$26</f>
        <v>29</v>
      </c>
      <c r="H30" s="79">
        <f t="shared" si="11"/>
        <v>48256</v>
      </c>
      <c r="I30" s="76">
        <f t="shared" si="12"/>
        <v>36184.994021922925</v>
      </c>
      <c r="J30" s="73">
        <f>References!$C$49*I30</f>
        <v>36.184994021922954</v>
      </c>
      <c r="K30" s="121">
        <f>J30/References!$G$57</f>
        <v>37.18413163906462</v>
      </c>
      <c r="L30" s="121">
        <f t="shared" si="19"/>
        <v>0.02</v>
      </c>
      <c r="M30" s="27">
        <v>4.01</v>
      </c>
      <c r="N30" s="73">
        <f>L30+M30</f>
        <v>4.029999999999999</v>
      </c>
      <c r="O30" s="73">
        <f t="shared" si="13"/>
        <v>6672.639999999999</v>
      </c>
      <c r="P30" s="74">
        <f t="shared" si="14"/>
        <v>4.029999999999999</v>
      </c>
      <c r="Q30" s="74">
        <f t="shared" si="15"/>
        <v>6705.919999999999</v>
      </c>
      <c r="R30" s="74">
        <f t="shared" si="16"/>
        <v>33.279999999999745</v>
      </c>
      <c r="U30" s="153">
        <f t="shared" si="17"/>
        <v>0.004987531172069737</v>
      </c>
      <c r="V30" s="118"/>
      <c r="X30" s="75">
        <f>32/202</f>
        <v>0.15841584158415842</v>
      </c>
      <c r="Y30" s="161">
        <f t="shared" si="20"/>
        <v>263.6039603960396</v>
      </c>
    </row>
    <row r="31" spans="1:25" s="75" customFormat="1" ht="15">
      <c r="A31" s="166"/>
      <c r="B31" s="72">
        <v>36</v>
      </c>
      <c r="C31" s="155" t="s">
        <v>116</v>
      </c>
      <c r="D31" s="155">
        <v>12</v>
      </c>
      <c r="E31" s="155">
        <v>1</v>
      </c>
      <c r="F31" s="154">
        <f t="shared" si="18"/>
        <v>624</v>
      </c>
      <c r="G31" s="132">
        <f>References!$B$26</f>
        <v>29</v>
      </c>
      <c r="H31" s="79">
        <f t="shared" si="11"/>
        <v>18096</v>
      </c>
      <c r="I31" s="76">
        <f t="shared" si="12"/>
        <v>13569.372758221096</v>
      </c>
      <c r="J31" s="73">
        <f>References!$C$49*I31</f>
        <v>13.569372758221109</v>
      </c>
      <c r="K31" s="121">
        <f>J31/References!$G$57</f>
        <v>13.944049364649233</v>
      </c>
      <c r="L31" s="121">
        <f t="shared" si="19"/>
        <v>0.02</v>
      </c>
      <c r="M31" s="27">
        <v>4.01</v>
      </c>
      <c r="N31" s="73">
        <f>L31+M31</f>
        <v>4.029999999999999</v>
      </c>
      <c r="O31" s="73">
        <f t="shared" si="13"/>
        <v>2502.24</v>
      </c>
      <c r="P31" s="74">
        <f t="shared" si="14"/>
        <v>4.029999999999999</v>
      </c>
      <c r="Q31" s="74">
        <f t="shared" si="15"/>
        <v>2514.72</v>
      </c>
      <c r="R31" s="74">
        <f t="shared" si="16"/>
        <v>12.480000000000018</v>
      </c>
      <c r="U31" s="153">
        <f t="shared" si="17"/>
        <v>0.004987531172069737</v>
      </c>
      <c r="V31" s="118"/>
      <c r="X31" s="75">
        <f>32/202</f>
        <v>0.15841584158415842</v>
      </c>
      <c r="Y31" s="161">
        <f t="shared" si="20"/>
        <v>98.85148514851485</v>
      </c>
    </row>
    <row r="32" spans="1:25" s="75" customFormat="1" ht="15">
      <c r="A32" s="166"/>
      <c r="B32" s="72">
        <v>36</v>
      </c>
      <c r="C32" s="155" t="s">
        <v>117</v>
      </c>
      <c r="D32" s="155">
        <v>1</v>
      </c>
      <c r="E32" s="155">
        <v>1</v>
      </c>
      <c r="F32" s="154">
        <f t="shared" si="18"/>
        <v>52</v>
      </c>
      <c r="G32" s="132">
        <f>References!$B$26</f>
        <v>29</v>
      </c>
      <c r="H32" s="79">
        <f t="shared" si="11"/>
        <v>1508</v>
      </c>
      <c r="I32" s="76">
        <f t="shared" si="12"/>
        <v>1130.7810631850914</v>
      </c>
      <c r="J32" s="73">
        <f>References!$C$49*I32</f>
        <v>1.1307810631850923</v>
      </c>
      <c r="K32" s="121">
        <f>J32/References!$G$57</f>
        <v>1.1620041137207693</v>
      </c>
      <c r="L32" s="121">
        <f t="shared" si="19"/>
        <v>0.02</v>
      </c>
      <c r="M32" s="27">
        <v>5.26</v>
      </c>
      <c r="N32" s="73">
        <f>L32+M32</f>
        <v>5.279999999999999</v>
      </c>
      <c r="O32" s="73">
        <f t="shared" si="13"/>
        <v>273.52</v>
      </c>
      <c r="P32" s="74">
        <f t="shared" si="14"/>
        <v>5.279999999999999</v>
      </c>
      <c r="Q32" s="74">
        <f t="shared" si="15"/>
        <v>274.55999999999995</v>
      </c>
      <c r="R32" s="74">
        <f t="shared" si="16"/>
        <v>1.0399999999999636</v>
      </c>
      <c r="U32" s="153">
        <f t="shared" si="17"/>
        <v>0.0038022813688212143</v>
      </c>
      <c r="V32" s="118"/>
      <c r="X32" s="75">
        <f>35/202</f>
        <v>0.17326732673267325</v>
      </c>
      <c r="Y32" s="161">
        <f t="shared" si="20"/>
        <v>9.009900990099009</v>
      </c>
    </row>
    <row r="33" spans="1:25" s="75" customFormat="1" ht="15">
      <c r="A33" s="166"/>
      <c r="B33" s="72">
        <v>36</v>
      </c>
      <c r="C33" s="155" t="s">
        <v>118</v>
      </c>
      <c r="D33" s="155">
        <v>2</v>
      </c>
      <c r="E33" s="155">
        <v>1</v>
      </c>
      <c r="F33" s="154">
        <f t="shared" si="18"/>
        <v>104</v>
      </c>
      <c r="G33" s="132">
        <f>References!$B$26</f>
        <v>29</v>
      </c>
      <c r="H33" s="79">
        <f t="shared" si="11"/>
        <v>3016</v>
      </c>
      <c r="I33" s="76">
        <f t="shared" si="12"/>
        <v>2261.562126370183</v>
      </c>
      <c r="J33" s="73">
        <f>References!$C$49*I33</f>
        <v>2.2615621263701846</v>
      </c>
      <c r="K33" s="121">
        <f>J33/References!$G$57</f>
        <v>2.3240082274415386</v>
      </c>
      <c r="L33" s="121">
        <f t="shared" si="19"/>
        <v>0.02</v>
      </c>
      <c r="M33" s="27">
        <v>5.26</v>
      </c>
      <c r="N33" s="73">
        <f>L33+M33</f>
        <v>5.279999999999999</v>
      </c>
      <c r="O33" s="73">
        <f t="shared" si="13"/>
        <v>547.04</v>
      </c>
      <c r="P33" s="74">
        <f t="shared" si="14"/>
        <v>5.279999999999999</v>
      </c>
      <c r="Q33" s="74">
        <f t="shared" si="15"/>
        <v>549.1199999999999</v>
      </c>
      <c r="R33" s="74">
        <f t="shared" si="16"/>
        <v>2.0799999999999272</v>
      </c>
      <c r="U33" s="153">
        <f t="shared" si="17"/>
        <v>0.0038022813688212143</v>
      </c>
      <c r="V33" s="118"/>
      <c r="X33" s="75">
        <f>35/202</f>
        <v>0.17326732673267325</v>
      </c>
      <c r="Y33" s="161">
        <f t="shared" si="20"/>
        <v>18.019801980198018</v>
      </c>
    </row>
    <row r="34" spans="1:25" s="75" customFormat="1" ht="15">
      <c r="A34" s="166"/>
      <c r="B34" s="72">
        <v>36</v>
      </c>
      <c r="C34" s="155" t="s">
        <v>119</v>
      </c>
      <c r="D34" s="155">
        <v>8</v>
      </c>
      <c r="E34" s="155">
        <v>1</v>
      </c>
      <c r="F34" s="154">
        <f t="shared" si="18"/>
        <v>416</v>
      </c>
      <c r="G34" s="132">
        <v>47</v>
      </c>
      <c r="H34" s="79">
        <f t="shared" si="11"/>
        <v>19552</v>
      </c>
      <c r="I34" s="76">
        <f t="shared" si="12"/>
        <v>14661.161370951528</v>
      </c>
      <c r="J34" s="73">
        <f>References!$C$49*I34</f>
        <v>14.661161370951541</v>
      </c>
      <c r="K34" s="121">
        <f>J34/References!$G$57</f>
        <v>15.065984371000319</v>
      </c>
      <c r="L34" s="121">
        <f t="shared" si="19"/>
        <v>0.04</v>
      </c>
      <c r="M34" s="27">
        <v>7.779999999999999</v>
      </c>
      <c r="N34" s="73">
        <f>L34+M34</f>
        <v>7.819999999999999</v>
      </c>
      <c r="O34" s="73">
        <f t="shared" si="13"/>
        <v>3236.4799999999996</v>
      </c>
      <c r="P34" s="74">
        <f t="shared" si="14"/>
        <v>7.819999999999999</v>
      </c>
      <c r="Q34" s="74">
        <f t="shared" si="15"/>
        <v>3253.12</v>
      </c>
      <c r="R34" s="74">
        <f t="shared" si="16"/>
        <v>16.640000000000327</v>
      </c>
      <c r="U34" s="153">
        <f t="shared" si="17"/>
        <v>0.005141388174807249</v>
      </c>
      <c r="V34" s="119"/>
      <c r="X34" s="75">
        <f>64/202</f>
        <v>0.31683168316831684</v>
      </c>
      <c r="Y34" s="161">
        <f t="shared" si="20"/>
        <v>131.8019801980198</v>
      </c>
    </row>
    <row r="35" spans="1:25" s="75" customFormat="1" ht="15">
      <c r="A35" s="166"/>
      <c r="B35" s="72">
        <v>36</v>
      </c>
      <c r="C35" s="155" t="s">
        <v>120</v>
      </c>
      <c r="D35" s="155">
        <v>2</v>
      </c>
      <c r="E35" s="155">
        <v>1</v>
      </c>
      <c r="F35" s="154">
        <f t="shared" si="18"/>
        <v>104</v>
      </c>
      <c r="G35" s="132">
        <v>47</v>
      </c>
      <c r="H35" s="79">
        <f aca="true" t="shared" si="21" ref="H35:H44">F35*G35</f>
        <v>4888</v>
      </c>
      <c r="I35" s="76">
        <f aca="true" t="shared" si="22" ref="I35:I44">$C$110*H35</f>
        <v>3665.290342737882</v>
      </c>
      <c r="J35" s="121">
        <f>References!$C$49*I35</f>
        <v>3.6652903427378853</v>
      </c>
      <c r="K35" s="121">
        <f>J35/References!$G$57</f>
        <v>3.7664960927500797</v>
      </c>
      <c r="L35" s="121">
        <f aca="true" t="shared" si="23" ref="L35:L44">ROUND((K35/F35),2)</f>
        <v>0.04</v>
      </c>
      <c r="M35" s="27">
        <v>7.779999999999999</v>
      </c>
      <c r="N35" s="121">
        <f aca="true" t="shared" si="24" ref="M35:N44">L35+M35</f>
        <v>7.819999999999999</v>
      </c>
      <c r="O35" s="121">
        <f aca="true" t="shared" si="25" ref="O35:O44">F35*M35</f>
        <v>809.1199999999999</v>
      </c>
      <c r="P35" s="74">
        <f aca="true" t="shared" si="26" ref="P35:P44">N35</f>
        <v>7.819999999999999</v>
      </c>
      <c r="Q35" s="74">
        <f aca="true" t="shared" si="27" ref="Q35:Q44">F35*P35</f>
        <v>813.28</v>
      </c>
      <c r="R35" s="74">
        <f aca="true" t="shared" si="28" ref="R35:R44">Q35-O35</f>
        <v>4.160000000000082</v>
      </c>
      <c r="U35" s="153">
        <f t="shared" si="17"/>
        <v>0.005141388174807249</v>
      </c>
      <c r="V35" s="119"/>
      <c r="X35" s="75">
        <f>64/202</f>
        <v>0.31683168316831684</v>
      </c>
      <c r="Y35" s="161">
        <f t="shared" si="20"/>
        <v>32.95049504950495</v>
      </c>
    </row>
    <row r="36" spans="1:25" s="75" customFormat="1" ht="15">
      <c r="A36" s="166"/>
      <c r="B36" s="72">
        <v>36</v>
      </c>
      <c r="C36" s="155" t="s">
        <v>121</v>
      </c>
      <c r="D36" s="155">
        <v>12</v>
      </c>
      <c r="E36" s="155">
        <v>1</v>
      </c>
      <c r="F36" s="154">
        <f t="shared" si="18"/>
        <v>624</v>
      </c>
      <c r="G36" s="132">
        <v>47</v>
      </c>
      <c r="H36" s="79">
        <f t="shared" si="21"/>
        <v>29328</v>
      </c>
      <c r="I36" s="76">
        <f t="shared" si="22"/>
        <v>21991.742056427294</v>
      </c>
      <c r="J36" s="121">
        <f>References!$C$49*I36</f>
        <v>21.991742056427313</v>
      </c>
      <c r="K36" s="121">
        <f>J36/References!$G$57</f>
        <v>22.598976556500478</v>
      </c>
      <c r="L36" s="121">
        <f t="shared" si="23"/>
        <v>0.04</v>
      </c>
      <c r="M36" s="27">
        <v>7.779999999999999</v>
      </c>
      <c r="N36" s="121">
        <f t="shared" si="24"/>
        <v>7.819999999999999</v>
      </c>
      <c r="O36" s="121">
        <f t="shared" si="25"/>
        <v>4854.719999999999</v>
      </c>
      <c r="P36" s="74">
        <f t="shared" si="26"/>
        <v>7.819999999999999</v>
      </c>
      <c r="Q36" s="74">
        <f t="shared" si="27"/>
        <v>4879.679999999999</v>
      </c>
      <c r="R36" s="74">
        <f t="shared" si="28"/>
        <v>24.960000000000036</v>
      </c>
      <c r="U36" s="153">
        <f t="shared" si="17"/>
        <v>0.005141388174807249</v>
      </c>
      <c r="V36" s="119"/>
      <c r="X36" s="75">
        <f>64/202</f>
        <v>0.31683168316831684</v>
      </c>
      <c r="Y36" s="161">
        <f t="shared" si="20"/>
        <v>197.7029702970297</v>
      </c>
    </row>
    <row r="37" spans="1:25" s="75" customFormat="1" ht="15">
      <c r="A37" s="166"/>
      <c r="B37" s="72">
        <v>36</v>
      </c>
      <c r="C37" s="155" t="s">
        <v>122</v>
      </c>
      <c r="D37" s="155">
        <v>10</v>
      </c>
      <c r="E37" s="155">
        <v>1</v>
      </c>
      <c r="F37" s="154">
        <f t="shared" si="18"/>
        <v>520</v>
      </c>
      <c r="G37" s="132">
        <v>47</v>
      </c>
      <c r="H37" s="79">
        <f t="shared" si="21"/>
        <v>24440</v>
      </c>
      <c r="I37" s="76">
        <f t="shared" si="22"/>
        <v>18326.45171368941</v>
      </c>
      <c r="J37" s="121">
        <f>References!$C$49*I37</f>
        <v>18.326451713689426</v>
      </c>
      <c r="K37" s="121">
        <f>J37/References!$G$57</f>
        <v>18.8324804637504</v>
      </c>
      <c r="L37" s="121">
        <f t="shared" si="23"/>
        <v>0.04</v>
      </c>
      <c r="M37" s="27">
        <v>7.779999999999999</v>
      </c>
      <c r="N37" s="121">
        <f t="shared" si="24"/>
        <v>7.819999999999999</v>
      </c>
      <c r="O37" s="121">
        <f t="shared" si="25"/>
        <v>4045.5999999999995</v>
      </c>
      <c r="P37" s="74">
        <f t="shared" si="26"/>
        <v>7.819999999999999</v>
      </c>
      <c r="Q37" s="74">
        <f t="shared" si="27"/>
        <v>4066.3999999999996</v>
      </c>
      <c r="R37" s="74">
        <f t="shared" si="28"/>
        <v>20.800000000000182</v>
      </c>
      <c r="U37" s="153">
        <f t="shared" si="17"/>
        <v>0.005141388174807249</v>
      </c>
      <c r="V37" s="119"/>
      <c r="X37" s="75">
        <f>64/202</f>
        <v>0.31683168316831684</v>
      </c>
      <c r="Y37" s="161">
        <f t="shared" si="20"/>
        <v>164.75247524752476</v>
      </c>
    </row>
    <row r="38" spans="1:25" s="75" customFormat="1" ht="15">
      <c r="A38" s="166"/>
      <c r="B38" s="72">
        <v>36</v>
      </c>
      <c r="C38" s="155" t="s">
        <v>123</v>
      </c>
      <c r="D38" s="155">
        <v>150</v>
      </c>
      <c r="E38" s="155">
        <v>1</v>
      </c>
      <c r="F38" s="154">
        <f t="shared" si="18"/>
        <v>7800</v>
      </c>
      <c r="G38" s="132">
        <v>47</v>
      </c>
      <c r="H38" s="79">
        <f t="shared" si="21"/>
        <v>366600</v>
      </c>
      <c r="I38" s="76">
        <f t="shared" si="22"/>
        <v>274896.77570534113</v>
      </c>
      <c r="J38" s="121">
        <f>References!$C$49*I38</f>
        <v>274.8967757053414</v>
      </c>
      <c r="K38" s="121">
        <f>J38/References!$G$57</f>
        <v>282.487206956256</v>
      </c>
      <c r="L38" s="121">
        <f t="shared" si="23"/>
        <v>0.04</v>
      </c>
      <c r="M38" s="27">
        <v>7.779999999999999</v>
      </c>
      <c r="N38" s="121">
        <f t="shared" si="24"/>
        <v>7.819999999999999</v>
      </c>
      <c r="O38" s="121">
        <f t="shared" si="25"/>
        <v>60683.99999999999</v>
      </c>
      <c r="P38" s="74">
        <f t="shared" si="26"/>
        <v>7.819999999999999</v>
      </c>
      <c r="Q38" s="74">
        <f t="shared" si="27"/>
        <v>60995.99999999999</v>
      </c>
      <c r="R38" s="74">
        <f t="shared" si="28"/>
        <v>312</v>
      </c>
      <c r="U38" s="153">
        <f t="shared" si="17"/>
        <v>0.005141388174807249</v>
      </c>
      <c r="V38" s="119"/>
      <c r="X38" s="75">
        <f>64/202</f>
        <v>0.31683168316831684</v>
      </c>
      <c r="Y38" s="161">
        <f t="shared" si="20"/>
        <v>2471.2871287128714</v>
      </c>
    </row>
    <row r="39" spans="1:25" s="75" customFormat="1" ht="15">
      <c r="A39" s="166"/>
      <c r="B39" s="72">
        <v>36</v>
      </c>
      <c r="C39" s="155" t="s">
        <v>124</v>
      </c>
      <c r="D39" s="155">
        <v>12</v>
      </c>
      <c r="E39" s="155">
        <v>1</v>
      </c>
      <c r="F39" s="154">
        <f t="shared" si="18"/>
        <v>624</v>
      </c>
      <c r="G39" s="132">
        <v>68</v>
      </c>
      <c r="H39" s="79">
        <f t="shared" si="21"/>
        <v>42432</v>
      </c>
      <c r="I39" s="76">
        <f t="shared" si="22"/>
        <v>31817.83957100119</v>
      </c>
      <c r="J39" s="121">
        <f>References!$C$49*I39</f>
        <v>31.81783957100122</v>
      </c>
      <c r="K39" s="121">
        <f>J39/References!$G$57</f>
        <v>32.69639161366027</v>
      </c>
      <c r="L39" s="121">
        <f t="shared" si="23"/>
        <v>0.05</v>
      </c>
      <c r="M39" s="27">
        <v>10.760000000000002</v>
      </c>
      <c r="N39" s="121">
        <f t="shared" si="24"/>
        <v>10.810000000000002</v>
      </c>
      <c r="O39" s="121">
        <f t="shared" si="25"/>
        <v>6714.240000000001</v>
      </c>
      <c r="P39" s="74">
        <f t="shared" si="26"/>
        <v>10.810000000000002</v>
      </c>
      <c r="Q39" s="74">
        <f t="shared" si="27"/>
        <v>6745.440000000001</v>
      </c>
      <c r="R39" s="74">
        <f t="shared" si="28"/>
        <v>31.200000000000728</v>
      </c>
      <c r="U39" s="153">
        <f t="shared" si="17"/>
        <v>0.004646840148698983</v>
      </c>
      <c r="V39" s="119"/>
      <c r="X39" s="75">
        <f>96/202</f>
        <v>0.4752475247524752</v>
      </c>
      <c r="Y39" s="161">
        <f t="shared" si="20"/>
        <v>296.55445544554453</v>
      </c>
    </row>
    <row r="40" spans="1:25" s="75" customFormat="1" ht="15">
      <c r="A40" s="166"/>
      <c r="B40" s="72">
        <v>36</v>
      </c>
      <c r="C40" s="155" t="s">
        <v>125</v>
      </c>
      <c r="D40" s="155">
        <v>2</v>
      </c>
      <c r="E40" s="155">
        <v>1</v>
      </c>
      <c r="F40" s="154">
        <f t="shared" si="18"/>
        <v>104</v>
      </c>
      <c r="G40" s="132">
        <v>68</v>
      </c>
      <c r="H40" s="79">
        <f t="shared" si="21"/>
        <v>7072</v>
      </c>
      <c r="I40" s="76">
        <f t="shared" si="22"/>
        <v>5302.973261833532</v>
      </c>
      <c r="J40" s="121">
        <f>References!$C$49*I40</f>
        <v>5.302973261833537</v>
      </c>
      <c r="K40" s="121">
        <f>J40/References!$G$57</f>
        <v>5.449398602276712</v>
      </c>
      <c r="L40" s="121">
        <f t="shared" si="23"/>
        <v>0.05</v>
      </c>
      <c r="M40" s="27">
        <v>10.760000000000002</v>
      </c>
      <c r="N40" s="121">
        <f t="shared" si="24"/>
        <v>10.810000000000002</v>
      </c>
      <c r="O40" s="121">
        <f t="shared" si="25"/>
        <v>1119.0400000000002</v>
      </c>
      <c r="P40" s="74">
        <f t="shared" si="26"/>
        <v>10.810000000000002</v>
      </c>
      <c r="Q40" s="74">
        <f t="shared" si="27"/>
        <v>1124.2400000000002</v>
      </c>
      <c r="R40" s="74">
        <f t="shared" si="28"/>
        <v>5.2000000000000455</v>
      </c>
      <c r="U40" s="153">
        <f t="shared" si="17"/>
        <v>0.004646840148698983</v>
      </c>
      <c r="V40" s="119"/>
      <c r="X40" s="75">
        <f>96/202</f>
        <v>0.4752475247524752</v>
      </c>
      <c r="Y40" s="161">
        <f t="shared" si="20"/>
        <v>49.42574257425743</v>
      </c>
    </row>
    <row r="41" spans="1:25" s="75" customFormat="1" ht="15">
      <c r="A41" s="166"/>
      <c r="B41" s="72">
        <v>33</v>
      </c>
      <c r="C41" s="155" t="s">
        <v>126</v>
      </c>
      <c r="D41" s="155">
        <v>59</v>
      </c>
      <c r="E41" s="155">
        <v>0.5</v>
      </c>
      <c r="F41" s="154">
        <f t="shared" si="18"/>
        <v>1534</v>
      </c>
      <c r="G41" s="132">
        <f>+References!B27</f>
        <v>175</v>
      </c>
      <c r="H41" s="79">
        <f t="shared" si="21"/>
        <v>268450</v>
      </c>
      <c r="I41" s="76">
        <f t="shared" si="22"/>
        <v>201298.52547217358</v>
      </c>
      <c r="J41" s="121">
        <f>References!$C$49*I41</f>
        <v>201.29852547217376</v>
      </c>
      <c r="K41" s="121">
        <f>J41/References!$G$57</f>
        <v>206.8567667959818</v>
      </c>
      <c r="L41" s="121">
        <f t="shared" si="23"/>
        <v>0.13</v>
      </c>
      <c r="M41" s="27">
        <v>18.27</v>
      </c>
      <c r="N41" s="121">
        <f t="shared" si="24"/>
        <v>18.4</v>
      </c>
      <c r="O41" s="121">
        <f t="shared" si="25"/>
        <v>28026.18</v>
      </c>
      <c r="P41" s="74">
        <f t="shared" si="26"/>
        <v>18.4</v>
      </c>
      <c r="Q41" s="74">
        <f t="shared" si="27"/>
        <v>28225.6</v>
      </c>
      <c r="R41" s="74">
        <f t="shared" si="28"/>
        <v>199.41999999999825</v>
      </c>
      <c r="U41" s="153">
        <f t="shared" si="17"/>
        <v>0.007115489874110592</v>
      </c>
      <c r="V41" s="119"/>
      <c r="X41" s="75">
        <f>96/202</f>
        <v>0.4752475247524752</v>
      </c>
      <c r="Y41" s="161">
        <f t="shared" si="20"/>
        <v>729.029702970297</v>
      </c>
    </row>
    <row r="42" spans="1:25" s="75" customFormat="1" ht="15">
      <c r="A42" s="166"/>
      <c r="B42" s="72">
        <v>33</v>
      </c>
      <c r="C42" s="155" t="s">
        <v>127</v>
      </c>
      <c r="D42" s="155">
        <v>148</v>
      </c>
      <c r="E42" s="155">
        <v>1</v>
      </c>
      <c r="F42" s="154">
        <f t="shared" si="18"/>
        <v>7696</v>
      </c>
      <c r="G42" s="132">
        <f>+G41</f>
        <v>175</v>
      </c>
      <c r="H42" s="79">
        <f t="shared" si="21"/>
        <v>1346800</v>
      </c>
      <c r="I42" s="76">
        <f t="shared" si="22"/>
        <v>1009904.4667756505</v>
      </c>
      <c r="J42" s="121">
        <f>References!$C$49*I42</f>
        <v>1009.9044667756514</v>
      </c>
      <c r="K42" s="121">
        <f>J42/References!$G$57</f>
        <v>1037.789880874756</v>
      </c>
      <c r="L42" s="121">
        <f t="shared" si="23"/>
        <v>0.13</v>
      </c>
      <c r="M42" s="27">
        <v>18.27</v>
      </c>
      <c r="N42" s="121">
        <f t="shared" si="24"/>
        <v>18.4</v>
      </c>
      <c r="O42" s="121">
        <f t="shared" si="25"/>
        <v>140605.91999999998</v>
      </c>
      <c r="P42" s="74">
        <f t="shared" si="26"/>
        <v>18.4</v>
      </c>
      <c r="Q42" s="74">
        <f t="shared" si="27"/>
        <v>141606.4</v>
      </c>
      <c r="R42" s="74">
        <f t="shared" si="28"/>
        <v>1000.4800000000105</v>
      </c>
      <c r="U42" s="153">
        <f t="shared" si="17"/>
        <v>0.007115489874110592</v>
      </c>
      <c r="V42" s="119"/>
      <c r="X42" s="75">
        <v>1</v>
      </c>
      <c r="Y42" s="161">
        <f t="shared" si="20"/>
        <v>7696</v>
      </c>
    </row>
    <row r="43" spans="1:25" s="75" customFormat="1" ht="15">
      <c r="A43" s="166"/>
      <c r="B43" s="72">
        <v>33</v>
      </c>
      <c r="C43" s="155" t="s">
        <v>128</v>
      </c>
      <c r="D43" s="155">
        <v>2</v>
      </c>
      <c r="E43" s="155">
        <v>1</v>
      </c>
      <c r="F43" s="154">
        <f t="shared" si="18"/>
        <v>104</v>
      </c>
      <c r="G43" s="132">
        <f>+G42</f>
        <v>175</v>
      </c>
      <c r="H43" s="79">
        <f t="shared" si="21"/>
        <v>18200</v>
      </c>
      <c r="I43" s="76">
        <f t="shared" si="22"/>
        <v>13647.357659130412</v>
      </c>
      <c r="J43" s="121">
        <f>References!$C$49*I43</f>
        <v>13.647357659130424</v>
      </c>
      <c r="K43" s="121">
        <f>J43/References!$G$57</f>
        <v>14.024187579388595</v>
      </c>
      <c r="L43" s="121">
        <f t="shared" si="23"/>
        <v>0.13</v>
      </c>
      <c r="M43" s="27">
        <v>18.27</v>
      </c>
      <c r="N43" s="121">
        <f t="shared" si="24"/>
        <v>18.4</v>
      </c>
      <c r="O43" s="121">
        <f t="shared" si="25"/>
        <v>1900.08</v>
      </c>
      <c r="P43" s="74">
        <f t="shared" si="26"/>
        <v>18.4</v>
      </c>
      <c r="Q43" s="74">
        <f t="shared" si="27"/>
        <v>1913.6</v>
      </c>
      <c r="R43" s="74">
        <f t="shared" si="28"/>
        <v>13.519999999999982</v>
      </c>
      <c r="U43" s="153">
        <f t="shared" si="17"/>
        <v>0.007115489874110592</v>
      </c>
      <c r="V43" s="119"/>
      <c r="X43" s="75">
        <v>1</v>
      </c>
      <c r="Y43" s="161">
        <f t="shared" si="20"/>
        <v>104</v>
      </c>
    </row>
    <row r="44" spans="1:25" s="75" customFormat="1" ht="15">
      <c r="A44" s="166"/>
      <c r="B44" s="72">
        <v>33</v>
      </c>
      <c r="C44" s="155" t="s">
        <v>129</v>
      </c>
      <c r="D44" s="155">
        <v>2</v>
      </c>
      <c r="E44" s="155">
        <v>2</v>
      </c>
      <c r="F44" s="154">
        <f t="shared" si="18"/>
        <v>208</v>
      </c>
      <c r="G44" s="132">
        <f>+G43</f>
        <v>175</v>
      </c>
      <c r="H44" s="79">
        <f t="shared" si="21"/>
        <v>36400</v>
      </c>
      <c r="I44" s="76">
        <f t="shared" si="22"/>
        <v>27294.715318260824</v>
      </c>
      <c r="J44" s="121">
        <f>References!$C$49*I44</f>
        <v>27.29471531826085</v>
      </c>
      <c r="K44" s="121">
        <f>J44/References!$G$57</f>
        <v>28.04837515877719</v>
      </c>
      <c r="L44" s="121">
        <f t="shared" si="23"/>
        <v>0.13</v>
      </c>
      <c r="M44" s="27">
        <v>18.27</v>
      </c>
      <c r="N44" s="121">
        <f t="shared" si="24"/>
        <v>18.4</v>
      </c>
      <c r="O44" s="121">
        <f t="shared" si="25"/>
        <v>3800.16</v>
      </c>
      <c r="P44" s="74">
        <f t="shared" si="26"/>
        <v>18.4</v>
      </c>
      <c r="Q44" s="74">
        <f t="shared" si="27"/>
        <v>3827.2</v>
      </c>
      <c r="R44" s="74">
        <f t="shared" si="28"/>
        <v>27.039999999999964</v>
      </c>
      <c r="U44" s="153">
        <f t="shared" si="17"/>
        <v>0.007115489874110592</v>
      </c>
      <c r="V44" s="119"/>
      <c r="X44" s="75">
        <v>1</v>
      </c>
      <c r="Y44" s="161">
        <f t="shared" si="20"/>
        <v>208</v>
      </c>
    </row>
    <row r="45" spans="1:25" s="75" customFormat="1" ht="15">
      <c r="A45" s="166"/>
      <c r="B45" s="72">
        <v>33</v>
      </c>
      <c r="C45" s="155" t="s">
        <v>130</v>
      </c>
      <c r="D45" s="155">
        <v>3</v>
      </c>
      <c r="E45" s="155">
        <v>2</v>
      </c>
      <c r="F45" s="154">
        <f t="shared" si="18"/>
        <v>312</v>
      </c>
      <c r="G45" s="132">
        <f>+G44</f>
        <v>175</v>
      </c>
      <c r="H45" s="79">
        <f t="shared" si="11"/>
        <v>54600</v>
      </c>
      <c r="I45" s="76">
        <f aca="true" t="shared" si="29" ref="I45:I76">$C$110*H45</f>
        <v>40942.07297739124</v>
      </c>
      <c r="J45" s="73">
        <f>References!$C$49*I45</f>
        <v>40.94207297739128</v>
      </c>
      <c r="K45" s="121">
        <f>J45/References!$G$57</f>
        <v>42.07256273816579</v>
      </c>
      <c r="L45" s="121">
        <f t="shared" si="19"/>
        <v>0.13</v>
      </c>
      <c r="M45" s="27">
        <v>18.27</v>
      </c>
      <c r="N45" s="73">
        <f>L45+M45</f>
        <v>18.4</v>
      </c>
      <c r="O45" s="73">
        <f t="shared" si="13"/>
        <v>5700.24</v>
      </c>
      <c r="P45" s="74">
        <f t="shared" si="14"/>
        <v>18.4</v>
      </c>
      <c r="Q45" s="74">
        <f t="shared" si="15"/>
        <v>5740.799999999999</v>
      </c>
      <c r="R45" s="74">
        <f t="shared" si="16"/>
        <v>40.55999999999949</v>
      </c>
      <c r="U45" s="153">
        <f t="shared" si="17"/>
        <v>0.007115489874110592</v>
      </c>
      <c r="V45" s="119"/>
      <c r="X45" s="75">
        <v>1</v>
      </c>
      <c r="Y45" s="161">
        <f t="shared" si="20"/>
        <v>312</v>
      </c>
    </row>
    <row r="46" spans="1:25" s="75" customFormat="1" ht="15">
      <c r="A46" s="166"/>
      <c r="B46" s="72">
        <v>33</v>
      </c>
      <c r="C46" s="155" t="s">
        <v>131</v>
      </c>
      <c r="D46" s="155">
        <v>1</v>
      </c>
      <c r="E46" s="155">
        <v>3</v>
      </c>
      <c r="F46" s="154">
        <f t="shared" si="18"/>
        <v>156</v>
      </c>
      <c r="G46" s="132">
        <f>+G45</f>
        <v>175</v>
      </c>
      <c r="H46" s="79">
        <f t="shared" si="11"/>
        <v>27300</v>
      </c>
      <c r="I46" s="76">
        <f t="shared" si="29"/>
        <v>20471.03648869562</v>
      </c>
      <c r="J46" s="73">
        <f>References!$C$49*I46</f>
        <v>20.47103648869564</v>
      </c>
      <c r="K46" s="121">
        <f>J46/References!$G$57</f>
        <v>21.036281369082896</v>
      </c>
      <c r="L46" s="121">
        <f t="shared" si="19"/>
        <v>0.13</v>
      </c>
      <c r="M46" s="27">
        <v>18.27</v>
      </c>
      <c r="N46" s="73">
        <f>L46+M46</f>
        <v>18.4</v>
      </c>
      <c r="O46" s="73">
        <f t="shared" si="13"/>
        <v>2850.12</v>
      </c>
      <c r="P46" s="74">
        <f t="shared" si="14"/>
        <v>18.4</v>
      </c>
      <c r="Q46" s="74">
        <f t="shared" si="15"/>
        <v>2870.3999999999996</v>
      </c>
      <c r="R46" s="74">
        <f t="shared" si="16"/>
        <v>20.279999999999745</v>
      </c>
      <c r="U46" s="153">
        <f t="shared" si="17"/>
        <v>0.007115489874110592</v>
      </c>
      <c r="V46" s="119"/>
      <c r="X46" s="75">
        <v>1</v>
      </c>
      <c r="Y46" s="161">
        <f t="shared" si="20"/>
        <v>156</v>
      </c>
    </row>
    <row r="47" spans="1:25" s="75" customFormat="1" ht="15">
      <c r="A47" s="166"/>
      <c r="B47" s="72">
        <v>33</v>
      </c>
      <c r="C47" s="155" t="s">
        <v>132</v>
      </c>
      <c r="D47" s="155">
        <v>20</v>
      </c>
      <c r="E47" s="155">
        <v>0.5</v>
      </c>
      <c r="F47" s="154">
        <f t="shared" si="18"/>
        <v>520</v>
      </c>
      <c r="G47" s="132">
        <f>+References!B28</f>
        <v>250</v>
      </c>
      <c r="H47" s="79">
        <f t="shared" si="11"/>
        <v>130000</v>
      </c>
      <c r="I47" s="76">
        <f t="shared" si="29"/>
        <v>97481.1261366458</v>
      </c>
      <c r="J47" s="73">
        <f>References!$C$49*I47</f>
        <v>97.4811261366459</v>
      </c>
      <c r="K47" s="121">
        <f>J47/References!$G$57</f>
        <v>100.17276842420426</v>
      </c>
      <c r="L47" s="121">
        <f t="shared" si="19"/>
        <v>0.19</v>
      </c>
      <c r="M47" s="27">
        <v>23.26</v>
      </c>
      <c r="N47" s="73">
        <f>L47+M47</f>
        <v>23.450000000000003</v>
      </c>
      <c r="O47" s="73">
        <f t="shared" si="13"/>
        <v>12095.2</v>
      </c>
      <c r="P47" s="74">
        <f t="shared" si="14"/>
        <v>23.450000000000003</v>
      </c>
      <c r="Q47" s="74">
        <f t="shared" si="15"/>
        <v>12194.000000000002</v>
      </c>
      <c r="R47" s="74">
        <f t="shared" si="16"/>
        <v>98.80000000000109</v>
      </c>
      <c r="U47" s="153">
        <f t="shared" si="17"/>
        <v>0.008168529664660307</v>
      </c>
      <c r="V47" s="119"/>
      <c r="X47" s="75">
        <v>1.5</v>
      </c>
      <c r="Y47" s="161">
        <f t="shared" si="20"/>
        <v>780</v>
      </c>
    </row>
    <row r="48" spans="1:25" s="75" customFormat="1" ht="15">
      <c r="A48" s="166"/>
      <c r="B48" s="72">
        <v>33</v>
      </c>
      <c r="C48" s="155" t="s">
        <v>133</v>
      </c>
      <c r="D48" s="155">
        <v>30</v>
      </c>
      <c r="E48" s="155">
        <v>1</v>
      </c>
      <c r="F48" s="154">
        <f t="shared" si="18"/>
        <v>1560</v>
      </c>
      <c r="G48" s="132">
        <f>+G47</f>
        <v>250</v>
      </c>
      <c r="H48" s="79">
        <f t="shared" si="11"/>
        <v>390000</v>
      </c>
      <c r="I48" s="76">
        <f t="shared" si="29"/>
        <v>292443.3784099374</v>
      </c>
      <c r="J48" s="73">
        <f>References!$C$49*I48</f>
        <v>292.4433784099376</v>
      </c>
      <c r="K48" s="121">
        <f>J48/References!$G$57</f>
        <v>300.51830527261274</v>
      </c>
      <c r="L48" s="121">
        <f t="shared" si="19"/>
        <v>0.19</v>
      </c>
      <c r="M48" s="27">
        <v>23.26</v>
      </c>
      <c r="N48" s="73">
        <f>L48+M48</f>
        <v>23.450000000000003</v>
      </c>
      <c r="O48" s="73">
        <f t="shared" si="13"/>
        <v>36285.600000000006</v>
      </c>
      <c r="P48" s="74">
        <f t="shared" si="14"/>
        <v>23.450000000000003</v>
      </c>
      <c r="Q48" s="74">
        <f t="shared" si="15"/>
        <v>36582.00000000001</v>
      </c>
      <c r="R48" s="74">
        <f t="shared" si="16"/>
        <v>296.40000000000146</v>
      </c>
      <c r="U48" s="153">
        <f t="shared" si="17"/>
        <v>0.008168529664660307</v>
      </c>
      <c r="V48" s="119"/>
      <c r="X48" s="75">
        <v>1.5</v>
      </c>
      <c r="Y48" s="161">
        <f t="shared" si="20"/>
        <v>2340</v>
      </c>
    </row>
    <row r="49" spans="1:25" s="75" customFormat="1" ht="15">
      <c r="A49" s="166"/>
      <c r="B49" s="72">
        <v>33</v>
      </c>
      <c r="C49" s="155" t="s">
        <v>134</v>
      </c>
      <c r="D49" s="155">
        <v>1</v>
      </c>
      <c r="E49" s="155">
        <v>2</v>
      </c>
      <c r="F49" s="154">
        <f t="shared" si="18"/>
        <v>104</v>
      </c>
      <c r="G49" s="132">
        <f>+G48</f>
        <v>250</v>
      </c>
      <c r="H49" s="79">
        <f t="shared" si="11"/>
        <v>26000</v>
      </c>
      <c r="I49" s="76">
        <f t="shared" si="29"/>
        <v>19496.22522732916</v>
      </c>
      <c r="J49" s="73">
        <f>References!$C$49*I49</f>
        <v>19.496225227329177</v>
      </c>
      <c r="K49" s="121">
        <f>J49/References!$G$57</f>
        <v>20.034553684840848</v>
      </c>
      <c r="L49" s="121">
        <f t="shared" si="19"/>
        <v>0.19</v>
      </c>
      <c r="M49" s="27">
        <v>23.26</v>
      </c>
      <c r="N49" s="73">
        <f>L49+M49</f>
        <v>23.450000000000003</v>
      </c>
      <c r="O49" s="73">
        <f t="shared" si="13"/>
        <v>2419.04</v>
      </c>
      <c r="P49" s="74">
        <f t="shared" si="14"/>
        <v>23.450000000000003</v>
      </c>
      <c r="Q49" s="74">
        <f t="shared" si="15"/>
        <v>2438.8</v>
      </c>
      <c r="R49" s="74">
        <f t="shared" si="16"/>
        <v>19.76000000000022</v>
      </c>
      <c r="U49" s="153">
        <f t="shared" si="17"/>
        <v>0.008168529664660307</v>
      </c>
      <c r="V49" s="119"/>
      <c r="X49" s="75">
        <v>1.5</v>
      </c>
      <c r="Y49" s="161">
        <f t="shared" si="20"/>
        <v>156</v>
      </c>
    </row>
    <row r="50" spans="1:25" s="75" customFormat="1" ht="15">
      <c r="A50" s="166"/>
      <c r="B50" s="72">
        <v>33</v>
      </c>
      <c r="C50" s="155" t="s">
        <v>135</v>
      </c>
      <c r="D50" s="155">
        <v>6</v>
      </c>
      <c r="E50" s="157">
        <f>1/4.333</f>
        <v>0.23078698361412414</v>
      </c>
      <c r="F50" s="154">
        <f t="shared" si="18"/>
        <v>72.00553888760673</v>
      </c>
      <c r="G50" s="132">
        <f>+References!B29</f>
        <v>324</v>
      </c>
      <c r="H50" s="79">
        <f t="shared" si="11"/>
        <v>23329.79459958458</v>
      </c>
      <c r="I50" s="76">
        <f t="shared" si="29"/>
        <v>17493.95884695494</v>
      </c>
      <c r="J50" s="73">
        <f>References!$C$49*I50</f>
        <v>17.493958846954957</v>
      </c>
      <c r="K50" s="121">
        <f>J50/References!$G$57</f>
        <v>17.9770008600649</v>
      </c>
      <c r="L50" s="121">
        <f t="shared" si="19"/>
        <v>0.25</v>
      </c>
      <c r="M50" s="27">
        <v>31.45</v>
      </c>
      <c r="N50" s="73">
        <f>L50+M50</f>
        <v>31.7</v>
      </c>
      <c r="O50" s="73">
        <f t="shared" si="13"/>
        <v>2264.5741980152316</v>
      </c>
      <c r="P50" s="74">
        <f t="shared" si="14"/>
        <v>31.7</v>
      </c>
      <c r="Q50" s="74">
        <f t="shared" si="15"/>
        <v>2282.5755827371336</v>
      </c>
      <c r="R50" s="74">
        <f t="shared" si="16"/>
        <v>18.001384721902014</v>
      </c>
      <c r="U50" s="153">
        <f t="shared" si="17"/>
        <v>0.007949125596184325</v>
      </c>
      <c r="V50" s="119"/>
      <c r="X50" s="75">
        <v>2</v>
      </c>
      <c r="Y50" s="161">
        <f t="shared" si="20"/>
        <v>144.01107777521347</v>
      </c>
    </row>
    <row r="51" spans="1:25" s="75" customFormat="1" ht="15">
      <c r="A51" s="166"/>
      <c r="B51" s="72">
        <v>33</v>
      </c>
      <c r="C51" s="155" t="s">
        <v>136</v>
      </c>
      <c r="D51" s="155">
        <v>66</v>
      </c>
      <c r="E51" s="155">
        <v>0.5</v>
      </c>
      <c r="F51" s="154">
        <f t="shared" si="18"/>
        <v>1716</v>
      </c>
      <c r="G51" s="132">
        <f>+G50</f>
        <v>324</v>
      </c>
      <c r="H51" s="79">
        <f t="shared" si="11"/>
        <v>555984</v>
      </c>
      <c r="I51" s="76">
        <f t="shared" si="29"/>
        <v>416907.28026120673</v>
      </c>
      <c r="J51" s="73">
        <f>References!$C$49*I51</f>
        <v>416.9072802612071</v>
      </c>
      <c r="K51" s="121">
        <f>J51/References!$G$57</f>
        <v>428.4188959966367</v>
      </c>
      <c r="L51" s="121">
        <f t="shared" si="19"/>
        <v>0.25</v>
      </c>
      <c r="M51" s="27">
        <v>28.45</v>
      </c>
      <c r="N51" s="73">
        <f>L51+M51</f>
        <v>28.7</v>
      </c>
      <c r="O51" s="73">
        <f t="shared" si="13"/>
        <v>48820.2</v>
      </c>
      <c r="P51" s="74">
        <f t="shared" si="14"/>
        <v>28.7</v>
      </c>
      <c r="Q51" s="74">
        <f t="shared" si="15"/>
        <v>49249.2</v>
      </c>
      <c r="R51" s="74">
        <f t="shared" si="16"/>
        <v>429</v>
      </c>
      <c r="U51" s="153">
        <f t="shared" si="17"/>
        <v>0.008787346221441172</v>
      </c>
      <c r="V51" s="119"/>
      <c r="X51" s="75">
        <v>2</v>
      </c>
      <c r="Y51" s="161">
        <f t="shared" si="20"/>
        <v>3432</v>
      </c>
    </row>
    <row r="52" spans="1:25" s="75" customFormat="1" ht="15">
      <c r="A52" s="166"/>
      <c r="B52" s="72">
        <v>33</v>
      </c>
      <c r="C52" s="155" t="s">
        <v>137</v>
      </c>
      <c r="D52" s="155">
        <v>140</v>
      </c>
      <c r="E52" s="155">
        <v>1</v>
      </c>
      <c r="F52" s="154">
        <f t="shared" si="18"/>
        <v>7280</v>
      </c>
      <c r="G52" s="132">
        <f aca="true" t="shared" si="30" ref="G52:G62">+G51</f>
        <v>324</v>
      </c>
      <c r="H52" s="79">
        <f t="shared" si="11"/>
        <v>2358720</v>
      </c>
      <c r="I52" s="76">
        <f t="shared" si="29"/>
        <v>1768697.5526233015</v>
      </c>
      <c r="J52" s="73">
        <f>References!$C$49*I52</f>
        <v>1768.6975526233032</v>
      </c>
      <c r="K52" s="121">
        <f>J52/References!$G$57</f>
        <v>1817.5347102887622</v>
      </c>
      <c r="L52" s="121">
        <f t="shared" si="19"/>
        <v>0.25</v>
      </c>
      <c r="M52" s="27">
        <v>28.45</v>
      </c>
      <c r="N52" s="73">
        <f>L52+M52</f>
        <v>28.7</v>
      </c>
      <c r="O52" s="73">
        <f t="shared" si="13"/>
        <v>207116</v>
      </c>
      <c r="P52" s="74">
        <f t="shared" si="14"/>
        <v>28.7</v>
      </c>
      <c r="Q52" s="74">
        <f t="shared" si="15"/>
        <v>208936</v>
      </c>
      <c r="R52" s="74">
        <f t="shared" si="16"/>
        <v>1820</v>
      </c>
      <c r="U52" s="153">
        <f t="shared" si="17"/>
        <v>0.008787346221441172</v>
      </c>
      <c r="V52" s="119"/>
      <c r="X52" s="75">
        <v>2</v>
      </c>
      <c r="Y52" s="161">
        <f t="shared" si="20"/>
        <v>14560</v>
      </c>
    </row>
    <row r="53" spans="1:25" s="75" customFormat="1" ht="15">
      <c r="A53" s="166"/>
      <c r="B53" s="72">
        <v>33</v>
      </c>
      <c r="C53" s="155" t="s">
        <v>138</v>
      </c>
      <c r="D53" s="155">
        <v>10</v>
      </c>
      <c r="E53" s="155">
        <v>1</v>
      </c>
      <c r="F53" s="154">
        <f t="shared" si="18"/>
        <v>520</v>
      </c>
      <c r="G53" s="132">
        <f t="shared" si="30"/>
        <v>324</v>
      </c>
      <c r="H53" s="79">
        <f t="shared" si="11"/>
        <v>168480</v>
      </c>
      <c r="I53" s="76">
        <f t="shared" si="29"/>
        <v>126335.53947309295</v>
      </c>
      <c r="J53" s="73">
        <f>References!$C$49*I53</f>
        <v>126.33553947309306</v>
      </c>
      <c r="K53" s="121">
        <f>J53/References!$G$57</f>
        <v>129.8239078777687</v>
      </c>
      <c r="L53" s="121">
        <f t="shared" si="19"/>
        <v>0.25</v>
      </c>
      <c r="M53" s="27">
        <v>28.45</v>
      </c>
      <c r="N53" s="73">
        <f>L53+M53</f>
        <v>28.7</v>
      </c>
      <c r="O53" s="73">
        <f t="shared" si="13"/>
        <v>14794</v>
      </c>
      <c r="P53" s="74">
        <f t="shared" si="14"/>
        <v>28.7</v>
      </c>
      <c r="Q53" s="74">
        <f t="shared" si="15"/>
        <v>14924</v>
      </c>
      <c r="R53" s="74">
        <f t="shared" si="16"/>
        <v>130</v>
      </c>
      <c r="U53" s="153">
        <f t="shared" si="17"/>
        <v>0.008787346221441172</v>
      </c>
      <c r="V53" s="119"/>
      <c r="X53" s="75">
        <v>2</v>
      </c>
      <c r="Y53" s="161">
        <f t="shared" si="20"/>
        <v>1040</v>
      </c>
    </row>
    <row r="54" spans="1:25" s="75" customFormat="1" ht="15">
      <c r="A54" s="166"/>
      <c r="B54" s="72">
        <v>33</v>
      </c>
      <c r="C54" s="155" t="s">
        <v>139</v>
      </c>
      <c r="D54" s="155">
        <v>3</v>
      </c>
      <c r="E54" s="155">
        <v>1</v>
      </c>
      <c r="F54" s="154">
        <f t="shared" si="18"/>
        <v>156</v>
      </c>
      <c r="G54" s="132">
        <f t="shared" si="30"/>
        <v>324</v>
      </c>
      <c r="H54" s="79">
        <f t="shared" si="11"/>
        <v>50544</v>
      </c>
      <c r="I54" s="76">
        <f t="shared" si="29"/>
        <v>37900.66184192789</v>
      </c>
      <c r="J54" s="73">
        <f>References!$C$49*I54</f>
        <v>37.90066184192792</v>
      </c>
      <c r="K54" s="121">
        <f>J54/References!$G$57</f>
        <v>38.947172363330615</v>
      </c>
      <c r="L54" s="121">
        <f t="shared" si="19"/>
        <v>0.25</v>
      </c>
      <c r="M54" s="27">
        <v>28.45</v>
      </c>
      <c r="N54" s="73">
        <f>L54+M54</f>
        <v>28.7</v>
      </c>
      <c r="O54" s="73">
        <f t="shared" si="13"/>
        <v>4438.2</v>
      </c>
      <c r="P54" s="74">
        <f t="shared" si="14"/>
        <v>28.7</v>
      </c>
      <c r="Q54" s="74">
        <f t="shared" si="15"/>
        <v>4477.2</v>
      </c>
      <c r="R54" s="74">
        <f t="shared" si="16"/>
        <v>39</v>
      </c>
      <c r="U54" s="153">
        <f t="shared" si="17"/>
        <v>0.008787346221441172</v>
      </c>
      <c r="V54" s="119"/>
      <c r="X54" s="75">
        <v>2</v>
      </c>
      <c r="Y54" s="161">
        <f t="shared" si="20"/>
        <v>312</v>
      </c>
    </row>
    <row r="55" spans="1:25" s="75" customFormat="1" ht="15">
      <c r="A55" s="166"/>
      <c r="B55" s="72">
        <v>33</v>
      </c>
      <c r="C55" s="155" t="s">
        <v>140</v>
      </c>
      <c r="D55" s="155">
        <v>5</v>
      </c>
      <c r="E55" s="155">
        <v>1</v>
      </c>
      <c r="F55" s="154">
        <f t="shared" si="18"/>
        <v>260</v>
      </c>
      <c r="G55" s="132">
        <f t="shared" si="30"/>
        <v>324</v>
      </c>
      <c r="H55" s="79">
        <f t="shared" si="11"/>
        <v>84240</v>
      </c>
      <c r="I55" s="76">
        <f t="shared" si="29"/>
        <v>63167.76973654648</v>
      </c>
      <c r="J55" s="73">
        <f>References!$C$49*I55</f>
        <v>63.16776973654653</v>
      </c>
      <c r="K55" s="121">
        <f>J55/References!$G$57</f>
        <v>64.91195393888435</v>
      </c>
      <c r="L55" s="121">
        <f t="shared" si="19"/>
        <v>0.25</v>
      </c>
      <c r="M55" s="27">
        <v>28.45</v>
      </c>
      <c r="N55" s="73">
        <f>L55+M55</f>
        <v>28.7</v>
      </c>
      <c r="O55" s="73">
        <f t="shared" si="13"/>
        <v>7397</v>
      </c>
      <c r="P55" s="74">
        <f t="shared" si="14"/>
        <v>28.7</v>
      </c>
      <c r="Q55" s="74">
        <f t="shared" si="15"/>
        <v>7462</v>
      </c>
      <c r="R55" s="74">
        <f t="shared" si="16"/>
        <v>65</v>
      </c>
      <c r="U55" s="153">
        <f t="shared" si="17"/>
        <v>0.008787346221441172</v>
      </c>
      <c r="V55" s="119"/>
      <c r="X55" s="75">
        <v>2</v>
      </c>
      <c r="Y55" s="161">
        <f t="shared" si="20"/>
        <v>520</v>
      </c>
    </row>
    <row r="56" spans="1:25" s="75" customFormat="1" ht="15">
      <c r="A56" s="166"/>
      <c r="B56" s="72">
        <v>33</v>
      </c>
      <c r="C56" s="155" t="s">
        <v>141</v>
      </c>
      <c r="D56" s="155">
        <v>5</v>
      </c>
      <c r="E56" s="155">
        <v>1</v>
      </c>
      <c r="F56" s="154">
        <f t="shared" si="18"/>
        <v>260</v>
      </c>
      <c r="G56" s="132">
        <f t="shared" si="30"/>
        <v>324</v>
      </c>
      <c r="H56" s="79">
        <f t="shared" si="11"/>
        <v>84240</v>
      </c>
      <c r="I56" s="76">
        <f t="shared" si="29"/>
        <v>63167.76973654648</v>
      </c>
      <c r="J56" s="73">
        <f>References!$C$49*I56</f>
        <v>63.16776973654653</v>
      </c>
      <c r="K56" s="121">
        <f>J56/References!$G$57</f>
        <v>64.91195393888435</v>
      </c>
      <c r="L56" s="121">
        <f t="shared" si="19"/>
        <v>0.25</v>
      </c>
      <c r="M56" s="27">
        <v>28.45</v>
      </c>
      <c r="N56" s="73">
        <f>L56+M56</f>
        <v>28.7</v>
      </c>
      <c r="O56" s="73">
        <f t="shared" si="13"/>
        <v>7397</v>
      </c>
      <c r="P56" s="74">
        <f t="shared" si="14"/>
        <v>28.7</v>
      </c>
      <c r="Q56" s="74">
        <f t="shared" si="15"/>
        <v>7462</v>
      </c>
      <c r="R56" s="74">
        <f t="shared" si="16"/>
        <v>65</v>
      </c>
      <c r="U56" s="153">
        <f t="shared" si="17"/>
        <v>0.008787346221441172</v>
      </c>
      <c r="V56" s="119"/>
      <c r="X56" s="75">
        <v>2</v>
      </c>
      <c r="Y56" s="161">
        <f t="shared" si="20"/>
        <v>520</v>
      </c>
    </row>
    <row r="57" spans="1:25" s="75" customFormat="1" ht="15">
      <c r="A57" s="166"/>
      <c r="B57" s="72">
        <v>33</v>
      </c>
      <c r="C57" s="155" t="s">
        <v>142</v>
      </c>
      <c r="D57" s="155">
        <v>21</v>
      </c>
      <c r="E57" s="155">
        <v>1</v>
      </c>
      <c r="F57" s="154">
        <f t="shared" si="18"/>
        <v>1092</v>
      </c>
      <c r="G57" s="132">
        <f t="shared" si="30"/>
        <v>324</v>
      </c>
      <c r="H57" s="79">
        <f t="shared" si="11"/>
        <v>353808</v>
      </c>
      <c r="I57" s="76">
        <f t="shared" si="29"/>
        <v>265304.6328934952</v>
      </c>
      <c r="J57" s="73">
        <f>References!$C$49*I57</f>
        <v>265.30463289349547</v>
      </c>
      <c r="K57" s="121">
        <f>J57/References!$G$57</f>
        <v>272.63020654331433</v>
      </c>
      <c r="L57" s="121">
        <f t="shared" si="19"/>
        <v>0.25</v>
      </c>
      <c r="M57" s="27">
        <v>28.45</v>
      </c>
      <c r="N57" s="73">
        <f>L57+M57</f>
        <v>28.7</v>
      </c>
      <c r="O57" s="73">
        <f t="shared" si="13"/>
        <v>31067.399999999998</v>
      </c>
      <c r="P57" s="74">
        <f t="shared" si="14"/>
        <v>28.7</v>
      </c>
      <c r="Q57" s="74">
        <f t="shared" si="15"/>
        <v>31340.399999999998</v>
      </c>
      <c r="R57" s="74">
        <f t="shared" si="16"/>
        <v>273</v>
      </c>
      <c r="U57" s="153">
        <f t="shared" si="17"/>
        <v>0.008787346221441172</v>
      </c>
      <c r="V57" s="119"/>
      <c r="X57" s="75">
        <v>2</v>
      </c>
      <c r="Y57" s="161">
        <f t="shared" si="20"/>
        <v>2184</v>
      </c>
    </row>
    <row r="58" spans="1:25" s="75" customFormat="1" ht="15">
      <c r="A58" s="166"/>
      <c r="B58" s="72">
        <v>33</v>
      </c>
      <c r="C58" s="155" t="s">
        <v>143</v>
      </c>
      <c r="D58" s="155">
        <v>7</v>
      </c>
      <c r="E58" s="155">
        <v>1</v>
      </c>
      <c r="F58" s="154">
        <f t="shared" si="18"/>
        <v>364</v>
      </c>
      <c r="G58" s="132">
        <f t="shared" si="30"/>
        <v>324</v>
      </c>
      <c r="H58" s="79">
        <f t="shared" si="11"/>
        <v>117936</v>
      </c>
      <c r="I58" s="76">
        <f t="shared" si="29"/>
        <v>88434.87763116507</v>
      </c>
      <c r="J58" s="73">
        <f>References!$C$49*I58</f>
        <v>88.43487763116515</v>
      </c>
      <c r="K58" s="121">
        <f>J58/References!$G$57</f>
        <v>90.8767355144381</v>
      </c>
      <c r="L58" s="121">
        <f t="shared" si="19"/>
        <v>0.25</v>
      </c>
      <c r="M58" s="27">
        <v>28.45</v>
      </c>
      <c r="N58" s="73">
        <f>L58+M58</f>
        <v>28.7</v>
      </c>
      <c r="O58" s="73">
        <f t="shared" si="13"/>
        <v>10355.8</v>
      </c>
      <c r="P58" s="74">
        <f t="shared" si="14"/>
        <v>28.7</v>
      </c>
      <c r="Q58" s="74">
        <f t="shared" si="15"/>
        <v>10446.8</v>
      </c>
      <c r="R58" s="74">
        <f t="shared" si="16"/>
        <v>91</v>
      </c>
      <c r="U58" s="153">
        <f t="shared" si="17"/>
        <v>0.008787346221441172</v>
      </c>
      <c r="V58" s="119"/>
      <c r="X58" s="75">
        <v>2</v>
      </c>
      <c r="Y58" s="161">
        <f t="shared" si="20"/>
        <v>728</v>
      </c>
    </row>
    <row r="59" spans="1:25" s="75" customFormat="1" ht="15">
      <c r="A59" s="166"/>
      <c r="B59" s="72">
        <v>33</v>
      </c>
      <c r="C59" s="155" t="s">
        <v>144</v>
      </c>
      <c r="D59" s="155">
        <v>9</v>
      </c>
      <c r="E59" s="155">
        <v>2</v>
      </c>
      <c r="F59" s="154">
        <f t="shared" si="18"/>
        <v>936</v>
      </c>
      <c r="G59" s="132">
        <f t="shared" si="30"/>
        <v>324</v>
      </c>
      <c r="H59" s="79">
        <f t="shared" si="11"/>
        <v>303264</v>
      </c>
      <c r="I59" s="76">
        <f t="shared" si="29"/>
        <v>227403.97105156732</v>
      </c>
      <c r="J59" s="73">
        <f>References!$C$49*I59</f>
        <v>227.4039710515675</v>
      </c>
      <c r="K59" s="121">
        <f>J59/References!$G$57</f>
        <v>233.68303417998365</v>
      </c>
      <c r="L59" s="121">
        <f t="shared" si="19"/>
        <v>0.25</v>
      </c>
      <c r="M59" s="27">
        <v>28.45</v>
      </c>
      <c r="N59" s="73">
        <f>L59+M59</f>
        <v>28.7</v>
      </c>
      <c r="O59" s="73">
        <f t="shared" si="13"/>
        <v>26629.2</v>
      </c>
      <c r="P59" s="74">
        <f t="shared" si="14"/>
        <v>28.7</v>
      </c>
      <c r="Q59" s="74">
        <f t="shared" si="15"/>
        <v>26863.2</v>
      </c>
      <c r="R59" s="74">
        <f t="shared" si="16"/>
        <v>234</v>
      </c>
      <c r="U59" s="153">
        <f t="shared" si="17"/>
        <v>0.008787346221441172</v>
      </c>
      <c r="V59" s="119"/>
      <c r="X59" s="75">
        <v>2</v>
      </c>
      <c r="Y59" s="161">
        <f t="shared" si="20"/>
        <v>1872</v>
      </c>
    </row>
    <row r="60" spans="1:25" s="75" customFormat="1" ht="15">
      <c r="A60" s="166"/>
      <c r="B60" s="72">
        <v>33</v>
      </c>
      <c r="C60" s="155" t="s">
        <v>145</v>
      </c>
      <c r="D60" s="155">
        <v>9</v>
      </c>
      <c r="E60" s="155">
        <v>2</v>
      </c>
      <c r="F60" s="154">
        <f t="shared" si="18"/>
        <v>936</v>
      </c>
      <c r="G60" s="132">
        <f t="shared" si="30"/>
        <v>324</v>
      </c>
      <c r="H60" s="79">
        <f t="shared" si="11"/>
        <v>303264</v>
      </c>
      <c r="I60" s="76">
        <f t="shared" si="29"/>
        <v>227403.97105156732</v>
      </c>
      <c r="J60" s="73">
        <f>References!$C$49*I60</f>
        <v>227.4039710515675</v>
      </c>
      <c r="K60" s="121">
        <f>J60/References!$G$57</f>
        <v>233.68303417998365</v>
      </c>
      <c r="L60" s="121">
        <f t="shared" si="19"/>
        <v>0.25</v>
      </c>
      <c r="M60" s="27">
        <v>28.45</v>
      </c>
      <c r="N60" s="73">
        <f>L60+M60</f>
        <v>28.7</v>
      </c>
      <c r="O60" s="73">
        <f t="shared" si="13"/>
        <v>26629.2</v>
      </c>
      <c r="P60" s="74">
        <f t="shared" si="14"/>
        <v>28.7</v>
      </c>
      <c r="Q60" s="74">
        <f t="shared" si="15"/>
        <v>26863.2</v>
      </c>
      <c r="R60" s="74">
        <f t="shared" si="16"/>
        <v>234</v>
      </c>
      <c r="U60" s="153">
        <f t="shared" si="17"/>
        <v>0.008787346221441172</v>
      </c>
      <c r="V60" s="119"/>
      <c r="X60" s="75">
        <v>2</v>
      </c>
      <c r="Y60" s="161">
        <f t="shared" si="20"/>
        <v>1872</v>
      </c>
    </row>
    <row r="61" spans="1:25" s="75" customFormat="1" ht="15">
      <c r="A61" s="166"/>
      <c r="B61" s="72">
        <v>33</v>
      </c>
      <c r="C61" s="155" t="s">
        <v>146</v>
      </c>
      <c r="D61" s="155">
        <v>7</v>
      </c>
      <c r="E61" s="155">
        <v>2</v>
      </c>
      <c r="F61" s="154">
        <f t="shared" si="18"/>
        <v>728</v>
      </c>
      <c r="G61" s="132">
        <f t="shared" si="30"/>
        <v>324</v>
      </c>
      <c r="H61" s="79">
        <f t="shared" si="11"/>
        <v>235872</v>
      </c>
      <c r="I61" s="76">
        <f t="shared" si="29"/>
        <v>176869.75526233015</v>
      </c>
      <c r="J61" s="73">
        <f>References!$C$49*I61</f>
        <v>176.8697552623303</v>
      </c>
      <c r="K61" s="121">
        <f>J61/References!$G$57</f>
        <v>181.7534710288762</v>
      </c>
      <c r="L61" s="121">
        <f t="shared" si="19"/>
        <v>0.25</v>
      </c>
      <c r="M61" s="27">
        <v>28.45</v>
      </c>
      <c r="N61" s="73">
        <f>L61+M61</f>
        <v>28.7</v>
      </c>
      <c r="O61" s="73">
        <f t="shared" si="13"/>
        <v>20711.6</v>
      </c>
      <c r="P61" s="74">
        <f t="shared" si="14"/>
        <v>28.7</v>
      </c>
      <c r="Q61" s="74">
        <f t="shared" si="15"/>
        <v>20893.6</v>
      </c>
      <c r="R61" s="74">
        <f t="shared" si="16"/>
        <v>182</v>
      </c>
      <c r="U61" s="153">
        <f t="shared" si="17"/>
        <v>0.008787346221441172</v>
      </c>
      <c r="V61" s="119"/>
      <c r="X61" s="75">
        <v>2</v>
      </c>
      <c r="Y61" s="161">
        <f t="shared" si="20"/>
        <v>1456</v>
      </c>
    </row>
    <row r="62" spans="1:25" s="75" customFormat="1" ht="15">
      <c r="A62" s="166"/>
      <c r="B62" s="72">
        <v>33</v>
      </c>
      <c r="C62" s="155" t="s">
        <v>147</v>
      </c>
      <c r="D62" s="155">
        <v>6</v>
      </c>
      <c r="E62" s="155">
        <v>3</v>
      </c>
      <c r="F62" s="154">
        <f t="shared" si="18"/>
        <v>936</v>
      </c>
      <c r="G62" s="132">
        <f t="shared" si="30"/>
        <v>324</v>
      </c>
      <c r="H62" s="79">
        <f t="shared" si="11"/>
        <v>303264</v>
      </c>
      <c r="I62" s="76">
        <f t="shared" si="29"/>
        <v>227403.97105156732</v>
      </c>
      <c r="J62" s="73">
        <f>References!$C$49*I62</f>
        <v>227.4039710515675</v>
      </c>
      <c r="K62" s="121">
        <f>J62/References!$G$57</f>
        <v>233.68303417998365</v>
      </c>
      <c r="L62" s="121">
        <f t="shared" si="19"/>
        <v>0.25</v>
      </c>
      <c r="M62" s="27">
        <v>28.45</v>
      </c>
      <c r="N62" s="73">
        <f>L62+M62</f>
        <v>28.7</v>
      </c>
      <c r="O62" s="73">
        <f t="shared" si="13"/>
        <v>26629.2</v>
      </c>
      <c r="P62" s="74">
        <f t="shared" si="14"/>
        <v>28.7</v>
      </c>
      <c r="Q62" s="74">
        <f t="shared" si="15"/>
        <v>26863.2</v>
      </c>
      <c r="R62" s="74">
        <f t="shared" si="16"/>
        <v>234</v>
      </c>
      <c r="U62" s="153">
        <f t="shared" si="17"/>
        <v>0.008787346221441172</v>
      </c>
      <c r="V62" s="119"/>
      <c r="X62" s="75">
        <v>2</v>
      </c>
      <c r="Y62" s="161">
        <f t="shared" si="20"/>
        <v>1872</v>
      </c>
    </row>
    <row r="63" spans="1:25" s="75" customFormat="1" ht="15">
      <c r="A63" s="166"/>
      <c r="B63" s="72">
        <v>33</v>
      </c>
      <c r="C63" s="155" t="s">
        <v>148</v>
      </c>
      <c r="D63" s="155">
        <v>19</v>
      </c>
      <c r="E63" s="155">
        <v>0.5</v>
      </c>
      <c r="F63" s="154">
        <f t="shared" si="18"/>
        <v>494</v>
      </c>
      <c r="G63" s="132">
        <f>+References!B30</f>
        <v>473</v>
      </c>
      <c r="H63" s="79">
        <f t="shared" si="11"/>
        <v>233662</v>
      </c>
      <c r="I63" s="76">
        <f t="shared" si="29"/>
        <v>175212.57611800716</v>
      </c>
      <c r="J63" s="73">
        <f>References!$C$49*I63</f>
        <v>175.21257611800732</v>
      </c>
      <c r="K63" s="121">
        <f>J63/References!$G$57</f>
        <v>180.05053396566473</v>
      </c>
      <c r="L63" s="121">
        <f t="shared" si="19"/>
        <v>0.36</v>
      </c>
      <c r="M63" s="27">
        <v>38.71</v>
      </c>
      <c r="N63" s="73">
        <f>L63+M63</f>
        <v>39.07</v>
      </c>
      <c r="O63" s="73">
        <f t="shared" si="13"/>
        <v>19122.74</v>
      </c>
      <c r="P63" s="74">
        <f t="shared" si="14"/>
        <v>39.07</v>
      </c>
      <c r="Q63" s="74">
        <f t="shared" si="15"/>
        <v>19300.58</v>
      </c>
      <c r="R63" s="74">
        <f t="shared" si="16"/>
        <v>177.84000000000015</v>
      </c>
      <c r="U63" s="153">
        <f t="shared" si="17"/>
        <v>0.009299922500645819</v>
      </c>
      <c r="V63" s="119"/>
      <c r="X63" s="75">
        <v>3</v>
      </c>
      <c r="Y63" s="161">
        <f t="shared" si="20"/>
        <v>1482</v>
      </c>
    </row>
    <row r="64" spans="1:25" s="75" customFormat="1" ht="15">
      <c r="A64" s="166"/>
      <c r="B64" s="72">
        <v>33</v>
      </c>
      <c r="C64" s="155" t="s">
        <v>149</v>
      </c>
      <c r="D64" s="155">
        <v>56</v>
      </c>
      <c r="E64" s="155">
        <v>1</v>
      </c>
      <c r="F64" s="154">
        <f t="shared" si="18"/>
        <v>2912</v>
      </c>
      <c r="G64" s="132">
        <f>+G63</f>
        <v>473</v>
      </c>
      <c r="H64" s="79">
        <f t="shared" si="11"/>
        <v>1377376</v>
      </c>
      <c r="I64" s="76">
        <f t="shared" si="29"/>
        <v>1032832.0276429895</v>
      </c>
      <c r="J64" s="73">
        <f>References!$C$49*I64</f>
        <v>1032.8320276429904</v>
      </c>
      <c r="K64" s="121">
        <f>J64/References!$G$57</f>
        <v>1061.3505160081288</v>
      </c>
      <c r="L64" s="121">
        <f t="shared" si="19"/>
        <v>0.36</v>
      </c>
      <c r="M64" s="27">
        <v>38.71</v>
      </c>
      <c r="N64" s="73">
        <f>L64+M64</f>
        <v>39.07</v>
      </c>
      <c r="O64" s="73">
        <f t="shared" si="13"/>
        <v>112723.52</v>
      </c>
      <c r="P64" s="74">
        <f t="shared" si="14"/>
        <v>39.07</v>
      </c>
      <c r="Q64" s="74">
        <f t="shared" si="15"/>
        <v>113771.84</v>
      </c>
      <c r="R64" s="74">
        <f t="shared" si="16"/>
        <v>1048.3199999999924</v>
      </c>
      <c r="U64" s="153">
        <f t="shared" si="17"/>
        <v>0.009299922500645819</v>
      </c>
      <c r="V64" s="119"/>
      <c r="X64" s="75">
        <v>3</v>
      </c>
      <c r="Y64" s="161">
        <f t="shared" si="20"/>
        <v>8736</v>
      </c>
    </row>
    <row r="65" spans="1:25" s="75" customFormat="1" ht="15">
      <c r="A65" s="166"/>
      <c r="B65" s="72">
        <v>33</v>
      </c>
      <c r="C65" s="155" t="s">
        <v>150</v>
      </c>
      <c r="D65" s="155">
        <v>6</v>
      </c>
      <c r="E65" s="155">
        <v>1</v>
      </c>
      <c r="F65" s="154">
        <f t="shared" si="18"/>
        <v>312</v>
      </c>
      <c r="G65" s="132">
        <f aca="true" t="shared" si="31" ref="G65:G70">+G64</f>
        <v>473</v>
      </c>
      <c r="H65" s="79">
        <f t="shared" si="11"/>
        <v>147576</v>
      </c>
      <c r="I65" s="76">
        <f t="shared" si="29"/>
        <v>110660.57439032031</v>
      </c>
      <c r="J65" s="73">
        <f>References!$C$49*I65</f>
        <v>110.6605743903204</v>
      </c>
      <c r="K65" s="121">
        <f>J65/References!$G$57</f>
        <v>113.71612671515666</v>
      </c>
      <c r="L65" s="121">
        <f t="shared" si="19"/>
        <v>0.36</v>
      </c>
      <c r="M65" s="27">
        <v>38.71</v>
      </c>
      <c r="N65" s="73">
        <f>L65+M65</f>
        <v>39.07</v>
      </c>
      <c r="O65" s="73">
        <f t="shared" si="13"/>
        <v>12077.52</v>
      </c>
      <c r="P65" s="74">
        <f t="shared" si="14"/>
        <v>39.07</v>
      </c>
      <c r="Q65" s="74">
        <f t="shared" si="15"/>
        <v>12189.84</v>
      </c>
      <c r="R65" s="74">
        <f t="shared" si="16"/>
        <v>112.31999999999971</v>
      </c>
      <c r="U65" s="153">
        <f t="shared" si="17"/>
        <v>0.009299922500645819</v>
      </c>
      <c r="V65" s="119"/>
      <c r="X65" s="75">
        <v>3</v>
      </c>
      <c r="Y65" s="161">
        <f t="shared" si="20"/>
        <v>936</v>
      </c>
    </row>
    <row r="66" spans="1:25" s="75" customFormat="1" ht="15">
      <c r="A66" s="166"/>
      <c r="B66" s="72">
        <v>33</v>
      </c>
      <c r="C66" s="155" t="s">
        <v>151</v>
      </c>
      <c r="D66" s="155">
        <v>9</v>
      </c>
      <c r="E66" s="155">
        <v>1</v>
      </c>
      <c r="F66" s="154">
        <f t="shared" si="18"/>
        <v>468</v>
      </c>
      <c r="G66" s="132">
        <f t="shared" si="31"/>
        <v>473</v>
      </c>
      <c r="H66" s="79">
        <f t="shared" si="11"/>
        <v>221364</v>
      </c>
      <c r="I66" s="76">
        <f t="shared" si="29"/>
        <v>165990.86158548048</v>
      </c>
      <c r="J66" s="73">
        <f>References!$C$49*I66</f>
        <v>165.99086158548062</v>
      </c>
      <c r="K66" s="121">
        <f>J66/References!$G$57</f>
        <v>170.574190072735</v>
      </c>
      <c r="L66" s="121">
        <f t="shared" si="19"/>
        <v>0.36</v>
      </c>
      <c r="M66" s="27">
        <v>38.71</v>
      </c>
      <c r="N66" s="73">
        <f>L66+M66</f>
        <v>39.07</v>
      </c>
      <c r="O66" s="73">
        <f t="shared" si="13"/>
        <v>18116.28</v>
      </c>
      <c r="P66" s="74">
        <f t="shared" si="14"/>
        <v>39.07</v>
      </c>
      <c r="Q66" s="74">
        <f t="shared" si="15"/>
        <v>18284.76</v>
      </c>
      <c r="R66" s="74">
        <f t="shared" si="16"/>
        <v>168.47999999999956</v>
      </c>
      <c r="U66" s="153">
        <f t="shared" si="17"/>
        <v>0.009299922500645819</v>
      </c>
      <c r="V66" s="119"/>
      <c r="X66" s="75">
        <v>3</v>
      </c>
      <c r="Y66" s="161">
        <f t="shared" si="20"/>
        <v>1404</v>
      </c>
    </row>
    <row r="67" spans="1:25" s="75" customFormat="1" ht="15">
      <c r="A67" s="166"/>
      <c r="B67" s="72">
        <v>33</v>
      </c>
      <c r="C67" s="155" t="s">
        <v>152</v>
      </c>
      <c r="D67" s="155">
        <v>16</v>
      </c>
      <c r="E67" s="155">
        <v>1</v>
      </c>
      <c r="F67" s="154">
        <f t="shared" si="18"/>
        <v>832</v>
      </c>
      <c r="G67" s="132">
        <f t="shared" si="31"/>
        <v>473</v>
      </c>
      <c r="H67" s="79">
        <f t="shared" si="11"/>
        <v>393536</v>
      </c>
      <c r="I67" s="76">
        <f t="shared" si="29"/>
        <v>295094.86504085414</v>
      </c>
      <c r="J67" s="73">
        <f>References!$C$49*I67</f>
        <v>295.0948650408544</v>
      </c>
      <c r="K67" s="121">
        <f>J67/References!$G$57</f>
        <v>303.2430045737511</v>
      </c>
      <c r="L67" s="121">
        <f t="shared" si="19"/>
        <v>0.36</v>
      </c>
      <c r="M67" s="27">
        <v>38.71</v>
      </c>
      <c r="N67" s="73">
        <f>L67+M67</f>
        <v>39.07</v>
      </c>
      <c r="O67" s="73">
        <f t="shared" si="13"/>
        <v>32206.72</v>
      </c>
      <c r="P67" s="74">
        <f t="shared" si="14"/>
        <v>39.07</v>
      </c>
      <c r="Q67" s="74">
        <f t="shared" si="15"/>
        <v>32506.24</v>
      </c>
      <c r="R67" s="74">
        <f t="shared" si="16"/>
        <v>299.52000000000044</v>
      </c>
      <c r="U67" s="153">
        <f t="shared" si="17"/>
        <v>0.009299922500645819</v>
      </c>
      <c r="V67" s="119"/>
      <c r="X67" s="75">
        <v>3</v>
      </c>
      <c r="Y67" s="161">
        <f t="shared" si="20"/>
        <v>2496</v>
      </c>
    </row>
    <row r="68" spans="1:25" s="75" customFormat="1" ht="15">
      <c r="A68" s="166"/>
      <c r="B68" s="72">
        <v>33</v>
      </c>
      <c r="C68" s="155" t="s">
        <v>153</v>
      </c>
      <c r="D68" s="155">
        <v>7</v>
      </c>
      <c r="E68" s="155">
        <v>1</v>
      </c>
      <c r="F68" s="154">
        <f t="shared" si="18"/>
        <v>364</v>
      </c>
      <c r="G68" s="132">
        <f t="shared" si="31"/>
        <v>473</v>
      </c>
      <c r="H68" s="79">
        <f t="shared" si="11"/>
        <v>172172</v>
      </c>
      <c r="I68" s="76">
        <f t="shared" si="29"/>
        <v>129104.00345537369</v>
      </c>
      <c r="J68" s="73">
        <f>References!$C$49*I68</f>
        <v>129.1040034553738</v>
      </c>
      <c r="K68" s="121">
        <f>J68/References!$G$57</f>
        <v>132.6688145010161</v>
      </c>
      <c r="L68" s="121">
        <f t="shared" si="19"/>
        <v>0.36</v>
      </c>
      <c r="M68" s="27">
        <v>38.71</v>
      </c>
      <c r="N68" s="73">
        <f>L68+M68</f>
        <v>39.07</v>
      </c>
      <c r="O68" s="73">
        <f t="shared" si="13"/>
        <v>14090.44</v>
      </c>
      <c r="P68" s="74">
        <f t="shared" si="14"/>
        <v>39.07</v>
      </c>
      <c r="Q68" s="74">
        <f t="shared" si="15"/>
        <v>14221.48</v>
      </c>
      <c r="R68" s="74">
        <f t="shared" si="16"/>
        <v>131.03999999999905</v>
      </c>
      <c r="U68" s="153">
        <f t="shared" si="17"/>
        <v>0.009299922500645819</v>
      </c>
      <c r="V68" s="119"/>
      <c r="X68" s="75">
        <v>3</v>
      </c>
      <c r="Y68" s="161">
        <f t="shared" si="20"/>
        <v>1092</v>
      </c>
    </row>
    <row r="69" spans="1:25" s="75" customFormat="1" ht="15">
      <c r="A69" s="166"/>
      <c r="B69" s="72">
        <v>33</v>
      </c>
      <c r="C69" s="155" t="s">
        <v>154</v>
      </c>
      <c r="D69" s="155">
        <v>3</v>
      </c>
      <c r="E69" s="155">
        <v>2</v>
      </c>
      <c r="F69" s="154">
        <f t="shared" si="18"/>
        <v>312</v>
      </c>
      <c r="G69" s="132">
        <f t="shared" si="31"/>
        <v>473</v>
      </c>
      <c r="H69" s="79">
        <f t="shared" si="11"/>
        <v>147576</v>
      </c>
      <c r="I69" s="76">
        <f t="shared" si="29"/>
        <v>110660.57439032031</v>
      </c>
      <c r="J69" s="73">
        <f>References!$C$49*I69</f>
        <v>110.6605743903204</v>
      </c>
      <c r="K69" s="121">
        <f>J69/References!$G$57</f>
        <v>113.71612671515666</v>
      </c>
      <c r="L69" s="121">
        <f t="shared" si="19"/>
        <v>0.36</v>
      </c>
      <c r="M69" s="27">
        <v>38.71</v>
      </c>
      <c r="N69" s="73">
        <f>L69+M69</f>
        <v>39.07</v>
      </c>
      <c r="O69" s="73">
        <f t="shared" si="13"/>
        <v>12077.52</v>
      </c>
      <c r="P69" s="74">
        <f t="shared" si="14"/>
        <v>39.07</v>
      </c>
      <c r="Q69" s="74">
        <f t="shared" si="15"/>
        <v>12189.84</v>
      </c>
      <c r="R69" s="74">
        <f t="shared" si="16"/>
        <v>112.31999999999971</v>
      </c>
      <c r="U69" s="153">
        <f t="shared" si="17"/>
        <v>0.009299922500645819</v>
      </c>
      <c r="V69" s="119"/>
      <c r="X69" s="75">
        <v>3</v>
      </c>
      <c r="Y69" s="161">
        <f t="shared" si="20"/>
        <v>936</v>
      </c>
    </row>
    <row r="70" spans="1:25" s="75" customFormat="1" ht="15">
      <c r="A70" s="166"/>
      <c r="B70" s="72">
        <v>33</v>
      </c>
      <c r="C70" s="155" t="s">
        <v>156</v>
      </c>
      <c r="D70" s="155">
        <v>2</v>
      </c>
      <c r="E70" s="155">
        <v>3</v>
      </c>
      <c r="F70" s="154">
        <f t="shared" si="18"/>
        <v>312</v>
      </c>
      <c r="G70" s="132">
        <f t="shared" si="31"/>
        <v>473</v>
      </c>
      <c r="H70" s="79">
        <f t="shared" si="11"/>
        <v>147576</v>
      </c>
      <c r="I70" s="76">
        <f t="shared" si="29"/>
        <v>110660.57439032031</v>
      </c>
      <c r="J70" s="73">
        <f>References!$C$49*I70</f>
        <v>110.6605743903204</v>
      </c>
      <c r="K70" s="121">
        <f>J70/References!$G$57</f>
        <v>113.71612671515666</v>
      </c>
      <c r="L70" s="121">
        <f t="shared" si="19"/>
        <v>0.36</v>
      </c>
      <c r="M70" s="27">
        <v>38.71</v>
      </c>
      <c r="N70" s="73">
        <f>L70+M70</f>
        <v>39.07</v>
      </c>
      <c r="O70" s="73">
        <f aca="true" t="shared" si="32" ref="O70:O98">F70*M70</f>
        <v>12077.52</v>
      </c>
      <c r="P70" s="74">
        <f aca="true" t="shared" si="33" ref="P70:P98">N70</f>
        <v>39.07</v>
      </c>
      <c r="Q70" s="74">
        <f aca="true" t="shared" si="34" ref="Q70:Q98">F70*P70</f>
        <v>12189.84</v>
      </c>
      <c r="R70" s="74">
        <f aca="true" t="shared" si="35" ref="R70:R98">Q70-O70</f>
        <v>112.31999999999971</v>
      </c>
      <c r="U70" s="153">
        <f t="shared" si="17"/>
        <v>0.009299922500645819</v>
      </c>
      <c r="V70" s="119"/>
      <c r="X70" s="75">
        <v>3</v>
      </c>
      <c r="Y70" s="161">
        <f t="shared" si="20"/>
        <v>936</v>
      </c>
    </row>
    <row r="71" spans="1:25" s="75" customFormat="1" ht="15">
      <c r="A71" s="166"/>
      <c r="B71" s="72">
        <v>33</v>
      </c>
      <c r="C71" s="155" t="s">
        <v>157</v>
      </c>
      <c r="D71" s="155">
        <v>3</v>
      </c>
      <c r="E71" s="157">
        <f>1/4.333</f>
        <v>0.23078698361412414</v>
      </c>
      <c r="F71" s="154">
        <f t="shared" si="18"/>
        <v>36.002769443803366</v>
      </c>
      <c r="G71" s="132">
        <f>+References!B31</f>
        <v>613</v>
      </c>
      <c r="H71" s="79">
        <f t="shared" si="11"/>
        <v>22069.697669051464</v>
      </c>
      <c r="I71" s="76">
        <f t="shared" si="29"/>
        <v>16549.069094418795</v>
      </c>
      <c r="J71" s="73">
        <f>References!$C$49*I71</f>
        <v>16.54906909441881</v>
      </c>
      <c r="K71" s="121">
        <f>J71/References!$G$57</f>
        <v>17.006020875339175</v>
      </c>
      <c r="L71" s="121">
        <f t="shared" si="19"/>
        <v>0.47</v>
      </c>
      <c r="M71" s="27">
        <v>52.15</v>
      </c>
      <c r="N71" s="73">
        <f>L71+M71</f>
        <v>52.62</v>
      </c>
      <c r="O71" s="73">
        <f t="shared" si="32"/>
        <v>1877.5444264943455</v>
      </c>
      <c r="P71" s="74">
        <f t="shared" si="33"/>
        <v>52.62</v>
      </c>
      <c r="Q71" s="74">
        <f t="shared" si="34"/>
        <v>1894.465728132933</v>
      </c>
      <c r="R71" s="74">
        <f t="shared" si="35"/>
        <v>16.921301638587465</v>
      </c>
      <c r="U71" s="153">
        <f t="shared" si="17"/>
        <v>0.009012464046020963</v>
      </c>
      <c r="V71" s="119"/>
      <c r="X71" s="75">
        <v>4</v>
      </c>
      <c r="Y71" s="161">
        <f t="shared" si="20"/>
        <v>144.01107777521347</v>
      </c>
    </row>
    <row r="72" spans="1:25" s="75" customFormat="1" ht="15">
      <c r="A72" s="166"/>
      <c r="B72" s="72">
        <v>33</v>
      </c>
      <c r="C72" s="155" t="s">
        <v>159</v>
      </c>
      <c r="D72" s="155">
        <v>15</v>
      </c>
      <c r="E72" s="155">
        <v>0.5</v>
      </c>
      <c r="F72" s="154">
        <f t="shared" si="18"/>
        <v>390</v>
      </c>
      <c r="G72" s="132">
        <f>+G71</f>
        <v>613</v>
      </c>
      <c r="H72" s="79">
        <f t="shared" si="11"/>
        <v>239070</v>
      </c>
      <c r="I72" s="76">
        <f t="shared" si="29"/>
        <v>179267.7909652916</v>
      </c>
      <c r="J72" s="73">
        <f>References!$C$49*I72</f>
        <v>179.26779096529177</v>
      </c>
      <c r="K72" s="121">
        <f>J72/References!$G$57</f>
        <v>184.2177211321116</v>
      </c>
      <c r="L72" s="121">
        <f t="shared" si="19"/>
        <v>0.47</v>
      </c>
      <c r="M72" s="27">
        <v>49.15</v>
      </c>
      <c r="N72" s="73">
        <f>L72+M72</f>
        <v>49.62</v>
      </c>
      <c r="O72" s="73">
        <f t="shared" si="32"/>
        <v>19168.5</v>
      </c>
      <c r="P72" s="74">
        <f t="shared" si="33"/>
        <v>49.62</v>
      </c>
      <c r="Q72" s="74">
        <f t="shared" si="34"/>
        <v>19351.8</v>
      </c>
      <c r="R72" s="74">
        <f t="shared" si="35"/>
        <v>183.29999999999927</v>
      </c>
      <c r="U72" s="153">
        <f t="shared" si="17"/>
        <v>0.009562563580874928</v>
      </c>
      <c r="V72" s="119"/>
      <c r="X72" s="75">
        <v>4</v>
      </c>
      <c r="Y72" s="161">
        <f t="shared" si="20"/>
        <v>1560</v>
      </c>
    </row>
    <row r="73" spans="1:25" s="75" customFormat="1" ht="15">
      <c r="A73" s="166"/>
      <c r="B73" s="72">
        <v>33</v>
      </c>
      <c r="C73" s="155" t="s">
        <v>158</v>
      </c>
      <c r="D73" s="155">
        <v>59</v>
      </c>
      <c r="E73" s="155">
        <v>1</v>
      </c>
      <c r="F73" s="154">
        <f t="shared" si="18"/>
        <v>3068</v>
      </c>
      <c r="G73" s="132">
        <f aca="true" t="shared" si="36" ref="G73:G80">+G72</f>
        <v>613</v>
      </c>
      <c r="H73" s="79">
        <f t="shared" si="11"/>
        <v>1880684</v>
      </c>
      <c r="I73" s="76">
        <f t="shared" si="29"/>
        <v>1410239.9555936274</v>
      </c>
      <c r="J73" s="73">
        <f>References!$C$49*I73</f>
        <v>1410.2399555936286</v>
      </c>
      <c r="K73" s="121">
        <f>J73/References!$G$57</f>
        <v>1449.1794062392778</v>
      </c>
      <c r="L73" s="121">
        <f t="shared" si="19"/>
        <v>0.47</v>
      </c>
      <c r="M73" s="27">
        <v>49.15</v>
      </c>
      <c r="N73" s="73">
        <f>L73+M73</f>
        <v>49.62</v>
      </c>
      <c r="O73" s="73">
        <f t="shared" si="32"/>
        <v>150792.19999999998</v>
      </c>
      <c r="P73" s="74">
        <f t="shared" si="33"/>
        <v>49.62</v>
      </c>
      <c r="Q73" s="74">
        <f t="shared" si="34"/>
        <v>152234.16</v>
      </c>
      <c r="R73" s="74">
        <f t="shared" si="35"/>
        <v>1441.960000000021</v>
      </c>
      <c r="U73" s="153">
        <f t="shared" si="17"/>
        <v>0.009562563580874928</v>
      </c>
      <c r="V73" s="119"/>
      <c r="X73" s="75">
        <v>4</v>
      </c>
      <c r="Y73" s="161">
        <f t="shared" si="20"/>
        <v>12272</v>
      </c>
    </row>
    <row r="74" spans="1:25" s="75" customFormat="1" ht="15">
      <c r="A74" s="166"/>
      <c r="B74" s="72">
        <v>33</v>
      </c>
      <c r="C74" s="155" t="s">
        <v>160</v>
      </c>
      <c r="D74" s="155">
        <v>16</v>
      </c>
      <c r="E74" s="155">
        <v>1</v>
      </c>
      <c r="F74" s="154">
        <f t="shared" si="18"/>
        <v>832</v>
      </c>
      <c r="G74" s="132">
        <f t="shared" si="36"/>
        <v>613</v>
      </c>
      <c r="H74" s="79">
        <f t="shared" si="11"/>
        <v>510016</v>
      </c>
      <c r="I74" s="76">
        <f t="shared" si="29"/>
        <v>382437.9540592888</v>
      </c>
      <c r="J74" s="73">
        <f>References!$C$49*I74</f>
        <v>382.4379540592891</v>
      </c>
      <c r="K74" s="121">
        <f>J74/References!$G$57</f>
        <v>392.99780508183807</v>
      </c>
      <c r="L74" s="121">
        <f t="shared" si="19"/>
        <v>0.47</v>
      </c>
      <c r="M74" s="27">
        <v>49.15</v>
      </c>
      <c r="N74" s="73">
        <f>L74+M74</f>
        <v>49.62</v>
      </c>
      <c r="O74" s="73">
        <f t="shared" si="32"/>
        <v>40892.799999999996</v>
      </c>
      <c r="P74" s="74">
        <f t="shared" si="33"/>
        <v>49.62</v>
      </c>
      <c r="Q74" s="74">
        <f t="shared" si="34"/>
        <v>41283.84</v>
      </c>
      <c r="R74" s="74">
        <f t="shared" si="35"/>
        <v>391.0400000000009</v>
      </c>
      <c r="U74" s="153">
        <f t="shared" si="17"/>
        <v>0.009562563580874928</v>
      </c>
      <c r="V74" s="119"/>
      <c r="X74" s="75">
        <v>4</v>
      </c>
      <c r="Y74" s="161">
        <f t="shared" si="20"/>
        <v>3328</v>
      </c>
    </row>
    <row r="75" spans="1:25" s="75" customFormat="1" ht="15">
      <c r="A75" s="166"/>
      <c r="B75" s="72">
        <v>33</v>
      </c>
      <c r="C75" s="155" t="s">
        <v>161</v>
      </c>
      <c r="D75" s="155">
        <v>6</v>
      </c>
      <c r="E75" s="155">
        <v>1</v>
      </c>
      <c r="F75" s="154">
        <f t="shared" si="18"/>
        <v>312</v>
      </c>
      <c r="G75" s="132">
        <f t="shared" si="36"/>
        <v>613</v>
      </c>
      <c r="H75" s="79">
        <f t="shared" si="11"/>
        <v>191256</v>
      </c>
      <c r="I75" s="76">
        <f t="shared" si="29"/>
        <v>143414.2327722333</v>
      </c>
      <c r="J75" s="73">
        <f>References!$C$49*I75</f>
        <v>143.41423277223345</v>
      </c>
      <c r="K75" s="121">
        <f>J75/References!$G$57</f>
        <v>147.37417690568932</v>
      </c>
      <c r="L75" s="121">
        <f t="shared" si="19"/>
        <v>0.47</v>
      </c>
      <c r="M75" s="27">
        <v>49.15</v>
      </c>
      <c r="N75" s="73">
        <f>L75+M75</f>
        <v>49.62</v>
      </c>
      <c r="O75" s="73">
        <f t="shared" si="32"/>
        <v>15334.8</v>
      </c>
      <c r="P75" s="74">
        <f t="shared" si="33"/>
        <v>49.62</v>
      </c>
      <c r="Q75" s="74">
        <f t="shared" si="34"/>
        <v>15481.439999999999</v>
      </c>
      <c r="R75" s="74">
        <f t="shared" si="35"/>
        <v>146.63999999999942</v>
      </c>
      <c r="U75" s="153">
        <f t="shared" si="17"/>
        <v>0.009562563580874928</v>
      </c>
      <c r="V75" s="119"/>
      <c r="X75" s="75">
        <v>4</v>
      </c>
      <c r="Y75" s="161">
        <f t="shared" si="20"/>
        <v>1248</v>
      </c>
    </row>
    <row r="76" spans="1:25" s="75" customFormat="1" ht="15">
      <c r="A76" s="166"/>
      <c r="B76" s="72">
        <v>33</v>
      </c>
      <c r="C76" s="155" t="s">
        <v>162</v>
      </c>
      <c r="D76" s="155">
        <v>24</v>
      </c>
      <c r="E76" s="155">
        <v>1</v>
      </c>
      <c r="F76" s="154">
        <f t="shared" si="18"/>
        <v>1248</v>
      </c>
      <c r="G76" s="132">
        <f t="shared" si="36"/>
        <v>613</v>
      </c>
      <c r="H76" s="79">
        <f t="shared" si="11"/>
        <v>765024</v>
      </c>
      <c r="I76" s="76">
        <f t="shared" si="29"/>
        <v>573656.9310889333</v>
      </c>
      <c r="J76" s="73">
        <f>References!$C$49*I76</f>
        <v>573.6569310889338</v>
      </c>
      <c r="K76" s="121">
        <f>J76/References!$G$57</f>
        <v>589.4967076227573</v>
      </c>
      <c r="L76" s="121">
        <f t="shared" si="19"/>
        <v>0.47</v>
      </c>
      <c r="M76" s="27">
        <v>49.15</v>
      </c>
      <c r="N76" s="73">
        <f>L76+M76</f>
        <v>49.62</v>
      </c>
      <c r="O76" s="73">
        <f t="shared" si="32"/>
        <v>61339.2</v>
      </c>
      <c r="P76" s="74">
        <f t="shared" si="33"/>
        <v>49.62</v>
      </c>
      <c r="Q76" s="74">
        <f t="shared" si="34"/>
        <v>61925.759999999995</v>
      </c>
      <c r="R76" s="74">
        <f t="shared" si="35"/>
        <v>586.5599999999977</v>
      </c>
      <c r="U76" s="153">
        <f t="shared" si="17"/>
        <v>0.009562563580874928</v>
      </c>
      <c r="V76" s="119"/>
      <c r="X76" s="75">
        <v>4</v>
      </c>
      <c r="Y76" s="161">
        <f t="shared" si="20"/>
        <v>4992</v>
      </c>
    </row>
    <row r="77" spans="1:25" s="75" customFormat="1" ht="15">
      <c r="A77" s="166"/>
      <c r="B77" s="72">
        <v>33</v>
      </c>
      <c r="C77" s="155" t="s">
        <v>163</v>
      </c>
      <c r="D77" s="155">
        <v>8</v>
      </c>
      <c r="E77" s="155">
        <v>2</v>
      </c>
      <c r="F77" s="154">
        <f t="shared" si="18"/>
        <v>832</v>
      </c>
      <c r="G77" s="132">
        <f t="shared" si="36"/>
        <v>613</v>
      </c>
      <c r="H77" s="79">
        <f t="shared" si="11"/>
        <v>510016</v>
      </c>
      <c r="I77" s="76">
        <f aca="true" t="shared" si="37" ref="I77:I98">$C$110*H77</f>
        <v>382437.9540592888</v>
      </c>
      <c r="J77" s="73">
        <f>References!$C$49*I77</f>
        <v>382.4379540592891</v>
      </c>
      <c r="K77" s="121">
        <f>J77/References!$G$57</f>
        <v>392.99780508183807</v>
      </c>
      <c r="L77" s="121">
        <f t="shared" si="19"/>
        <v>0.47</v>
      </c>
      <c r="M77" s="27">
        <v>49.15</v>
      </c>
      <c r="N77" s="73">
        <f>L77+M77</f>
        <v>49.62</v>
      </c>
      <c r="O77" s="73">
        <f t="shared" si="32"/>
        <v>40892.799999999996</v>
      </c>
      <c r="P77" s="74">
        <f t="shared" si="33"/>
        <v>49.62</v>
      </c>
      <c r="Q77" s="74">
        <f t="shared" si="34"/>
        <v>41283.84</v>
      </c>
      <c r="R77" s="74">
        <f t="shared" si="35"/>
        <v>391.0400000000009</v>
      </c>
      <c r="U77" s="153">
        <f t="shared" si="17"/>
        <v>0.009562563580874928</v>
      </c>
      <c r="V77" s="119"/>
      <c r="X77" s="75">
        <v>4</v>
      </c>
      <c r="Y77" s="161">
        <f t="shared" si="20"/>
        <v>3328</v>
      </c>
    </row>
    <row r="78" spans="1:25" s="75" customFormat="1" ht="15">
      <c r="A78" s="166"/>
      <c r="B78" s="72">
        <v>33</v>
      </c>
      <c r="C78" s="155" t="s">
        <v>164</v>
      </c>
      <c r="D78" s="155">
        <v>2</v>
      </c>
      <c r="E78" s="155">
        <v>2</v>
      </c>
      <c r="F78" s="154">
        <f t="shared" si="18"/>
        <v>208</v>
      </c>
      <c r="G78" s="132">
        <f t="shared" si="36"/>
        <v>613</v>
      </c>
      <c r="H78" s="79">
        <f t="shared" si="11"/>
        <v>127504</v>
      </c>
      <c r="I78" s="76">
        <f t="shared" si="37"/>
        <v>95609.4885148222</v>
      </c>
      <c r="J78" s="73">
        <f>References!$C$49*I78</f>
        <v>95.60948851482227</v>
      </c>
      <c r="K78" s="121">
        <f>J78/References!$G$57</f>
        <v>98.24945127045952</v>
      </c>
      <c r="L78" s="121">
        <f t="shared" si="19"/>
        <v>0.47</v>
      </c>
      <c r="M78" s="27">
        <v>49.15</v>
      </c>
      <c r="N78" s="73">
        <f>L78+M78</f>
        <v>49.62</v>
      </c>
      <c r="O78" s="73">
        <f t="shared" si="32"/>
        <v>10223.199999999999</v>
      </c>
      <c r="P78" s="74">
        <f t="shared" si="33"/>
        <v>49.62</v>
      </c>
      <c r="Q78" s="74">
        <f t="shared" si="34"/>
        <v>10320.96</v>
      </c>
      <c r="R78" s="74">
        <f t="shared" si="35"/>
        <v>97.76000000000022</v>
      </c>
      <c r="U78" s="153">
        <f t="shared" si="17"/>
        <v>0.009562563580874928</v>
      </c>
      <c r="V78" s="119"/>
      <c r="X78" s="75">
        <v>4</v>
      </c>
      <c r="Y78" s="161">
        <f t="shared" si="20"/>
        <v>832</v>
      </c>
    </row>
    <row r="79" spans="1:25" s="75" customFormat="1" ht="15">
      <c r="A79" s="166"/>
      <c r="B79" s="72">
        <v>33</v>
      </c>
      <c r="C79" s="155" t="s">
        <v>165</v>
      </c>
      <c r="D79" s="155">
        <v>4</v>
      </c>
      <c r="E79" s="155">
        <v>2</v>
      </c>
      <c r="F79" s="154">
        <f t="shared" si="18"/>
        <v>416</v>
      </c>
      <c r="G79" s="132">
        <f t="shared" si="36"/>
        <v>613</v>
      </c>
      <c r="H79" s="79">
        <f t="shared" si="11"/>
        <v>255008</v>
      </c>
      <c r="I79" s="76">
        <f t="shared" si="37"/>
        <v>191218.9770296444</v>
      </c>
      <c r="J79" s="73">
        <f>References!$C$49*I79</f>
        <v>191.21897702964455</v>
      </c>
      <c r="K79" s="121">
        <f>J79/References!$G$57</f>
        <v>196.49890254091903</v>
      </c>
      <c r="L79" s="121">
        <f t="shared" si="19"/>
        <v>0.47</v>
      </c>
      <c r="M79" s="27">
        <v>49.15</v>
      </c>
      <c r="N79" s="73">
        <f>L79+M79</f>
        <v>49.62</v>
      </c>
      <c r="O79" s="73">
        <f t="shared" si="32"/>
        <v>20446.399999999998</v>
      </c>
      <c r="P79" s="74">
        <f t="shared" si="33"/>
        <v>49.62</v>
      </c>
      <c r="Q79" s="74">
        <f t="shared" si="34"/>
        <v>20641.92</v>
      </c>
      <c r="R79" s="74">
        <f t="shared" si="35"/>
        <v>195.52000000000044</v>
      </c>
      <c r="U79" s="153">
        <f t="shared" si="17"/>
        <v>0.009562563580874928</v>
      </c>
      <c r="V79" s="119"/>
      <c r="X79" s="75">
        <v>4</v>
      </c>
      <c r="Y79" s="161">
        <f t="shared" si="20"/>
        <v>1664</v>
      </c>
    </row>
    <row r="80" spans="1:25" s="75" customFormat="1" ht="15">
      <c r="A80" s="166"/>
      <c r="B80" s="72">
        <v>33</v>
      </c>
      <c r="C80" s="155" t="s">
        <v>166</v>
      </c>
      <c r="D80" s="155">
        <v>2</v>
      </c>
      <c r="E80" s="155">
        <v>3</v>
      </c>
      <c r="F80" s="154">
        <f t="shared" si="18"/>
        <v>312</v>
      </c>
      <c r="G80" s="132">
        <f t="shared" si="36"/>
        <v>613</v>
      </c>
      <c r="H80" s="79">
        <f t="shared" si="11"/>
        <v>191256</v>
      </c>
      <c r="I80" s="76">
        <f t="shared" si="37"/>
        <v>143414.2327722333</v>
      </c>
      <c r="J80" s="73">
        <f>References!$C$49*I80</f>
        <v>143.41423277223345</v>
      </c>
      <c r="K80" s="121">
        <f>J80/References!$G$57</f>
        <v>147.37417690568932</v>
      </c>
      <c r="L80" s="121">
        <f t="shared" si="19"/>
        <v>0.47</v>
      </c>
      <c r="M80" s="27">
        <v>49.15</v>
      </c>
      <c r="N80" s="73">
        <f>L80+M80</f>
        <v>49.62</v>
      </c>
      <c r="O80" s="73">
        <f t="shared" si="32"/>
        <v>15334.8</v>
      </c>
      <c r="P80" s="74">
        <f t="shared" si="33"/>
        <v>49.62</v>
      </c>
      <c r="Q80" s="74">
        <f t="shared" si="34"/>
        <v>15481.439999999999</v>
      </c>
      <c r="R80" s="74">
        <f t="shared" si="35"/>
        <v>146.63999999999942</v>
      </c>
      <c r="U80" s="153">
        <f t="shared" si="17"/>
        <v>0.009562563580874928</v>
      </c>
      <c r="V80" s="119"/>
      <c r="X80" s="75">
        <v>4</v>
      </c>
      <c r="Y80" s="161">
        <f t="shared" si="20"/>
        <v>1248</v>
      </c>
    </row>
    <row r="81" spans="1:25" s="75" customFormat="1" ht="15">
      <c r="A81" s="166"/>
      <c r="B81" s="72">
        <v>33</v>
      </c>
      <c r="C81" s="155" t="s">
        <v>167</v>
      </c>
      <c r="D81" s="155">
        <v>2</v>
      </c>
      <c r="E81" s="157">
        <f>1/4.333</f>
        <v>0.23078698361412414</v>
      </c>
      <c r="F81" s="154">
        <f t="shared" si="18"/>
        <v>24.001846295868912</v>
      </c>
      <c r="G81" s="132">
        <f>+References!B32</f>
        <v>840</v>
      </c>
      <c r="H81" s="79">
        <f t="shared" si="11"/>
        <v>20161.550888529888</v>
      </c>
      <c r="I81" s="76">
        <f t="shared" si="37"/>
        <v>15118.236040578347</v>
      </c>
      <c r="J81" s="73">
        <f>References!$C$49*I81</f>
        <v>15.118236040578362</v>
      </c>
      <c r="K81" s="121">
        <f>J81/References!$G$57</f>
        <v>15.535679755611646</v>
      </c>
      <c r="L81" s="121">
        <f t="shared" si="19"/>
        <v>0.65</v>
      </c>
      <c r="M81" s="27">
        <v>70.93</v>
      </c>
      <c r="N81" s="73">
        <f>L81+M81</f>
        <v>71.58000000000001</v>
      </c>
      <c r="O81" s="73">
        <f t="shared" si="32"/>
        <v>1702.4509577659821</v>
      </c>
      <c r="P81" s="74">
        <f t="shared" si="33"/>
        <v>71.58000000000001</v>
      </c>
      <c r="Q81" s="74">
        <f t="shared" si="34"/>
        <v>1718.052157858297</v>
      </c>
      <c r="R81" s="74">
        <f t="shared" si="35"/>
        <v>15.601200092314912</v>
      </c>
      <c r="U81" s="153">
        <f aca="true" t="shared" si="38" ref="U81:U98">+N81/M81-1</f>
        <v>0.00916396447201473</v>
      </c>
      <c r="V81" s="119"/>
      <c r="X81" s="75">
        <v>6</v>
      </c>
      <c r="Y81" s="161">
        <f t="shared" si="20"/>
        <v>144.01107777521347</v>
      </c>
    </row>
    <row r="82" spans="1:25" s="75" customFormat="1" ht="15">
      <c r="A82" s="166"/>
      <c r="B82" s="72">
        <v>33</v>
      </c>
      <c r="C82" s="155" t="s">
        <v>168</v>
      </c>
      <c r="D82" s="155">
        <v>8</v>
      </c>
      <c r="E82" s="155">
        <v>0.5</v>
      </c>
      <c r="F82" s="154">
        <f t="shared" si="18"/>
        <v>208</v>
      </c>
      <c r="G82" s="132">
        <f>+G81</f>
        <v>840</v>
      </c>
      <c r="H82" s="79">
        <f t="shared" si="11"/>
        <v>174720</v>
      </c>
      <c r="I82" s="76">
        <f t="shared" si="37"/>
        <v>131014.63352765195</v>
      </c>
      <c r="J82" s="73">
        <f>References!$C$49*I82</f>
        <v>131.01463352765208</v>
      </c>
      <c r="K82" s="121">
        <f>J82/References!$G$57</f>
        <v>134.6322007621305</v>
      </c>
      <c r="L82" s="121">
        <f t="shared" si="19"/>
        <v>0.65</v>
      </c>
      <c r="M82" s="27">
        <v>67.93</v>
      </c>
      <c r="N82" s="73">
        <f>L82+M82</f>
        <v>68.58000000000001</v>
      </c>
      <c r="O82" s="73">
        <f t="shared" si="32"/>
        <v>14129.440000000002</v>
      </c>
      <c r="P82" s="74">
        <f t="shared" si="33"/>
        <v>68.58000000000001</v>
      </c>
      <c r="Q82" s="74">
        <f t="shared" si="34"/>
        <v>14264.640000000003</v>
      </c>
      <c r="R82" s="74">
        <f t="shared" si="35"/>
        <v>135.20000000000073</v>
      </c>
      <c r="U82" s="153">
        <f t="shared" si="38"/>
        <v>0.009568673634623881</v>
      </c>
      <c r="V82" s="119"/>
      <c r="X82" s="75">
        <v>6</v>
      </c>
      <c r="Y82" s="161">
        <f t="shared" si="20"/>
        <v>1248</v>
      </c>
    </row>
    <row r="83" spans="1:25" s="75" customFormat="1" ht="15">
      <c r="A83" s="166"/>
      <c r="B83" s="72">
        <v>33</v>
      </c>
      <c r="C83" s="155" t="s">
        <v>169</v>
      </c>
      <c r="D83" s="155">
        <v>51</v>
      </c>
      <c r="E83" s="155">
        <v>1</v>
      </c>
      <c r="F83" s="154">
        <f t="shared" si="18"/>
        <v>2652</v>
      </c>
      <c r="G83" s="132">
        <f aca="true" t="shared" si="39" ref="G83:G94">+G82</f>
        <v>840</v>
      </c>
      <c r="H83" s="79">
        <f t="shared" si="11"/>
        <v>2227680</v>
      </c>
      <c r="I83" s="76">
        <f t="shared" si="37"/>
        <v>1670436.5774775625</v>
      </c>
      <c r="J83" s="73">
        <f>References!$C$49*I83</f>
        <v>1670.436577477564</v>
      </c>
      <c r="K83" s="121">
        <f>J83/References!$G$57</f>
        <v>1716.560559717164</v>
      </c>
      <c r="L83" s="121">
        <f t="shared" si="19"/>
        <v>0.65</v>
      </c>
      <c r="M83" s="27">
        <v>67.93</v>
      </c>
      <c r="N83" s="73">
        <f>L83+M83</f>
        <v>68.58000000000001</v>
      </c>
      <c r="O83" s="73">
        <f t="shared" si="32"/>
        <v>180150.36000000002</v>
      </c>
      <c r="P83" s="74">
        <f t="shared" si="33"/>
        <v>68.58000000000001</v>
      </c>
      <c r="Q83" s="74">
        <f t="shared" si="34"/>
        <v>181874.16000000003</v>
      </c>
      <c r="R83" s="74">
        <f t="shared" si="35"/>
        <v>1723.8000000000175</v>
      </c>
      <c r="U83" s="153">
        <f t="shared" si="38"/>
        <v>0.009568673634623881</v>
      </c>
      <c r="V83" s="119"/>
      <c r="X83" s="75">
        <v>6</v>
      </c>
      <c r="Y83" s="161">
        <f t="shared" si="20"/>
        <v>15912</v>
      </c>
    </row>
    <row r="84" spans="1:25" s="75" customFormat="1" ht="15">
      <c r="A84" s="166"/>
      <c r="B84" s="72">
        <v>33</v>
      </c>
      <c r="C84" s="155" t="s">
        <v>170</v>
      </c>
      <c r="D84" s="155">
        <v>14</v>
      </c>
      <c r="E84" s="155">
        <v>1</v>
      </c>
      <c r="F84" s="154">
        <f t="shared" si="18"/>
        <v>728</v>
      </c>
      <c r="G84" s="132">
        <f t="shared" si="39"/>
        <v>840</v>
      </c>
      <c r="H84" s="79">
        <f t="shared" si="11"/>
        <v>611520</v>
      </c>
      <c r="I84" s="76">
        <f t="shared" si="37"/>
        <v>458551.21734678186</v>
      </c>
      <c r="J84" s="73">
        <f>References!$C$49*I84</f>
        <v>458.55121734678227</v>
      </c>
      <c r="K84" s="121">
        <f>J84/References!$G$57</f>
        <v>471.2127026674568</v>
      </c>
      <c r="L84" s="121">
        <f t="shared" si="19"/>
        <v>0.65</v>
      </c>
      <c r="M84" s="27">
        <v>67.93</v>
      </c>
      <c r="N84" s="73">
        <f>L84+M84</f>
        <v>68.58000000000001</v>
      </c>
      <c r="O84" s="73">
        <f t="shared" si="32"/>
        <v>49453.04000000001</v>
      </c>
      <c r="P84" s="74">
        <f t="shared" si="33"/>
        <v>68.58000000000001</v>
      </c>
      <c r="Q84" s="74">
        <f t="shared" si="34"/>
        <v>49926.24000000001</v>
      </c>
      <c r="R84" s="74">
        <f t="shared" si="35"/>
        <v>473.20000000000437</v>
      </c>
      <c r="U84" s="153">
        <f t="shared" si="38"/>
        <v>0.009568673634623881</v>
      </c>
      <c r="V84" s="119"/>
      <c r="X84" s="75">
        <v>6</v>
      </c>
      <c r="Y84" s="161">
        <f t="shared" si="20"/>
        <v>4368</v>
      </c>
    </row>
    <row r="85" spans="1:25" s="75" customFormat="1" ht="15">
      <c r="A85" s="166"/>
      <c r="B85" s="72">
        <v>33</v>
      </c>
      <c r="C85" s="155" t="s">
        <v>171</v>
      </c>
      <c r="D85" s="155">
        <v>9</v>
      </c>
      <c r="E85" s="155">
        <v>1</v>
      </c>
      <c r="F85" s="154">
        <f t="shared" si="18"/>
        <v>468</v>
      </c>
      <c r="G85" s="132">
        <f t="shared" si="39"/>
        <v>840</v>
      </c>
      <c r="H85" s="79">
        <f t="shared" si="11"/>
        <v>393120</v>
      </c>
      <c r="I85" s="76">
        <f t="shared" si="37"/>
        <v>294782.9254372169</v>
      </c>
      <c r="J85" s="73">
        <f>References!$C$49*I85</f>
        <v>294.78292543721716</v>
      </c>
      <c r="K85" s="121">
        <f>J85/References!$G$57</f>
        <v>302.9224517147936</v>
      </c>
      <c r="L85" s="121">
        <f t="shared" si="19"/>
        <v>0.65</v>
      </c>
      <c r="M85" s="27">
        <v>67.93</v>
      </c>
      <c r="N85" s="73">
        <f>L85+M85</f>
        <v>68.58000000000001</v>
      </c>
      <c r="O85" s="73">
        <f t="shared" si="32"/>
        <v>31791.24</v>
      </c>
      <c r="P85" s="74">
        <f t="shared" si="33"/>
        <v>68.58000000000001</v>
      </c>
      <c r="Q85" s="74">
        <f t="shared" si="34"/>
        <v>32095.440000000006</v>
      </c>
      <c r="R85" s="74">
        <f t="shared" si="35"/>
        <v>304.20000000000437</v>
      </c>
      <c r="U85" s="153">
        <f t="shared" si="38"/>
        <v>0.009568673634623881</v>
      </c>
      <c r="V85" s="119"/>
      <c r="X85" s="75">
        <v>6</v>
      </c>
      <c r="Y85" s="161">
        <f t="shared" si="20"/>
        <v>2808</v>
      </c>
    </row>
    <row r="86" spans="1:25" s="75" customFormat="1" ht="15">
      <c r="A86" s="166"/>
      <c r="B86" s="72">
        <v>33</v>
      </c>
      <c r="C86" s="155" t="s">
        <v>172</v>
      </c>
      <c r="D86" s="155">
        <v>8</v>
      </c>
      <c r="E86" s="155">
        <v>1</v>
      </c>
      <c r="F86" s="154">
        <f t="shared" si="18"/>
        <v>416</v>
      </c>
      <c r="G86" s="132">
        <f t="shared" si="39"/>
        <v>840</v>
      </c>
      <c r="H86" s="79">
        <f t="shared" si="11"/>
        <v>349440</v>
      </c>
      <c r="I86" s="76">
        <f t="shared" si="37"/>
        <v>262029.2670553039</v>
      </c>
      <c r="J86" s="73">
        <f>References!$C$49*I86</f>
        <v>262.02926705530416</v>
      </c>
      <c r="K86" s="121">
        <f>J86/References!$G$57</f>
        <v>269.264401524261</v>
      </c>
      <c r="L86" s="121">
        <f t="shared" si="19"/>
        <v>0.65</v>
      </c>
      <c r="M86" s="27">
        <v>67.93</v>
      </c>
      <c r="N86" s="73">
        <f>L86+M86</f>
        <v>68.58000000000001</v>
      </c>
      <c r="O86" s="73">
        <f t="shared" si="32"/>
        <v>28258.880000000005</v>
      </c>
      <c r="P86" s="74">
        <f t="shared" si="33"/>
        <v>68.58000000000001</v>
      </c>
      <c r="Q86" s="74">
        <f t="shared" si="34"/>
        <v>28529.280000000006</v>
      </c>
      <c r="R86" s="74">
        <f t="shared" si="35"/>
        <v>270.40000000000146</v>
      </c>
      <c r="U86" s="153">
        <f t="shared" si="38"/>
        <v>0.009568673634623881</v>
      </c>
      <c r="V86" s="119"/>
      <c r="X86" s="75">
        <v>6</v>
      </c>
      <c r="Y86" s="161">
        <f t="shared" si="20"/>
        <v>2496</v>
      </c>
    </row>
    <row r="87" spans="1:25" s="75" customFormat="1" ht="15">
      <c r="A87" s="166"/>
      <c r="B87" s="72">
        <v>33</v>
      </c>
      <c r="C87" s="155" t="s">
        <v>173</v>
      </c>
      <c r="D87" s="155">
        <v>15</v>
      </c>
      <c r="E87" s="155">
        <v>1</v>
      </c>
      <c r="F87" s="154">
        <f t="shared" si="18"/>
        <v>780</v>
      </c>
      <c r="G87" s="132">
        <f t="shared" si="39"/>
        <v>840</v>
      </c>
      <c r="H87" s="79">
        <f t="shared" si="11"/>
        <v>655200</v>
      </c>
      <c r="I87" s="76">
        <f t="shared" si="37"/>
        <v>491304.87572869484</v>
      </c>
      <c r="J87" s="73">
        <f>References!$C$49*I87</f>
        <v>491.30487572869527</v>
      </c>
      <c r="K87" s="121">
        <f>J87/References!$G$57</f>
        <v>504.87075285798943</v>
      </c>
      <c r="L87" s="121">
        <f t="shared" si="19"/>
        <v>0.65</v>
      </c>
      <c r="M87" s="27">
        <v>67.93</v>
      </c>
      <c r="N87" s="73">
        <f>L87+M87</f>
        <v>68.58000000000001</v>
      </c>
      <c r="O87" s="73">
        <f t="shared" si="32"/>
        <v>52985.40000000001</v>
      </c>
      <c r="P87" s="74">
        <f t="shared" si="33"/>
        <v>68.58000000000001</v>
      </c>
      <c r="Q87" s="74">
        <f t="shared" si="34"/>
        <v>53492.40000000001</v>
      </c>
      <c r="R87" s="74">
        <f t="shared" si="35"/>
        <v>507</v>
      </c>
      <c r="U87" s="153">
        <f t="shared" si="38"/>
        <v>0.009568673634623881</v>
      </c>
      <c r="V87" s="119"/>
      <c r="X87" s="75">
        <v>6</v>
      </c>
      <c r="Y87" s="161">
        <f t="shared" si="20"/>
        <v>4680</v>
      </c>
    </row>
    <row r="88" spans="1:25" s="75" customFormat="1" ht="15">
      <c r="A88" s="166"/>
      <c r="B88" s="72">
        <v>33</v>
      </c>
      <c r="C88" s="155" t="s">
        <v>174</v>
      </c>
      <c r="D88" s="155">
        <v>6</v>
      </c>
      <c r="E88" s="155">
        <v>1</v>
      </c>
      <c r="F88" s="154">
        <f t="shared" si="18"/>
        <v>312</v>
      </c>
      <c r="G88" s="132">
        <f t="shared" si="39"/>
        <v>840</v>
      </c>
      <c r="H88" s="79">
        <f t="shared" si="11"/>
        <v>262080</v>
      </c>
      <c r="I88" s="76">
        <f t="shared" si="37"/>
        <v>196521.95029147793</v>
      </c>
      <c r="J88" s="73">
        <f>References!$C$49*I88</f>
        <v>196.5219502914781</v>
      </c>
      <c r="K88" s="121">
        <f>J88/References!$G$57</f>
        <v>201.94830114319578</v>
      </c>
      <c r="L88" s="121">
        <f t="shared" si="19"/>
        <v>0.65</v>
      </c>
      <c r="M88" s="27">
        <v>67.93</v>
      </c>
      <c r="N88" s="73">
        <f>L88+M88</f>
        <v>68.58000000000001</v>
      </c>
      <c r="O88" s="73">
        <f t="shared" si="32"/>
        <v>21194.160000000003</v>
      </c>
      <c r="P88" s="74">
        <f t="shared" si="33"/>
        <v>68.58000000000001</v>
      </c>
      <c r="Q88" s="74">
        <f t="shared" si="34"/>
        <v>21396.960000000003</v>
      </c>
      <c r="R88" s="74">
        <f t="shared" si="35"/>
        <v>202.79999999999927</v>
      </c>
      <c r="U88" s="153">
        <f t="shared" si="38"/>
        <v>0.009568673634623881</v>
      </c>
      <c r="V88" s="119"/>
      <c r="X88" s="75">
        <v>6</v>
      </c>
      <c r="Y88" s="161">
        <f t="shared" si="20"/>
        <v>1872</v>
      </c>
    </row>
    <row r="89" spans="1:25" s="75" customFormat="1" ht="15">
      <c r="A89" s="166"/>
      <c r="B89" s="72">
        <v>33</v>
      </c>
      <c r="C89" s="155" t="s">
        <v>175</v>
      </c>
      <c r="D89" s="155">
        <v>10</v>
      </c>
      <c r="E89" s="155">
        <v>2</v>
      </c>
      <c r="F89" s="154">
        <f t="shared" si="18"/>
        <v>1040</v>
      </c>
      <c r="G89" s="132">
        <f t="shared" si="39"/>
        <v>840</v>
      </c>
      <c r="H89" s="79">
        <f aca="true" t="shared" si="40" ref="H89:H98">F89*G89</f>
        <v>873600</v>
      </c>
      <c r="I89" s="76">
        <f t="shared" si="37"/>
        <v>655073.1676382598</v>
      </c>
      <c r="J89" s="73">
        <f>References!$C$49*I89</f>
        <v>655.0731676382604</v>
      </c>
      <c r="K89" s="121">
        <f>J89/References!$G$57</f>
        <v>673.1610038106527</v>
      </c>
      <c r="L89" s="121">
        <f t="shared" si="19"/>
        <v>0.65</v>
      </c>
      <c r="M89" s="27">
        <v>67.93</v>
      </c>
      <c r="N89" s="73">
        <f aca="true" t="shared" si="41" ref="M89:N98">L89+M89</f>
        <v>68.58000000000001</v>
      </c>
      <c r="O89" s="73">
        <f t="shared" si="32"/>
        <v>70647.20000000001</v>
      </c>
      <c r="P89" s="74">
        <f t="shared" si="33"/>
        <v>68.58000000000001</v>
      </c>
      <c r="Q89" s="74">
        <f t="shared" si="34"/>
        <v>71323.20000000001</v>
      </c>
      <c r="R89" s="74">
        <f t="shared" si="35"/>
        <v>676</v>
      </c>
      <c r="U89" s="153">
        <f t="shared" si="38"/>
        <v>0.009568673634623881</v>
      </c>
      <c r="V89" s="119"/>
      <c r="X89" s="75">
        <v>6</v>
      </c>
      <c r="Y89" s="161">
        <f t="shared" si="20"/>
        <v>6240</v>
      </c>
    </row>
    <row r="90" spans="1:25" s="75" customFormat="1" ht="15">
      <c r="A90" s="166"/>
      <c r="B90" s="72">
        <v>33</v>
      </c>
      <c r="C90" s="155" t="s">
        <v>176</v>
      </c>
      <c r="D90" s="155">
        <v>2</v>
      </c>
      <c r="E90" s="155">
        <v>2</v>
      </c>
      <c r="F90" s="154">
        <f t="shared" si="18"/>
        <v>208</v>
      </c>
      <c r="G90" s="132">
        <f t="shared" si="39"/>
        <v>840</v>
      </c>
      <c r="H90" s="79">
        <f t="shared" si="40"/>
        <v>174720</v>
      </c>
      <c r="I90" s="76">
        <f t="shared" si="37"/>
        <v>131014.63352765195</v>
      </c>
      <c r="J90" s="73">
        <f>References!$C$49*I90</f>
        <v>131.01463352765208</v>
      </c>
      <c r="K90" s="121">
        <f>J90/References!$G$57</f>
        <v>134.6322007621305</v>
      </c>
      <c r="L90" s="121">
        <f t="shared" si="19"/>
        <v>0.65</v>
      </c>
      <c r="M90" s="27">
        <v>67.93</v>
      </c>
      <c r="N90" s="73">
        <f t="shared" si="41"/>
        <v>68.58000000000001</v>
      </c>
      <c r="O90" s="73">
        <f t="shared" si="32"/>
        <v>14129.440000000002</v>
      </c>
      <c r="P90" s="74">
        <f t="shared" si="33"/>
        <v>68.58000000000001</v>
      </c>
      <c r="Q90" s="74">
        <f t="shared" si="34"/>
        <v>14264.640000000003</v>
      </c>
      <c r="R90" s="74">
        <f t="shared" si="35"/>
        <v>135.20000000000073</v>
      </c>
      <c r="U90" s="153">
        <f t="shared" si="38"/>
        <v>0.009568673634623881</v>
      </c>
      <c r="V90" s="119"/>
      <c r="X90" s="75">
        <v>6</v>
      </c>
      <c r="Y90" s="161">
        <f t="shared" si="20"/>
        <v>1248</v>
      </c>
    </row>
    <row r="91" spans="1:25" s="75" customFormat="1" ht="15">
      <c r="A91" s="166"/>
      <c r="B91" s="72">
        <v>33</v>
      </c>
      <c r="C91" s="155" t="s">
        <v>177</v>
      </c>
      <c r="D91" s="155">
        <v>8</v>
      </c>
      <c r="E91" s="155">
        <v>2</v>
      </c>
      <c r="F91" s="154">
        <f t="shared" si="18"/>
        <v>832</v>
      </c>
      <c r="G91" s="132">
        <f t="shared" si="39"/>
        <v>840</v>
      </c>
      <c r="H91" s="79">
        <f t="shared" si="40"/>
        <v>698880</v>
      </c>
      <c r="I91" s="76">
        <f t="shared" si="37"/>
        <v>524058.5341106078</v>
      </c>
      <c r="J91" s="73">
        <f>References!$C$49*I91</f>
        <v>524.0585341106083</v>
      </c>
      <c r="K91" s="121">
        <f>J91/References!$G$57</f>
        <v>538.528803048522</v>
      </c>
      <c r="L91" s="121">
        <f t="shared" si="19"/>
        <v>0.65</v>
      </c>
      <c r="M91" s="27">
        <v>67.93</v>
      </c>
      <c r="N91" s="73">
        <f t="shared" si="41"/>
        <v>68.58000000000001</v>
      </c>
      <c r="O91" s="73">
        <f t="shared" si="32"/>
        <v>56517.76000000001</v>
      </c>
      <c r="P91" s="74">
        <f t="shared" si="33"/>
        <v>68.58000000000001</v>
      </c>
      <c r="Q91" s="74">
        <f t="shared" si="34"/>
        <v>57058.56000000001</v>
      </c>
      <c r="R91" s="74">
        <f t="shared" si="35"/>
        <v>540.8000000000029</v>
      </c>
      <c r="U91" s="153">
        <f t="shared" si="38"/>
        <v>0.009568673634623881</v>
      </c>
      <c r="V91" s="119"/>
      <c r="X91" s="75">
        <v>6</v>
      </c>
      <c r="Y91" s="161">
        <f t="shared" si="20"/>
        <v>4992</v>
      </c>
    </row>
    <row r="92" spans="1:25" s="75" customFormat="1" ht="15">
      <c r="A92" s="166"/>
      <c r="B92" s="72">
        <v>33</v>
      </c>
      <c r="C92" s="155" t="s">
        <v>178</v>
      </c>
      <c r="D92" s="155">
        <v>7</v>
      </c>
      <c r="E92" s="155">
        <v>2</v>
      </c>
      <c r="F92" s="154">
        <f t="shared" si="18"/>
        <v>728</v>
      </c>
      <c r="G92" s="132">
        <f t="shared" si="39"/>
        <v>840</v>
      </c>
      <c r="H92" s="79">
        <f t="shared" si="40"/>
        <v>611520</v>
      </c>
      <c r="I92" s="76">
        <f t="shared" si="37"/>
        <v>458551.21734678186</v>
      </c>
      <c r="J92" s="73">
        <f>References!$C$49*I92</f>
        <v>458.55121734678227</v>
      </c>
      <c r="K92" s="121">
        <f>J92/References!$G$57</f>
        <v>471.2127026674568</v>
      </c>
      <c r="L92" s="121">
        <f t="shared" si="19"/>
        <v>0.65</v>
      </c>
      <c r="M92" s="27">
        <v>67.93</v>
      </c>
      <c r="N92" s="73">
        <f t="shared" si="41"/>
        <v>68.58000000000001</v>
      </c>
      <c r="O92" s="73">
        <f t="shared" si="32"/>
        <v>49453.04000000001</v>
      </c>
      <c r="P92" s="74">
        <f t="shared" si="33"/>
        <v>68.58000000000001</v>
      </c>
      <c r="Q92" s="74">
        <f t="shared" si="34"/>
        <v>49926.24000000001</v>
      </c>
      <c r="R92" s="74">
        <f t="shared" si="35"/>
        <v>473.20000000000437</v>
      </c>
      <c r="U92" s="153">
        <f t="shared" si="38"/>
        <v>0.009568673634623881</v>
      </c>
      <c r="V92" s="119"/>
      <c r="X92" s="75">
        <v>6</v>
      </c>
      <c r="Y92" s="161">
        <f t="shared" si="20"/>
        <v>4368</v>
      </c>
    </row>
    <row r="93" spans="1:25" s="75" customFormat="1" ht="15">
      <c r="A93" s="166"/>
      <c r="B93" s="72">
        <v>33</v>
      </c>
      <c r="C93" s="155" t="s">
        <v>179</v>
      </c>
      <c r="D93" s="155">
        <v>2</v>
      </c>
      <c r="E93" s="155">
        <v>3</v>
      </c>
      <c r="F93" s="154">
        <f aca="true" t="shared" si="42" ref="F93:F98">+E93*D93*52</f>
        <v>312</v>
      </c>
      <c r="G93" s="132">
        <f t="shared" si="39"/>
        <v>840</v>
      </c>
      <c r="H93" s="79">
        <f t="shared" si="40"/>
        <v>262080</v>
      </c>
      <c r="I93" s="76">
        <f t="shared" si="37"/>
        <v>196521.95029147793</v>
      </c>
      <c r="J93" s="73">
        <f>References!$C$49*I93</f>
        <v>196.5219502914781</v>
      </c>
      <c r="K93" s="121">
        <f>J93/References!$G$57</f>
        <v>201.94830114319578</v>
      </c>
      <c r="L93" s="121">
        <f t="shared" si="19"/>
        <v>0.65</v>
      </c>
      <c r="M93" s="27">
        <v>67.93</v>
      </c>
      <c r="N93" s="73">
        <f t="shared" si="41"/>
        <v>68.58000000000001</v>
      </c>
      <c r="O93" s="73">
        <f t="shared" si="32"/>
        <v>21194.160000000003</v>
      </c>
      <c r="P93" s="74">
        <f t="shared" si="33"/>
        <v>68.58000000000001</v>
      </c>
      <c r="Q93" s="74">
        <f t="shared" si="34"/>
        <v>21396.960000000003</v>
      </c>
      <c r="R93" s="74">
        <f t="shared" si="35"/>
        <v>202.79999999999927</v>
      </c>
      <c r="U93" s="153">
        <f t="shared" si="38"/>
        <v>0.009568673634623881</v>
      </c>
      <c r="V93" s="119"/>
      <c r="X93" s="75">
        <v>6</v>
      </c>
      <c r="Y93" s="161">
        <f aca="true" t="shared" si="43" ref="Y93:Y98">+X93*F93</f>
        <v>1872</v>
      </c>
    </row>
    <row r="94" spans="1:25" s="75" customFormat="1" ht="15">
      <c r="A94" s="166"/>
      <c r="B94" s="72">
        <v>33</v>
      </c>
      <c r="C94" s="155" t="s">
        <v>180</v>
      </c>
      <c r="D94" s="155">
        <v>2</v>
      </c>
      <c r="E94" s="155">
        <v>3</v>
      </c>
      <c r="F94" s="154">
        <f t="shared" si="42"/>
        <v>312</v>
      </c>
      <c r="G94" s="132">
        <f t="shared" si="39"/>
        <v>840</v>
      </c>
      <c r="H94" s="79">
        <f t="shared" si="40"/>
        <v>262080</v>
      </c>
      <c r="I94" s="76">
        <f t="shared" si="37"/>
        <v>196521.95029147793</v>
      </c>
      <c r="J94" s="73">
        <f>References!$C$49*I94</f>
        <v>196.5219502914781</v>
      </c>
      <c r="K94" s="121">
        <f>J94/References!$G$57</f>
        <v>201.94830114319578</v>
      </c>
      <c r="L94" s="121">
        <f t="shared" si="19"/>
        <v>0.65</v>
      </c>
      <c r="M94" s="27">
        <v>67.93</v>
      </c>
      <c r="N94" s="73">
        <f t="shared" si="41"/>
        <v>68.58000000000001</v>
      </c>
      <c r="O94" s="73">
        <f t="shared" si="32"/>
        <v>21194.160000000003</v>
      </c>
      <c r="P94" s="74">
        <f t="shared" si="33"/>
        <v>68.58000000000001</v>
      </c>
      <c r="Q94" s="74">
        <f t="shared" si="34"/>
        <v>21396.960000000003</v>
      </c>
      <c r="R94" s="74">
        <f t="shared" si="35"/>
        <v>202.79999999999927</v>
      </c>
      <c r="U94" s="153">
        <f t="shared" si="38"/>
        <v>0.009568673634623881</v>
      </c>
      <c r="V94" s="119"/>
      <c r="X94" s="75">
        <v>6</v>
      </c>
      <c r="Y94" s="161">
        <f t="shared" si="43"/>
        <v>1872</v>
      </c>
    </row>
    <row r="95" spans="1:25" s="75" customFormat="1" ht="15">
      <c r="A95" s="166"/>
      <c r="B95" s="72">
        <v>33</v>
      </c>
      <c r="C95" s="155" t="s">
        <v>181</v>
      </c>
      <c r="D95" s="155">
        <v>6</v>
      </c>
      <c r="E95" s="155">
        <v>0.5</v>
      </c>
      <c r="F95" s="154">
        <f t="shared" si="42"/>
        <v>156</v>
      </c>
      <c r="G95" s="132">
        <f>+References!B33</f>
        <v>980</v>
      </c>
      <c r="H95" s="79">
        <f t="shared" si="40"/>
        <v>152880</v>
      </c>
      <c r="I95" s="76">
        <f t="shared" si="37"/>
        <v>114637.80433669547</v>
      </c>
      <c r="J95" s="73">
        <f>References!$C$49*I95</f>
        <v>114.63780433669557</v>
      </c>
      <c r="K95" s="121">
        <f>J95/References!$G$57</f>
        <v>117.8031756668642</v>
      </c>
      <c r="L95" s="121">
        <f t="shared" si="19"/>
        <v>0.76</v>
      </c>
      <c r="M95" s="27">
        <v>86.37</v>
      </c>
      <c r="N95" s="73">
        <f t="shared" si="41"/>
        <v>87.13000000000001</v>
      </c>
      <c r="O95" s="73">
        <f t="shared" si="32"/>
        <v>13473.720000000001</v>
      </c>
      <c r="P95" s="74">
        <f t="shared" si="33"/>
        <v>87.13000000000001</v>
      </c>
      <c r="Q95" s="74">
        <f t="shared" si="34"/>
        <v>13592.28</v>
      </c>
      <c r="R95" s="74">
        <f t="shared" si="35"/>
        <v>118.55999999999949</v>
      </c>
      <c r="U95" s="153">
        <f t="shared" si="38"/>
        <v>0.008799351626722407</v>
      </c>
      <c r="V95" s="119"/>
      <c r="X95" s="75">
        <v>8</v>
      </c>
      <c r="Y95" s="161">
        <f t="shared" si="43"/>
        <v>1248</v>
      </c>
    </row>
    <row r="96" spans="1:25" s="75" customFormat="1" ht="15">
      <c r="A96" s="166"/>
      <c r="B96" s="72">
        <v>33</v>
      </c>
      <c r="C96" s="155" t="s">
        <v>182</v>
      </c>
      <c r="D96" s="155">
        <v>20</v>
      </c>
      <c r="E96" s="155">
        <v>1</v>
      </c>
      <c r="F96" s="154">
        <f t="shared" si="42"/>
        <v>1040</v>
      </c>
      <c r="G96" s="132">
        <f>+G95</f>
        <v>980</v>
      </c>
      <c r="H96" s="79">
        <f t="shared" si="40"/>
        <v>1019200</v>
      </c>
      <c r="I96" s="76">
        <f t="shared" si="37"/>
        <v>764252.028911303</v>
      </c>
      <c r="J96" s="73">
        <f>References!$C$49*I96</f>
        <v>764.2520289113037</v>
      </c>
      <c r="K96" s="121">
        <f>J96/References!$G$57</f>
        <v>785.3545044457612</v>
      </c>
      <c r="L96" s="121">
        <f t="shared" si="19"/>
        <v>0.76</v>
      </c>
      <c r="M96" s="27">
        <v>86.37</v>
      </c>
      <c r="N96" s="73">
        <f t="shared" si="41"/>
        <v>87.13000000000001</v>
      </c>
      <c r="O96" s="73">
        <f t="shared" si="32"/>
        <v>89824.8</v>
      </c>
      <c r="P96" s="74">
        <f t="shared" si="33"/>
        <v>87.13000000000001</v>
      </c>
      <c r="Q96" s="74">
        <f t="shared" si="34"/>
        <v>90615.20000000001</v>
      </c>
      <c r="R96" s="74">
        <f t="shared" si="35"/>
        <v>790.4000000000087</v>
      </c>
      <c r="U96" s="153">
        <f t="shared" si="38"/>
        <v>0.008799351626722407</v>
      </c>
      <c r="V96" s="119"/>
      <c r="X96" s="75">
        <v>8</v>
      </c>
      <c r="Y96" s="161">
        <f t="shared" si="43"/>
        <v>8320</v>
      </c>
    </row>
    <row r="97" spans="1:25" s="75" customFormat="1" ht="15">
      <c r="A97" s="166"/>
      <c r="B97" s="72">
        <v>33</v>
      </c>
      <c r="C97" s="155" t="s">
        <v>183</v>
      </c>
      <c r="D97" s="155">
        <v>4</v>
      </c>
      <c r="E97" s="155">
        <v>2</v>
      </c>
      <c r="F97" s="154">
        <f t="shared" si="42"/>
        <v>416</v>
      </c>
      <c r="G97" s="132">
        <f>+G96</f>
        <v>980</v>
      </c>
      <c r="H97" s="79">
        <f t="shared" si="40"/>
        <v>407680</v>
      </c>
      <c r="I97" s="76">
        <f t="shared" si="37"/>
        <v>305700.8115645212</v>
      </c>
      <c r="J97" s="73">
        <f>References!$C$49*I97</f>
        <v>305.7008115645215</v>
      </c>
      <c r="K97" s="121">
        <f>J97/References!$G$57</f>
        <v>314.1418017783045</v>
      </c>
      <c r="L97" s="121">
        <f t="shared" si="19"/>
        <v>0.76</v>
      </c>
      <c r="M97" s="27">
        <v>86.37</v>
      </c>
      <c r="N97" s="73">
        <f t="shared" si="41"/>
        <v>87.13000000000001</v>
      </c>
      <c r="O97" s="73">
        <f t="shared" si="32"/>
        <v>35929.92</v>
      </c>
      <c r="P97" s="74">
        <f t="shared" si="33"/>
        <v>87.13000000000001</v>
      </c>
      <c r="Q97" s="74">
        <f t="shared" si="34"/>
        <v>36246.08</v>
      </c>
      <c r="R97" s="74">
        <f t="shared" si="35"/>
        <v>316.1600000000035</v>
      </c>
      <c r="U97" s="153">
        <f t="shared" si="38"/>
        <v>0.008799351626722407</v>
      </c>
      <c r="V97" s="119"/>
      <c r="X97" s="75">
        <v>8</v>
      </c>
      <c r="Y97" s="161">
        <f t="shared" si="43"/>
        <v>3328</v>
      </c>
    </row>
    <row r="98" spans="1:25" s="75" customFormat="1" ht="15">
      <c r="A98" s="166"/>
      <c r="B98" s="72">
        <v>33</v>
      </c>
      <c r="C98" s="155" t="s">
        <v>155</v>
      </c>
      <c r="D98" s="156">
        <v>1</v>
      </c>
      <c r="E98" s="155">
        <v>3</v>
      </c>
      <c r="F98" s="154">
        <f t="shared" si="42"/>
        <v>156</v>
      </c>
      <c r="G98" s="132">
        <f>+G97</f>
        <v>980</v>
      </c>
      <c r="H98" s="79">
        <f t="shared" si="40"/>
        <v>152880</v>
      </c>
      <c r="I98" s="76">
        <f t="shared" si="37"/>
        <v>114637.80433669547</v>
      </c>
      <c r="J98" s="73">
        <f>References!$C$49*I98</f>
        <v>114.63780433669557</v>
      </c>
      <c r="K98" s="121">
        <f>J98/References!$G$57</f>
        <v>117.8031756668642</v>
      </c>
      <c r="L98" s="121">
        <f t="shared" si="19"/>
        <v>0.76</v>
      </c>
      <c r="M98" s="27">
        <v>86.37</v>
      </c>
      <c r="N98" s="73">
        <f t="shared" si="41"/>
        <v>87.13000000000001</v>
      </c>
      <c r="O98" s="73">
        <f t="shared" si="32"/>
        <v>13473.720000000001</v>
      </c>
      <c r="P98" s="74">
        <f t="shared" si="33"/>
        <v>87.13000000000001</v>
      </c>
      <c r="Q98" s="74">
        <f t="shared" si="34"/>
        <v>13592.28</v>
      </c>
      <c r="R98" s="74">
        <f t="shared" si="35"/>
        <v>118.55999999999949</v>
      </c>
      <c r="U98" s="153">
        <f t="shared" si="38"/>
        <v>0.008799351626722407</v>
      </c>
      <c r="V98" s="119"/>
      <c r="X98" s="75">
        <v>8</v>
      </c>
      <c r="Y98" s="161">
        <f t="shared" si="43"/>
        <v>1248</v>
      </c>
    </row>
    <row r="99" spans="1:26" s="75" customFormat="1" ht="15">
      <c r="A99" s="80"/>
      <c r="B99" s="61"/>
      <c r="C99" s="82" t="s">
        <v>3</v>
      </c>
      <c r="D99" s="83">
        <f>SUM(D28:D98)</f>
        <v>1266</v>
      </c>
      <c r="E99" s="83"/>
      <c r="F99" s="83">
        <f>SUM(F28:F98)</f>
        <v>66120.01015462728</v>
      </c>
      <c r="G99" s="134"/>
      <c r="H99" s="83">
        <f>SUM(H28:H98)</f>
        <v>24694061.043157168</v>
      </c>
      <c r="I99" s="86">
        <f>SUM(I28:I98)</f>
        <v>18516960.610569496</v>
      </c>
      <c r="J99" s="88"/>
      <c r="K99" s="88"/>
      <c r="L99" s="88"/>
      <c r="M99" s="88"/>
      <c r="N99" s="88"/>
      <c r="O99" s="88">
        <f>SUM(O28:O98)</f>
        <v>2140047.809582276</v>
      </c>
      <c r="P99" s="88"/>
      <c r="Q99" s="88">
        <f>SUM(Q28:Q98)</f>
        <v>2159039.853468728</v>
      </c>
      <c r="R99" s="88">
        <f>SUM(R28:R98)</f>
        <v>18992.04388645287</v>
      </c>
      <c r="U99" s="160">
        <f>+R99/O99</f>
        <v>0.008874588596298697</v>
      </c>
      <c r="W99" s="75">
        <f>+I99/F99</f>
        <v>280.05078292132754</v>
      </c>
      <c r="Y99" s="161">
        <f>SUM(Y28:Y98)</f>
        <v>163876.270857088</v>
      </c>
      <c r="Z99" s="161">
        <f>+I99/Y99</f>
        <v>112.99354393240756</v>
      </c>
    </row>
    <row r="100" spans="3:21" ht="25.5" customHeight="1">
      <c r="C100" s="91" t="s">
        <v>100</v>
      </c>
      <c r="D100" s="92">
        <f>D27+D99</f>
        <v>13849</v>
      </c>
      <c r="E100" s="92"/>
      <c r="F100" s="92">
        <f>F27+F99</f>
        <v>639854.3609546274</v>
      </c>
      <c r="G100" s="92"/>
      <c r="H100" s="92">
        <f>H27+H99</f>
        <v>46895880.41475716</v>
      </c>
      <c r="I100" s="92">
        <f>I27+I99</f>
        <v>35165101.800000004</v>
      </c>
      <c r="J100" s="73"/>
      <c r="K100" s="93"/>
      <c r="L100" s="93"/>
      <c r="M100" s="93"/>
      <c r="N100" s="93"/>
      <c r="O100" s="136">
        <f>O27+O99</f>
        <v>5189435.729582276</v>
      </c>
      <c r="P100" s="136"/>
      <c r="Q100" s="136">
        <f>Q27+Q99</f>
        <v>5225711.613468727</v>
      </c>
      <c r="R100" s="136">
        <f>R27+R99</f>
        <v>36275.883886452764</v>
      </c>
      <c r="U100" s="153">
        <f>+R100/O100</f>
        <v>0.0069903330105165005</v>
      </c>
    </row>
    <row r="101" spans="7:21" ht="15">
      <c r="G101" s="135"/>
      <c r="J101" s="95"/>
      <c r="U101" s="170"/>
    </row>
    <row r="102" spans="7:24" ht="15">
      <c r="G102" s="135"/>
      <c r="J102" s="95"/>
      <c r="U102" s="170">
        <v>74.61</v>
      </c>
      <c r="V102" s="169">
        <f>+U99</f>
        <v>0.008874588596298697</v>
      </c>
      <c r="W102" s="170">
        <f>+V102*U102</f>
        <v>0.6621330551698458</v>
      </c>
      <c r="X102" s="113">
        <f>+W102+U102</f>
        <v>75.27213305516985</v>
      </c>
    </row>
    <row r="103" spans="1:24" ht="15">
      <c r="A103" s="78"/>
      <c r="C103" s="98"/>
      <c r="U103" s="170">
        <v>107.68</v>
      </c>
      <c r="V103" s="169">
        <f>+V102</f>
        <v>0.008874588596298697</v>
      </c>
      <c r="W103" s="170">
        <f>+V103*U103</f>
        <v>0.9556157000494437</v>
      </c>
      <c r="X103" s="113">
        <f>+W103+U103</f>
        <v>108.63561570004946</v>
      </c>
    </row>
    <row r="104" spans="1:24" ht="15">
      <c r="A104" s="78"/>
      <c r="C104" s="98"/>
      <c r="U104" s="170">
        <v>138.13</v>
      </c>
      <c r="V104" s="169">
        <f>+V103</f>
        <v>0.008874588596298697</v>
      </c>
      <c r="W104" s="170">
        <f>+V104*U104</f>
        <v>1.225846922806739</v>
      </c>
      <c r="X104" s="113">
        <f>+W104+U104</f>
        <v>139.35584692280673</v>
      </c>
    </row>
    <row r="105" spans="1:24" ht="15">
      <c r="A105" s="78"/>
      <c r="B105" s="168" t="s">
        <v>101</v>
      </c>
      <c r="C105" s="168"/>
      <c r="D105" s="71"/>
      <c r="E105" s="99"/>
      <c r="F105" s="99"/>
      <c r="H105" s="129"/>
      <c r="U105" s="171">
        <v>198.91</v>
      </c>
      <c r="V105" s="169">
        <f>+V104</f>
        <v>0.008874588596298697</v>
      </c>
      <c r="W105" s="170">
        <f>+V105*U105</f>
        <v>1.765244417689774</v>
      </c>
      <c r="X105" s="113">
        <f>+W105+U105</f>
        <v>200.67524441768978</v>
      </c>
    </row>
    <row r="106" spans="1:23" ht="15">
      <c r="A106" s="78"/>
      <c r="B106" s="71"/>
      <c r="C106" s="100" t="s">
        <v>3</v>
      </c>
      <c r="D106" s="71"/>
      <c r="E106" s="31"/>
      <c r="F106" s="31"/>
      <c r="H106" s="101" t="s">
        <v>102</v>
      </c>
      <c r="J106" s="102"/>
      <c r="O106" s="94"/>
      <c r="W106" s="170">
        <f>+V106*U106</f>
        <v>0</v>
      </c>
    </row>
    <row r="107" spans="1:15" ht="15">
      <c r="A107" s="78"/>
      <c r="B107" s="71" t="s">
        <v>103</v>
      </c>
      <c r="C107" s="130">
        <f>'Co. Pro Tonnage'!E9</f>
        <v>17582.550900000002</v>
      </c>
      <c r="D107" s="71"/>
      <c r="E107" s="89"/>
      <c r="F107" s="89"/>
      <c r="G107" s="103"/>
      <c r="H107" s="127" t="s">
        <v>106</v>
      </c>
      <c r="I107" s="128"/>
      <c r="J107" s="102"/>
      <c r="O107" s="94"/>
    </row>
    <row r="108" spans="1:10" ht="15">
      <c r="A108" s="78"/>
      <c r="B108" s="71" t="s">
        <v>104</v>
      </c>
      <c r="C108" s="104">
        <f>C107*2000</f>
        <v>35165101.800000004</v>
      </c>
      <c r="D108" s="71"/>
      <c r="E108" s="104"/>
      <c r="F108" s="104"/>
      <c r="G108" s="104"/>
      <c r="H108" s="105"/>
      <c r="J108" s="102"/>
    </row>
    <row r="109" spans="1:15" ht="15">
      <c r="A109" s="78"/>
      <c r="B109" s="71" t="s">
        <v>105</v>
      </c>
      <c r="C109" s="104">
        <f>F27+F99</f>
        <v>639854.3609546274</v>
      </c>
      <c r="D109" s="71"/>
      <c r="E109" s="89"/>
      <c r="F109" s="89"/>
      <c r="G109" s="89"/>
      <c r="I109" s="120"/>
      <c r="J109" s="102"/>
      <c r="O109" s="94"/>
    </row>
    <row r="110" spans="2:15" ht="15">
      <c r="B110" s="106" t="s">
        <v>107</v>
      </c>
      <c r="C110" s="107">
        <f>C108/$H$100</f>
        <v>0.7498548164357369</v>
      </c>
      <c r="D110" s="71"/>
      <c r="E110" s="107"/>
      <c r="F110" s="107"/>
      <c r="G110" s="107"/>
      <c r="H110" s="108"/>
      <c r="J110" s="102"/>
      <c r="M110" s="109"/>
      <c r="N110" s="109"/>
      <c r="O110" s="110"/>
    </row>
    <row r="111" spans="5:15" ht="15">
      <c r="E111" s="102"/>
      <c r="G111" s="111"/>
      <c r="H111" s="112"/>
      <c r="J111" s="102"/>
      <c r="M111" s="113"/>
      <c r="N111" s="114"/>
      <c r="O111" s="96"/>
    </row>
    <row r="112" spans="4:15" ht="15">
      <c r="D112" s="115"/>
      <c r="E112" s="116"/>
      <c r="G112" s="111"/>
      <c r="H112" s="112"/>
      <c r="J112" s="102"/>
      <c r="M112" s="113"/>
      <c r="N112" s="114"/>
      <c r="O112" s="96"/>
    </row>
    <row r="113" spans="4:15" ht="15">
      <c r="D113" s="115"/>
      <c r="E113" s="116"/>
      <c r="G113" s="111"/>
      <c r="H113" s="112"/>
      <c r="J113" s="102"/>
      <c r="M113" s="113"/>
      <c r="N113" s="114"/>
      <c r="O113" s="96"/>
    </row>
    <row r="114" spans="4:9" ht="15">
      <c r="D114" s="71"/>
      <c r="I114" s="71"/>
    </row>
    <row r="115" spans="4:9" ht="15">
      <c r="D115" s="71"/>
      <c r="E115" s="102"/>
      <c r="I115" s="71"/>
    </row>
    <row r="116" spans="4:9" ht="15">
      <c r="D116" s="71"/>
      <c r="I116" s="71"/>
    </row>
    <row r="117" spans="4:9" ht="15">
      <c r="D117" s="71"/>
      <c r="I117" s="71"/>
    </row>
    <row r="118" ht="15">
      <c r="D118" s="71"/>
    </row>
  </sheetData>
  <sheetProtection/>
  <mergeCells count="3">
    <mergeCell ref="A2:A26"/>
    <mergeCell ref="A28:A98"/>
    <mergeCell ref="B105:C105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111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4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0" t="s">
        <v>112</v>
      </c>
      <c r="G3" s="6" t="s">
        <v>110</v>
      </c>
      <c r="I3" s="6" t="s">
        <v>14</v>
      </c>
      <c r="L3" s="38"/>
      <c r="M3" s="37"/>
      <c r="N3" s="37"/>
      <c r="O3" s="147"/>
      <c r="P3" s="39"/>
    </row>
    <row r="4" spans="1:16" ht="15.75">
      <c r="A4" s="2"/>
      <c r="B4" s="2"/>
      <c r="C4" s="6" t="s">
        <v>3</v>
      </c>
      <c r="D4" s="6" t="s">
        <v>2</v>
      </c>
      <c r="E4" s="6" t="s">
        <v>14</v>
      </c>
      <c r="F4" s="7" t="s">
        <v>5</v>
      </c>
      <c r="G4" s="6" t="s">
        <v>14</v>
      </c>
      <c r="H4" s="7" t="s">
        <v>7</v>
      </c>
      <c r="I4" s="6" t="s">
        <v>0</v>
      </c>
      <c r="J4" s="6" t="s">
        <v>0</v>
      </c>
      <c r="L4" s="39"/>
      <c r="M4" s="39"/>
      <c r="N4" s="39"/>
      <c r="O4" s="39"/>
      <c r="P4" s="39"/>
    </row>
    <row r="5" spans="1:17" ht="20.25">
      <c r="A5" s="2"/>
      <c r="B5" s="2"/>
      <c r="C5" s="4" t="s">
        <v>8</v>
      </c>
      <c r="D5" s="4" t="s">
        <v>14</v>
      </c>
      <c r="E5" s="4" t="s">
        <v>8</v>
      </c>
      <c r="F5" s="5" t="s">
        <v>9</v>
      </c>
      <c r="G5" s="4" t="s">
        <v>6</v>
      </c>
      <c r="H5" s="5" t="s">
        <v>9</v>
      </c>
      <c r="I5" s="4" t="s">
        <v>10</v>
      </c>
      <c r="J5" s="4" t="s">
        <v>1</v>
      </c>
      <c r="L5" s="40"/>
      <c r="M5" s="40"/>
      <c r="N5" s="40"/>
      <c r="O5" s="40"/>
      <c r="P5" s="40"/>
      <c r="Q5" s="40"/>
    </row>
    <row r="6" spans="1:18" ht="15.75">
      <c r="A6" s="3" t="s">
        <v>11</v>
      </c>
      <c r="B6" s="2"/>
      <c r="C6" s="18">
        <v>9702.35</v>
      </c>
      <c r="D6" s="32">
        <v>0.801</v>
      </c>
      <c r="E6" s="34">
        <f>+D6*C6</f>
        <v>7771.582350000001</v>
      </c>
      <c r="F6" s="10">
        <v>99</v>
      </c>
      <c r="G6" s="13">
        <f>+F6*E6</f>
        <v>769386.6526500001</v>
      </c>
      <c r="H6" s="12">
        <v>101</v>
      </c>
      <c r="I6" s="13">
        <f>+H6*E6</f>
        <v>784929.81735</v>
      </c>
      <c r="J6" s="19">
        <f>+I6-G6</f>
        <v>15543.164699999965</v>
      </c>
      <c r="K6" s="29"/>
      <c r="L6" s="43"/>
      <c r="M6" s="43"/>
      <c r="N6" s="43"/>
      <c r="O6" s="43"/>
      <c r="P6" s="44"/>
      <c r="Q6" s="142"/>
      <c r="R6" s="28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4"/>
      <c r="M7" s="44"/>
      <c r="N7" s="44"/>
      <c r="O7" s="44"/>
      <c r="P7" s="44"/>
    </row>
    <row r="8" spans="1:18" ht="18">
      <c r="A8" s="3" t="s">
        <v>12</v>
      </c>
      <c r="B8" s="2"/>
      <c r="C8" s="24">
        <v>10722.37</v>
      </c>
      <c r="D8" s="32">
        <v>0.915</v>
      </c>
      <c r="E8" s="35">
        <f>+D8*C8</f>
        <v>9810.968550000001</v>
      </c>
      <c r="F8" s="10">
        <f>+F6</f>
        <v>99</v>
      </c>
      <c r="G8" s="14">
        <f>+F8*E8</f>
        <v>971285.8864500001</v>
      </c>
      <c r="H8" s="12">
        <f>+H6</f>
        <v>101</v>
      </c>
      <c r="I8" s="14">
        <f>+H8*E8</f>
        <v>990907.8235500001</v>
      </c>
      <c r="J8" s="20">
        <f>+I8-G8</f>
        <v>19621.93709999998</v>
      </c>
      <c r="K8" s="29"/>
      <c r="L8" s="45"/>
      <c r="M8" s="45"/>
      <c r="N8" s="45"/>
      <c r="O8" s="45"/>
      <c r="P8" s="46"/>
      <c r="Q8" s="142"/>
      <c r="R8" s="28"/>
    </row>
    <row r="9" spans="1:18" ht="15.75">
      <c r="A9" s="3"/>
      <c r="B9" s="2"/>
      <c r="C9" s="22">
        <f>+C8+C6</f>
        <v>20424.72</v>
      </c>
      <c r="D9" s="13"/>
      <c r="E9" s="22">
        <f>+E8+E6</f>
        <v>17582.550900000002</v>
      </c>
      <c r="F9" s="10"/>
      <c r="G9" s="33">
        <f>+G8+G6</f>
        <v>1740672.5391000002</v>
      </c>
      <c r="H9" s="12"/>
      <c r="J9" s="33">
        <f>+J8+J6</f>
        <v>35165.101799999946</v>
      </c>
      <c r="K9" s="33"/>
      <c r="L9" s="33"/>
      <c r="M9" s="33"/>
      <c r="N9" s="33"/>
      <c r="O9" s="33"/>
      <c r="P9" s="33"/>
      <c r="R9" s="28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2"/>
      <c r="M10" s="42"/>
      <c r="N10" s="42"/>
      <c r="O10" s="42"/>
      <c r="P10" s="42"/>
    </row>
    <row r="11" spans="1:16" ht="17.25">
      <c r="A11" s="3" t="s">
        <v>13</v>
      </c>
      <c r="B11" s="2"/>
      <c r="C11" s="18"/>
      <c r="D11" s="32"/>
      <c r="E11" s="24">
        <v>4937.46</v>
      </c>
      <c r="F11" s="10">
        <f>+F8</f>
        <v>99</v>
      </c>
      <c r="G11" s="14">
        <f>+F11*E11</f>
        <v>488808.54</v>
      </c>
      <c r="H11" s="12">
        <f>+H8</f>
        <v>101</v>
      </c>
      <c r="I11" s="13">
        <f>+H11*E11</f>
        <v>498683.46</v>
      </c>
      <c r="J11" s="19">
        <f>+I11-G11</f>
        <v>9874.920000000042</v>
      </c>
      <c r="L11" s="41"/>
      <c r="M11" s="41"/>
      <c r="N11" s="43"/>
      <c r="O11" s="43"/>
      <c r="P11" s="44"/>
    </row>
    <row r="12" spans="1:16" ht="20.25">
      <c r="A12" s="2"/>
      <c r="B12" s="2"/>
      <c r="C12" s="21"/>
      <c r="D12" s="21"/>
      <c r="E12" s="21">
        <f>SUM(E11:E11)</f>
        <v>4937.46</v>
      </c>
      <c r="F12" s="10"/>
      <c r="G12" s="16">
        <f>SUM(G11:G11)</f>
        <v>488808.54</v>
      </c>
      <c r="H12" s="11"/>
      <c r="I12" s="16">
        <f>SUM(I11:I11)</f>
        <v>498683.46</v>
      </c>
      <c r="J12" s="16">
        <f>SUM(J11:J11)</f>
        <v>9874.920000000042</v>
      </c>
      <c r="L12" s="16"/>
      <c r="M12" s="16"/>
      <c r="N12" s="16"/>
      <c r="O12" s="16"/>
      <c r="P12" s="16"/>
    </row>
    <row r="13" spans="1:16" ht="15.75">
      <c r="A13" s="2"/>
      <c r="B13" s="2"/>
      <c r="C13" s="22"/>
      <c r="D13" s="22"/>
      <c r="E13" s="22"/>
      <c r="F13" s="10"/>
      <c r="G13" s="11"/>
      <c r="H13" s="11"/>
      <c r="I13" s="11"/>
      <c r="J13" s="11"/>
      <c r="L13" s="42"/>
      <c r="M13" s="42"/>
      <c r="N13" s="42"/>
      <c r="O13" s="42"/>
      <c r="P13" s="42"/>
    </row>
    <row r="14" spans="1:16" ht="18">
      <c r="A14" s="2"/>
      <c r="B14" s="2"/>
      <c r="C14" s="23">
        <f>+C12+C9</f>
        <v>20424.72</v>
      </c>
      <c r="D14" s="23"/>
      <c r="E14" s="23">
        <f>+E12+E9</f>
        <v>22520.0109</v>
      </c>
      <c r="F14" s="10"/>
      <c r="G14" s="17">
        <f>+G12+G9</f>
        <v>2229481.0791</v>
      </c>
      <c r="H14" s="17"/>
      <c r="I14" s="17">
        <f>+I12+N9</f>
        <v>498683.46</v>
      </c>
      <c r="J14" s="17">
        <f>+J12+J9</f>
        <v>45040.02179999999</v>
      </c>
      <c r="K14" s="17"/>
      <c r="L14" s="17"/>
      <c r="M14" s="17"/>
      <c r="N14" s="17"/>
      <c r="O14" s="17"/>
      <c r="P14" s="17"/>
    </row>
    <row r="15" spans="1:15" ht="17.25">
      <c r="A15" s="2"/>
      <c r="B15" s="2"/>
      <c r="C15" s="24"/>
      <c r="D15" s="24"/>
      <c r="E15" s="24"/>
      <c r="F15" s="10"/>
      <c r="G15" s="14"/>
      <c r="H15" s="11"/>
      <c r="I15" s="11"/>
      <c r="J15" s="11"/>
      <c r="K15" s="2"/>
      <c r="L15" s="2"/>
      <c r="N15" s="2"/>
      <c r="O15" s="2"/>
    </row>
    <row r="16" spans="1:15" ht="15.75">
      <c r="A16" s="2"/>
      <c r="B16" s="2"/>
      <c r="C16" s="18"/>
      <c r="D16" s="11"/>
      <c r="E16" s="11"/>
      <c r="F16" s="10"/>
      <c r="G16" s="15"/>
      <c r="H16" s="11"/>
      <c r="I16" s="11"/>
      <c r="J16" s="11"/>
      <c r="K16" s="2"/>
      <c r="L16" s="2"/>
      <c r="N16" s="2"/>
      <c r="O16" s="2"/>
    </row>
    <row r="17" spans="1:15" ht="15.75">
      <c r="A17" s="2"/>
      <c r="B17" s="2"/>
      <c r="C17" s="18"/>
      <c r="D17" s="18"/>
      <c r="E17" s="18"/>
      <c r="F17" s="25"/>
      <c r="G17" s="11"/>
      <c r="H17" s="25"/>
      <c r="I17" s="25"/>
      <c r="J17" s="25"/>
      <c r="K17" s="2"/>
      <c r="L17" s="2"/>
      <c r="N17" s="2"/>
      <c r="O17" s="2"/>
    </row>
    <row r="18" spans="3:10" ht="15">
      <c r="C18" s="1"/>
      <c r="D18" s="1"/>
      <c r="E18" s="1"/>
      <c r="F18" s="1"/>
      <c r="G18" s="36"/>
      <c r="H18" s="1"/>
      <c r="I18" s="1"/>
      <c r="J18" s="1"/>
    </row>
    <row r="19" spans="1:15" ht="15.75">
      <c r="A19" s="2"/>
      <c r="B19" s="2"/>
      <c r="C19" s="25"/>
      <c r="D19" s="25"/>
      <c r="E19" s="25"/>
      <c r="F19" s="25"/>
      <c r="G19" s="26"/>
      <c r="H19" s="25"/>
      <c r="I19" s="25"/>
      <c r="J19" s="25"/>
      <c r="K19" s="2"/>
      <c r="L19" s="2"/>
      <c r="N19" s="2"/>
      <c r="O19" s="2"/>
    </row>
    <row r="20" spans="3:10" ht="15">
      <c r="C20" s="1"/>
      <c r="D20" s="1"/>
      <c r="E20" s="1"/>
      <c r="F20" s="1"/>
      <c r="G20" s="1"/>
      <c r="H20" s="1"/>
      <c r="I20" s="1"/>
      <c r="J20" s="1"/>
    </row>
    <row r="21" spans="3:10" ht="15">
      <c r="C21" s="1"/>
      <c r="D21" s="1"/>
      <c r="E21" s="1"/>
      <c r="F21" s="1"/>
      <c r="G21" s="1"/>
      <c r="H21" s="1"/>
      <c r="I21" s="1"/>
      <c r="J21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2019-06-05T19:11:46Z</cp:lastPrinted>
  <dcterms:created xsi:type="dcterms:W3CDTF">2013-04-10T21:01:30Z</dcterms:created>
  <dcterms:modified xsi:type="dcterms:W3CDTF">2021-03-22T21:39:07Z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Waste Management of Washington, Inc.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210196</vt:lpwstr>
  </property>
  <property fmtid="{D5CDD505-2E9C-101B-9397-08002B2CF9AE}" pid="11" name="Date1">
    <vt:lpwstr>2021-03-24T00:00:00Z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2021-03-24T00:00:00Z</vt:lpwstr>
  </property>
  <property fmtid="{D5CDD505-2E9C-101B-9397-08002B2CF9AE}" pid="15" name="Prefix">
    <vt:lpwstr>TG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</Properties>
</file>