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Consolidated Disposal Services, Inc\Disposal Increase 2-2021\"/>
    </mc:Choice>
  </mc:AlternateContent>
  <xr:revisionPtr revIDLastSave="0" documentId="13_ncr:1_{6AA55691-DE6A-4948-8DB6-934A24503CED}" xr6:coauthVersionLast="46" xr6:coauthVersionMax="46" xr10:uidLastSave="{00000000-0000-0000-0000-000000000000}"/>
  <bookViews>
    <workbookView xWindow="-28920" yWindow="-120" windowWidth="29040" windowHeight="15840" activeTab="2" xr2:uid="{00000000-000D-0000-FFFF-FFFF00000000}"/>
  </bookViews>
  <sheets>
    <sheet name="Notes" sheetId="8" r:id="rId1"/>
    <sheet name="References" sheetId="4" r:id="rId2"/>
    <sheet name="Calculations" sheetId="7" r:id="rId3"/>
    <sheet name="Estimated Tonnage 2011 Case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81029" iterate="1" iterateCount="1" iterateDelta="0"/>
</workbook>
</file>

<file path=xl/calcChain.xml><?xml version="1.0" encoding="utf-8"?>
<calcChain xmlns="http://schemas.openxmlformats.org/spreadsheetml/2006/main">
  <c r="P42" i="7" l="1"/>
  <c r="G42" i="7"/>
  <c r="I42" i="7" s="1"/>
  <c r="J42" i="7" s="1"/>
  <c r="K42" i="7" s="1"/>
  <c r="L42" i="7" s="1"/>
  <c r="M42" i="7" s="1"/>
  <c r="O42" i="7" s="1"/>
  <c r="Q42" i="7" s="1"/>
  <c r="R42" i="7" s="1"/>
  <c r="F42" i="7"/>
  <c r="P41" i="7"/>
  <c r="G41" i="7"/>
  <c r="I41" i="7" s="1"/>
  <c r="J41" i="7" s="1"/>
  <c r="K41" i="7" s="1"/>
  <c r="L41" i="7" s="1"/>
  <c r="M41" i="7" s="1"/>
  <c r="O41" i="7" s="1"/>
  <c r="Q41" i="7" s="1"/>
  <c r="R41" i="7" s="1"/>
  <c r="F41" i="7"/>
  <c r="P40" i="7"/>
  <c r="F40" i="7"/>
  <c r="G40" i="7" s="1"/>
  <c r="I40" i="7" s="1"/>
  <c r="J40" i="7" s="1"/>
  <c r="K40" i="7" s="1"/>
  <c r="L40" i="7" s="1"/>
  <c r="M40" i="7" s="1"/>
  <c r="O40" i="7" s="1"/>
  <c r="Q40" i="7" s="1"/>
  <c r="R40" i="7" s="1"/>
  <c r="N32" i="9"/>
  <c r="H32" i="9"/>
  <c r="I32" i="9" s="1"/>
  <c r="G32" i="9"/>
  <c r="F32" i="9"/>
  <c r="D32" i="9"/>
  <c r="G31" i="9"/>
  <c r="H31" i="9" s="1"/>
  <c r="I31" i="9" s="1"/>
  <c r="F31" i="9"/>
  <c r="D31" i="9"/>
  <c r="N31" i="9" s="1"/>
  <c r="G30" i="9"/>
  <c r="H30" i="9" s="1"/>
  <c r="D30" i="9"/>
  <c r="N30" i="9" s="1"/>
  <c r="N29" i="9"/>
  <c r="H29" i="9"/>
  <c r="G29" i="9"/>
  <c r="D29" i="9"/>
  <c r="F29" i="9" s="1"/>
  <c r="N28" i="9"/>
  <c r="H28" i="9"/>
  <c r="I28" i="9" s="1"/>
  <c r="G28" i="9"/>
  <c r="F28" i="9"/>
  <c r="D28" i="9"/>
  <c r="N27" i="9"/>
  <c r="G27" i="9"/>
  <c r="H27" i="9" s="1"/>
  <c r="I27" i="9" s="1"/>
  <c r="F27" i="9"/>
  <c r="N26" i="9"/>
  <c r="G26" i="9"/>
  <c r="H26" i="9" s="1"/>
  <c r="I26" i="9" s="1"/>
  <c r="F26" i="9"/>
  <c r="N25" i="9"/>
  <c r="H25" i="9"/>
  <c r="I25" i="9" s="1"/>
  <c r="G25" i="9"/>
  <c r="F25" i="9"/>
  <c r="G24" i="9"/>
  <c r="H24" i="9" s="1"/>
  <c r="I24" i="9" s="1"/>
  <c r="F24" i="9"/>
  <c r="H23" i="9"/>
  <c r="I23" i="9" s="1"/>
  <c r="G23" i="9"/>
  <c r="F23" i="9"/>
  <c r="G22" i="9"/>
  <c r="H22" i="9" s="1"/>
  <c r="I22" i="9" s="1"/>
  <c r="F22" i="9"/>
  <c r="N21" i="9"/>
  <c r="G21" i="9"/>
  <c r="H21" i="9" s="1"/>
  <c r="I21" i="9" s="1"/>
  <c r="F21" i="9"/>
  <c r="N20" i="9"/>
  <c r="G20" i="9"/>
  <c r="H20" i="9" s="1"/>
  <c r="I20" i="9" s="1"/>
  <c r="F20" i="9"/>
  <c r="N19" i="9"/>
  <c r="G19" i="9"/>
  <c r="H19" i="9" s="1"/>
  <c r="I19" i="9" s="1"/>
  <c r="F19" i="9"/>
  <c r="H15" i="9"/>
  <c r="I15" i="9" s="1"/>
  <c r="G15" i="9"/>
  <c r="F15" i="9"/>
  <c r="G14" i="9"/>
  <c r="H14" i="9" s="1"/>
  <c r="I14" i="9" s="1"/>
  <c r="F14" i="9"/>
  <c r="N13" i="9"/>
  <c r="G13" i="9"/>
  <c r="H13" i="9" s="1"/>
  <c r="I13" i="9" s="1"/>
  <c r="F13" i="9"/>
  <c r="G12" i="9"/>
  <c r="H12" i="9" s="1"/>
  <c r="I12" i="9" s="1"/>
  <c r="F12" i="9"/>
  <c r="D11" i="9"/>
  <c r="N10" i="9"/>
  <c r="G10" i="9"/>
  <c r="H10" i="9" s="1"/>
  <c r="I10" i="9" s="1"/>
  <c r="F10" i="9"/>
  <c r="N9" i="9"/>
  <c r="H9" i="9"/>
  <c r="I9" i="9" s="1"/>
  <c r="G9" i="9"/>
  <c r="F9" i="9"/>
  <c r="N8" i="9"/>
  <c r="G8" i="9"/>
  <c r="H8" i="9" s="1"/>
  <c r="I8" i="9" s="1"/>
  <c r="F8" i="9"/>
  <c r="N7" i="9"/>
  <c r="N16" i="9" s="1"/>
  <c r="H7" i="9"/>
  <c r="I7" i="9" s="1"/>
  <c r="G7" i="9"/>
  <c r="F7" i="9"/>
  <c r="G6" i="9"/>
  <c r="H6" i="9" s="1"/>
  <c r="I6" i="9" s="1"/>
  <c r="F6" i="9"/>
  <c r="H5" i="9"/>
  <c r="I5" i="9" s="1"/>
  <c r="G5" i="9"/>
  <c r="F5" i="9"/>
  <c r="G4" i="9"/>
  <c r="H4" i="9" s="1"/>
  <c r="I4" i="9" s="1"/>
  <c r="F4" i="9"/>
  <c r="H3" i="9"/>
  <c r="I3" i="9" s="1"/>
  <c r="G3" i="9"/>
  <c r="F3" i="9"/>
  <c r="E25" i="7"/>
  <c r="F24" i="7"/>
  <c r="F19" i="7"/>
  <c r="N19" i="7" s="1"/>
  <c r="F18" i="7"/>
  <c r="N18" i="7" s="1"/>
  <c r="F23" i="7"/>
  <c r="G23" i="7" s="1"/>
  <c r="F22" i="7"/>
  <c r="N22" i="7" s="1"/>
  <c r="F21" i="7"/>
  <c r="G21" i="7" s="1"/>
  <c r="F20" i="7"/>
  <c r="N20" i="7" s="1"/>
  <c r="F17" i="7"/>
  <c r="G17" i="7" s="1"/>
  <c r="E11" i="7"/>
  <c r="E27" i="7" l="1"/>
  <c r="I29" i="9"/>
  <c r="N33" i="9"/>
  <c r="N35" i="9"/>
  <c r="F30" i="9"/>
  <c r="I30" i="9" s="1"/>
  <c r="G24" i="7"/>
  <c r="G19" i="7"/>
  <c r="I19" i="7" s="1"/>
  <c r="G18" i="7"/>
  <c r="G20" i="7"/>
  <c r="P20" i="7" s="1"/>
  <c r="G22" i="7"/>
  <c r="I22" i="7" s="1"/>
  <c r="I17" i="7"/>
  <c r="I21" i="7"/>
  <c r="I23" i="7"/>
  <c r="N17" i="7"/>
  <c r="P17" i="7" s="1"/>
  <c r="N21" i="7"/>
  <c r="P21" i="7" s="1"/>
  <c r="N23" i="7"/>
  <c r="P23" i="7" s="1"/>
  <c r="G10" i="7"/>
  <c r="P36" i="7"/>
  <c r="F36" i="7"/>
  <c r="P35" i="7"/>
  <c r="F35" i="7"/>
  <c r="P34" i="7"/>
  <c r="F34" i="7"/>
  <c r="I24" i="7" l="1"/>
  <c r="P24" i="7"/>
  <c r="I20" i="7"/>
  <c r="P19" i="7"/>
  <c r="P22" i="7"/>
  <c r="I18" i="7"/>
  <c r="P18" i="7"/>
  <c r="G34" i="7"/>
  <c r="I34" i="7" s="1"/>
  <c r="G35" i="7"/>
  <c r="I35" i="7" s="1"/>
  <c r="G36" i="7"/>
  <c r="I36" i="7" s="1"/>
  <c r="F16" i="7"/>
  <c r="N16" i="7" s="1"/>
  <c r="F15" i="7"/>
  <c r="N15" i="7" s="1"/>
  <c r="F51" i="7"/>
  <c r="F50" i="7"/>
  <c r="D6" i="4"/>
  <c r="G6" i="4" s="1"/>
  <c r="G50" i="7" l="1"/>
  <c r="I50" i="7" s="1"/>
  <c r="G51" i="7"/>
  <c r="I51" i="7" s="1"/>
  <c r="E6" i="4"/>
  <c r="F6" i="4"/>
  <c r="E60" i="7" l="1"/>
  <c r="P55" i="7"/>
  <c r="P54" i="7"/>
  <c r="P53" i="7"/>
  <c r="P51" i="7"/>
  <c r="P50" i="7"/>
  <c r="P49" i="7"/>
  <c r="P48" i="7"/>
  <c r="P39" i="7"/>
  <c r="P38" i="7"/>
  <c r="P30" i="7"/>
  <c r="P37" i="7"/>
  <c r="P9" i="7"/>
  <c r="P8" i="7"/>
  <c r="P7" i="7"/>
  <c r="P6" i="7"/>
  <c r="P33" i="7"/>
  <c r="P32" i="7"/>
  <c r="P31" i="7"/>
  <c r="I55" i="7" l="1"/>
  <c r="I10" i="7"/>
  <c r="I52" i="7"/>
  <c r="I54" i="7"/>
  <c r="I53" i="7"/>
  <c r="P10" i="7"/>
  <c r="P11" i="7" s="1"/>
  <c r="P52" i="7"/>
  <c r="P56" i="7" s="1"/>
  <c r="I56" i="7" l="1"/>
  <c r="F17" i="4" l="1"/>
  <c r="F18" i="4" s="1"/>
  <c r="B17" i="4"/>
  <c r="B20" i="4" s="1"/>
  <c r="C16" i="4"/>
  <c r="C15" i="4"/>
  <c r="D9" i="4"/>
  <c r="D8" i="4"/>
  <c r="D7" i="4"/>
  <c r="B21" i="4" l="1"/>
  <c r="B23" i="4" s="1"/>
  <c r="R60" i="7" s="1"/>
  <c r="G8" i="4"/>
  <c r="F8" i="4"/>
  <c r="E8" i="4"/>
  <c r="G9" i="7"/>
  <c r="I9" i="7" s="1"/>
  <c r="G8" i="7"/>
  <c r="I8" i="7" s="1"/>
  <c r="G7" i="4"/>
  <c r="G16" i="7" s="1"/>
  <c r="F7" i="4"/>
  <c r="E7" i="4"/>
  <c r="G15" i="7" s="1"/>
  <c r="F39" i="7"/>
  <c r="F14" i="7"/>
  <c r="F30" i="7"/>
  <c r="G7" i="7"/>
  <c r="I7" i="7" s="1"/>
  <c r="F33" i="7"/>
  <c r="F31" i="7"/>
  <c r="G31" i="7" s="1"/>
  <c r="F49" i="7"/>
  <c r="F48" i="7"/>
  <c r="G6" i="7"/>
  <c r="F32" i="7"/>
  <c r="G9" i="4"/>
  <c r="F9" i="4"/>
  <c r="E9" i="4"/>
  <c r="F38" i="7"/>
  <c r="F37" i="7"/>
  <c r="C17" i="4"/>
  <c r="G25" i="7" l="1"/>
  <c r="G49" i="7"/>
  <c r="I49" i="7" s="1"/>
  <c r="G48" i="7"/>
  <c r="I6" i="7"/>
  <c r="I11" i="7" s="1"/>
  <c r="G11" i="7"/>
  <c r="G27" i="7" s="1"/>
  <c r="G38" i="7"/>
  <c r="I38" i="7" s="1"/>
  <c r="G37" i="7"/>
  <c r="I37" i="7" s="1"/>
  <c r="G33" i="7"/>
  <c r="I33" i="7" s="1"/>
  <c r="G30" i="7"/>
  <c r="G32" i="7"/>
  <c r="I32" i="7" s="1"/>
  <c r="G39" i="7"/>
  <c r="I39" i="7" s="1"/>
  <c r="G14" i="7"/>
  <c r="I14" i="7" s="1"/>
  <c r="P14" i="7"/>
  <c r="I31" i="7"/>
  <c r="I15" i="7"/>
  <c r="P15" i="7"/>
  <c r="I16" i="7"/>
  <c r="P16" i="7"/>
  <c r="I48" i="7" l="1"/>
  <c r="G56" i="7"/>
  <c r="I30" i="7"/>
  <c r="G43" i="7"/>
  <c r="I25" i="7"/>
  <c r="I27" i="7" s="1"/>
  <c r="P25" i="7"/>
  <c r="P27" i="7" s="1"/>
  <c r="E61" i="7" l="1"/>
  <c r="E62" i="7"/>
  <c r="J24" i="7" s="1"/>
  <c r="K24" i="7" s="1"/>
  <c r="L24" i="7" s="1"/>
  <c r="M24" i="7" s="1"/>
  <c r="O24" i="7" s="1"/>
  <c r="Q24" i="7" s="1"/>
  <c r="R24" i="7" s="1"/>
  <c r="J17" i="7" l="1"/>
  <c r="K17" i="7" s="1"/>
  <c r="L17" i="7" s="1"/>
  <c r="M17" i="7" s="1"/>
  <c r="O17" i="7" s="1"/>
  <c r="Q17" i="7" s="1"/>
  <c r="R17" i="7" s="1"/>
  <c r="J30" i="7"/>
  <c r="K30" i="7" s="1"/>
  <c r="L30" i="7" s="1"/>
  <c r="M30" i="7" s="1"/>
  <c r="O30" i="7" s="1"/>
  <c r="Q30" i="7" s="1"/>
  <c r="R30" i="7" s="1"/>
  <c r="J18" i="7"/>
  <c r="K18" i="7" s="1"/>
  <c r="L18" i="7" s="1"/>
  <c r="M18" i="7" s="1"/>
  <c r="O18" i="7" s="1"/>
  <c r="Q18" i="7" s="1"/>
  <c r="R18" i="7" s="1"/>
  <c r="J31" i="7"/>
  <c r="K31" i="7" s="1"/>
  <c r="L31" i="7" s="1"/>
  <c r="M31" i="7" s="1"/>
  <c r="O31" i="7" s="1"/>
  <c r="Q31" i="7" s="1"/>
  <c r="R31" i="7" s="1"/>
  <c r="J39" i="7"/>
  <c r="K39" i="7" s="1"/>
  <c r="L39" i="7" s="1"/>
  <c r="M39" i="7" s="1"/>
  <c r="O39" i="7" s="1"/>
  <c r="Q39" i="7" s="1"/>
  <c r="R39" i="7" s="1"/>
  <c r="J38" i="7"/>
  <c r="K38" i="7" s="1"/>
  <c r="L38" i="7" s="1"/>
  <c r="M38" i="7" s="1"/>
  <c r="O38" i="7" s="1"/>
  <c r="Q38" i="7" s="1"/>
  <c r="R38" i="7" s="1"/>
  <c r="J19" i="7"/>
  <c r="K19" i="7" s="1"/>
  <c r="L19" i="7" s="1"/>
  <c r="M19" i="7" s="1"/>
  <c r="O19" i="7" s="1"/>
  <c r="Q19" i="7" s="1"/>
  <c r="R19" i="7" s="1"/>
  <c r="J32" i="7"/>
  <c r="K32" i="7" s="1"/>
  <c r="L32" i="7" s="1"/>
  <c r="M32" i="7" s="1"/>
  <c r="O32" i="7" s="1"/>
  <c r="Q32" i="7" s="1"/>
  <c r="R32" i="7" s="1"/>
  <c r="J20" i="7"/>
  <c r="K20" i="7" s="1"/>
  <c r="L20" i="7" s="1"/>
  <c r="M20" i="7" s="1"/>
  <c r="O20" i="7" s="1"/>
  <c r="Q20" i="7" s="1"/>
  <c r="R20" i="7" s="1"/>
  <c r="J33" i="7"/>
  <c r="K33" i="7" s="1"/>
  <c r="L33" i="7" s="1"/>
  <c r="M33" i="7" s="1"/>
  <c r="O33" i="7" s="1"/>
  <c r="Q33" i="7" s="1"/>
  <c r="R33" i="7" s="1"/>
  <c r="J48" i="7"/>
  <c r="K48" i="7" s="1"/>
  <c r="L48" i="7" s="1"/>
  <c r="M48" i="7" s="1"/>
  <c r="O48" i="7" s="1"/>
  <c r="Q48" i="7" s="1"/>
  <c r="R48" i="7" s="1"/>
  <c r="J34" i="7"/>
  <c r="K34" i="7" s="1"/>
  <c r="L34" i="7" s="1"/>
  <c r="M34" i="7" s="1"/>
  <c r="O34" i="7" s="1"/>
  <c r="Q34" i="7" s="1"/>
  <c r="R34" i="7" s="1"/>
  <c r="J52" i="7"/>
  <c r="J22" i="7"/>
  <c r="K22" i="7" s="1"/>
  <c r="L22" i="7" s="1"/>
  <c r="M22" i="7" s="1"/>
  <c r="O22" i="7" s="1"/>
  <c r="Q22" i="7" s="1"/>
  <c r="R22" i="7" s="1"/>
  <c r="J14" i="7"/>
  <c r="K14" i="7" s="1"/>
  <c r="L14" i="7" s="1"/>
  <c r="M14" i="7" s="1"/>
  <c r="O14" i="7" s="1"/>
  <c r="Q14" i="7" s="1"/>
  <c r="J7" i="7"/>
  <c r="K7" i="7" s="1"/>
  <c r="L7" i="7" s="1"/>
  <c r="M7" i="7" s="1"/>
  <c r="O7" i="7" s="1"/>
  <c r="Q7" i="7" s="1"/>
  <c r="R7" i="7" s="1"/>
  <c r="J10" i="7"/>
  <c r="J21" i="7"/>
  <c r="K21" i="7" s="1"/>
  <c r="L21" i="7" s="1"/>
  <c r="M21" i="7" s="1"/>
  <c r="O21" i="7" s="1"/>
  <c r="Q21" i="7" s="1"/>
  <c r="R21" i="7" s="1"/>
  <c r="J6" i="7"/>
  <c r="J49" i="7"/>
  <c r="K49" i="7" s="1"/>
  <c r="L49" i="7" s="1"/>
  <c r="M49" i="7" s="1"/>
  <c r="O49" i="7" s="1"/>
  <c r="Q49" i="7" s="1"/>
  <c r="R49" i="7" s="1"/>
  <c r="J35" i="7"/>
  <c r="K35" i="7" s="1"/>
  <c r="L35" i="7" s="1"/>
  <c r="M35" i="7" s="1"/>
  <c r="O35" i="7" s="1"/>
  <c r="Q35" i="7" s="1"/>
  <c r="R35" i="7" s="1"/>
  <c r="J53" i="7"/>
  <c r="K53" i="7" s="1"/>
  <c r="L53" i="7" s="1"/>
  <c r="M53" i="7" s="1"/>
  <c r="O53" i="7" s="1"/>
  <c r="Q53" i="7" s="1"/>
  <c r="R53" i="7" s="1"/>
  <c r="J23" i="7"/>
  <c r="K23" i="7" s="1"/>
  <c r="L23" i="7" s="1"/>
  <c r="M23" i="7" s="1"/>
  <c r="O23" i="7" s="1"/>
  <c r="Q23" i="7" s="1"/>
  <c r="R23" i="7" s="1"/>
  <c r="J15" i="7"/>
  <c r="J8" i="7"/>
  <c r="K8" i="7" s="1"/>
  <c r="L8" i="7" s="1"/>
  <c r="M8" i="7" s="1"/>
  <c r="O8" i="7" s="1"/>
  <c r="Q8" i="7" s="1"/>
  <c r="R8" i="7" s="1"/>
  <c r="J50" i="7"/>
  <c r="K50" i="7" s="1"/>
  <c r="L50" i="7" s="1"/>
  <c r="M50" i="7" s="1"/>
  <c r="O50" i="7" s="1"/>
  <c r="Q50" i="7" s="1"/>
  <c r="R50" i="7" s="1"/>
  <c r="J36" i="7"/>
  <c r="K36" i="7" s="1"/>
  <c r="L36" i="7" s="1"/>
  <c r="M36" i="7" s="1"/>
  <c r="O36" i="7" s="1"/>
  <c r="Q36" i="7" s="1"/>
  <c r="R36" i="7" s="1"/>
  <c r="J54" i="7"/>
  <c r="K54" i="7" s="1"/>
  <c r="L54" i="7" s="1"/>
  <c r="M54" i="7" s="1"/>
  <c r="O54" i="7" s="1"/>
  <c r="Q54" i="7" s="1"/>
  <c r="R54" i="7" s="1"/>
  <c r="J16" i="7"/>
  <c r="K16" i="7" s="1"/>
  <c r="L16" i="7" s="1"/>
  <c r="M16" i="7" s="1"/>
  <c r="O16" i="7" s="1"/>
  <c r="Q16" i="7" s="1"/>
  <c r="R16" i="7" s="1"/>
  <c r="J9" i="7"/>
  <c r="K9" i="7" s="1"/>
  <c r="L9" i="7" s="1"/>
  <c r="M9" i="7" s="1"/>
  <c r="O9" i="7" s="1"/>
  <c r="Q9" i="7" s="1"/>
  <c r="R9" i="7" s="1"/>
  <c r="J51" i="7"/>
  <c r="K51" i="7" s="1"/>
  <c r="L51" i="7" s="1"/>
  <c r="M51" i="7" s="1"/>
  <c r="O51" i="7" s="1"/>
  <c r="Q51" i="7" s="1"/>
  <c r="R51" i="7" s="1"/>
  <c r="J37" i="7"/>
  <c r="K37" i="7" s="1"/>
  <c r="L37" i="7" s="1"/>
  <c r="M37" i="7" s="1"/>
  <c r="O37" i="7" s="1"/>
  <c r="Q37" i="7" s="1"/>
  <c r="R37" i="7" s="1"/>
  <c r="J55" i="7"/>
  <c r="K55" i="7" s="1"/>
  <c r="L55" i="7" s="1"/>
  <c r="M55" i="7" s="1"/>
  <c r="O55" i="7" s="1"/>
  <c r="Q55" i="7" s="1"/>
  <c r="R55" i="7" s="1"/>
  <c r="J11" i="7" l="1"/>
  <c r="R14" i="7"/>
  <c r="K6" i="7"/>
  <c r="L6" i="7" s="1"/>
  <c r="M6" i="7" s="1"/>
  <c r="O6" i="7" s="1"/>
  <c r="Q6" i="7" s="1"/>
  <c r="K52" i="7"/>
  <c r="L52" i="7" s="1"/>
  <c r="M52" i="7" s="1"/>
  <c r="O52" i="7" s="1"/>
  <c r="Q52" i="7" s="1"/>
  <c r="J56" i="7"/>
  <c r="J25" i="7"/>
  <c r="K15" i="7"/>
  <c r="L15" i="7" s="1"/>
  <c r="M15" i="7" s="1"/>
  <c r="O15" i="7" s="1"/>
  <c r="Q15" i="7" s="1"/>
  <c r="K10" i="7"/>
  <c r="L10" i="7" s="1"/>
  <c r="M10" i="7" s="1"/>
  <c r="O10" i="7" s="1"/>
  <c r="Q10" i="7" s="1"/>
  <c r="J27" i="7" l="1"/>
  <c r="Q11" i="7"/>
  <c r="R15" i="7"/>
  <c r="R25" i="7" s="1"/>
  <c r="Q25" i="7"/>
  <c r="Q56" i="7"/>
  <c r="R52" i="7"/>
  <c r="R56" i="7" s="1"/>
  <c r="R10" i="7"/>
  <c r="R6" i="7"/>
  <c r="R11" i="7" l="1"/>
  <c r="R27" i="7" s="1"/>
  <c r="Q27" i="7"/>
  <c r="R59" i="7"/>
  <c r="R61" i="7" s="1"/>
  <c r="B25" i="4" l="1"/>
  <c r="B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Young</author>
  </authors>
  <commentList>
    <comment ref="H3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wieght list</t>
        </r>
      </text>
    </comment>
    <comment ref="E5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<sst xmlns="http://schemas.openxmlformats.org/spreadsheetml/2006/main" count="198" uniqueCount="167">
  <si>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</si>
  <si>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</si>
  <si>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</si>
  <si>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</si>
  <si>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</si>
  <si>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</si>
  <si>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</si>
  <si>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</si>
  <si>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</si>
  <si>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Disposal fee</t>
  </si>
  <si>
    <t>Meeks Weights</t>
  </si>
  <si>
    <t>Adjustment factor</t>
  </si>
  <si>
    <t>Collected Revenue Excess/(Deficiency)</t>
  </si>
  <si>
    <t>3 cans week</t>
  </si>
  <si>
    <t>1 can per month</t>
  </si>
  <si>
    <t>1 minican week</t>
  </si>
  <si>
    <t>2 cans week</t>
  </si>
  <si>
    <t>Residential</t>
  </si>
  <si>
    <t>Commercial</t>
  </si>
  <si>
    <t>1 can week</t>
  </si>
  <si>
    <t>Extra cans</t>
  </si>
  <si>
    <t>Extra bag</t>
  </si>
  <si>
    <t>Tariff Page</t>
  </si>
  <si>
    <t>Temporary containers</t>
  </si>
  <si>
    <t>On-call containers</t>
  </si>
  <si>
    <t>Extra Containers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</si>
  <si>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</si>
  <si>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</si>
  <si>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</si>
  <si>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</si>
  <si>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</si>
  <si>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</si>
  <si>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</si>
  <si>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</si>
  <si>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</si>
  <si>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</si>
  <si>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</si>
  <si>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</si>
  <si>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</si>
  <si>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</si>
  <si>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</si>
  <si>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</si>
  <si>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Bags-on call</t>
  </si>
  <si>
    <t>Total Tonnage</t>
  </si>
  <si>
    <t>Total Pounds</t>
  </si>
  <si>
    <t>Calculated Annual Pounds</t>
  </si>
  <si>
    <t>Adjusted Annual Pounds</t>
  </si>
  <si>
    <t>Company Proposed Revenue</t>
  </si>
  <si>
    <t>Company Current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</si>
  <si>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</si>
  <si>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</si>
  <si>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</si>
  <si>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</si>
  <si>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</si>
  <si>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</si>
  <si>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</si>
  <si>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</si>
  <si>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</si>
  <si>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4 units</t>
  </si>
  <si>
    <t>Company X, G-1</t>
  </si>
  <si>
    <t>Some County-all customers</t>
  </si>
  <si>
    <t>Some County Disposal Fees</t>
  </si>
  <si>
    <t>Current Rate</t>
  </si>
  <si>
    <t>New Rate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</si>
  <si>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</si>
  <si>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</si>
  <si>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</si>
  <si>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</si>
  <si>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</si>
  <si>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</si>
  <si>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</si>
  <si>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</si>
  <si>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</si>
  <si>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</si>
  <si>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</si>
  <si>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</si>
  <si>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</si>
  <si>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</si>
  <si>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</si>
  <si>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</si>
  <si>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</si>
  <si>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</si>
  <si>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</si>
  <si>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</si>
  <si>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</si>
  <si>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</si>
  <si>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</si>
  <si>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Price Out</t>
  </si>
  <si>
    <t>Calculated</t>
  </si>
  <si>
    <t>Difference</t>
  </si>
  <si>
    <t>Check Figures:</t>
  </si>
  <si>
    <t>60 Gal per month</t>
  </si>
  <si>
    <t>60 Gal Every Other Week</t>
  </si>
  <si>
    <t>60 Gal Weekly</t>
  </si>
  <si>
    <t>90 Gal Weekly</t>
  </si>
  <si>
    <t>32 Gallon Weekly</t>
  </si>
  <si>
    <t>1 Yard Weekly</t>
  </si>
  <si>
    <t>1.5 Yard Weekly (300 Gallon)</t>
  </si>
  <si>
    <t>2 Yard Weekly (400 Gallon)</t>
  </si>
  <si>
    <t xml:space="preserve">3 Yard Weekly </t>
  </si>
  <si>
    <t>4 Yard Weekly</t>
  </si>
  <si>
    <t>6 Yard Weekly</t>
  </si>
  <si>
    <t>8 Yard Weekly</t>
  </si>
  <si>
    <t>Consolidated Disposal Service, Inc. G-190</t>
  </si>
  <si>
    <t>Grant County-all customers</t>
  </si>
  <si>
    <t>Grant County Current Tariff</t>
  </si>
  <si>
    <t>Grant County Proposed Tariff</t>
  </si>
  <si>
    <t>4 cans week</t>
  </si>
  <si>
    <t>5 cans week</t>
  </si>
  <si>
    <t>6 cans week</t>
  </si>
  <si>
    <t>90 gal cart extra</t>
  </si>
  <si>
    <t>60 gal cart extra</t>
  </si>
  <si>
    <t xml:space="preserve">1.5 Yard Weekly </t>
  </si>
  <si>
    <t xml:space="preserve">2 Yard Weekly </t>
  </si>
  <si>
    <t>Loose Yards</t>
  </si>
  <si>
    <t>CDSI/Price-out/Impact</t>
  </si>
  <si>
    <t>Current</t>
  </si>
  <si>
    <t>Company Proposed</t>
  </si>
  <si>
    <t>Meeks</t>
  </si>
  <si>
    <t>Item #</t>
  </si>
  <si>
    <t>Description</t>
  </si>
  <si>
    <t xml:space="preserve"># </t>
  </si>
  <si>
    <t>Rate</t>
  </si>
  <si>
    <t>$</t>
  </si>
  <si>
    <t>Impact</t>
  </si>
  <si>
    <t>Weights</t>
  </si>
  <si>
    <t>100</t>
  </si>
  <si>
    <t>Resdt'l-Grant</t>
  </si>
  <si>
    <t>1 Can</t>
  </si>
  <si>
    <t>"</t>
  </si>
  <si>
    <t>2 Can</t>
  </si>
  <si>
    <t>mini</t>
  </si>
  <si>
    <t xml:space="preserve">delivery    </t>
  </si>
  <si>
    <t>Auto Carts/wk</t>
  </si>
  <si>
    <t>Auto Carts/eow</t>
  </si>
  <si>
    <t>Auto Carts/mnth</t>
  </si>
  <si>
    <t>returm trips</t>
  </si>
  <si>
    <t>Drive Ins</t>
  </si>
  <si>
    <t>80</t>
  </si>
  <si>
    <t>Distance 5'-25'</t>
  </si>
  <si>
    <t>Commercial-Grant</t>
  </si>
  <si>
    <t>110</t>
  </si>
  <si>
    <t>Comm'l Cans</t>
  </si>
  <si>
    <t>Auto Carts</t>
  </si>
  <si>
    <t>300 gal</t>
  </si>
  <si>
    <t>400 gal</t>
  </si>
  <si>
    <t>Delivery Fees</t>
  </si>
  <si>
    <t>overtime</t>
  </si>
  <si>
    <t>150</t>
  </si>
  <si>
    <t xml:space="preserve"> 1.0 Yd </t>
  </si>
  <si>
    <t xml:space="preserve"> 1.5Yd </t>
  </si>
  <si>
    <t xml:space="preserve"> 2     Yd </t>
  </si>
  <si>
    <t xml:space="preserve"> 3   Yd</t>
  </si>
  <si>
    <t xml:space="preserve"> 4   Yd </t>
  </si>
  <si>
    <t xml:space="preserve"> 6  Yd</t>
  </si>
  <si>
    <t xml:space="preserve"> 8  Yd</t>
  </si>
  <si>
    <t>Estimated from 2011 Rate Case - See tab in this file.</t>
  </si>
  <si>
    <t>No Current Customers - Residential</t>
  </si>
  <si>
    <t>No Current Customers - Commercial</t>
  </si>
  <si>
    <t>Grant County information extracted from Staff Priceout IMP tab in Staff_Workpapers_CDStrop063011 - Docket TG-111970</t>
  </si>
  <si>
    <t xml:space="preserve">In the workpaper files I was given there was no disposal cost/tonnage workpapers. Tonnage was estimated and reconstructed </t>
  </si>
  <si>
    <t xml:space="preserve">using the customer census data and Meeks Weights. </t>
  </si>
  <si>
    <t>"On Call"</t>
  </si>
  <si>
    <t>60 Gallon Weekly-Customer Owned</t>
  </si>
  <si>
    <t>90 Gallon Weekly-Customer Owned</t>
  </si>
  <si>
    <t>60 Gallon Weekly-Company Owned</t>
  </si>
  <si>
    <t>90 Gallon Weekly-Company Owned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</si>
</sst>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  <numFmt numFmtId="172" formatCode="0.00_)"/>
    <numFmt numFmtId="173" formatCode="0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Helv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9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0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4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1" applyNumberFormat="0" applyFill="0" applyAlignment="0" applyProtection="0"/>
  </cellStyleXfs>
  <cellXfs count="1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44" fontId="0" fillId="0" borderId="0" xfId="2" applyFont="1"/>
    <xf numFmtId="44" fontId="0" fillId="0" borderId="1" xfId="2" applyFont="1" applyBorder="1"/>
    <xf numFmtId="0" fontId="0" fillId="0" borderId="0" xfId="0" applyAlignment="1">
      <alignment horizontal="right"/>
    </xf>
    <xf numFmtId="165" fontId="0" fillId="0" borderId="0" xfId="2" applyNumberFormat="1" applyFont="1"/>
    <xf numFmtId="165" fontId="0" fillId="0" borderId="1" xfId="2" applyNumberFormat="1" applyFont="1" applyBorder="1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169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3" fontId="6" fillId="0" borderId="1" xfId="0" applyNumberFormat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0" fontId="7" fillId="0" borderId="0" xfId="4" applyFont="1" applyFill="1" applyBorder="1" applyAlignment="1">
      <alignment horizontal="center" vertical="center"/>
    </xf>
    <xf numFmtId="164" fontId="6" fillId="0" borderId="2" xfId="0" applyNumberFormat="1" applyFont="1" applyBorder="1"/>
    <xf numFmtId="0" fontId="0" fillId="0" borderId="3" xfId="0" applyBorder="1"/>
    <xf numFmtId="0" fontId="7" fillId="0" borderId="3" xfId="4" applyFont="1" applyFill="1" applyBorder="1" applyAlignment="1">
      <alignment horizontal="left"/>
    </xf>
    <xf numFmtId="3" fontId="6" fillId="0" borderId="3" xfId="0" applyNumberFormat="1" applyFont="1" applyBorder="1"/>
    <xf numFmtId="2" fontId="0" fillId="0" borderId="3" xfId="0" applyNumberForma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1" xfId="0" applyFill="1" applyBorder="1" applyAlignment="1">
      <alignment horizontal="center" vertical="center" textRotation="90"/>
    </xf>
    <xf numFmtId="164" fontId="0" fillId="0" borderId="1" xfId="0" applyNumberFormat="1" applyBorder="1"/>
    <xf numFmtId="44" fontId="6" fillId="0" borderId="0" xfId="0" applyNumberFormat="1" applyFont="1" applyBorder="1"/>
    <xf numFmtId="44" fontId="0" fillId="17" borderId="0" xfId="2" applyFont="1" applyFill="1"/>
    <xf numFmtId="44" fontId="0" fillId="17" borderId="1" xfId="2" applyFont="1" applyFill="1" applyBorder="1"/>
    <xf numFmtId="0" fontId="0" fillId="17" borderId="1" xfId="0" applyFill="1" applyBorder="1"/>
    <xf numFmtId="0" fontId="0" fillId="0" borderId="0" xfId="0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2" fontId="34" fillId="0" borderId="0" xfId="0" applyNumberFormat="1" applyFont="1" applyAlignment="1">
      <alignment horizontal="left"/>
    </xf>
    <xf numFmtId="172" fontId="34" fillId="0" borderId="0" xfId="0" applyNumberFormat="1" applyFont="1"/>
    <xf numFmtId="172" fontId="3" fillId="0" borderId="0" xfId="0" applyNumberFormat="1" applyFont="1"/>
    <xf numFmtId="172" fontId="7" fillId="0" borderId="0" xfId="0" applyNumberFormat="1" applyFont="1" applyAlignment="1">
      <alignment horizontal="center"/>
    </xf>
    <xf numFmtId="172" fontId="35" fillId="0" borderId="0" xfId="0" applyNumberFormat="1" applyFont="1"/>
    <xf numFmtId="172" fontId="3" fillId="0" borderId="1" xfId="0" applyNumberFormat="1" applyFont="1" applyBorder="1" applyAlignment="1">
      <alignment horizontal="center"/>
    </xf>
    <xf numFmtId="172" fontId="3" fillId="0" borderId="1" xfId="0" applyNumberFormat="1" applyFont="1" applyBorder="1"/>
    <xf numFmtId="172" fontId="7" fillId="0" borderId="1" xfId="0" applyNumberFormat="1" applyFont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172" fontId="36" fillId="17" borderId="0" xfId="0" applyNumberFormat="1" applyFont="1" applyFill="1" applyAlignment="1">
      <alignment horizontal="left"/>
    </xf>
    <xf numFmtId="37" fontId="3" fillId="0" borderId="0" xfId="0" applyNumberFormat="1" applyFont="1"/>
    <xf numFmtId="172" fontId="37" fillId="0" borderId="0" xfId="0" applyNumberFormat="1" applyFont="1"/>
    <xf numFmtId="172" fontId="3" fillId="0" borderId="0" xfId="0" applyNumberFormat="1" applyFont="1" applyAlignment="1">
      <alignment horizontal="left"/>
    </xf>
    <xf numFmtId="173" fontId="3" fillId="0" borderId="0" xfId="0" applyNumberFormat="1" applyFont="1" applyAlignment="1">
      <alignment horizontal="center"/>
    </xf>
    <xf numFmtId="4" fontId="0" fillId="0" borderId="0" xfId="0" applyNumberFormat="1"/>
    <xf numFmtId="172" fontId="0" fillId="0" borderId="0" xfId="0" applyNumberFormat="1"/>
    <xf numFmtId="37" fontId="3" fillId="0" borderId="12" xfId="0" applyNumberFormat="1" applyFont="1" applyBorder="1"/>
    <xf numFmtId="173" fontId="3" fillId="0" borderId="0" xfId="0" applyNumberFormat="1" applyFont="1"/>
    <xf numFmtId="172" fontId="38" fillId="0" borderId="0" xfId="0" applyNumberFormat="1" applyFont="1"/>
    <xf numFmtId="172" fontId="36" fillId="17" borderId="0" xfId="0" applyNumberFormat="1" applyFont="1" applyFill="1"/>
    <xf numFmtId="171" fontId="35" fillId="0" borderId="0" xfId="0" applyNumberFormat="1" applyFont="1"/>
    <xf numFmtId="37" fontId="3" fillId="0" borderId="1" xfId="0" applyNumberFormat="1" applyFont="1" applyBorder="1"/>
    <xf numFmtId="4" fontId="0" fillId="0" borderId="1" xfId="0" applyNumberFormat="1" applyBorder="1"/>
    <xf numFmtId="172" fontId="36" fillId="0" borderId="0" xfId="0" applyNumberFormat="1" applyFont="1"/>
    <xf numFmtId="167" fontId="3" fillId="0" borderId="0" xfId="1" applyNumberFormat="1" applyFont="1" applyBorder="1"/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CNX%20Stuff/Excel/Financials/Excel%20Financials/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topLeftCell="A16" workbookViewId="0">
      <selection activeCell="B28" sqref="B28"/>
    </sheetView>
  </sheetViews>
  <sheetFormatPr defaultRowHeight="15"/>
  <sheetData>
    <row r="2" spans="1:3">
      <c r="A2" s="85" t="s">
        <v>65</v>
      </c>
    </row>
    <row r="4" spans="1:3">
      <c r="B4" t="s">
        <v>66</v>
      </c>
    </row>
    <row r="5" spans="1:3">
      <c r="C5" t="s">
        <v>77</v>
      </c>
    </row>
    <row r="6" spans="1:3">
      <c r="C6" t="s">
        <v>67</v>
      </c>
    </row>
    <row r="7" spans="1:3" s="23" customFormat="1">
      <c r="C7" s="23" t="s">
        <v>78</v>
      </c>
    </row>
    <row r="8" spans="1:3" s="23" customFormat="1"/>
    <row r="9" spans="1:3" s="23" customFormat="1">
      <c r="B9" s="23" t="s">
        <v>81</v>
      </c>
    </row>
    <row r="10" spans="1:3" s="23" customFormat="1">
      <c r="C10" s="23" t="s">
        <v>82</v>
      </c>
    </row>
    <row r="11" spans="1:3" s="23" customFormat="1"/>
    <row r="12" spans="1:3">
      <c r="B12" t="s">
        <v>83</v>
      </c>
    </row>
    <row r="13" spans="1:3" s="23" customFormat="1">
      <c r="C13" s="23" t="s">
        <v>79</v>
      </c>
    </row>
    <row r="14" spans="1:3" s="23" customFormat="1">
      <c r="C14" s="23" t="s">
        <v>84</v>
      </c>
    </row>
    <row r="15" spans="1:3">
      <c r="C15" t="s">
        <v>80</v>
      </c>
    </row>
    <row r="17" spans="2:3">
      <c r="B17" t="s">
        <v>70</v>
      </c>
    </row>
    <row r="18" spans="2:3">
      <c r="C18" t="s">
        <v>68</v>
      </c>
    </row>
    <row r="19" spans="2:3">
      <c r="C19" t="s">
        <v>69</v>
      </c>
    </row>
    <row r="21" spans="2:3">
      <c r="B21" t="s">
        <v>72</v>
      </c>
    </row>
    <row r="22" spans="2:3">
      <c r="C22" t="s">
        <v>74</v>
      </c>
    </row>
    <row r="23" spans="2:3">
      <c r="C23" t="s">
        <v>73</v>
      </c>
    </row>
    <row r="24" spans="2:3">
      <c r="C24" t="s">
        <v>75</v>
      </c>
    </row>
    <row r="25" spans="2:3">
      <c r="C25" t="s">
        <v>76</v>
      </c>
    </row>
    <row r="27" spans="2:3">
      <c r="B27" t="s">
        <v>86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C23" sqref="C23"/>
    </sheetView>
  </sheetViews>
  <sheetFormatPr defaultRowHeight="15"/>
  <cols>
    <col min="1" max="1" width="32.85546875" bestFit="1" customWidth="1"/>
    <col min="2" max="2" width="13.140625" customWidth="1"/>
    <col min="3" max="3" width="9.140625" bestFit="1" customWidth="1"/>
    <col min="4" max="4" width="7.28515625" customWidth="1"/>
    <col min="5" max="5" width="10.85546875" customWidth="1"/>
    <col min="6" max="6" width="9" bestFit="1" customWidth="1"/>
  </cols>
  <sheetData>
    <row r="1" spans="1:9" s="23" customFormat="1">
      <c r="A1" s="44" t="s">
        <v>59</v>
      </c>
    </row>
    <row r="2" spans="1:9" s="23" customFormat="1">
      <c r="A2" s="44" t="s">
        <v>9</v>
      </c>
    </row>
    <row r="3" spans="1:9" s="23" customFormat="1">
      <c r="A3" s="44" t="s">
        <v>60</v>
      </c>
    </row>
    <row r="4" spans="1:9" s="23" customFormat="1">
      <c r="A4" s="44"/>
      <c r="D4" s="93" t="s">
        <v>28</v>
      </c>
      <c r="E4" s="93"/>
      <c r="F4" s="93"/>
      <c r="G4" s="93"/>
    </row>
    <row r="5" spans="1:9" s="23" customFormat="1">
      <c r="D5" s="79" t="s">
        <v>53</v>
      </c>
      <c r="E5" s="79" t="s">
        <v>54</v>
      </c>
      <c r="F5" s="79" t="s">
        <v>55</v>
      </c>
      <c r="G5" s="81" t="s">
        <v>58</v>
      </c>
    </row>
    <row r="6" spans="1:9" s="23" customFormat="1">
      <c r="A6" s="76" t="s">
        <v>52</v>
      </c>
      <c r="D6" s="82">
        <f>52*2/12</f>
        <v>8.6666666666666661</v>
      </c>
      <c r="E6" s="82">
        <f>D6*2</f>
        <v>17.333333333333332</v>
      </c>
      <c r="F6" s="82">
        <f>D6*3</f>
        <v>26</v>
      </c>
      <c r="G6" s="82">
        <f>D6*4</f>
        <v>34.666666666666664</v>
      </c>
    </row>
    <row r="7" spans="1:9">
      <c r="A7" t="s">
        <v>31</v>
      </c>
      <c r="D7" s="82">
        <f>52/12</f>
        <v>4.333333333333333</v>
      </c>
      <c r="E7" s="82">
        <f t="shared" ref="E7:E9" si="0">D7*2</f>
        <v>8.6666666666666661</v>
      </c>
      <c r="F7" s="82">
        <f t="shared" ref="F7:F9" si="1">D7*3</f>
        <v>13</v>
      </c>
      <c r="G7" s="82">
        <f t="shared" ref="G7:G9" si="2">D7*4</f>
        <v>17.333333333333332</v>
      </c>
    </row>
    <row r="8" spans="1:9">
      <c r="A8" t="s">
        <v>33</v>
      </c>
      <c r="D8" s="82">
        <f>26/12</f>
        <v>2.1666666666666665</v>
      </c>
      <c r="E8" s="82">
        <f t="shared" si="0"/>
        <v>4.333333333333333</v>
      </c>
      <c r="F8" s="82">
        <f t="shared" si="1"/>
        <v>6.5</v>
      </c>
      <c r="G8" s="82">
        <f t="shared" si="2"/>
        <v>8.6666666666666661</v>
      </c>
    </row>
    <row r="9" spans="1:9">
      <c r="A9" t="s">
        <v>32</v>
      </c>
      <c r="D9" s="82">
        <f>12/12</f>
        <v>1</v>
      </c>
      <c r="E9" s="82">
        <f t="shared" si="0"/>
        <v>2</v>
      </c>
      <c r="F9" s="82">
        <f t="shared" si="1"/>
        <v>3</v>
      </c>
      <c r="G9" s="82">
        <f t="shared" si="2"/>
        <v>4</v>
      </c>
    </row>
    <row r="11" spans="1:9">
      <c r="A11" t="s">
        <v>29</v>
      </c>
      <c r="B11">
        <v>2000</v>
      </c>
    </row>
    <row r="12" spans="1:9">
      <c r="A12" t="s">
        <v>30</v>
      </c>
      <c r="B12" s="40" t="s">
        <v>56</v>
      </c>
    </row>
    <row r="14" spans="1:9">
      <c r="A14" s="41" t="s">
        <v>61</v>
      </c>
      <c r="B14" s="79" t="s">
        <v>6</v>
      </c>
      <c r="C14" s="1" t="s">
        <v>7</v>
      </c>
      <c r="E14" s="41" t="s">
        <v>36</v>
      </c>
      <c r="F14" s="1"/>
      <c r="I14" s="84"/>
    </row>
    <row r="15" spans="1:9">
      <c r="A15" s="23" t="s">
        <v>62</v>
      </c>
      <c r="B15" s="89">
        <v>27.8</v>
      </c>
      <c r="C15" s="10">
        <f>B15/2000</f>
        <v>1.3900000000000001E-2</v>
      </c>
      <c r="E15" t="s">
        <v>37</v>
      </c>
      <c r="F15" s="43">
        <v>1.7500000000000002E-2</v>
      </c>
      <c r="I15" s="24"/>
    </row>
    <row r="16" spans="1:9">
      <c r="A16" s="23" t="s">
        <v>63</v>
      </c>
      <c r="B16" s="90">
        <v>47.62</v>
      </c>
      <c r="C16" s="11">
        <f>B16/2000</f>
        <v>2.3809999999999998E-2</v>
      </c>
      <c r="E16" t="s">
        <v>38</v>
      </c>
      <c r="F16" s="1">
        <v>5.1000000000000004E-3</v>
      </c>
    </row>
    <row r="17" spans="1:6">
      <c r="A17" s="23" t="s">
        <v>8</v>
      </c>
      <c r="B17" s="7">
        <f>B16-B15</f>
        <v>19.819999999999997</v>
      </c>
      <c r="C17" s="10">
        <f>C16-C15</f>
        <v>9.9099999999999969E-3</v>
      </c>
      <c r="E17" t="s">
        <v>26</v>
      </c>
      <c r="F17">
        <f>SUM(F15:F16)</f>
        <v>2.2600000000000002E-2</v>
      </c>
    </row>
    <row r="18" spans="1:6">
      <c r="E18" t="s">
        <v>39</v>
      </c>
      <c r="F18">
        <f>1-F17</f>
        <v>0.97740000000000005</v>
      </c>
    </row>
    <row r="20" spans="1:6">
      <c r="A20" t="s">
        <v>4</v>
      </c>
      <c r="B20" s="42">
        <f>B17</f>
        <v>19.819999999999997</v>
      </c>
      <c r="C20" s="42"/>
      <c r="E20" t="s">
        <v>71</v>
      </c>
    </row>
    <row r="21" spans="1:6">
      <c r="A21" t="s">
        <v>35</v>
      </c>
      <c r="B21" s="42">
        <f>B20/F18</f>
        <v>20.278289339062816</v>
      </c>
    </row>
    <row r="22" spans="1:6">
      <c r="A22" t="s">
        <v>34</v>
      </c>
      <c r="B22" s="91">
        <v>1986</v>
      </c>
      <c r="C22" t="s">
        <v>156</v>
      </c>
    </row>
    <row r="23" spans="1:6">
      <c r="A23" s="44" t="s">
        <v>40</v>
      </c>
      <c r="B23" s="80">
        <f>B21*B22</f>
        <v>40272.682627378752</v>
      </c>
    </row>
    <row r="25" spans="1:6">
      <c r="A25" t="s">
        <v>57</v>
      </c>
      <c r="B25" s="8">
        <f>Calculations!R27</f>
        <v>40390.586666667172</v>
      </c>
    </row>
    <row r="26" spans="1:6">
      <c r="A26" s="45" t="s">
        <v>12</v>
      </c>
      <c r="B26" s="42">
        <f>B25-B23</f>
        <v>117.90403928841988</v>
      </c>
    </row>
    <row r="27" spans="1:6">
      <c r="B27" s="24"/>
      <c r="C27" s="24"/>
      <c r="D27" s="24"/>
      <c r="E27" s="83" t="s">
        <v>64</v>
      </c>
      <c r="F27" s="1"/>
    </row>
    <row r="28" spans="1:6">
      <c r="A28" s="44"/>
      <c r="B28" s="88"/>
      <c r="C28" s="24"/>
      <c r="D28" s="24"/>
      <c r="E28" s="23">
        <v>0.01</v>
      </c>
      <c r="F28" s="23"/>
    </row>
    <row r="29" spans="1:6">
      <c r="A29" s="45"/>
      <c r="B29" s="15"/>
      <c r="C29" s="18"/>
      <c r="D29" s="24"/>
      <c r="E29" s="24"/>
      <c r="F29" s="24"/>
    </row>
  </sheetData>
  <mergeCells count="1">
    <mergeCell ref="D4:G4"/>
  </mergeCells>
  <pageMargins left="0.28000000000000003" right="0.5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73"/>
  <sheetViews>
    <sheetView tabSelected="1" zoomScaleNormal="100" workbookViewId="0">
      <pane xSplit="4" ySplit="5" topLeftCell="E27" activePane="bottomRight" state="frozen"/>
      <selection pane="topRight" activeCell="D1" sqref="D1"/>
      <selection pane="bottomLeft" activeCell="A6" sqref="A6"/>
      <selection pane="bottomRight" activeCell="O23" sqref="O23"/>
    </sheetView>
  </sheetViews>
  <sheetFormatPr defaultColWidth="8.85546875" defaultRowHeight="15"/>
  <cols>
    <col min="1" max="1" width="4.5703125" style="23" bestFit="1" customWidth="1"/>
    <col min="2" max="2" width="6.5703125" style="23" customWidth="1"/>
    <col min="3" max="3" width="5.5703125" style="23" bestFit="1" customWidth="1"/>
    <col min="4" max="4" width="27" style="23" bestFit="1" customWidth="1"/>
    <col min="5" max="5" width="15.42578125" style="23" customWidth="1"/>
    <col min="6" max="6" width="11.5703125" style="23" customWidth="1"/>
    <col min="7" max="7" width="10.5703125" style="23" bestFit="1" customWidth="1"/>
    <col min="8" max="8" width="13.42578125" style="23" bestFit="1" customWidth="1"/>
    <col min="9" max="9" width="15.5703125" style="23" bestFit="1" customWidth="1"/>
    <col min="10" max="10" width="14.140625" style="23" bestFit="1" customWidth="1"/>
    <col min="11" max="12" width="14.140625" style="23" customWidth="1"/>
    <col min="13" max="13" width="8.5703125" style="23" customWidth="1"/>
    <col min="14" max="14" width="11.140625" style="23" customWidth="1"/>
    <col min="15" max="15" width="10.85546875" style="23" customWidth="1"/>
    <col min="16" max="16" width="13.5703125" style="23" customWidth="1"/>
    <col min="17" max="17" width="11.85546875" style="23" customWidth="1"/>
    <col min="18" max="18" width="11.140625" style="23" bestFit="1" customWidth="1"/>
    <col min="19" max="16384" width="8.85546875" style="23"/>
  </cols>
  <sheetData>
    <row r="1" spans="1:18">
      <c r="D1" s="44" t="s">
        <v>103</v>
      </c>
      <c r="K1" s="49"/>
      <c r="L1" s="50"/>
      <c r="M1" s="50"/>
    </row>
    <row r="2" spans="1:18">
      <c r="D2" s="44" t="s">
        <v>9</v>
      </c>
      <c r="K2" s="49"/>
      <c r="L2" s="50"/>
      <c r="M2" s="50"/>
    </row>
    <row r="3" spans="1:18">
      <c r="D3" s="44" t="s">
        <v>104</v>
      </c>
      <c r="K3" s="49"/>
      <c r="L3" s="50"/>
      <c r="M3" s="50"/>
    </row>
    <row r="4" spans="1:18">
      <c r="K4" s="49"/>
      <c r="L4" s="49"/>
      <c r="M4" s="49"/>
    </row>
    <row r="5" spans="1:18" ht="60">
      <c r="A5" s="24"/>
      <c r="B5" s="2" t="s">
        <v>85</v>
      </c>
      <c r="C5" s="2" t="s">
        <v>22</v>
      </c>
      <c r="D5" s="77" t="s">
        <v>27</v>
      </c>
      <c r="E5" s="2" t="s">
        <v>49</v>
      </c>
      <c r="F5" s="2" t="s">
        <v>0</v>
      </c>
      <c r="G5" s="1" t="s">
        <v>1</v>
      </c>
      <c r="H5" s="3" t="s">
        <v>10</v>
      </c>
      <c r="I5" s="3" t="s">
        <v>45</v>
      </c>
      <c r="J5" s="3" t="s">
        <v>46</v>
      </c>
      <c r="K5" s="4" t="s">
        <v>8</v>
      </c>
      <c r="L5" s="5" t="s">
        <v>2</v>
      </c>
      <c r="M5" s="5" t="s">
        <v>50</v>
      </c>
      <c r="N5" s="5" t="s">
        <v>105</v>
      </c>
      <c r="O5" s="5" t="s">
        <v>106</v>
      </c>
      <c r="P5" s="5" t="s">
        <v>48</v>
      </c>
      <c r="Q5" s="5" t="s">
        <v>47</v>
      </c>
      <c r="R5" s="5" t="s">
        <v>51</v>
      </c>
    </row>
    <row r="6" spans="1:18" s="28" customFormat="1">
      <c r="A6" s="94" t="s">
        <v>17</v>
      </c>
      <c r="B6" s="96">
        <v>100</v>
      </c>
      <c r="C6" s="33">
        <v>24</v>
      </c>
      <c r="D6" s="25" t="s">
        <v>91</v>
      </c>
      <c r="E6" s="26">
        <v>4</v>
      </c>
      <c r="F6" s="22">
        <v>1</v>
      </c>
      <c r="G6" s="60">
        <f t="shared" ref="G6:G9" si="0">E6*F6*12</f>
        <v>48</v>
      </c>
      <c r="H6" s="21">
        <v>47</v>
      </c>
      <c r="I6" s="21">
        <f t="shared" ref="I6:I16" si="1">G6*H6</f>
        <v>2256</v>
      </c>
      <c r="J6" s="27">
        <f t="shared" ref="J6:J9" si="2">$E$62*I6</f>
        <v>351.66470833512506</v>
      </c>
      <c r="K6" s="53">
        <f>References!$C$17*J6</f>
        <v>3.4849972596010881</v>
      </c>
      <c r="L6" s="58">
        <f>K6/References!$F$18</f>
        <v>3.5655793529783999</v>
      </c>
      <c r="M6" s="58">
        <f t="shared" ref="M6:M14" si="3">L6/G6*F6</f>
        <v>7.4282903187049998E-2</v>
      </c>
      <c r="N6" s="53">
        <v>7.82</v>
      </c>
      <c r="O6" s="58">
        <f>MROUND(N6+M6,References!$E$28)</f>
        <v>7.8900000000000006</v>
      </c>
      <c r="P6" s="55">
        <f t="shared" ref="P6:P9" si="4">E6*N6*12</f>
        <v>375.36</v>
      </c>
      <c r="Q6" s="55">
        <f t="shared" ref="Q6:Q9" si="5">E6*O6*12</f>
        <v>378.72</v>
      </c>
      <c r="R6" s="55">
        <f t="shared" ref="R6:R16" si="6">Q6-P6</f>
        <v>3.3600000000000136</v>
      </c>
    </row>
    <row r="7" spans="1:18" s="28" customFormat="1">
      <c r="A7" s="94"/>
      <c r="B7" s="96">
        <v>100</v>
      </c>
      <c r="C7" s="33">
        <v>24</v>
      </c>
      <c r="D7" s="25" t="s">
        <v>92</v>
      </c>
      <c r="E7" s="26">
        <v>71</v>
      </c>
      <c r="F7" s="22">
        <v>2.17</v>
      </c>
      <c r="G7" s="60">
        <f t="shared" si="0"/>
        <v>1848.84</v>
      </c>
      <c r="H7" s="21">
        <v>47</v>
      </c>
      <c r="I7" s="21">
        <f t="shared" si="1"/>
        <v>86895.48</v>
      </c>
      <c r="J7" s="27">
        <f t="shared" si="2"/>
        <v>13545.245403298179</v>
      </c>
      <c r="K7" s="53">
        <f>References!$C$17*J7</f>
        <v>134.23338194668491</v>
      </c>
      <c r="L7" s="58">
        <f>K7/References!$F$18</f>
        <v>137.33720272834552</v>
      </c>
      <c r="M7" s="58">
        <f t="shared" si="3"/>
        <v>0.1611938999158985</v>
      </c>
      <c r="N7" s="53">
        <v>9.59</v>
      </c>
      <c r="O7" s="58">
        <f>MROUND(N7+M7,References!$E$28)</f>
        <v>9.75</v>
      </c>
      <c r="P7" s="55">
        <f t="shared" si="4"/>
        <v>8170.68</v>
      </c>
      <c r="Q7" s="55">
        <f t="shared" si="5"/>
        <v>8307</v>
      </c>
      <c r="R7" s="55">
        <f t="shared" si="6"/>
        <v>136.31999999999971</v>
      </c>
    </row>
    <row r="8" spans="1:18" s="28" customFormat="1">
      <c r="A8" s="94"/>
      <c r="B8" s="96">
        <v>100</v>
      </c>
      <c r="C8" s="33">
        <v>24</v>
      </c>
      <c r="D8" s="25" t="s">
        <v>93</v>
      </c>
      <c r="E8" s="26">
        <v>516</v>
      </c>
      <c r="F8" s="22">
        <v>4.33</v>
      </c>
      <c r="G8" s="60">
        <f t="shared" si="0"/>
        <v>26811.360000000001</v>
      </c>
      <c r="H8" s="21">
        <v>47</v>
      </c>
      <c r="I8" s="21">
        <f t="shared" si="1"/>
        <v>1260133.92</v>
      </c>
      <c r="J8" s="27">
        <f t="shared" si="2"/>
        <v>196429.35613475079</v>
      </c>
      <c r="K8" s="53">
        <f>References!$C$17*J8</f>
        <v>1946.6149192953797</v>
      </c>
      <c r="L8" s="58">
        <f>K8/References!$F$18</f>
        <v>1991.6256591931447</v>
      </c>
      <c r="M8" s="58">
        <f t="shared" si="3"/>
        <v>0.32164497079992643</v>
      </c>
      <c r="N8" s="53">
        <v>15.54</v>
      </c>
      <c r="O8" s="58">
        <f>MROUND(N8+M8,References!$E$28)</f>
        <v>15.860000000000001</v>
      </c>
      <c r="P8" s="55">
        <f t="shared" si="4"/>
        <v>96223.679999999993</v>
      </c>
      <c r="Q8" s="55">
        <f t="shared" si="5"/>
        <v>98205.119999999995</v>
      </c>
      <c r="R8" s="55">
        <f t="shared" si="6"/>
        <v>1981.4400000000023</v>
      </c>
    </row>
    <row r="9" spans="1:18" s="28" customFormat="1">
      <c r="A9" s="94"/>
      <c r="B9" s="96">
        <v>100</v>
      </c>
      <c r="C9" s="33">
        <v>24</v>
      </c>
      <c r="D9" s="25" t="s">
        <v>94</v>
      </c>
      <c r="E9" s="26">
        <v>687</v>
      </c>
      <c r="F9" s="22">
        <v>4.33</v>
      </c>
      <c r="G9" s="60">
        <f t="shared" si="0"/>
        <v>35696.520000000004</v>
      </c>
      <c r="H9" s="21">
        <v>68</v>
      </c>
      <c r="I9" s="21">
        <f t="shared" si="1"/>
        <v>2427363.3600000003</v>
      </c>
      <c r="J9" s="27">
        <f t="shared" si="2"/>
        <v>378376.78546886938</v>
      </c>
      <c r="K9" s="53">
        <f>References!$C$17*J9</f>
        <v>3749.7139439964944</v>
      </c>
      <c r="L9" s="58">
        <f>K9/References!$F$18</f>
        <v>3836.4169674611153</v>
      </c>
      <c r="M9" s="58">
        <f t="shared" si="3"/>
        <v>0.46535868115734053</v>
      </c>
      <c r="N9" s="53">
        <v>18.170000000000002</v>
      </c>
      <c r="O9" s="58">
        <f>MROUND(N9+M9,References!$E$28)</f>
        <v>18.64</v>
      </c>
      <c r="P9" s="55">
        <f t="shared" si="4"/>
        <v>149793.48000000001</v>
      </c>
      <c r="Q9" s="55">
        <f t="shared" si="5"/>
        <v>153668.16</v>
      </c>
      <c r="R9" s="55">
        <f t="shared" si="6"/>
        <v>3874.679999999993</v>
      </c>
    </row>
    <row r="10" spans="1:18" s="28" customFormat="1">
      <c r="A10" s="94"/>
      <c r="B10" s="96">
        <v>100</v>
      </c>
      <c r="C10" s="33">
        <v>25</v>
      </c>
      <c r="D10" s="25" t="s">
        <v>20</v>
      </c>
      <c r="E10" s="29">
        <v>365</v>
      </c>
      <c r="F10" s="22">
        <v>1</v>
      </c>
      <c r="G10" s="61">
        <f>E10*F10*12</f>
        <v>4380</v>
      </c>
      <c r="H10" s="21">
        <v>34</v>
      </c>
      <c r="I10" s="31">
        <f t="shared" ref="I10" si="7">G10*H10</f>
        <v>148920</v>
      </c>
      <c r="J10" s="32">
        <f>$E$62*I10</f>
        <v>23213.611864036713</v>
      </c>
      <c r="K10" s="54">
        <f>References!$C$17*J10</f>
        <v>230.04689357260375</v>
      </c>
      <c r="L10" s="54">
        <f>K10/References!$F$18</f>
        <v>235.36616899181885</v>
      </c>
      <c r="M10" s="59">
        <f t="shared" ref="M10" si="8">L10/G10</f>
        <v>5.3736568262972344E-2</v>
      </c>
      <c r="N10" s="54">
        <v>2.5099999999999998</v>
      </c>
      <c r="O10" s="59">
        <f>MROUND(N10+M10,References!$E$28)</f>
        <v>2.56</v>
      </c>
      <c r="P10" s="56">
        <f>N10*G10</f>
        <v>10993.8</v>
      </c>
      <c r="Q10" s="56">
        <f>O10*G10</f>
        <v>11212.800000000001</v>
      </c>
      <c r="R10" s="56">
        <f>Q10-P10</f>
        <v>219.00000000000182</v>
      </c>
    </row>
    <row r="11" spans="1:18" s="28" customFormat="1">
      <c r="A11" s="94"/>
      <c r="B11" s="92"/>
      <c r="C11" s="33"/>
      <c r="D11" s="51" t="s">
        <v>26</v>
      </c>
      <c r="E11" s="52">
        <f>SUM(E6:E9)</f>
        <v>1278</v>
      </c>
      <c r="F11" s="22"/>
      <c r="G11" s="52">
        <f>SUM(G6:G9)</f>
        <v>64404.72</v>
      </c>
      <c r="H11" s="21"/>
      <c r="I11" s="52">
        <f>SUM(I6:I10)</f>
        <v>3925568.7600000002</v>
      </c>
      <c r="J11" s="52">
        <f>SUM(J6:J10)</f>
        <v>611916.66357929027</v>
      </c>
      <c r="K11" s="22"/>
      <c r="L11" s="22"/>
      <c r="M11" s="22"/>
      <c r="N11" s="22"/>
      <c r="O11" s="22"/>
      <c r="P11" s="52">
        <f t="shared" ref="P11:R11" si="9">SUM(P6:P10)</f>
        <v>265557</v>
      </c>
      <c r="Q11" s="52">
        <f t="shared" si="9"/>
        <v>271771.8</v>
      </c>
      <c r="R11" s="52">
        <f t="shared" si="9"/>
        <v>6214.7999999999975</v>
      </c>
    </row>
    <row r="12" spans="1:18" s="28" customFormat="1">
      <c r="A12" s="92"/>
      <c r="B12" s="92"/>
      <c r="C12" s="33"/>
      <c r="D12" s="51"/>
      <c r="E12" s="52"/>
      <c r="F12" s="22"/>
      <c r="G12" s="52"/>
      <c r="H12" s="21"/>
      <c r="I12" s="52"/>
      <c r="J12" s="52"/>
      <c r="K12" s="22"/>
      <c r="L12" s="22"/>
      <c r="M12" s="22"/>
      <c r="N12" s="22"/>
      <c r="O12" s="22"/>
      <c r="P12" s="52"/>
      <c r="Q12" s="52"/>
      <c r="R12" s="52"/>
    </row>
    <row r="13" spans="1:18" s="28" customFormat="1">
      <c r="A13" s="92"/>
      <c r="B13" s="92"/>
      <c r="C13" s="33"/>
      <c r="D13" s="51"/>
      <c r="E13" s="52"/>
      <c r="F13" s="22"/>
      <c r="G13" s="52"/>
      <c r="H13" s="21"/>
      <c r="I13" s="52"/>
      <c r="J13" s="52"/>
      <c r="K13" s="22"/>
      <c r="L13" s="22"/>
      <c r="M13" s="22"/>
      <c r="N13" s="22"/>
      <c r="O13" s="22"/>
      <c r="P13" s="52"/>
      <c r="Q13" s="52"/>
      <c r="R13" s="52"/>
    </row>
    <row r="14" spans="1:18" s="28" customFormat="1" ht="14.45" customHeight="1">
      <c r="A14" s="94" t="s">
        <v>18</v>
      </c>
      <c r="B14" s="96">
        <v>245</v>
      </c>
      <c r="C14" s="33">
        <v>43</v>
      </c>
      <c r="D14" s="25" t="s">
        <v>95</v>
      </c>
      <c r="E14" s="26">
        <v>14</v>
      </c>
      <c r="F14" s="22">
        <f>References!$D$7</f>
        <v>4.333333333333333</v>
      </c>
      <c r="G14" s="60">
        <f>E14*F14*12</f>
        <v>728</v>
      </c>
      <c r="H14" s="21">
        <v>29</v>
      </c>
      <c r="I14" s="21">
        <f t="shared" si="1"/>
        <v>21112</v>
      </c>
      <c r="J14" s="27">
        <f>$E$62*I14</f>
        <v>3290.9332102709045</v>
      </c>
      <c r="K14" s="53">
        <f>References!$C$17*J14</f>
        <v>32.613148113784654</v>
      </c>
      <c r="L14" s="58">
        <f>K14/References!$F$18</f>
        <v>33.367247916702119</v>
      </c>
      <c r="M14" s="58">
        <f t="shared" si="3"/>
        <v>0.1986145709327507</v>
      </c>
      <c r="N14" s="53">
        <v>7.82</v>
      </c>
      <c r="O14" s="58">
        <f>MROUND(N14+M14,References!$E$28)</f>
        <v>8.02</v>
      </c>
      <c r="P14" s="55">
        <f>E14*N14*12</f>
        <v>1313.76</v>
      </c>
      <c r="Q14" s="55">
        <f>E14*O14*12</f>
        <v>1347.3600000000001</v>
      </c>
      <c r="R14" s="55">
        <f t="shared" si="6"/>
        <v>33.600000000000136</v>
      </c>
    </row>
    <row r="15" spans="1:18" s="28" customFormat="1">
      <c r="A15" s="94"/>
      <c r="B15" s="96">
        <v>240</v>
      </c>
      <c r="C15" s="33">
        <v>39</v>
      </c>
      <c r="D15" s="25" t="s">
        <v>97</v>
      </c>
      <c r="E15" s="26">
        <v>166</v>
      </c>
      <c r="F15" s="22">
        <f>References!$D$7</f>
        <v>4.333333333333333</v>
      </c>
      <c r="G15" s="60">
        <f>E15*F15*12</f>
        <v>8632</v>
      </c>
      <c r="H15" s="21">
        <v>250</v>
      </c>
      <c r="I15" s="21">
        <f t="shared" si="1"/>
        <v>2158000</v>
      </c>
      <c r="J15" s="27">
        <f>$E$62*I15</f>
        <v>336388.49316808506</v>
      </c>
      <c r="K15" s="53">
        <f>References!$C$17*J15</f>
        <v>3333.6099672957221</v>
      </c>
      <c r="L15" s="58">
        <f>K15/References!$F$18</f>
        <v>3410.6915973968917</v>
      </c>
      <c r="M15" s="58">
        <f t="shared" ref="M15:M16" si="10">L15/G15</f>
        <v>0.39512182546303193</v>
      </c>
      <c r="N15" s="53">
        <f>12.4*F15</f>
        <v>53.733333333333334</v>
      </c>
      <c r="O15" s="58">
        <f>MROUND(N15+M15,References!$E$28)</f>
        <v>54.13</v>
      </c>
      <c r="P15" s="55">
        <f t="shared" ref="P15:P16" si="11">G15*N15</f>
        <v>463826.13333333336</v>
      </c>
      <c r="Q15" s="55">
        <f t="shared" ref="Q15:Q16" si="12">G15*O15</f>
        <v>467250.16000000003</v>
      </c>
      <c r="R15" s="55">
        <f t="shared" si="6"/>
        <v>3424.0266666666721</v>
      </c>
    </row>
    <row r="16" spans="1:18" s="28" customFormat="1">
      <c r="A16" s="94"/>
      <c r="B16" s="96">
        <v>240</v>
      </c>
      <c r="C16" s="33">
        <v>39</v>
      </c>
      <c r="D16" s="25" t="s">
        <v>98</v>
      </c>
      <c r="E16" s="26">
        <v>72</v>
      </c>
      <c r="F16" s="22">
        <f>References!$D$7</f>
        <v>4.333333333333333</v>
      </c>
      <c r="G16" s="60">
        <f>E16*F16*12</f>
        <v>3744</v>
      </c>
      <c r="H16" s="21">
        <v>324</v>
      </c>
      <c r="I16" s="21">
        <f t="shared" si="1"/>
        <v>1213056</v>
      </c>
      <c r="J16" s="27">
        <f>$E$62*I16</f>
        <v>189090.86189458042</v>
      </c>
      <c r="K16" s="53">
        <f>References!$C$17*J16</f>
        <v>1873.8904413752914</v>
      </c>
      <c r="L16" s="58">
        <f>K16/References!$F$18</f>
        <v>1917.2196044355344</v>
      </c>
      <c r="M16" s="58">
        <f t="shared" si="10"/>
        <v>0.51207788580008928</v>
      </c>
      <c r="N16" s="53">
        <f>17.53*F16</f>
        <v>75.963333333333338</v>
      </c>
      <c r="O16" s="58">
        <f>MROUND(N16+M16,References!$E$28)</f>
        <v>76.48</v>
      </c>
      <c r="P16" s="55">
        <f t="shared" si="11"/>
        <v>284406.72000000003</v>
      </c>
      <c r="Q16" s="55">
        <f t="shared" si="12"/>
        <v>286341.12</v>
      </c>
      <c r="R16" s="55">
        <f t="shared" si="6"/>
        <v>1934.3999999999651</v>
      </c>
    </row>
    <row r="17" spans="1:18" s="28" customFormat="1">
      <c r="A17" s="94"/>
      <c r="B17" s="96">
        <v>240</v>
      </c>
      <c r="C17" s="33">
        <v>36</v>
      </c>
      <c r="D17" s="25" t="s">
        <v>96</v>
      </c>
      <c r="E17" s="26">
        <v>27</v>
      </c>
      <c r="F17" s="22">
        <f>References!$D$7</f>
        <v>4.333333333333333</v>
      </c>
      <c r="G17" s="60">
        <f t="shared" ref="G17:G23" si="13">E17*F17*12</f>
        <v>1403.9999999999998</v>
      </c>
      <c r="H17" s="21">
        <v>175</v>
      </c>
      <c r="I17" s="21">
        <f>G17*H17</f>
        <v>245699.99999999997</v>
      </c>
      <c r="J17" s="27">
        <f>$E$62*I17</f>
        <v>38299.653740221729</v>
      </c>
      <c r="K17" s="53">
        <f>References!$C$17*J17</f>
        <v>379.54956856559721</v>
      </c>
      <c r="L17" s="58">
        <f>K17/References!$F$18</f>
        <v>388.32573006506772</v>
      </c>
      <c r="M17" s="58">
        <f>L17/G17</f>
        <v>0.27658527782412234</v>
      </c>
      <c r="N17" s="53">
        <f>8.99*F17</f>
        <v>38.956666666666663</v>
      </c>
      <c r="O17" s="58">
        <f>MROUND(N17+M17,References!$E$28)</f>
        <v>39.230000000000004</v>
      </c>
      <c r="P17" s="55">
        <f>G17*N17</f>
        <v>54695.159999999989</v>
      </c>
      <c r="Q17" s="55">
        <f>G17*O17</f>
        <v>55078.92</v>
      </c>
      <c r="R17" s="55">
        <f>Q17-P17</f>
        <v>383.76000000000931</v>
      </c>
    </row>
    <row r="18" spans="1:18" s="28" customFormat="1">
      <c r="A18" s="94"/>
      <c r="B18" s="96">
        <v>240</v>
      </c>
      <c r="C18" s="33">
        <v>39</v>
      </c>
      <c r="D18" s="25" t="s">
        <v>112</v>
      </c>
      <c r="E18" s="26">
        <v>54</v>
      </c>
      <c r="F18" s="22">
        <f>References!$D$7</f>
        <v>4.333333333333333</v>
      </c>
      <c r="G18" s="60">
        <f>E18*F18*12</f>
        <v>2807.9999999999995</v>
      </c>
      <c r="H18" s="21">
        <v>250</v>
      </c>
      <c r="I18" s="21">
        <f t="shared" ref="I18:I19" si="14">G18*H18</f>
        <v>701999.99999999988</v>
      </c>
      <c r="J18" s="27">
        <f>$E$62*I18</f>
        <v>109427.58211491922</v>
      </c>
      <c r="K18" s="53">
        <f>References!$C$17*J18</f>
        <v>1084.4273387588491</v>
      </c>
      <c r="L18" s="58">
        <f>K18/References!$F$18</f>
        <v>1109.5020859001934</v>
      </c>
      <c r="M18" s="58">
        <f t="shared" ref="M18:M19" si="15">L18/G18</f>
        <v>0.39512182546303187</v>
      </c>
      <c r="N18" s="53">
        <f>12.4*F18</f>
        <v>53.733333333333334</v>
      </c>
      <c r="O18" s="58">
        <f>MROUND(N18+M18,References!$E$28)</f>
        <v>54.13</v>
      </c>
      <c r="P18" s="55">
        <f t="shared" ref="P18:P19" si="16">G18*N18</f>
        <v>150883.19999999998</v>
      </c>
      <c r="Q18" s="55">
        <f t="shared" ref="Q18:Q19" si="17">G18*O18</f>
        <v>151997.03999999998</v>
      </c>
      <c r="R18" s="55">
        <f t="shared" ref="R18:R19" si="18">Q18-P18</f>
        <v>1113.8399999999965</v>
      </c>
    </row>
    <row r="19" spans="1:18" s="28" customFormat="1">
      <c r="A19" s="94"/>
      <c r="B19" s="96">
        <v>240</v>
      </c>
      <c r="C19" s="33">
        <v>39</v>
      </c>
      <c r="D19" s="25" t="s">
        <v>113</v>
      </c>
      <c r="E19" s="26">
        <v>114</v>
      </c>
      <c r="F19" s="22">
        <f>References!$D$7</f>
        <v>4.333333333333333</v>
      </c>
      <c r="G19" s="60">
        <f>E19*F19*12</f>
        <v>5927.9999999999991</v>
      </c>
      <c r="H19" s="21">
        <v>324</v>
      </c>
      <c r="I19" s="21">
        <f t="shared" si="14"/>
        <v>1920671.9999999998</v>
      </c>
      <c r="J19" s="27">
        <f>$E$62*I19</f>
        <v>299393.86466641899</v>
      </c>
      <c r="K19" s="53">
        <f>References!$C$17*J19</f>
        <v>2966.9931988442113</v>
      </c>
      <c r="L19" s="58">
        <f>K19/References!$F$18</f>
        <v>3035.5977070229292</v>
      </c>
      <c r="M19" s="58">
        <f t="shared" si="15"/>
        <v>0.51207788580008939</v>
      </c>
      <c r="N19" s="53">
        <f>17.53*F19</f>
        <v>75.963333333333338</v>
      </c>
      <c r="O19" s="58">
        <f>MROUND(N19+M19,References!$E$28)</f>
        <v>76.48</v>
      </c>
      <c r="P19" s="55">
        <f t="shared" si="16"/>
        <v>450310.63999999996</v>
      </c>
      <c r="Q19" s="55">
        <f t="shared" si="17"/>
        <v>453373.43999999994</v>
      </c>
      <c r="R19" s="55">
        <f t="shared" si="18"/>
        <v>3062.7999999999884</v>
      </c>
    </row>
    <row r="20" spans="1:18" s="28" customFormat="1">
      <c r="A20" s="94"/>
      <c r="B20" s="96">
        <v>240</v>
      </c>
      <c r="C20" s="33">
        <v>39</v>
      </c>
      <c r="D20" s="25" t="s">
        <v>99</v>
      </c>
      <c r="E20" s="26">
        <v>53</v>
      </c>
      <c r="F20" s="22">
        <f>References!$D$7</f>
        <v>4.333333333333333</v>
      </c>
      <c r="G20" s="60">
        <f t="shared" si="13"/>
        <v>2756</v>
      </c>
      <c r="H20" s="21">
        <v>473</v>
      </c>
      <c r="I20" s="21">
        <f>G20*H20</f>
        <v>1303588</v>
      </c>
      <c r="J20" s="27">
        <f>$E$62*I20</f>
        <v>203202.96711399336</v>
      </c>
      <c r="K20" s="53">
        <f>References!$C$17*J20</f>
        <v>2013.7414040996737</v>
      </c>
      <c r="L20" s="58">
        <f>K20/References!$F$18</f>
        <v>2060.3042808468117</v>
      </c>
      <c r="M20" s="58">
        <f>L20/G20</f>
        <v>0.74757049377605644</v>
      </c>
      <c r="N20" s="53">
        <f>26.29*F20</f>
        <v>113.92333333333332</v>
      </c>
      <c r="O20" s="58">
        <f>MROUND(N20+M20,References!$E$28)</f>
        <v>114.67</v>
      </c>
      <c r="P20" s="55">
        <f>G20*N20</f>
        <v>313972.70666666661</v>
      </c>
      <c r="Q20" s="55">
        <f>G20*O20</f>
        <v>316030.52</v>
      </c>
      <c r="R20" s="55">
        <f>Q20-P20</f>
        <v>2057.8133333334117</v>
      </c>
    </row>
    <row r="21" spans="1:18" s="28" customFormat="1">
      <c r="A21" s="94"/>
      <c r="B21" s="96">
        <v>240</v>
      </c>
      <c r="C21" s="33">
        <v>39</v>
      </c>
      <c r="D21" s="25" t="s">
        <v>100</v>
      </c>
      <c r="E21" s="26">
        <v>61</v>
      </c>
      <c r="F21" s="22">
        <f>References!$D$7</f>
        <v>4.333333333333333</v>
      </c>
      <c r="G21" s="60">
        <f t="shared" si="13"/>
        <v>3172</v>
      </c>
      <c r="H21" s="21">
        <v>613</v>
      </c>
      <c r="I21" s="21">
        <f>G21*H21</f>
        <v>1944436</v>
      </c>
      <c r="J21" s="27">
        <f>$E$62*I21</f>
        <v>303098.19096467964</v>
      </c>
      <c r="K21" s="53">
        <f>References!$C$17*J21</f>
        <v>3003.7030724599745</v>
      </c>
      <c r="L21" s="58">
        <f>K21/References!$F$18</f>
        <v>3073.156407264144</v>
      </c>
      <c r="M21" s="58">
        <f>L21/G21</f>
        <v>0.96883871603535432</v>
      </c>
      <c r="N21" s="53">
        <f>31.32*F21</f>
        <v>135.72</v>
      </c>
      <c r="O21" s="58">
        <f>MROUND(N21+M21,References!$E$28)</f>
        <v>136.69</v>
      </c>
      <c r="P21" s="55">
        <f>G21*N21</f>
        <v>430503.83999999997</v>
      </c>
      <c r="Q21" s="55">
        <f>G21*O21</f>
        <v>433580.68</v>
      </c>
      <c r="R21" s="55">
        <f>Q21-P21</f>
        <v>3076.8400000000256</v>
      </c>
    </row>
    <row r="22" spans="1:18" s="28" customFormat="1">
      <c r="A22" s="94"/>
      <c r="B22" s="96">
        <v>240</v>
      </c>
      <c r="C22" s="33">
        <v>39</v>
      </c>
      <c r="D22" s="25" t="s">
        <v>101</v>
      </c>
      <c r="E22" s="26">
        <v>135</v>
      </c>
      <c r="F22" s="22">
        <f>References!$D$7</f>
        <v>4.333333333333333</v>
      </c>
      <c r="G22" s="60">
        <f t="shared" si="13"/>
        <v>7020</v>
      </c>
      <c r="H22" s="21">
        <v>840</v>
      </c>
      <c r="I22" s="21">
        <f>G22*H22</f>
        <v>5896800</v>
      </c>
      <c r="J22" s="27">
        <f>$E$62*I22</f>
        <v>919191.68976532156</v>
      </c>
      <c r="K22" s="53">
        <f>References!$C$17*J22</f>
        <v>9109.1896455743336</v>
      </c>
      <c r="L22" s="58">
        <f>K22/References!$F$18</f>
        <v>9319.8175215616266</v>
      </c>
      <c r="M22" s="58">
        <f>L22/G22</f>
        <v>1.3276093335557873</v>
      </c>
      <c r="N22" s="53">
        <f>36.12*F22</f>
        <v>156.51999999999998</v>
      </c>
      <c r="O22" s="58">
        <f>MROUND(N22+M22,References!$E$28)</f>
        <v>157.85</v>
      </c>
      <c r="P22" s="55">
        <f>G22*N22</f>
        <v>1098770.3999999999</v>
      </c>
      <c r="Q22" s="55">
        <f>G22*O22</f>
        <v>1108107</v>
      </c>
      <c r="R22" s="55">
        <f>Q22-P22</f>
        <v>9336.6000000000931</v>
      </c>
    </row>
    <row r="23" spans="1:18" s="28" customFormat="1">
      <c r="A23" s="94"/>
      <c r="B23" s="96">
        <v>240</v>
      </c>
      <c r="C23" s="33">
        <v>37</v>
      </c>
      <c r="D23" s="25" t="s">
        <v>102</v>
      </c>
      <c r="E23" s="26">
        <v>116</v>
      </c>
      <c r="F23" s="22">
        <f>References!$D$7</f>
        <v>4.333333333333333</v>
      </c>
      <c r="G23" s="60">
        <f t="shared" si="13"/>
        <v>6032</v>
      </c>
      <c r="H23" s="21">
        <v>980</v>
      </c>
      <c r="I23" s="21">
        <f>G23*H23</f>
        <v>5911360</v>
      </c>
      <c r="J23" s="27">
        <f>$E$62*I23</f>
        <v>921461.29887585319</v>
      </c>
      <c r="K23" s="53">
        <f>References!$C$17*J23</f>
        <v>9131.6814718597016</v>
      </c>
      <c r="L23" s="58">
        <f>K23/References!$F$18</f>
        <v>9342.8294166765918</v>
      </c>
      <c r="M23" s="58">
        <f>L23/G23</f>
        <v>1.5488775558150849</v>
      </c>
      <c r="N23" s="53">
        <f>41.3*F23</f>
        <v>178.96666666666664</v>
      </c>
      <c r="O23" s="58">
        <f>MROUND(N23+M23,References!$E$28)</f>
        <v>180.52</v>
      </c>
      <c r="P23" s="55">
        <f>G23*N23</f>
        <v>1079526.9333333331</v>
      </c>
      <c r="Q23" s="55">
        <f>G23*O23</f>
        <v>1088896.6400000001</v>
      </c>
      <c r="R23" s="55">
        <f>Q23-P23</f>
        <v>9369.7066666670144</v>
      </c>
    </row>
    <row r="24" spans="1:18" s="28" customFormat="1">
      <c r="A24" s="94"/>
      <c r="B24" s="96">
        <v>150</v>
      </c>
      <c r="C24" s="33">
        <v>28</v>
      </c>
      <c r="D24" s="25" t="s">
        <v>114</v>
      </c>
      <c r="E24" s="29">
        <v>40</v>
      </c>
      <c r="F24" s="22">
        <f>References!$D$7</f>
        <v>4.333333333333333</v>
      </c>
      <c r="G24" s="61">
        <f t="shared" ref="G24" si="19">E24*F24*12</f>
        <v>2080</v>
      </c>
      <c r="H24" s="21">
        <v>125</v>
      </c>
      <c r="I24" s="31">
        <f>G24*H24</f>
        <v>260000</v>
      </c>
      <c r="J24" s="27">
        <f>$E$62*I24</f>
        <v>40528.734116636755</v>
      </c>
      <c r="K24" s="53">
        <f>References!$C$17*J24</f>
        <v>401.6397550958701</v>
      </c>
      <c r="L24" s="58">
        <f>K24/References!$F$18</f>
        <v>410.92669848155316</v>
      </c>
      <c r="M24" s="58">
        <f>L24/G24</f>
        <v>0.19756091273151594</v>
      </c>
      <c r="N24" s="53">
        <v>11.36</v>
      </c>
      <c r="O24" s="58">
        <f>MROUND(N24+M24,References!$E$28)</f>
        <v>11.56</v>
      </c>
      <c r="P24" s="55">
        <f>G24*N24</f>
        <v>23628.799999999999</v>
      </c>
      <c r="Q24" s="55">
        <f>G24*O24</f>
        <v>24044.799999999999</v>
      </c>
      <c r="R24" s="55">
        <f>Q24-P24</f>
        <v>416</v>
      </c>
    </row>
    <row r="25" spans="1:18" s="28" customFormat="1">
      <c r="A25" s="95"/>
      <c r="B25" s="86"/>
      <c r="C25" s="62"/>
      <c r="D25" s="63" t="s">
        <v>26</v>
      </c>
      <c r="E25" s="57">
        <f>SUM(E14:E24)</f>
        <v>852</v>
      </c>
      <c r="F25" s="30"/>
      <c r="G25" s="57">
        <f>SUM(G15:G24)</f>
        <v>43576</v>
      </c>
      <c r="H25" s="31"/>
      <c r="I25" s="57">
        <f>SUM(I15:I24)</f>
        <v>21555612</v>
      </c>
      <c r="J25" s="57">
        <f>SUM(J15:J24)</f>
        <v>3360083.3364207097</v>
      </c>
      <c r="K25" s="30"/>
      <c r="L25" s="30"/>
      <c r="M25" s="30"/>
      <c r="N25" s="30"/>
      <c r="O25" s="30"/>
      <c r="P25" s="57">
        <f>SUM(P15:P24)</f>
        <v>4350524.5333333323</v>
      </c>
      <c r="Q25" s="57">
        <f>SUM(Q15:Q24)</f>
        <v>4384700.3199999994</v>
      </c>
      <c r="R25" s="57">
        <f>SUM(R15:R24)</f>
        <v>34175.786666667176</v>
      </c>
    </row>
    <row r="26" spans="1:18" ht="14.45" customHeight="1"/>
    <row r="27" spans="1:18" ht="15.75" thickBot="1">
      <c r="A27" s="72"/>
      <c r="B27" s="72"/>
      <c r="C27" s="72"/>
      <c r="D27" s="73" t="s">
        <v>3</v>
      </c>
      <c r="E27" s="74">
        <f>+E11+E25</f>
        <v>2130</v>
      </c>
      <c r="F27" s="72"/>
      <c r="G27" s="74">
        <f>+G11+G25</f>
        <v>107980.72</v>
      </c>
      <c r="H27" s="72"/>
      <c r="I27" s="74">
        <f>+I11+I25</f>
        <v>25481180.760000002</v>
      </c>
      <c r="J27" s="74">
        <f>+J11+J25</f>
        <v>3972000</v>
      </c>
      <c r="K27" s="75"/>
      <c r="L27" s="75"/>
      <c r="M27" s="75"/>
      <c r="N27" s="72"/>
      <c r="O27" s="72"/>
      <c r="P27" s="74">
        <f>+P11+P25</f>
        <v>4616081.5333333323</v>
      </c>
      <c r="Q27" s="74">
        <f>+Q11+Q25</f>
        <v>4656472.1199999992</v>
      </c>
      <c r="R27" s="74">
        <f>+R11+R25</f>
        <v>40390.586666667172</v>
      </c>
    </row>
    <row r="28" spans="1:18" ht="15.75" thickTop="1">
      <c r="J28" s="6"/>
    </row>
    <row r="29" spans="1:18" ht="19.5" customHeight="1">
      <c r="D29" s="70" t="s">
        <v>157</v>
      </c>
      <c r="H29" s="9"/>
      <c r="I29" s="19"/>
      <c r="J29" s="6"/>
    </row>
    <row r="30" spans="1:18">
      <c r="B30" s="96">
        <v>100</v>
      </c>
      <c r="C30" s="33">
        <v>24</v>
      </c>
      <c r="D30" s="25" t="s">
        <v>15</v>
      </c>
      <c r="E30" s="26">
        <v>0</v>
      </c>
      <c r="F30" s="22">
        <f>References!$D$7</f>
        <v>4.333333333333333</v>
      </c>
      <c r="G30" s="21">
        <f t="shared" ref="G30:G39" si="20">F30*12</f>
        <v>52</v>
      </c>
      <c r="H30" s="21">
        <v>20</v>
      </c>
      <c r="I30" s="21">
        <f>G30*H30</f>
        <v>1040</v>
      </c>
      <c r="J30" s="27">
        <f>$E$62*I30</f>
        <v>162.11493646654702</v>
      </c>
      <c r="K30" s="53">
        <f>References!$C$17*J30</f>
        <v>1.6065590203834805</v>
      </c>
      <c r="L30" s="58">
        <f>K30/References!$F$18</f>
        <v>1.6437067939262129</v>
      </c>
      <c r="M30" s="58">
        <f>L30/G30*F30</f>
        <v>0.13697556616051773</v>
      </c>
      <c r="N30" s="53">
        <v>8.6</v>
      </c>
      <c r="O30" s="58">
        <f>MROUND(N30+M30,References!$E$28)</f>
        <v>8.74</v>
      </c>
      <c r="P30" s="55">
        <f>E30*N30*12</f>
        <v>0</v>
      </c>
      <c r="Q30" s="55">
        <f>E30*O30*12</f>
        <v>0</v>
      </c>
      <c r="R30" s="55">
        <f>Q30-P30</f>
        <v>0</v>
      </c>
    </row>
    <row r="31" spans="1:18">
      <c r="B31" s="96">
        <v>100</v>
      </c>
      <c r="C31" s="33">
        <v>24</v>
      </c>
      <c r="D31" s="25" t="s">
        <v>19</v>
      </c>
      <c r="E31" s="26">
        <v>0</v>
      </c>
      <c r="F31" s="22">
        <f>References!$D$7</f>
        <v>4.333333333333333</v>
      </c>
      <c r="G31" s="21">
        <f t="shared" si="20"/>
        <v>52</v>
      </c>
      <c r="H31" s="21">
        <v>34</v>
      </c>
      <c r="I31" s="21">
        <f>G31*H31</f>
        <v>1768</v>
      </c>
      <c r="J31" s="27">
        <f>$E$62*I31</f>
        <v>275.59539199312991</v>
      </c>
      <c r="K31" s="53">
        <f>References!$C$17*J31</f>
        <v>2.7311503346519164</v>
      </c>
      <c r="L31" s="58">
        <f>K31/References!$F$18</f>
        <v>2.7943015496745613</v>
      </c>
      <c r="M31" s="58">
        <f>L31/G31*F31</f>
        <v>0.23285846247288011</v>
      </c>
      <c r="N31" s="58">
        <v>10.050000000000001</v>
      </c>
      <c r="O31" s="58">
        <f>MROUND(N31+M31,References!$E$28)</f>
        <v>10.28</v>
      </c>
      <c r="P31" s="78">
        <f>E31*N31*12</f>
        <v>0</v>
      </c>
      <c r="Q31" s="78">
        <f>E31*O31*12</f>
        <v>0</v>
      </c>
      <c r="R31" s="78">
        <f>Q31-P31</f>
        <v>0</v>
      </c>
    </row>
    <row r="32" spans="1:18">
      <c r="B32" s="96">
        <v>100</v>
      </c>
      <c r="C32" s="33">
        <v>24</v>
      </c>
      <c r="D32" s="25" t="s">
        <v>16</v>
      </c>
      <c r="E32" s="26">
        <v>0</v>
      </c>
      <c r="F32" s="22">
        <f>References!$D$7</f>
        <v>4.333333333333333</v>
      </c>
      <c r="G32" s="21">
        <f t="shared" si="20"/>
        <v>52</v>
      </c>
      <c r="H32" s="21">
        <v>51</v>
      </c>
      <c r="I32" s="21">
        <f>G32*H32</f>
        <v>2652</v>
      </c>
      <c r="J32" s="27">
        <f>$E$62*I32</f>
        <v>413.39308798969489</v>
      </c>
      <c r="K32" s="53">
        <f>References!$C$17*J32</f>
        <v>4.0967255019778754</v>
      </c>
      <c r="L32" s="58">
        <f>K32/References!$F$18</f>
        <v>4.1914523245118431</v>
      </c>
      <c r="M32" s="58">
        <f>L32/G32*F32</f>
        <v>0.34928769370932028</v>
      </c>
      <c r="N32" s="53">
        <v>12.84</v>
      </c>
      <c r="O32" s="58">
        <f>MROUND(N32+M32,References!$E$28)</f>
        <v>13.19</v>
      </c>
      <c r="P32" s="55">
        <f>E32*N32*12</f>
        <v>0</v>
      </c>
      <c r="Q32" s="55">
        <f>E32*O32*12</f>
        <v>0</v>
      </c>
      <c r="R32" s="55">
        <f>Q32-P32</f>
        <v>0</v>
      </c>
    </row>
    <row r="33" spans="1:18">
      <c r="B33" s="96">
        <v>100</v>
      </c>
      <c r="C33" s="33">
        <v>24</v>
      </c>
      <c r="D33" s="25" t="s">
        <v>13</v>
      </c>
      <c r="E33" s="26">
        <v>0</v>
      </c>
      <c r="F33" s="22">
        <f>References!$D$7</f>
        <v>4.333333333333333</v>
      </c>
      <c r="G33" s="21">
        <f t="shared" si="20"/>
        <v>52</v>
      </c>
      <c r="H33" s="21">
        <v>77</v>
      </c>
      <c r="I33" s="21">
        <f>G33*H33</f>
        <v>4004</v>
      </c>
      <c r="J33" s="27">
        <f>$E$62*I33</f>
        <v>624.14250539620593</v>
      </c>
      <c r="K33" s="53">
        <f>References!$C$17*J33</f>
        <v>6.1852522284763989</v>
      </c>
      <c r="L33" s="58">
        <f>K33/References!$F$18</f>
        <v>6.3282711566159184</v>
      </c>
      <c r="M33" s="58">
        <f>L33/G33*F33</f>
        <v>0.52735592971799317</v>
      </c>
      <c r="N33" s="53">
        <v>14.78</v>
      </c>
      <c r="O33" s="58">
        <f>MROUND(N33+M33,References!$E$28)</f>
        <v>15.31</v>
      </c>
      <c r="P33" s="55">
        <f>E33*N33*12</f>
        <v>0</v>
      </c>
      <c r="Q33" s="55">
        <f>E33*O33*12</f>
        <v>0</v>
      </c>
      <c r="R33" s="55">
        <f>Q33-P33</f>
        <v>0</v>
      </c>
    </row>
    <row r="34" spans="1:18">
      <c r="B34" s="96">
        <v>100</v>
      </c>
      <c r="C34" s="33">
        <v>24</v>
      </c>
      <c r="D34" s="25" t="s">
        <v>107</v>
      </c>
      <c r="E34" s="26">
        <v>0</v>
      </c>
      <c r="F34" s="22">
        <f>References!$D$7</f>
        <v>4.333333333333333</v>
      </c>
      <c r="G34" s="21">
        <f t="shared" si="20"/>
        <v>52</v>
      </c>
      <c r="H34" s="21">
        <v>77</v>
      </c>
      <c r="I34" s="21">
        <f>G34*H34</f>
        <v>4004</v>
      </c>
      <c r="J34" s="27">
        <f>$E$62*I34</f>
        <v>624.14250539620593</v>
      </c>
      <c r="K34" s="53">
        <f>References!$C$17*J34</f>
        <v>6.1852522284763989</v>
      </c>
      <c r="L34" s="58">
        <f>K34/References!$F$18</f>
        <v>6.3282711566159184</v>
      </c>
      <c r="M34" s="58">
        <f>L34/G34*F34</f>
        <v>0.52735592971799317</v>
      </c>
      <c r="N34" s="53">
        <v>18.41</v>
      </c>
      <c r="O34" s="58">
        <f>MROUND(N34+M34,References!$E$28)</f>
        <v>18.940000000000001</v>
      </c>
      <c r="P34" s="55">
        <f>E34*N34*12</f>
        <v>0</v>
      </c>
      <c r="Q34" s="55">
        <f>E34*O34*12</f>
        <v>0</v>
      </c>
      <c r="R34" s="55">
        <f>Q34-P34</f>
        <v>0</v>
      </c>
    </row>
    <row r="35" spans="1:18">
      <c r="B35" s="96">
        <v>100</v>
      </c>
      <c r="C35" s="33">
        <v>24</v>
      </c>
      <c r="D35" s="25" t="s">
        <v>108</v>
      </c>
      <c r="E35" s="26">
        <v>0</v>
      </c>
      <c r="F35" s="22">
        <f>References!$D$7</f>
        <v>4.333333333333333</v>
      </c>
      <c r="G35" s="21">
        <f t="shared" si="20"/>
        <v>52</v>
      </c>
      <c r="H35" s="21">
        <v>77</v>
      </c>
      <c r="I35" s="21">
        <f>G35*H35</f>
        <v>4004</v>
      </c>
      <c r="J35" s="27">
        <f>$E$62*I35</f>
        <v>624.14250539620593</v>
      </c>
      <c r="K35" s="53">
        <f>References!$C$17*J35</f>
        <v>6.1852522284763989</v>
      </c>
      <c r="L35" s="58">
        <f>K35/References!$F$18</f>
        <v>6.3282711566159184</v>
      </c>
      <c r="M35" s="58">
        <f>L35/G35*F35</f>
        <v>0.52735592971799317</v>
      </c>
      <c r="N35" s="53">
        <v>21.03</v>
      </c>
      <c r="O35" s="58">
        <f>MROUND(N35+M35,References!$E$28)</f>
        <v>21.56</v>
      </c>
      <c r="P35" s="55">
        <f>E35*N35*12</f>
        <v>0</v>
      </c>
      <c r="Q35" s="55">
        <f>E35*O35*12</f>
        <v>0</v>
      </c>
      <c r="R35" s="55">
        <f>Q35-P35</f>
        <v>0</v>
      </c>
    </row>
    <row r="36" spans="1:18">
      <c r="B36" s="96">
        <v>100</v>
      </c>
      <c r="C36" s="33">
        <v>24</v>
      </c>
      <c r="D36" s="25" t="s">
        <v>109</v>
      </c>
      <c r="E36" s="26">
        <v>0</v>
      </c>
      <c r="F36" s="22">
        <f>References!$D$7</f>
        <v>4.333333333333333</v>
      </c>
      <c r="G36" s="21">
        <f t="shared" si="20"/>
        <v>52</v>
      </c>
      <c r="H36" s="21">
        <v>77</v>
      </c>
      <c r="I36" s="21">
        <f>G36*H36</f>
        <v>4004</v>
      </c>
      <c r="J36" s="27">
        <f>$E$62*I36</f>
        <v>624.14250539620593</v>
      </c>
      <c r="K36" s="53">
        <f>References!$C$17*J36</f>
        <v>6.1852522284763989</v>
      </c>
      <c r="L36" s="58">
        <f>K36/References!$F$18</f>
        <v>6.3282711566159184</v>
      </c>
      <c r="M36" s="58">
        <f>L36/G36*F36</f>
        <v>0.52735592971799317</v>
      </c>
      <c r="N36" s="53">
        <v>23.87</v>
      </c>
      <c r="O36" s="58">
        <f>MROUND(N36+M36,References!$E$28)</f>
        <v>24.400000000000002</v>
      </c>
      <c r="P36" s="55">
        <f>E36*N36*12</f>
        <v>0</v>
      </c>
      <c r="Q36" s="55">
        <f>E36*O36*12</f>
        <v>0</v>
      </c>
      <c r="R36" s="55">
        <f>Q36-P36</f>
        <v>0</v>
      </c>
    </row>
    <row r="37" spans="1:18">
      <c r="B37" s="96">
        <v>100</v>
      </c>
      <c r="C37" s="33">
        <v>25</v>
      </c>
      <c r="D37" s="25" t="s">
        <v>14</v>
      </c>
      <c r="E37" s="26"/>
      <c r="F37" s="22">
        <f>References!$D$9</f>
        <v>1</v>
      </c>
      <c r="G37" s="21">
        <f t="shared" si="20"/>
        <v>12</v>
      </c>
      <c r="H37" s="21">
        <v>34</v>
      </c>
      <c r="I37" s="21">
        <f>G37*H37</f>
        <v>408</v>
      </c>
      <c r="J37" s="27">
        <f>$E$62*I37</f>
        <v>63.598936613799211</v>
      </c>
      <c r="K37" s="53">
        <f>References!$C$17*J37</f>
        <v>0.63026546184275001</v>
      </c>
      <c r="L37" s="58">
        <f>K37/References!$F$18</f>
        <v>0.6448388191556681</v>
      </c>
      <c r="M37" s="58">
        <f>L37/G37*F37</f>
        <v>5.3736568262972344E-2</v>
      </c>
      <c r="N37" s="53">
        <v>2.5099999999999998</v>
      </c>
      <c r="O37" s="58">
        <f>MROUND(N37+M37,References!$E$28)</f>
        <v>2.56</v>
      </c>
      <c r="P37" s="55">
        <f>E37*N37*12</f>
        <v>0</v>
      </c>
      <c r="Q37" s="55">
        <f>E37*O37*12</f>
        <v>0</v>
      </c>
      <c r="R37" s="55">
        <f>Q37-P37</f>
        <v>0</v>
      </c>
    </row>
    <row r="38" spans="1:18">
      <c r="B38" s="96">
        <v>100</v>
      </c>
      <c r="C38" s="33">
        <v>25</v>
      </c>
      <c r="D38" s="25" t="s">
        <v>111</v>
      </c>
      <c r="E38" s="26"/>
      <c r="F38" s="22">
        <f>References!$D$9</f>
        <v>1</v>
      </c>
      <c r="G38" s="21">
        <f t="shared" si="20"/>
        <v>12</v>
      </c>
      <c r="H38" s="21">
        <v>47</v>
      </c>
      <c r="I38" s="21">
        <f>G38*H38</f>
        <v>564</v>
      </c>
      <c r="J38" s="27">
        <f>$E$62*I38</f>
        <v>87.916177083781264</v>
      </c>
      <c r="K38" s="53">
        <f>References!$C$17*J38</f>
        <v>0.87124931490027202</v>
      </c>
      <c r="L38" s="58">
        <f>K38/References!$F$18</f>
        <v>0.89139483824459997</v>
      </c>
      <c r="M38" s="58">
        <f>L38/G38*F38</f>
        <v>7.4282903187049998E-2</v>
      </c>
      <c r="N38" s="53">
        <v>3.57</v>
      </c>
      <c r="O38" s="58">
        <f>MROUND(N38+M38,References!$E$28)</f>
        <v>3.64</v>
      </c>
      <c r="P38" s="55">
        <f>E38*N38*12</f>
        <v>0</v>
      </c>
      <c r="Q38" s="55">
        <f>E38*O38*12</f>
        <v>0</v>
      </c>
      <c r="R38" s="55">
        <f>Q38-P38</f>
        <v>0</v>
      </c>
    </row>
    <row r="39" spans="1:18">
      <c r="B39" s="96">
        <v>100</v>
      </c>
      <c r="C39" s="33">
        <v>25</v>
      </c>
      <c r="D39" s="25" t="s">
        <v>110</v>
      </c>
      <c r="E39" s="26"/>
      <c r="F39" s="22">
        <f>References!$D$7</f>
        <v>4.333333333333333</v>
      </c>
      <c r="G39" s="21">
        <f t="shared" si="20"/>
        <v>52</v>
      </c>
      <c r="H39" s="21">
        <v>68</v>
      </c>
      <c r="I39" s="21">
        <f>G39*H39</f>
        <v>3536</v>
      </c>
      <c r="J39" s="27">
        <f>$E$62*I39</f>
        <v>551.19078398625982</v>
      </c>
      <c r="K39" s="53">
        <f>References!$C$17*J39</f>
        <v>5.4623006693038327</v>
      </c>
      <c r="L39" s="58">
        <f>K39/References!$F$18</f>
        <v>5.5886030993491227</v>
      </c>
      <c r="M39" s="58">
        <f>L39/G39*F39</f>
        <v>0.46571692494576022</v>
      </c>
      <c r="N39" s="53">
        <v>4.07</v>
      </c>
      <c r="O39" s="58">
        <f>MROUND(N39+M39,References!$E$28)</f>
        <v>4.54</v>
      </c>
      <c r="P39" s="55">
        <f>E39*N39*12</f>
        <v>0</v>
      </c>
      <c r="Q39" s="55">
        <f>E39*O39*12</f>
        <v>0</v>
      </c>
      <c r="R39" s="55">
        <f>Q39-P39</f>
        <v>0</v>
      </c>
    </row>
    <row r="40" spans="1:18" s="28" customFormat="1">
      <c r="A40" s="94"/>
      <c r="B40" s="96">
        <v>100</v>
      </c>
      <c r="C40" s="33">
        <v>25</v>
      </c>
      <c r="D40" s="25" t="s">
        <v>42</v>
      </c>
      <c r="E40" s="26">
        <v>0</v>
      </c>
      <c r="F40" s="22">
        <f>References!$D$9</f>
        <v>1</v>
      </c>
      <c r="G40" s="21">
        <f t="shared" ref="G40:G42" si="21">F40*12</f>
        <v>12</v>
      </c>
      <c r="H40" s="21">
        <v>10</v>
      </c>
      <c r="I40" s="21">
        <f t="shared" ref="I40:I42" si="22">G40*H40</f>
        <v>120</v>
      </c>
      <c r="J40" s="27">
        <f t="shared" ref="J40:J42" si="23">$E$62*I40</f>
        <v>18.705569592293887</v>
      </c>
      <c r="K40" s="53">
        <f>References!$C$17*J40</f>
        <v>0.18537219465963237</v>
      </c>
      <c r="L40" s="58">
        <f>K40/References!$F$18</f>
        <v>0.18965847622225532</v>
      </c>
      <c r="M40" s="58">
        <f t="shared" ref="M40:M42" si="24">L40/G40*F40</f>
        <v>1.5804873018521275E-2</v>
      </c>
      <c r="N40" s="53">
        <v>2.5099999999999998</v>
      </c>
      <c r="O40" s="58">
        <f>MROUND(N40+M40,References!$E$28)</f>
        <v>2.5300000000000002</v>
      </c>
      <c r="P40" s="55">
        <f t="shared" ref="P40:P42" si="25">E40*N40*12</f>
        <v>0</v>
      </c>
      <c r="Q40" s="55">
        <f t="shared" ref="Q40:Q42" si="26">E40*O40*12</f>
        <v>0</v>
      </c>
      <c r="R40" s="55">
        <f t="shared" ref="R40:R42" si="27">Q40-P40</f>
        <v>0</v>
      </c>
    </row>
    <row r="41" spans="1:18" s="28" customFormat="1">
      <c r="A41" s="94"/>
      <c r="B41" s="96">
        <v>100</v>
      </c>
      <c r="C41" s="33">
        <v>25</v>
      </c>
      <c r="D41" s="25" t="s">
        <v>21</v>
      </c>
      <c r="E41" s="26">
        <v>0</v>
      </c>
      <c r="F41" s="22">
        <f>References!$D$9</f>
        <v>1</v>
      </c>
      <c r="G41" s="21">
        <f t="shared" si="21"/>
        <v>12</v>
      </c>
      <c r="H41" s="21">
        <v>10</v>
      </c>
      <c r="I41" s="21">
        <f t="shared" si="22"/>
        <v>120</v>
      </c>
      <c r="J41" s="27">
        <f t="shared" si="23"/>
        <v>18.705569592293887</v>
      </c>
      <c r="K41" s="53">
        <f>References!$C$17*J41</f>
        <v>0.18537219465963237</v>
      </c>
      <c r="L41" s="58">
        <f>K41/References!$F$18</f>
        <v>0.18965847622225532</v>
      </c>
      <c r="M41" s="58">
        <f t="shared" si="24"/>
        <v>1.5804873018521275E-2</v>
      </c>
      <c r="N41" s="53">
        <v>2.5099999999999998</v>
      </c>
      <c r="O41" s="58">
        <f>MROUND(N41+M41,References!$E$28)</f>
        <v>2.5300000000000002</v>
      </c>
      <c r="P41" s="55">
        <f t="shared" si="25"/>
        <v>0</v>
      </c>
      <c r="Q41" s="55">
        <f t="shared" si="26"/>
        <v>0</v>
      </c>
      <c r="R41" s="55">
        <f t="shared" si="27"/>
        <v>0</v>
      </c>
    </row>
    <row r="42" spans="1:18" s="28" customFormat="1">
      <c r="A42" s="92"/>
      <c r="B42" s="96">
        <v>100</v>
      </c>
      <c r="C42" s="33">
        <v>25</v>
      </c>
      <c r="D42" s="25" t="s">
        <v>162</v>
      </c>
      <c r="E42" s="26">
        <v>0</v>
      </c>
      <c r="F42" s="22">
        <f>References!$D$9</f>
        <v>1</v>
      </c>
      <c r="G42" s="21">
        <f t="shared" si="21"/>
        <v>12</v>
      </c>
      <c r="H42" s="21">
        <v>34</v>
      </c>
      <c r="I42" s="21">
        <f t="shared" si="22"/>
        <v>408</v>
      </c>
      <c r="J42" s="27">
        <f t="shared" si="23"/>
        <v>63.598936613799211</v>
      </c>
      <c r="K42" s="53">
        <f>References!$C$17*J42</f>
        <v>0.63026546184275001</v>
      </c>
      <c r="L42" s="58">
        <f>K42/References!$F$18</f>
        <v>0.6448388191556681</v>
      </c>
      <c r="M42" s="58">
        <f t="shared" si="24"/>
        <v>5.3736568262972344E-2</v>
      </c>
      <c r="N42" s="53">
        <v>4.1399999999999997</v>
      </c>
      <c r="O42" s="58">
        <f>MROUND(N42+M42,References!$E$28)</f>
        <v>4.1900000000000004</v>
      </c>
      <c r="P42" s="55">
        <f t="shared" si="25"/>
        <v>0</v>
      </c>
      <c r="Q42" s="55">
        <f t="shared" si="26"/>
        <v>0</v>
      </c>
      <c r="R42" s="55">
        <f t="shared" si="27"/>
        <v>0</v>
      </c>
    </row>
    <row r="43" spans="1:18">
      <c r="G43" s="6">
        <f>SUM(G30:G41)</f>
        <v>464</v>
      </c>
      <c r="H43" s="9"/>
      <c r="I43" s="19"/>
      <c r="J43" s="6"/>
    </row>
    <row r="44" spans="1:18">
      <c r="H44" s="9"/>
      <c r="I44" s="19"/>
      <c r="J44" s="6"/>
    </row>
    <row r="45" spans="1:18">
      <c r="H45" s="9"/>
      <c r="I45" s="19"/>
      <c r="J45" s="6"/>
    </row>
    <row r="46" spans="1:18">
      <c r="H46" s="9"/>
      <c r="I46" s="19"/>
      <c r="J46" s="6"/>
    </row>
    <row r="47" spans="1:18" ht="19.5" customHeight="1">
      <c r="D47" s="70" t="s">
        <v>158</v>
      </c>
      <c r="H47" s="9"/>
      <c r="I47" s="19"/>
      <c r="J47" s="6"/>
    </row>
    <row r="48" spans="1:18">
      <c r="A48" s="123" t="s">
        <v>18</v>
      </c>
      <c r="B48" s="96">
        <v>245</v>
      </c>
      <c r="C48" s="33">
        <v>43</v>
      </c>
      <c r="D48" s="25" t="s">
        <v>163</v>
      </c>
      <c r="E48" s="26"/>
      <c r="F48" s="22">
        <f>References!$D$7</f>
        <v>4.333333333333333</v>
      </c>
      <c r="G48" s="21">
        <f t="shared" ref="G48:G51" si="28">F48*12</f>
        <v>52</v>
      </c>
      <c r="H48" s="21">
        <v>47</v>
      </c>
      <c r="I48" s="21">
        <f>G48*H48</f>
        <v>2444</v>
      </c>
      <c r="J48" s="27">
        <f>$E$62*I48</f>
        <v>380.97010069638549</v>
      </c>
      <c r="K48" s="53">
        <f>References!$C$17*J48</f>
        <v>3.775413697901179</v>
      </c>
      <c r="L48" s="58">
        <f>K48/References!$F$18</f>
        <v>3.8627109657265999</v>
      </c>
      <c r="M48" s="58">
        <f>L48/G48*F48</f>
        <v>0.32189258047721664</v>
      </c>
      <c r="N48" s="53">
        <v>10.78</v>
      </c>
      <c r="O48" s="58">
        <f>MROUND(N48+M48,References!$E$28)</f>
        <v>11.1</v>
      </c>
      <c r="P48" s="55">
        <f>E48*N48*12</f>
        <v>0</v>
      </c>
      <c r="Q48" s="55">
        <f>E48*O48*12</f>
        <v>0</v>
      </c>
      <c r="R48" s="55">
        <f>Q48-P48</f>
        <v>0</v>
      </c>
    </row>
    <row r="49" spans="1:18">
      <c r="A49" s="123"/>
      <c r="B49" s="96">
        <v>245</v>
      </c>
      <c r="C49" s="33">
        <v>43</v>
      </c>
      <c r="D49" s="25" t="s">
        <v>164</v>
      </c>
      <c r="E49" s="26"/>
      <c r="F49" s="22">
        <f>References!$D$7</f>
        <v>4.333333333333333</v>
      </c>
      <c r="G49" s="21">
        <f t="shared" si="28"/>
        <v>52</v>
      </c>
      <c r="H49" s="21">
        <v>68</v>
      </c>
      <c r="I49" s="21">
        <f>G49*H49</f>
        <v>3536</v>
      </c>
      <c r="J49" s="27">
        <f>$E$62*I49</f>
        <v>551.19078398625982</v>
      </c>
      <c r="K49" s="53">
        <f>References!$C$17*J49</f>
        <v>5.4623006693038327</v>
      </c>
      <c r="L49" s="58">
        <f>K49/References!$F$18</f>
        <v>5.5886030993491227</v>
      </c>
      <c r="M49" s="58">
        <f>L49/G49*F49</f>
        <v>0.46571692494576022</v>
      </c>
      <c r="N49" s="53">
        <v>12.84</v>
      </c>
      <c r="O49" s="58">
        <f>MROUND(N49+M49,References!$E$28)</f>
        <v>13.31</v>
      </c>
      <c r="P49" s="55">
        <f>E49*N49*12</f>
        <v>0</v>
      </c>
      <c r="Q49" s="55">
        <f>E49*O49*12</f>
        <v>0</v>
      </c>
      <c r="R49" s="55">
        <f>Q49-P49</f>
        <v>0</v>
      </c>
    </row>
    <row r="50" spans="1:18">
      <c r="A50" s="123"/>
      <c r="B50" s="96">
        <v>240</v>
      </c>
      <c r="C50" s="33">
        <v>38</v>
      </c>
      <c r="D50" s="25" t="s">
        <v>165</v>
      </c>
      <c r="E50" s="26"/>
      <c r="F50" s="22">
        <f>References!$D$7</f>
        <v>4.333333333333333</v>
      </c>
      <c r="G50" s="21">
        <f t="shared" si="28"/>
        <v>52</v>
      </c>
      <c r="H50" s="21">
        <v>47</v>
      </c>
      <c r="I50" s="21">
        <f t="shared" ref="I50:I51" si="29">G50*H50</f>
        <v>2444</v>
      </c>
      <c r="J50" s="27">
        <f>$E$62*I50</f>
        <v>380.97010069638549</v>
      </c>
      <c r="K50" s="53">
        <f>References!$C$17*J50</f>
        <v>3.775413697901179</v>
      </c>
      <c r="L50" s="58">
        <f>K50/References!$F$18</f>
        <v>3.8627109657265999</v>
      </c>
      <c r="M50" s="58">
        <f>L50/G50*F50</f>
        <v>0.32189258047721664</v>
      </c>
      <c r="N50" s="53">
        <v>15.41</v>
      </c>
      <c r="O50" s="58">
        <f>MROUND(N50+M50,References!$E$28)</f>
        <v>15.73</v>
      </c>
      <c r="P50" s="55">
        <f>E50*N50*12</f>
        <v>0</v>
      </c>
      <c r="Q50" s="55">
        <f>E50*O50*12</f>
        <v>0</v>
      </c>
      <c r="R50" s="55">
        <f>Q50-P50</f>
        <v>0</v>
      </c>
    </row>
    <row r="51" spans="1:18">
      <c r="A51" s="123"/>
      <c r="B51" s="96">
        <v>240</v>
      </c>
      <c r="C51" s="33">
        <v>38</v>
      </c>
      <c r="D51" s="25" t="s">
        <v>166</v>
      </c>
      <c r="E51" s="26"/>
      <c r="F51" s="22">
        <f>References!$D$7</f>
        <v>4.333333333333333</v>
      </c>
      <c r="G51" s="21">
        <f t="shared" si="28"/>
        <v>52</v>
      </c>
      <c r="H51" s="21">
        <v>68</v>
      </c>
      <c r="I51" s="21">
        <f t="shared" si="29"/>
        <v>3536</v>
      </c>
      <c r="J51" s="27">
        <f>$E$62*I51</f>
        <v>551.19078398625982</v>
      </c>
      <c r="K51" s="53">
        <f>References!$C$17*J51</f>
        <v>5.4623006693038327</v>
      </c>
      <c r="L51" s="58">
        <f>K51/References!$F$18</f>
        <v>5.5886030993491227</v>
      </c>
      <c r="M51" s="58">
        <f>L51/G51*F51</f>
        <v>0.46571692494576022</v>
      </c>
      <c r="N51" s="53">
        <v>17.760000000000002</v>
      </c>
      <c r="O51" s="58">
        <f>MROUND(N51+M51,References!$E$28)</f>
        <v>18.23</v>
      </c>
      <c r="P51" s="55">
        <f>E51*N51*12</f>
        <v>0</v>
      </c>
      <c r="Q51" s="55">
        <f>E51*O51*12</f>
        <v>0</v>
      </c>
      <c r="R51" s="55">
        <f>Q51-P51</f>
        <v>0</v>
      </c>
    </row>
    <row r="52" spans="1:18" ht="15" customHeight="1">
      <c r="A52" s="123"/>
      <c r="B52" s="96">
        <v>240</v>
      </c>
      <c r="C52" s="33">
        <v>22</v>
      </c>
      <c r="D52" s="25" t="s">
        <v>20</v>
      </c>
      <c r="E52" s="26">
        <v>0</v>
      </c>
      <c r="F52" s="22">
        <v>1</v>
      </c>
      <c r="G52" s="60">
        <v>12</v>
      </c>
      <c r="H52" s="21">
        <v>34</v>
      </c>
      <c r="I52" s="21">
        <f>G52*H52</f>
        <v>408</v>
      </c>
      <c r="J52" s="27">
        <f>$E$62*I52</f>
        <v>63.598936613799211</v>
      </c>
      <c r="K52" s="53">
        <f>References!$C$17*J52</f>
        <v>0.63026546184275001</v>
      </c>
      <c r="L52" s="53">
        <f>K52/References!$F$18</f>
        <v>0.6448388191556681</v>
      </c>
      <c r="M52" s="58">
        <f>L52/G52</f>
        <v>5.3736568262972344E-2</v>
      </c>
      <c r="N52" s="53">
        <v>5.53</v>
      </c>
      <c r="O52" s="58">
        <f>MROUND(N52+M52,References!$E$28)</f>
        <v>5.58</v>
      </c>
      <c r="P52" s="55">
        <f>N52*G52</f>
        <v>66.36</v>
      </c>
      <c r="Q52" s="55">
        <f>O52*G52</f>
        <v>66.960000000000008</v>
      </c>
      <c r="R52" s="55">
        <f t="shared" ref="R52:R55" si="30">Q52-P52</f>
        <v>0.60000000000000853</v>
      </c>
    </row>
    <row r="53" spans="1:18">
      <c r="A53" s="123"/>
      <c r="B53" s="96">
        <v>240</v>
      </c>
      <c r="C53" s="33">
        <v>22</v>
      </c>
      <c r="D53" s="25" t="s">
        <v>25</v>
      </c>
      <c r="E53" s="26">
        <v>0</v>
      </c>
      <c r="F53" s="22">
        <v>1</v>
      </c>
      <c r="G53" s="60">
        <v>12</v>
      </c>
      <c r="H53" s="21">
        <v>250</v>
      </c>
      <c r="I53" s="21">
        <f>G53*H53</f>
        <v>3000</v>
      </c>
      <c r="J53" s="27">
        <f>$E$62*I53</f>
        <v>467.63923980734717</v>
      </c>
      <c r="K53" s="53">
        <f>References!$C$17*J53</f>
        <v>4.6343048664908091</v>
      </c>
      <c r="L53" s="53">
        <f>K53/References!$F$18</f>
        <v>4.7414619055563829</v>
      </c>
      <c r="M53" s="58">
        <f>L53/G53</f>
        <v>0.39512182546303193</v>
      </c>
      <c r="N53" s="53">
        <v>32.72</v>
      </c>
      <c r="O53" s="58">
        <f>MROUND(N53+M53,References!$E$28)</f>
        <v>33.119999999999997</v>
      </c>
      <c r="P53" s="55">
        <f>N53*G53</f>
        <v>392.64</v>
      </c>
      <c r="Q53" s="55">
        <f>O53*G53</f>
        <v>397.43999999999994</v>
      </c>
      <c r="R53" s="55">
        <f t="shared" si="30"/>
        <v>4.7999999999999545</v>
      </c>
    </row>
    <row r="54" spans="1:18">
      <c r="A54" s="123"/>
      <c r="B54" s="96">
        <v>240</v>
      </c>
      <c r="C54" s="33">
        <v>22</v>
      </c>
      <c r="D54" s="25" t="s">
        <v>23</v>
      </c>
      <c r="E54" s="26">
        <v>0</v>
      </c>
      <c r="F54" s="22">
        <v>1</v>
      </c>
      <c r="G54" s="60">
        <v>12</v>
      </c>
      <c r="H54" s="21">
        <v>250</v>
      </c>
      <c r="I54" s="21">
        <f>G54*H54</f>
        <v>3000</v>
      </c>
      <c r="J54" s="27">
        <f>$E$62*I54</f>
        <v>467.63923980734717</v>
      </c>
      <c r="K54" s="53">
        <f>References!$C$17*J54</f>
        <v>4.6343048664908091</v>
      </c>
      <c r="L54" s="53">
        <f>K54/References!$F$18</f>
        <v>4.7414619055563829</v>
      </c>
      <c r="M54" s="58">
        <f>L54/G54</f>
        <v>0.39512182546303193</v>
      </c>
      <c r="N54" s="53">
        <v>38.06</v>
      </c>
      <c r="O54" s="58">
        <f>MROUND(N54+M54,References!$E$28)</f>
        <v>38.46</v>
      </c>
      <c r="P54" s="55">
        <f>N54*G54</f>
        <v>456.72</v>
      </c>
      <c r="Q54" s="55">
        <f>O54*G54</f>
        <v>461.52</v>
      </c>
      <c r="R54" s="55">
        <f t="shared" si="30"/>
        <v>4.7999999999999545</v>
      </c>
    </row>
    <row r="55" spans="1:18">
      <c r="A55" s="123"/>
      <c r="B55" s="97">
        <v>240</v>
      </c>
      <c r="C55" s="34">
        <v>22</v>
      </c>
      <c r="D55" s="35" t="s">
        <v>24</v>
      </c>
      <c r="E55" s="29">
        <v>0</v>
      </c>
      <c r="F55" s="30">
        <v>1</v>
      </c>
      <c r="G55" s="61">
        <v>12</v>
      </c>
      <c r="H55" s="31">
        <v>250</v>
      </c>
      <c r="I55" s="21">
        <f>G55*H55</f>
        <v>3000</v>
      </c>
      <c r="J55" s="32">
        <f>$E$62*I55</f>
        <v>467.63923980734717</v>
      </c>
      <c r="K55" s="53">
        <f>References!$C$17*J55</f>
        <v>4.6343048664908091</v>
      </c>
      <c r="L55" s="54">
        <f>K55/References!$F$18</f>
        <v>4.7414619055563829</v>
      </c>
      <c r="M55" s="58">
        <f>L55/G55</f>
        <v>0.39512182546303193</v>
      </c>
      <c r="N55" s="54">
        <v>32.72</v>
      </c>
      <c r="O55" s="58">
        <f>MROUND(N55+M55,References!$E$28)</f>
        <v>33.119999999999997</v>
      </c>
      <c r="P55" s="55">
        <f>N55*G55</f>
        <v>392.64</v>
      </c>
      <c r="Q55" s="55">
        <f>O55*G55</f>
        <v>397.43999999999994</v>
      </c>
      <c r="R55" s="55">
        <f t="shared" si="30"/>
        <v>4.7999999999999545</v>
      </c>
    </row>
    <row r="56" spans="1:18">
      <c r="A56" s="124"/>
      <c r="B56" s="86"/>
      <c r="C56" s="64"/>
      <c r="D56" s="63" t="s">
        <v>26</v>
      </c>
      <c r="E56" s="65"/>
      <c r="F56" s="65"/>
      <c r="G56" s="69">
        <f>SUM(G48:G55)</f>
        <v>256</v>
      </c>
      <c r="H56" s="66"/>
      <c r="I56" s="69">
        <f>SUM(I52:I55)</f>
        <v>9408</v>
      </c>
      <c r="J56" s="69">
        <f>SUM(J52:J55)</f>
        <v>1466.5166560358407</v>
      </c>
      <c r="K56" s="67"/>
      <c r="L56" s="68"/>
      <c r="M56" s="68"/>
      <c r="N56" s="68"/>
      <c r="O56" s="68"/>
      <c r="P56" s="71">
        <f t="shared" ref="P56:R56" si="31">SUM(P52:P55)</f>
        <v>1308.3600000000001</v>
      </c>
      <c r="Q56" s="71">
        <f t="shared" si="31"/>
        <v>1323.36</v>
      </c>
      <c r="R56" s="71">
        <f t="shared" si="31"/>
        <v>14.999999999999872</v>
      </c>
    </row>
    <row r="57" spans="1:18">
      <c r="H57" s="9"/>
      <c r="I57" s="19"/>
      <c r="J57" s="6"/>
    </row>
    <row r="58" spans="1:18">
      <c r="E58" s="39"/>
      <c r="H58" s="25"/>
      <c r="I58" s="37"/>
      <c r="J58" s="37"/>
      <c r="K58" s="38"/>
      <c r="P58" s="20"/>
      <c r="Q58" s="38"/>
      <c r="R58" s="24"/>
    </row>
    <row r="59" spans="1:18">
      <c r="D59" s="23" t="s">
        <v>43</v>
      </c>
      <c r="E59" s="39">
        <v>1986</v>
      </c>
      <c r="H59" s="25"/>
      <c r="I59" s="37"/>
      <c r="J59" s="37"/>
      <c r="K59" s="38"/>
      <c r="O59" s="23" t="s">
        <v>90</v>
      </c>
      <c r="P59" s="20"/>
      <c r="Q59" s="46" t="s">
        <v>87</v>
      </c>
      <c r="R59" s="17">
        <f>R27</f>
        <v>40390.586666667172</v>
      </c>
    </row>
    <row r="60" spans="1:18">
      <c r="D60" s="23" t="s">
        <v>44</v>
      </c>
      <c r="E60" s="6">
        <f>E59*2000</f>
        <v>3972000</v>
      </c>
      <c r="H60" s="25"/>
      <c r="I60" s="37"/>
      <c r="J60" s="37"/>
      <c r="K60" s="38"/>
      <c r="P60" s="24"/>
      <c r="Q60" s="46" t="s">
        <v>88</v>
      </c>
      <c r="R60" s="87">
        <f>References!B23</f>
        <v>40272.682627378752</v>
      </c>
    </row>
    <row r="61" spans="1:18">
      <c r="D61" s="23" t="s">
        <v>5</v>
      </c>
      <c r="E61" s="6">
        <f>G56+G43+G25+G11</f>
        <v>108700.72</v>
      </c>
      <c r="H61" s="25"/>
      <c r="I61" s="37"/>
      <c r="J61" s="37"/>
      <c r="K61" s="38"/>
      <c r="P61" s="20"/>
      <c r="Q61" s="46" t="s">
        <v>89</v>
      </c>
      <c r="R61" s="17">
        <f>R59-R60</f>
        <v>117.90403928841988</v>
      </c>
    </row>
    <row r="62" spans="1:18">
      <c r="D62" s="45" t="s">
        <v>11</v>
      </c>
      <c r="E62" s="18">
        <f>E60/I27</f>
        <v>0.15587974660244905</v>
      </c>
      <c r="H62" s="25"/>
      <c r="I62" s="37"/>
      <c r="J62" s="22"/>
      <c r="K62" s="38"/>
      <c r="L62" s="24"/>
      <c r="M62" s="24"/>
      <c r="N62" s="12"/>
      <c r="O62" s="12"/>
      <c r="P62" s="13"/>
      <c r="Q62" s="13"/>
      <c r="R62" s="24"/>
    </row>
    <row r="63" spans="1:18">
      <c r="D63" s="24"/>
      <c r="E63" s="24"/>
      <c r="F63" s="24"/>
      <c r="H63" s="25"/>
      <c r="I63" s="37"/>
      <c r="J63" s="37"/>
      <c r="K63" s="38"/>
      <c r="L63" s="24"/>
      <c r="M63" s="24"/>
      <c r="N63" s="15"/>
      <c r="O63" s="16"/>
      <c r="P63" s="17"/>
      <c r="Q63" s="18"/>
    </row>
    <row r="64" spans="1:18">
      <c r="D64" s="24"/>
      <c r="E64" s="46"/>
      <c r="F64" s="47"/>
      <c r="G64" s="24"/>
      <c r="H64" s="25"/>
      <c r="I64" s="37"/>
      <c r="J64" s="37"/>
      <c r="K64" s="38"/>
      <c r="L64" s="24"/>
      <c r="M64" s="24"/>
      <c r="N64" s="15"/>
      <c r="O64" s="16"/>
      <c r="P64" s="17"/>
      <c r="Q64" s="18"/>
    </row>
    <row r="65" spans="4:17">
      <c r="D65" s="24"/>
      <c r="E65" s="46"/>
      <c r="F65" s="47"/>
      <c r="H65" s="25"/>
      <c r="I65" s="37"/>
      <c r="J65" s="37"/>
      <c r="K65" s="38"/>
      <c r="L65" s="24"/>
      <c r="M65" s="24"/>
      <c r="N65" s="15"/>
      <c r="O65" s="16"/>
      <c r="P65" s="17"/>
      <c r="Q65" s="18"/>
    </row>
    <row r="66" spans="4:17">
      <c r="D66" s="24"/>
      <c r="E66" s="46"/>
      <c r="F66" s="47"/>
      <c r="H66" s="36"/>
      <c r="I66" s="24"/>
      <c r="J66" s="14"/>
      <c r="K66" s="38"/>
      <c r="L66" s="24"/>
      <c r="M66" s="24"/>
      <c r="N66" s="15"/>
      <c r="O66" s="16"/>
      <c r="P66" s="18"/>
      <c r="Q66" s="18"/>
    </row>
    <row r="67" spans="4:17">
      <c r="D67" s="24"/>
      <c r="E67" s="48"/>
      <c r="F67" s="24"/>
      <c r="H67" s="24"/>
      <c r="I67" s="24"/>
      <c r="J67" s="14"/>
      <c r="K67" s="24"/>
      <c r="L67" s="24"/>
      <c r="M67" s="24"/>
      <c r="N67" s="24"/>
      <c r="O67" s="17"/>
      <c r="P67" s="17"/>
      <c r="Q67" s="18"/>
    </row>
    <row r="68" spans="4:17">
      <c r="D68" s="24"/>
      <c r="E68" s="24"/>
      <c r="F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4:17">
      <c r="D69" s="24"/>
      <c r="E69" s="24"/>
      <c r="F69" s="24"/>
    </row>
    <row r="70" spans="4:17">
      <c r="D70" s="24"/>
      <c r="E70" s="24"/>
      <c r="F70" s="24"/>
    </row>
    <row r="71" spans="4:17">
      <c r="D71" s="24"/>
      <c r="E71" s="24"/>
      <c r="F71" s="24"/>
    </row>
    <row r="72" spans="4:17">
      <c r="D72" s="24"/>
      <c r="E72" s="24"/>
      <c r="F72" s="24"/>
    </row>
    <row r="73" spans="4:17">
      <c r="D73" s="24"/>
      <c r="E73" s="24"/>
      <c r="F73" s="24"/>
    </row>
  </sheetData>
  <mergeCells count="4">
    <mergeCell ref="A48:A56"/>
    <mergeCell ref="A40:A41"/>
    <mergeCell ref="A6:A11"/>
    <mergeCell ref="A14:A25"/>
  </mergeCells>
  <pageMargins left="0.2" right="0.22" top="0.38" bottom="0.34" header="0.19" footer="0.17"/>
  <pageSetup scale="52" orientation="landscape" r:id="rId1"/>
  <headerFooter>
    <oddFooter>&amp;L&amp;F&amp;A&amp;R&amp;D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6AB6-AAE3-4AA2-B67B-926D3A57E168}">
  <dimension ref="A1:N39"/>
  <sheetViews>
    <sheetView topLeftCell="A10" workbookViewId="0">
      <selection activeCell="E34" sqref="E34"/>
    </sheetView>
  </sheetViews>
  <sheetFormatPr defaultRowHeight="15"/>
  <cols>
    <col min="1" max="1" width="7.28515625" customWidth="1"/>
    <col min="2" max="2" width="16" customWidth="1"/>
    <col min="3" max="3" width="7.5703125" customWidth="1"/>
    <col min="4" max="4" width="7.85546875" customWidth="1"/>
    <col min="5" max="5" width="8.42578125" customWidth="1"/>
    <col min="6" max="6" width="11.28515625" customWidth="1"/>
    <col min="7" max="7" width="10" customWidth="1"/>
    <col min="8" max="8" width="13.28515625" customWidth="1"/>
    <col min="9" max="9" width="9.85546875" customWidth="1"/>
    <col min="10" max="10" width="0" hidden="1" customWidth="1"/>
    <col min="14" max="14" width="10.140625" bestFit="1" customWidth="1"/>
  </cols>
  <sheetData>
    <row r="1" spans="1:14">
      <c r="A1" s="98" t="s">
        <v>115</v>
      </c>
      <c r="B1" s="99"/>
      <c r="C1" s="100"/>
      <c r="D1" s="100"/>
      <c r="E1" s="101" t="s">
        <v>116</v>
      </c>
      <c r="F1" s="100"/>
      <c r="G1" s="101" t="s">
        <v>117</v>
      </c>
      <c r="H1" s="100"/>
      <c r="I1" s="100"/>
      <c r="J1" s="102"/>
      <c r="K1" s="23"/>
      <c r="L1" s="23" t="s">
        <v>118</v>
      </c>
      <c r="M1" s="23"/>
      <c r="N1" s="23"/>
    </row>
    <row r="2" spans="1:14">
      <c r="A2" s="103" t="s">
        <v>119</v>
      </c>
      <c r="B2" s="103" t="s">
        <v>120</v>
      </c>
      <c r="C2" s="104"/>
      <c r="D2" s="103" t="s">
        <v>121</v>
      </c>
      <c r="E2" s="105" t="s">
        <v>122</v>
      </c>
      <c r="F2" s="103" t="s">
        <v>123</v>
      </c>
      <c r="G2" s="105" t="s">
        <v>122</v>
      </c>
      <c r="H2" s="103" t="s">
        <v>123</v>
      </c>
      <c r="I2" s="103" t="s">
        <v>124</v>
      </c>
      <c r="J2" s="102"/>
      <c r="K2" s="23"/>
      <c r="L2" s="23" t="s">
        <v>125</v>
      </c>
      <c r="M2" s="23"/>
      <c r="N2" s="23"/>
    </row>
    <row r="3" spans="1:14" ht="15.75">
      <c r="A3" s="106" t="s">
        <v>126</v>
      </c>
      <c r="B3" s="107" t="s">
        <v>127</v>
      </c>
      <c r="C3" s="106" t="s">
        <v>128</v>
      </c>
      <c r="D3" s="108">
        <v>0</v>
      </c>
      <c r="E3" s="100">
        <v>9.5299999999999994</v>
      </c>
      <c r="F3" s="108">
        <f t="shared" ref="F3:F10" si="0">D3*E3*12</f>
        <v>0</v>
      </c>
      <c r="G3" s="109">
        <f>E3*1.055</f>
        <v>10.054149999999998</v>
      </c>
      <c r="H3" s="108">
        <f t="shared" ref="H3:H10" si="1">D3*G3*12</f>
        <v>0</v>
      </c>
      <c r="I3" s="108">
        <f t="shared" ref="I3:I10" si="2">H3-F3</f>
        <v>0</v>
      </c>
      <c r="J3" s="102"/>
      <c r="K3" s="23"/>
      <c r="L3" s="23"/>
      <c r="M3" s="23"/>
      <c r="N3" s="23"/>
    </row>
    <row r="4" spans="1:14" ht="15.75">
      <c r="A4" s="106" t="s">
        <v>129</v>
      </c>
      <c r="B4" s="100"/>
      <c r="C4" s="106" t="s">
        <v>130</v>
      </c>
      <c r="D4" s="108">
        <v>0</v>
      </c>
      <c r="E4" s="100">
        <v>12.17</v>
      </c>
      <c r="F4" s="108">
        <f t="shared" si="0"/>
        <v>0</v>
      </c>
      <c r="G4" s="109">
        <f t="shared" ref="G4:G15" si="3">E4*1.055</f>
        <v>12.83935</v>
      </c>
      <c r="H4" s="108">
        <f t="shared" si="1"/>
        <v>0</v>
      </c>
      <c r="I4" s="108">
        <f t="shared" si="2"/>
        <v>0</v>
      </c>
      <c r="J4" s="102"/>
      <c r="K4" s="23"/>
      <c r="L4" s="23"/>
      <c r="M4" s="23"/>
      <c r="N4" s="23"/>
    </row>
    <row r="5" spans="1:14" ht="15.75">
      <c r="A5" s="106" t="s">
        <v>129</v>
      </c>
      <c r="B5" s="100"/>
      <c r="C5" s="106" t="s">
        <v>131</v>
      </c>
      <c r="D5" s="108">
        <v>0</v>
      </c>
      <c r="E5" s="100">
        <v>8.15</v>
      </c>
      <c r="F5" s="108">
        <f>D5*E5*12</f>
        <v>0</v>
      </c>
      <c r="G5" s="109">
        <f t="shared" si="3"/>
        <v>8.5982500000000002</v>
      </c>
      <c r="H5" s="108">
        <f t="shared" si="1"/>
        <v>0</v>
      </c>
      <c r="I5" s="108">
        <f t="shared" si="2"/>
        <v>0</v>
      </c>
      <c r="J5" s="102"/>
      <c r="K5" s="23"/>
      <c r="L5" s="23"/>
      <c r="M5" s="23"/>
      <c r="N5" s="23"/>
    </row>
    <row r="6" spans="1:14" ht="15.75">
      <c r="A6" s="106"/>
      <c r="B6" s="110" t="s">
        <v>132</v>
      </c>
      <c r="C6" s="111">
        <v>60</v>
      </c>
      <c r="D6" s="108">
        <v>5.6</v>
      </c>
      <c r="E6" s="100">
        <v>5.6</v>
      </c>
      <c r="F6" s="108">
        <f>D6*E6*12</f>
        <v>376.31999999999994</v>
      </c>
      <c r="G6" s="109">
        <f t="shared" si="3"/>
        <v>5.9079999999999995</v>
      </c>
      <c r="H6" s="108">
        <f>D6*G6*12</f>
        <v>397.0175999999999</v>
      </c>
      <c r="I6" s="108">
        <f>H6-F6</f>
        <v>20.697599999999966</v>
      </c>
      <c r="J6" s="102"/>
      <c r="K6" s="23"/>
      <c r="L6" s="23"/>
      <c r="M6" s="23"/>
      <c r="N6" s="23"/>
    </row>
    <row r="7" spans="1:14" ht="15.75">
      <c r="A7" s="106" t="s">
        <v>129</v>
      </c>
      <c r="B7" s="110" t="s">
        <v>133</v>
      </c>
      <c r="C7" s="111">
        <v>60</v>
      </c>
      <c r="D7" s="108">
        <v>3181</v>
      </c>
      <c r="E7" s="100">
        <v>14.73</v>
      </c>
      <c r="F7" s="108">
        <f t="shared" si="0"/>
        <v>562273.56000000006</v>
      </c>
      <c r="G7" s="109">
        <f t="shared" si="3"/>
        <v>15.540149999999999</v>
      </c>
      <c r="H7" s="108">
        <f t="shared" si="1"/>
        <v>593198.60580000002</v>
      </c>
      <c r="I7" s="108">
        <f t="shared" si="2"/>
        <v>30925.045799999963</v>
      </c>
      <c r="J7" s="102"/>
      <c r="K7" s="23"/>
      <c r="L7" s="23">
        <v>47</v>
      </c>
      <c r="M7" s="23">
        <v>4.33</v>
      </c>
      <c r="N7" s="112">
        <f>(+M7*D7*L7)/2000</f>
        <v>323.68265499999995</v>
      </c>
    </row>
    <row r="8" spans="1:14" ht="15.75">
      <c r="A8" s="106" t="s">
        <v>129</v>
      </c>
      <c r="B8" s="110" t="s">
        <v>134</v>
      </c>
      <c r="C8" s="111">
        <v>60</v>
      </c>
      <c r="D8" s="108">
        <v>637</v>
      </c>
      <c r="E8" s="100">
        <v>9.09</v>
      </c>
      <c r="F8" s="108">
        <f>D8*E8*12</f>
        <v>69483.959999999992</v>
      </c>
      <c r="G8" s="109">
        <f t="shared" si="3"/>
        <v>9.58995</v>
      </c>
      <c r="H8" s="108">
        <f t="shared" si="1"/>
        <v>73305.577799999999</v>
      </c>
      <c r="I8" s="108">
        <f t="shared" si="2"/>
        <v>3821.6178000000073</v>
      </c>
      <c r="J8" s="102"/>
      <c r="K8" s="23"/>
      <c r="L8" s="23">
        <v>47</v>
      </c>
      <c r="M8" s="23">
        <v>4.33</v>
      </c>
      <c r="N8" s="112">
        <f t="shared" ref="N8:N10" si="4">(+M8*D8*L8)/2000</f>
        <v>64.817934999999991</v>
      </c>
    </row>
    <row r="9" spans="1:14" ht="15.75">
      <c r="A9" s="106" t="s">
        <v>129</v>
      </c>
      <c r="B9" s="110" t="s">
        <v>135</v>
      </c>
      <c r="C9" s="111">
        <v>60</v>
      </c>
      <c r="D9" s="108">
        <v>10</v>
      </c>
      <c r="E9" s="100">
        <v>7.41</v>
      </c>
      <c r="F9" s="108">
        <f>D9*E9*12</f>
        <v>889.19999999999993</v>
      </c>
      <c r="G9" s="109">
        <f t="shared" si="3"/>
        <v>7.8175499999999998</v>
      </c>
      <c r="H9" s="108">
        <f t="shared" si="1"/>
        <v>938.10599999999999</v>
      </c>
      <c r="I9" s="108">
        <f t="shared" si="2"/>
        <v>48.906000000000063</v>
      </c>
      <c r="J9" s="102"/>
      <c r="K9" s="23"/>
      <c r="L9" s="23">
        <v>47</v>
      </c>
      <c r="M9" s="23">
        <v>4.33</v>
      </c>
      <c r="N9" s="112">
        <f t="shared" si="4"/>
        <v>1.01755</v>
      </c>
    </row>
    <row r="10" spans="1:14" ht="15.75">
      <c r="A10" s="106" t="s">
        <v>129</v>
      </c>
      <c r="B10" s="110" t="s">
        <v>133</v>
      </c>
      <c r="C10" s="111">
        <v>90</v>
      </c>
      <c r="D10" s="108">
        <v>4104</v>
      </c>
      <c r="E10" s="100">
        <v>17.22</v>
      </c>
      <c r="F10" s="108">
        <f t="shared" si="0"/>
        <v>848050.55999999982</v>
      </c>
      <c r="G10" s="109">
        <f t="shared" si="3"/>
        <v>18.167099999999998</v>
      </c>
      <c r="H10" s="108">
        <f t="shared" si="1"/>
        <v>894693.34079999989</v>
      </c>
      <c r="I10" s="108">
        <f t="shared" si="2"/>
        <v>46642.780800000066</v>
      </c>
      <c r="J10" s="102"/>
      <c r="K10" s="23"/>
      <c r="L10" s="23">
        <v>68</v>
      </c>
      <c r="M10" s="23">
        <v>4.33</v>
      </c>
      <c r="N10" s="112">
        <f t="shared" si="4"/>
        <v>604.19087999999999</v>
      </c>
    </row>
    <row r="11" spans="1:14" ht="16.5" thickBot="1">
      <c r="A11" s="100"/>
      <c r="B11" s="100"/>
      <c r="C11" s="113"/>
      <c r="D11" s="114">
        <f>SUM(D3:D10)</f>
        <v>7937.6</v>
      </c>
      <c r="E11" s="100"/>
      <c r="F11" s="108"/>
      <c r="G11" s="109"/>
      <c r="H11" s="108"/>
      <c r="I11" s="100"/>
      <c r="J11" s="102"/>
      <c r="K11" s="23"/>
      <c r="L11" s="23"/>
      <c r="M11" s="23"/>
      <c r="N11" s="23"/>
    </row>
    <row r="12" spans="1:14" ht="16.5" thickTop="1">
      <c r="A12" s="106" t="s">
        <v>129</v>
      </c>
      <c r="B12" s="110" t="s">
        <v>136</v>
      </c>
      <c r="C12" s="111"/>
      <c r="D12" s="108">
        <v>13</v>
      </c>
      <c r="E12" s="100">
        <v>8.02</v>
      </c>
      <c r="F12" s="108">
        <f>D12*E12*12</f>
        <v>1251.1199999999999</v>
      </c>
      <c r="G12" s="109">
        <f t="shared" si="3"/>
        <v>8.4610999999999983</v>
      </c>
      <c r="H12" s="108">
        <f t="shared" ref="H12:H15" si="5">D12*G12*12</f>
        <v>1319.9315999999999</v>
      </c>
      <c r="I12" s="108">
        <f t="shared" ref="I12:I15" si="6">H12-F12</f>
        <v>68.811599999999999</v>
      </c>
      <c r="J12" s="102"/>
      <c r="K12" s="23"/>
      <c r="L12" s="23"/>
      <c r="M12" s="23"/>
      <c r="N12" s="23"/>
    </row>
    <row r="13" spans="1:14" ht="15.75">
      <c r="A13" s="106" t="s">
        <v>129</v>
      </c>
      <c r="B13" s="110" t="s">
        <v>41</v>
      </c>
      <c r="C13" s="100"/>
      <c r="D13" s="108">
        <v>365</v>
      </c>
      <c r="E13" s="100">
        <v>2.38</v>
      </c>
      <c r="F13" s="108">
        <f t="shared" ref="F13:F15" si="7">D13*E13*12</f>
        <v>10424.4</v>
      </c>
      <c r="G13" s="109">
        <f t="shared" si="3"/>
        <v>2.5108999999999999</v>
      </c>
      <c r="H13" s="108">
        <f t="shared" si="5"/>
        <v>10997.741999999998</v>
      </c>
      <c r="I13" s="108">
        <f t="shared" si="6"/>
        <v>573.34199999999873</v>
      </c>
      <c r="J13" s="102"/>
      <c r="K13" s="23"/>
      <c r="L13" s="23">
        <v>34</v>
      </c>
      <c r="M13" s="23">
        <v>1</v>
      </c>
      <c r="N13" s="112">
        <f>(+M13*D13*L13*12)/2000</f>
        <v>74.459999999999994</v>
      </c>
    </row>
    <row r="14" spans="1:14" ht="15.75">
      <c r="A14" s="106" t="s">
        <v>126</v>
      </c>
      <c r="B14" s="110" t="s">
        <v>137</v>
      </c>
      <c r="C14" s="100"/>
      <c r="D14" s="115">
        <v>11</v>
      </c>
      <c r="E14" s="100">
        <v>3.91</v>
      </c>
      <c r="F14" s="108">
        <f t="shared" si="7"/>
        <v>516.12000000000012</v>
      </c>
      <c r="G14" s="109">
        <f t="shared" si="3"/>
        <v>4.1250499999999999</v>
      </c>
      <c r="H14" s="108">
        <f t="shared" si="5"/>
        <v>544.50659999999993</v>
      </c>
      <c r="I14" s="108">
        <f t="shared" si="6"/>
        <v>28.386599999999817</v>
      </c>
      <c r="J14" s="102"/>
      <c r="K14" s="23"/>
      <c r="L14" s="23"/>
      <c r="M14" s="23"/>
      <c r="N14" s="23"/>
    </row>
    <row r="15" spans="1:14" ht="15.75">
      <c r="A15" s="106" t="s">
        <v>138</v>
      </c>
      <c r="B15" s="110" t="s">
        <v>139</v>
      </c>
      <c r="C15" s="100"/>
      <c r="D15" s="108">
        <v>290</v>
      </c>
      <c r="E15" s="100">
        <v>1.41</v>
      </c>
      <c r="F15" s="108">
        <f t="shared" si="7"/>
        <v>4906.7999999999993</v>
      </c>
      <c r="G15" s="109">
        <f t="shared" si="3"/>
        <v>1.4875499999999999</v>
      </c>
      <c r="H15" s="108">
        <f t="shared" si="5"/>
        <v>5176.674</v>
      </c>
      <c r="I15" s="108">
        <f t="shared" si="6"/>
        <v>269.87400000000071</v>
      </c>
      <c r="J15" s="102"/>
      <c r="K15" s="23"/>
      <c r="L15" s="23"/>
      <c r="M15" s="23"/>
      <c r="N15" s="1"/>
    </row>
    <row r="16" spans="1:14" ht="15.75">
      <c r="A16" s="106"/>
      <c r="B16" s="110"/>
      <c r="C16" s="100"/>
      <c r="D16" s="108"/>
      <c r="E16" s="100"/>
      <c r="F16" s="108"/>
      <c r="G16" s="109"/>
      <c r="H16" s="108"/>
      <c r="I16" s="108"/>
      <c r="J16" s="102"/>
      <c r="K16" s="23"/>
      <c r="L16" s="23"/>
      <c r="M16" s="23"/>
      <c r="N16" s="112">
        <f>SUM(N7:N13)</f>
        <v>1068.1690199999998</v>
      </c>
    </row>
    <row r="17" spans="1:14" ht="15.75">
      <c r="A17" s="106"/>
      <c r="B17" s="110"/>
      <c r="C17" s="100"/>
      <c r="D17" s="108"/>
      <c r="E17" s="100"/>
      <c r="F17" s="108"/>
      <c r="G17" s="109"/>
      <c r="H17" s="108"/>
      <c r="I17" s="108"/>
      <c r="J17" s="102"/>
      <c r="K17" s="23"/>
      <c r="L17" s="23"/>
      <c r="M17" s="23"/>
      <c r="N17" s="23"/>
    </row>
    <row r="18" spans="1:14" ht="15.75">
      <c r="A18" s="116"/>
      <c r="B18" s="117" t="s">
        <v>140</v>
      </c>
      <c r="C18" s="100"/>
      <c r="D18" s="110"/>
      <c r="E18" s="100"/>
      <c r="F18" s="108"/>
      <c r="G18" s="116"/>
      <c r="H18" s="108"/>
      <c r="I18" s="108"/>
      <c r="J18" s="118"/>
      <c r="K18" s="23"/>
      <c r="L18" s="23"/>
      <c r="M18" s="23"/>
      <c r="N18" s="23"/>
    </row>
    <row r="19" spans="1:14" ht="15.75">
      <c r="A19" s="106" t="s">
        <v>141</v>
      </c>
      <c r="B19" s="110" t="s">
        <v>142</v>
      </c>
      <c r="C19" s="100"/>
      <c r="D19" s="108">
        <v>13.5</v>
      </c>
      <c r="E19" s="100">
        <v>1.91</v>
      </c>
      <c r="F19" s="108">
        <f>D19*E19*4.33*12</f>
        <v>1339.7886000000001</v>
      </c>
      <c r="G19" s="109">
        <f t="shared" ref="G19:G32" si="8">E19*1.055</f>
        <v>2.01505</v>
      </c>
      <c r="H19" s="108">
        <f>G19*D19*12*4.33</f>
        <v>1413.476973</v>
      </c>
      <c r="I19" s="108">
        <f t="shared" ref="I19:I32" si="9">H19-F19</f>
        <v>73.688372999999956</v>
      </c>
      <c r="J19" s="102"/>
      <c r="K19" s="23"/>
      <c r="L19" s="23">
        <v>29</v>
      </c>
      <c r="M19" s="23">
        <v>4.33</v>
      </c>
      <c r="N19" s="112">
        <f t="shared" ref="N19:N21" si="10">(+M19*D19*L19)/2000</f>
        <v>0.8475975</v>
      </c>
    </row>
    <row r="20" spans="1:14" ht="15.75">
      <c r="A20" s="111">
        <v>130</v>
      </c>
      <c r="B20" s="110" t="s">
        <v>143</v>
      </c>
      <c r="C20" s="111" t="s">
        <v>144</v>
      </c>
      <c r="D20" s="108">
        <v>166</v>
      </c>
      <c r="E20" s="100">
        <v>50.92</v>
      </c>
      <c r="F20" s="108">
        <f>E20*D20*12</f>
        <v>101432.64000000001</v>
      </c>
      <c r="G20" s="109">
        <f t="shared" si="8"/>
        <v>53.720599999999997</v>
      </c>
      <c r="H20" s="108">
        <f>G20*D20*12</f>
        <v>107011.43520000001</v>
      </c>
      <c r="I20" s="108">
        <f>H20-F20</f>
        <v>5578.7951999999932</v>
      </c>
      <c r="J20" s="102"/>
      <c r="K20" s="23"/>
      <c r="L20" s="23">
        <v>250</v>
      </c>
      <c r="M20" s="23">
        <v>4.33</v>
      </c>
      <c r="N20" s="112">
        <f t="shared" si="10"/>
        <v>89.847499999999997</v>
      </c>
    </row>
    <row r="21" spans="1:14" ht="15.75">
      <c r="A21" s="111">
        <v>130</v>
      </c>
      <c r="B21" s="110" t="s">
        <v>143</v>
      </c>
      <c r="C21" s="111" t="s">
        <v>145</v>
      </c>
      <c r="D21" s="108">
        <v>72.02</v>
      </c>
      <c r="E21" s="100">
        <v>72.02</v>
      </c>
      <c r="F21" s="108">
        <f>E21*D21*12</f>
        <v>62242.564799999993</v>
      </c>
      <c r="G21" s="109">
        <f t="shared" si="8"/>
        <v>75.981099999999998</v>
      </c>
      <c r="H21" s="108">
        <f>G21*D21*12</f>
        <v>65665.905864</v>
      </c>
      <c r="I21" s="108">
        <f>H21-F21</f>
        <v>3423.3410640000075</v>
      </c>
      <c r="J21" s="102"/>
      <c r="K21" s="23"/>
      <c r="L21" s="23">
        <v>324</v>
      </c>
      <c r="M21" s="23">
        <v>4.33</v>
      </c>
      <c r="N21" s="112">
        <f t="shared" si="10"/>
        <v>50.519149199999994</v>
      </c>
    </row>
    <row r="22" spans="1:14" ht="15.75">
      <c r="A22" s="106" t="s">
        <v>129</v>
      </c>
      <c r="B22" s="110" t="s">
        <v>146</v>
      </c>
      <c r="C22" s="100"/>
      <c r="D22" s="108">
        <v>39</v>
      </c>
      <c r="E22" s="100">
        <v>23.7</v>
      </c>
      <c r="F22" s="108">
        <f>E22*D22*12</f>
        <v>11091.599999999999</v>
      </c>
      <c r="G22" s="109">
        <f t="shared" si="8"/>
        <v>25.003499999999999</v>
      </c>
      <c r="H22" s="108">
        <f>G22*D22*12</f>
        <v>11701.637999999999</v>
      </c>
      <c r="I22" s="108">
        <f>H22-F22</f>
        <v>610.03800000000047</v>
      </c>
      <c r="J22" s="102"/>
      <c r="K22" s="23"/>
      <c r="L22" s="23"/>
      <c r="M22" s="23"/>
      <c r="N22" s="23"/>
    </row>
    <row r="23" spans="1:14" ht="15.75">
      <c r="A23" s="106" t="s">
        <v>129</v>
      </c>
      <c r="B23" s="110" t="s">
        <v>137</v>
      </c>
      <c r="C23" s="100"/>
      <c r="D23" s="108">
        <v>845</v>
      </c>
      <c r="E23" s="100">
        <v>0.89</v>
      </c>
      <c r="F23" s="108">
        <f>E23*D23*4.33*12</f>
        <v>39076.517999999996</v>
      </c>
      <c r="G23" s="109">
        <f t="shared" si="8"/>
        <v>0.93894999999999995</v>
      </c>
      <c r="H23" s="108">
        <f>G23*D23*12*4.33</f>
        <v>41225.726490000001</v>
      </c>
      <c r="I23" s="108">
        <f>H23-F23</f>
        <v>2149.2084900000045</v>
      </c>
      <c r="J23" s="102"/>
      <c r="K23" s="23"/>
      <c r="L23" s="23"/>
      <c r="M23" s="23"/>
      <c r="N23" s="23"/>
    </row>
    <row r="24" spans="1:14" ht="15.75">
      <c r="A24" s="106" t="s">
        <v>129</v>
      </c>
      <c r="B24" s="110" t="s">
        <v>147</v>
      </c>
      <c r="C24" s="100"/>
      <c r="D24" s="108">
        <v>14</v>
      </c>
      <c r="E24" s="100">
        <v>32</v>
      </c>
      <c r="F24" s="108">
        <f>E24*D24*4.33*12</f>
        <v>23278.080000000002</v>
      </c>
      <c r="G24" s="109">
        <f t="shared" si="8"/>
        <v>33.76</v>
      </c>
      <c r="H24" s="108">
        <f>G24*D24*12*4.33</f>
        <v>24558.374400000001</v>
      </c>
      <c r="I24" s="108">
        <f>H24-F24</f>
        <v>1280.2943999999989</v>
      </c>
      <c r="J24" s="102"/>
      <c r="K24" s="23"/>
      <c r="L24" s="23"/>
      <c r="M24" s="23"/>
      <c r="N24" s="23"/>
    </row>
    <row r="25" spans="1:14" ht="15.75">
      <c r="A25" s="106" t="s">
        <v>148</v>
      </c>
      <c r="B25" s="110" t="s">
        <v>114</v>
      </c>
      <c r="C25" s="100"/>
      <c r="D25" s="108">
        <v>40</v>
      </c>
      <c r="E25" s="100">
        <v>10.77</v>
      </c>
      <c r="F25" s="108">
        <f>E25*D25*12</f>
        <v>5169.5999999999995</v>
      </c>
      <c r="G25" s="109">
        <f t="shared" si="8"/>
        <v>11.362349999999999</v>
      </c>
      <c r="H25" s="108">
        <f>G25*D25*12</f>
        <v>5453.9279999999999</v>
      </c>
      <c r="I25" s="108">
        <f t="shared" si="9"/>
        <v>284.32800000000043</v>
      </c>
      <c r="J25" s="102"/>
      <c r="K25" s="23"/>
      <c r="L25" s="23">
        <v>125</v>
      </c>
      <c r="M25" s="23">
        <v>1</v>
      </c>
      <c r="N25" s="112">
        <f>(+M25*D25*L25*12)/2000</f>
        <v>30</v>
      </c>
    </row>
    <row r="26" spans="1:14" ht="15.75">
      <c r="A26" s="111">
        <v>240</v>
      </c>
      <c r="B26" s="110" t="s">
        <v>149</v>
      </c>
      <c r="C26" s="100"/>
      <c r="D26" s="108">
        <v>27</v>
      </c>
      <c r="E26" s="100">
        <v>8.52</v>
      </c>
      <c r="F26" s="108">
        <f t="shared" ref="F26:F32" si="11">D26*E26*4.33*12</f>
        <v>11952.8784</v>
      </c>
      <c r="G26" s="109">
        <f t="shared" si="8"/>
        <v>8.9885999999999981</v>
      </c>
      <c r="H26" s="108">
        <f>G26*D26*12*4.33</f>
        <v>12610.286711999997</v>
      </c>
      <c r="I26" s="108">
        <f t="shared" si="9"/>
        <v>657.40831199999775</v>
      </c>
      <c r="J26" s="102"/>
      <c r="K26" s="23"/>
      <c r="L26" s="23">
        <v>175</v>
      </c>
      <c r="M26" s="23">
        <v>4.33</v>
      </c>
      <c r="N26" s="112">
        <f t="shared" ref="N26:N32" si="12">(+M26*D26*L26)/2000</f>
        <v>10.229625</v>
      </c>
    </row>
    <row r="27" spans="1:14" ht="15.75">
      <c r="A27" s="106" t="s">
        <v>129</v>
      </c>
      <c r="B27" s="110" t="s">
        <v>150</v>
      </c>
      <c r="C27" s="100"/>
      <c r="D27" s="108">
        <v>54</v>
      </c>
      <c r="E27" s="100">
        <v>11.75</v>
      </c>
      <c r="F27" s="108">
        <f t="shared" si="11"/>
        <v>32968.620000000003</v>
      </c>
      <c r="G27" s="109">
        <f t="shared" si="8"/>
        <v>12.396249999999998</v>
      </c>
      <c r="H27" s="108">
        <f t="shared" ref="H27:H32" si="13">G27*D27*12*4.33</f>
        <v>34781.894099999998</v>
      </c>
      <c r="I27" s="108">
        <f t="shared" si="9"/>
        <v>1813.2740999999951</v>
      </c>
      <c r="J27" s="102"/>
      <c r="K27" s="23"/>
      <c r="L27" s="23">
        <v>250</v>
      </c>
      <c r="M27" s="23">
        <v>4.33</v>
      </c>
      <c r="N27" s="112">
        <f t="shared" si="12"/>
        <v>29.227499999999999</v>
      </c>
    </row>
    <row r="28" spans="1:14" ht="15.75">
      <c r="A28" s="106" t="s">
        <v>129</v>
      </c>
      <c r="B28" s="110" t="s">
        <v>151</v>
      </c>
      <c r="C28" s="100"/>
      <c r="D28" s="108">
        <f>2+13+99</f>
        <v>114</v>
      </c>
      <c r="E28" s="100">
        <v>16.62</v>
      </c>
      <c r="F28" s="108">
        <f t="shared" si="11"/>
        <v>98447.572800000009</v>
      </c>
      <c r="G28" s="109">
        <f t="shared" si="8"/>
        <v>17.534099999999999</v>
      </c>
      <c r="H28" s="108">
        <f t="shared" si="13"/>
        <v>103862.189304</v>
      </c>
      <c r="I28" s="108">
        <f t="shared" si="9"/>
        <v>5414.6165039999905</v>
      </c>
      <c r="J28" s="102"/>
      <c r="K28" s="23"/>
      <c r="L28" s="23">
        <v>324</v>
      </c>
      <c r="M28" s="23">
        <v>4.33</v>
      </c>
      <c r="N28" s="112">
        <f t="shared" si="12"/>
        <v>79.966440000000006</v>
      </c>
    </row>
    <row r="29" spans="1:14" ht="15.75">
      <c r="A29" s="106" t="s">
        <v>129</v>
      </c>
      <c r="B29" s="110" t="s">
        <v>152</v>
      </c>
      <c r="C29" s="100"/>
      <c r="D29" s="108">
        <f>51+1+1</f>
        <v>53</v>
      </c>
      <c r="E29" s="100">
        <v>24.92</v>
      </c>
      <c r="F29" s="108">
        <f t="shared" si="11"/>
        <v>68626.689599999998</v>
      </c>
      <c r="G29" s="109">
        <f t="shared" si="8"/>
        <v>26.290600000000001</v>
      </c>
      <c r="H29" s="108">
        <f t="shared" si="13"/>
        <v>72401.157528000011</v>
      </c>
      <c r="I29" s="108">
        <f t="shared" si="9"/>
        <v>3774.4679280000128</v>
      </c>
      <c r="J29" s="102"/>
      <c r="K29" s="23"/>
      <c r="L29" s="23">
        <v>473</v>
      </c>
      <c r="M29" s="23">
        <v>4.33</v>
      </c>
      <c r="N29" s="112">
        <f t="shared" si="12"/>
        <v>54.274385000000002</v>
      </c>
    </row>
    <row r="30" spans="1:14" ht="15.75">
      <c r="A30" s="106" t="s">
        <v>129</v>
      </c>
      <c r="B30" s="110" t="s">
        <v>153</v>
      </c>
      <c r="C30" s="100"/>
      <c r="D30" s="108">
        <f>60+1</f>
        <v>61</v>
      </c>
      <c r="E30" s="100">
        <v>29.69</v>
      </c>
      <c r="F30" s="108">
        <f t="shared" si="11"/>
        <v>94104.236400000009</v>
      </c>
      <c r="G30" s="109">
        <f t="shared" si="8"/>
        <v>31.322949999999999</v>
      </c>
      <c r="H30" s="108">
        <f t="shared" si="13"/>
        <v>99279.969401999988</v>
      </c>
      <c r="I30" s="108">
        <f t="shared" si="9"/>
        <v>5175.733001999979</v>
      </c>
      <c r="J30" s="102"/>
      <c r="K30" s="23"/>
      <c r="L30" s="23">
        <v>613</v>
      </c>
      <c r="M30" s="23">
        <v>4.33</v>
      </c>
      <c r="N30" s="112">
        <f t="shared" si="12"/>
        <v>80.955844999999997</v>
      </c>
    </row>
    <row r="31" spans="1:14" ht="15.75">
      <c r="A31" s="106" t="s">
        <v>129</v>
      </c>
      <c r="B31" s="110" t="s">
        <v>154</v>
      </c>
      <c r="C31" s="100"/>
      <c r="D31" s="108">
        <f>83+2+50</f>
        <v>135</v>
      </c>
      <c r="E31" s="100">
        <v>34.24</v>
      </c>
      <c r="F31" s="108">
        <f t="shared" si="11"/>
        <v>240179.90400000004</v>
      </c>
      <c r="G31" s="109">
        <f t="shared" si="8"/>
        <v>36.123199999999997</v>
      </c>
      <c r="H31" s="108">
        <f t="shared" si="13"/>
        <v>253389.79871999999</v>
      </c>
      <c r="I31" s="108">
        <f>H31-F31</f>
        <v>13209.894719999953</v>
      </c>
      <c r="J31" s="102"/>
      <c r="K31" s="23"/>
      <c r="L31" s="23">
        <v>840</v>
      </c>
      <c r="M31" s="23">
        <v>4.33</v>
      </c>
      <c r="N31" s="112">
        <f t="shared" si="12"/>
        <v>245.51099999999997</v>
      </c>
    </row>
    <row r="32" spans="1:14" ht="15.75">
      <c r="A32" s="106" t="s">
        <v>129</v>
      </c>
      <c r="B32" s="110" t="s">
        <v>155</v>
      </c>
      <c r="C32" s="113"/>
      <c r="D32" s="108">
        <f>107+9</f>
        <v>116</v>
      </c>
      <c r="E32" s="100">
        <v>39.15</v>
      </c>
      <c r="F32" s="108">
        <f t="shared" si="11"/>
        <v>235971.14399999997</v>
      </c>
      <c r="G32" s="109">
        <f t="shared" si="8"/>
        <v>41.303249999999998</v>
      </c>
      <c r="H32" s="108">
        <f t="shared" si="13"/>
        <v>248949.55691999997</v>
      </c>
      <c r="I32" s="119">
        <f t="shared" si="9"/>
        <v>12978.412920000002</v>
      </c>
      <c r="J32" s="102"/>
      <c r="K32" s="23"/>
      <c r="L32" s="23">
        <v>980</v>
      </c>
      <c r="M32" s="23">
        <v>4.33</v>
      </c>
      <c r="N32" s="120">
        <f t="shared" si="12"/>
        <v>246.11720000000003</v>
      </c>
    </row>
    <row r="33" spans="1:14" ht="15.75">
      <c r="A33" s="116"/>
      <c r="B33" s="121"/>
      <c r="C33" s="100"/>
      <c r="D33" s="122"/>
      <c r="E33" s="100"/>
      <c r="F33" s="108"/>
      <c r="G33" s="109"/>
      <c r="H33" s="108"/>
      <c r="I33" s="108"/>
      <c r="J33" s="118"/>
      <c r="K33" s="23"/>
      <c r="L33" s="23"/>
      <c r="M33" s="23"/>
      <c r="N33" s="112">
        <f>SUM(N19:N32)</f>
        <v>917.49624170000004</v>
      </c>
    </row>
    <row r="34" spans="1:14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23"/>
      <c r="L34" s="23"/>
      <c r="M34" s="23"/>
      <c r="N34" s="23"/>
    </row>
    <row r="35" spans="1:14">
      <c r="A35" s="113"/>
      <c r="B35" s="113" t="s">
        <v>26</v>
      </c>
      <c r="C35" s="113"/>
      <c r="D35" s="113"/>
      <c r="E35" s="113"/>
      <c r="F35" s="113"/>
      <c r="G35" s="113"/>
      <c r="H35" s="113"/>
      <c r="I35" s="113"/>
      <c r="J35" s="113"/>
      <c r="K35" s="23"/>
      <c r="L35" s="23"/>
      <c r="M35" s="23"/>
      <c r="N35" s="112">
        <f>+N16+N33</f>
        <v>1985.6652617</v>
      </c>
    </row>
    <row r="37" spans="1:14">
      <c r="B37" t="s">
        <v>159</v>
      </c>
    </row>
    <row r="38" spans="1:14">
      <c r="B38" t="s">
        <v>160</v>
      </c>
    </row>
    <row r="39" spans="1:14">
      <c r="B39" t="s">
        <v>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25EFCAC107FB4DB97A48CA5F3D5D7F" ma:contentTypeVersion="44" ma:contentTypeDescription="" ma:contentTypeScope="" ma:versionID="c02cf7b351782c8f0cd79e24c71545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2021-01-29T08:00:00+00:00</OpenedDate>
    <SignificantOrder xmlns="dc463f71-b30c-4ab2-9473-d307f9d35888">false</SignificantOrder>
    <Date1 xmlns="dc463f71-b30c-4ab2-9473-d307f9d35888">2021-01-29T08:00:00+00:00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Consolidated Disposal Services, Inc. </CaseCompanyNames>
    <Nickname xmlns="http://schemas.microsoft.com/sharepoint/v3" xsi:nil="true"/>
    <DocketNumber xmlns="dc463f71-b30c-4ab2-9473-d307f9d35888">210060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CE1BB98-D60F-4D50-A9EC-CBD93067DD06}"/>
</file>

<file path=customXml/itemProps2.xml><?xml version="1.0" encoding="utf-8"?>
<ds:datastoreItem xmlns:ds="http://schemas.openxmlformats.org/officeDocument/2006/customXml" ds:itemID="{C23E01A9-2E31-41D5-AA95-285AD12CA377}"/>
</file>

<file path=customXml/itemProps3.xml><?xml version="1.0" encoding="utf-8"?>
<ds:datastoreItem xmlns:ds="http://schemas.openxmlformats.org/officeDocument/2006/customXml" ds:itemID="{5FDC9565-9D4B-42B6-B508-C0EF86C2C6AB}"/>
</file>

<file path=customXml/itemProps4.xml><?xml version="1.0" encoding="utf-8"?>
<ds:datastoreItem xmlns:ds="http://schemas.openxmlformats.org/officeDocument/2006/customXml" ds:itemID="{CA18884D-31FF-4584-9F60-D5A4CDA3E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References</vt:lpstr>
      <vt:lpstr>Calculations</vt:lpstr>
      <vt:lpstr>Estimated Tonnage 2011 Case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Weldon Burton</cp:lastModifiedBy>
  <cp:lastPrinted>2013-11-13T18:16:52Z</cp:lastPrinted>
  <dcterms:created xsi:type="dcterms:W3CDTF">2013-10-29T22:33:54Z</dcterms:created>
  <dcterms:modified xsi:type="dcterms:W3CDTF">2021-01-29T23:10:18Z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0x0101006E56B4D1795A2E4DB2F0B01679ED314A00AB25EFCAC107FB4DB97A48CA5F3D5D7F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