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Ellensburg\2021 Grant County Disposal Increase\"/>
    </mc:Choice>
  </mc:AlternateContent>
  <xr:revisionPtr revIDLastSave="0" documentId="13_ncr:1_{D123C623-24B7-4446-B9AE-518091201DFE}" xr6:coauthVersionLast="45" xr6:coauthVersionMax="45" xr10:uidLastSave="{00000000-0000-0000-0000-000000000000}"/>
  <bookViews>
    <workbookView xWindow="30840" yWindow="3090" windowWidth="21600" windowHeight="11385" activeTab="1" xr2:uid="{00000000-000D-0000-FFFF-FFFF00000000}"/>
  </bookViews>
  <sheets>
    <sheet name="References" sheetId="4" r:id="rId1"/>
    <sheet name="Calculation" sheetId="7" r:id="rId2"/>
  </sheets>
  <definedNames>
    <definedName name="_xlnm.Print_Area" localSheetId="1">Calculation!$A$1:$Q$60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7" l="1"/>
  <c r="G24" i="7"/>
  <c r="G23" i="7"/>
  <c r="G21" i="7"/>
  <c r="M39" i="7"/>
  <c r="M38" i="7"/>
  <c r="M37" i="7"/>
  <c r="M36" i="7"/>
  <c r="M34" i="7"/>
  <c r="M33" i="7"/>
  <c r="M32" i="7"/>
  <c r="M30" i="7"/>
  <c r="M29" i="7"/>
  <c r="M28" i="7"/>
  <c r="M27" i="7"/>
  <c r="M26" i="7"/>
  <c r="M24" i="7"/>
  <c r="M22" i="7"/>
  <c r="M20" i="7"/>
  <c r="M18" i="7"/>
  <c r="M16" i="7"/>
  <c r="M8" i="7" l="1"/>
  <c r="M6" i="7"/>
  <c r="E19" i="7"/>
  <c r="E24" i="7" s="1"/>
  <c r="E30" i="7" s="1"/>
  <c r="E34" i="7" s="1"/>
  <c r="E39" i="7" s="1"/>
  <c r="G40" i="7"/>
  <c r="G35" i="7"/>
  <c r="G31" i="7"/>
  <c r="G22" i="7"/>
  <c r="G15" i="7"/>
  <c r="G48" i="4" l="1"/>
  <c r="B58" i="4" l="1"/>
  <c r="G19" i="7" l="1"/>
  <c r="G16" i="7"/>
  <c r="F15" i="7"/>
  <c r="H15" i="7" s="1"/>
  <c r="F16" i="7"/>
  <c r="F17" i="7"/>
  <c r="F19" i="7"/>
  <c r="O19" i="7" s="1"/>
  <c r="F22" i="7"/>
  <c r="O22" i="7" s="1"/>
  <c r="F34" i="7"/>
  <c r="O34" i="7" s="1"/>
  <c r="F40" i="7"/>
  <c r="O40" i="7" s="1"/>
  <c r="E23" i="7"/>
  <c r="E12" i="7"/>
  <c r="E13" i="7" s="1"/>
  <c r="F11" i="7"/>
  <c r="O9" i="7"/>
  <c r="F9" i="7"/>
  <c r="O4" i="7"/>
  <c r="O5" i="7"/>
  <c r="O7" i="7"/>
  <c r="O3" i="7"/>
  <c r="O2" i="7"/>
  <c r="O6" i="7"/>
  <c r="E28" i="7" l="1"/>
  <c r="E35" i="7" s="1"/>
  <c r="E25" i="7"/>
  <c r="E27" i="7" s="1"/>
  <c r="F27" i="7" s="1"/>
  <c r="O27" i="7" s="1"/>
  <c r="O15" i="7"/>
  <c r="H40" i="7"/>
  <c r="H19" i="7"/>
  <c r="G20" i="7"/>
  <c r="H17" i="7"/>
  <c r="G18" i="7"/>
  <c r="H22" i="7"/>
  <c r="H16" i="7"/>
  <c r="O17" i="7"/>
  <c r="O16" i="7"/>
  <c r="E14" i="7"/>
  <c r="E18" i="7" s="1"/>
  <c r="E21" i="7" s="1"/>
  <c r="F24" i="7" s="1"/>
  <c r="F13" i="7"/>
  <c r="F28" i="7"/>
  <c r="O28" i="7" s="1"/>
  <c r="F20" i="7"/>
  <c r="O20" i="7" s="1"/>
  <c r="F35" i="7"/>
  <c r="O35" i="7" s="1"/>
  <c r="F23" i="7"/>
  <c r="O23" i="7" s="1"/>
  <c r="F12" i="7"/>
  <c r="D56" i="7"/>
  <c r="O8" i="7"/>
  <c r="F14" i="7" l="1"/>
  <c r="D47" i="7"/>
  <c r="D60" i="7"/>
  <c r="F21" i="7"/>
  <c r="O21" i="7" s="1"/>
  <c r="F18" i="7"/>
  <c r="O18" i="7" s="1"/>
  <c r="H23" i="7"/>
  <c r="F26" i="7"/>
  <c r="O26" i="7" s="1"/>
  <c r="H20" i="7"/>
  <c r="H35" i="7"/>
  <c r="G36" i="7"/>
  <c r="G37" i="7" s="1"/>
  <c r="G38" i="7" s="1"/>
  <c r="G39" i="7" s="1"/>
  <c r="G26" i="7"/>
  <c r="G27" i="7" s="1"/>
  <c r="H24" i="7"/>
  <c r="O24" i="7"/>
  <c r="G28" i="7" l="1"/>
  <c r="H27" i="7"/>
  <c r="H21" i="7"/>
  <c r="H18" i="7"/>
  <c r="E29" i="7"/>
  <c r="E31" i="7" s="1"/>
  <c r="F25" i="7"/>
  <c r="O25" i="7" s="1"/>
  <c r="H26" i="7"/>
  <c r="G29" i="7" l="1"/>
  <c r="G30" i="7" s="1"/>
  <c r="G32" i="7" s="1"/>
  <c r="G33" i="7" s="1"/>
  <c r="G34" i="7" s="1"/>
  <c r="H34" i="7" s="1"/>
  <c r="H28" i="7"/>
  <c r="H25" i="7"/>
  <c r="F29" i="7"/>
  <c r="O29" i="7" l="1"/>
  <c r="H29" i="7"/>
  <c r="F30" i="7"/>
  <c r="H30" i="7" l="1"/>
  <c r="O30" i="7"/>
  <c r="E32" i="7"/>
  <c r="F31" i="7"/>
  <c r="G12" i="7"/>
  <c r="G11" i="7"/>
  <c r="G13" i="7"/>
  <c r="G8" i="7"/>
  <c r="G7" i="7"/>
  <c r="G6" i="7"/>
  <c r="G5" i="7"/>
  <c r="G4" i="7"/>
  <c r="G3" i="7"/>
  <c r="G2" i="7"/>
  <c r="G9" i="7" s="1"/>
  <c r="H9" i="7" s="1"/>
  <c r="H31" i="7" l="1"/>
  <c r="O31" i="7"/>
  <c r="E33" i="7"/>
  <c r="F32" i="7"/>
  <c r="H11" i="7"/>
  <c r="H12" i="7"/>
  <c r="D41" i="7"/>
  <c r="D48" i="7"/>
  <c r="H32" i="7" l="1"/>
  <c r="O32" i="7"/>
  <c r="E36" i="7"/>
  <c r="F33" i="7"/>
  <c r="D10" i="7"/>
  <c r="D42" i="7" s="1"/>
  <c r="E37" i="7" l="1"/>
  <c r="E38" i="7" s="1"/>
  <c r="F36" i="7"/>
  <c r="O33" i="7"/>
  <c r="H33" i="7"/>
  <c r="H13" i="7"/>
  <c r="O13" i="7"/>
  <c r="H14" i="7"/>
  <c r="O14" i="7"/>
  <c r="O36" i="7" l="1"/>
  <c r="H36" i="7"/>
  <c r="F37" i="7"/>
  <c r="O12" i="7"/>
  <c r="O11" i="7"/>
  <c r="B54" i="4"/>
  <c r="F38" i="7" l="1"/>
  <c r="H37" i="7"/>
  <c r="O37" i="7"/>
  <c r="F39" i="7"/>
  <c r="O38" i="7" l="1"/>
  <c r="H38" i="7"/>
  <c r="H39" i="7"/>
  <c r="O39" i="7"/>
  <c r="B3" i="4"/>
  <c r="B4" i="4"/>
  <c r="B5" i="4"/>
  <c r="B6" i="4"/>
  <c r="E8" i="7" l="1"/>
  <c r="E6" i="7"/>
  <c r="D5" i="4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F41" i="7" l="1"/>
  <c r="G6" i="4"/>
  <c r="F6" i="4"/>
  <c r="E6" i="4"/>
  <c r="D6" i="4"/>
  <c r="O41" i="7" l="1"/>
  <c r="B49" i="4"/>
  <c r="C48" i="4"/>
  <c r="C47" i="4"/>
  <c r="B9" i="4"/>
  <c r="B8" i="4"/>
  <c r="B7" i="4"/>
  <c r="B52" i="4" l="1"/>
  <c r="B59" i="4"/>
  <c r="G50" i="4"/>
  <c r="G52" i="4" s="1"/>
  <c r="E4" i="7"/>
  <c r="F4" i="7" s="1"/>
  <c r="H4" i="7" s="1"/>
  <c r="E7" i="7"/>
  <c r="E3" i="7"/>
  <c r="F3" i="7" s="1"/>
  <c r="H3" i="7" s="1"/>
  <c r="E5" i="7"/>
  <c r="F5" i="7" s="1"/>
  <c r="H5" i="7" s="1"/>
  <c r="E2" i="7"/>
  <c r="F2" i="7" s="1"/>
  <c r="H2" i="7" s="1"/>
  <c r="F6" i="7"/>
  <c r="H6" i="7" s="1"/>
  <c r="F8" i="7"/>
  <c r="H8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F7" i="7" l="1"/>
  <c r="H7" i="7" s="1"/>
  <c r="O10" i="7"/>
  <c r="O42" i="7" s="1"/>
  <c r="B53" i="4"/>
  <c r="B55" i="4" s="1"/>
  <c r="B61" i="4" s="1"/>
  <c r="F10" i="7" l="1"/>
  <c r="H10" i="7"/>
  <c r="F42" i="7" l="1"/>
  <c r="D49" i="7"/>
  <c r="H41" i="7"/>
  <c r="H42" i="7" s="1"/>
  <c r="D50" i="7" s="1"/>
  <c r="I18" i="7" l="1"/>
  <c r="J18" i="7" s="1"/>
  <c r="K18" i="7" s="1"/>
  <c r="L18" i="7" s="1"/>
  <c r="N18" i="7" s="1"/>
  <c r="I22" i="7"/>
  <c r="J22" i="7" s="1"/>
  <c r="K22" i="7" s="1"/>
  <c r="L22" i="7" s="1"/>
  <c r="N22" i="7" s="1"/>
  <c r="I26" i="7"/>
  <c r="J26" i="7" s="1"/>
  <c r="K26" i="7" s="1"/>
  <c r="L26" i="7" s="1"/>
  <c r="N26" i="7" s="1"/>
  <c r="I30" i="7"/>
  <c r="J30" i="7" s="1"/>
  <c r="K30" i="7" s="1"/>
  <c r="L30" i="7" s="1"/>
  <c r="N30" i="7" s="1"/>
  <c r="I38" i="7"/>
  <c r="J38" i="7" s="1"/>
  <c r="K38" i="7" s="1"/>
  <c r="L38" i="7" s="1"/>
  <c r="N38" i="7" s="1"/>
  <c r="I19" i="7"/>
  <c r="J19" i="7" s="1"/>
  <c r="K19" i="7" s="1"/>
  <c r="L19" i="7" s="1"/>
  <c r="N19" i="7" s="1"/>
  <c r="I23" i="7"/>
  <c r="J23" i="7" s="1"/>
  <c r="K23" i="7" s="1"/>
  <c r="L23" i="7" s="1"/>
  <c r="N23" i="7" s="1"/>
  <c r="I39" i="7"/>
  <c r="J39" i="7" s="1"/>
  <c r="K39" i="7" s="1"/>
  <c r="L39" i="7" s="1"/>
  <c r="N39" i="7" s="1"/>
  <c r="I16" i="7"/>
  <c r="J16" i="7" s="1"/>
  <c r="K16" i="7" s="1"/>
  <c r="L16" i="7" s="1"/>
  <c r="N16" i="7" s="1"/>
  <c r="I17" i="7"/>
  <c r="J17" i="7" s="1"/>
  <c r="K17" i="7" s="1"/>
  <c r="L17" i="7" s="1"/>
  <c r="N17" i="7" s="1"/>
  <c r="I21" i="7"/>
  <c r="J21" i="7" s="1"/>
  <c r="K21" i="7" s="1"/>
  <c r="L21" i="7" s="1"/>
  <c r="N21" i="7" s="1"/>
  <c r="I25" i="7"/>
  <c r="J25" i="7" s="1"/>
  <c r="K25" i="7" s="1"/>
  <c r="L25" i="7" s="1"/>
  <c r="N25" i="7" s="1"/>
  <c r="I29" i="7"/>
  <c r="J29" i="7" s="1"/>
  <c r="K29" i="7" s="1"/>
  <c r="L29" i="7" s="1"/>
  <c r="N29" i="7" s="1"/>
  <c r="I33" i="7"/>
  <c r="J33" i="7" s="1"/>
  <c r="K33" i="7" s="1"/>
  <c r="L33" i="7" s="1"/>
  <c r="N33" i="7" s="1"/>
  <c r="I37" i="7"/>
  <c r="J37" i="7" s="1"/>
  <c r="K37" i="7" s="1"/>
  <c r="L37" i="7" s="1"/>
  <c r="N37" i="7" s="1"/>
  <c r="I34" i="7"/>
  <c r="J34" i="7" s="1"/>
  <c r="K34" i="7" s="1"/>
  <c r="L34" i="7" s="1"/>
  <c r="N34" i="7" s="1"/>
  <c r="I15" i="7"/>
  <c r="J15" i="7" s="1"/>
  <c r="K15" i="7" s="1"/>
  <c r="L15" i="7" s="1"/>
  <c r="N15" i="7" s="1"/>
  <c r="I27" i="7"/>
  <c r="J27" i="7" s="1"/>
  <c r="K27" i="7" s="1"/>
  <c r="L27" i="7" s="1"/>
  <c r="N27" i="7" s="1"/>
  <c r="I31" i="7"/>
  <c r="J31" i="7" s="1"/>
  <c r="K31" i="7" s="1"/>
  <c r="L31" i="7" s="1"/>
  <c r="N31" i="7" s="1"/>
  <c r="I35" i="7"/>
  <c r="J35" i="7" s="1"/>
  <c r="K35" i="7" s="1"/>
  <c r="L35" i="7" s="1"/>
  <c r="N35" i="7" s="1"/>
  <c r="I40" i="7"/>
  <c r="J40" i="7" s="1"/>
  <c r="K40" i="7" s="1"/>
  <c r="L40" i="7" s="1"/>
  <c r="N40" i="7" s="1"/>
  <c r="I20" i="7"/>
  <c r="J20" i="7" s="1"/>
  <c r="K20" i="7" s="1"/>
  <c r="L20" i="7" s="1"/>
  <c r="N20" i="7" s="1"/>
  <c r="I36" i="7"/>
  <c r="J36" i="7" s="1"/>
  <c r="K36" i="7" s="1"/>
  <c r="L36" i="7" s="1"/>
  <c r="N36" i="7" s="1"/>
  <c r="I32" i="7"/>
  <c r="J32" i="7" s="1"/>
  <c r="K32" i="7" s="1"/>
  <c r="L32" i="7" s="1"/>
  <c r="N32" i="7" s="1"/>
  <c r="I28" i="7"/>
  <c r="J28" i="7" s="1"/>
  <c r="K28" i="7" s="1"/>
  <c r="L28" i="7" s="1"/>
  <c r="N28" i="7" s="1"/>
  <c r="I24" i="7"/>
  <c r="J24" i="7" s="1"/>
  <c r="K24" i="7" s="1"/>
  <c r="L24" i="7" s="1"/>
  <c r="N24" i="7" s="1"/>
  <c r="I9" i="7"/>
  <c r="J9" i="7" s="1"/>
  <c r="I2" i="7"/>
  <c r="P20" i="7" l="1"/>
  <c r="Q20" i="7" s="1"/>
  <c r="R20" i="7"/>
  <c r="P34" i="7"/>
  <c r="Q34" i="7" s="1"/>
  <c r="R34" i="7"/>
  <c r="P17" i="7"/>
  <c r="Q17" i="7" s="1"/>
  <c r="R17" i="7"/>
  <c r="P19" i="7"/>
  <c r="Q19" i="7" s="1"/>
  <c r="R19" i="7"/>
  <c r="P27" i="7"/>
  <c r="Q27" i="7" s="1"/>
  <c r="R27" i="7"/>
  <c r="P29" i="7"/>
  <c r="Q29" i="7" s="1"/>
  <c r="R29" i="7"/>
  <c r="P16" i="7"/>
  <c r="Q16" i="7" s="1"/>
  <c r="R16" i="7"/>
  <c r="P22" i="7"/>
  <c r="Q22" i="7" s="1"/>
  <c r="R22" i="7"/>
  <c r="P15" i="7"/>
  <c r="Q15" i="7" s="1"/>
  <c r="R15" i="7"/>
  <c r="P25" i="7"/>
  <c r="Q25" i="7" s="1"/>
  <c r="R25" i="7"/>
  <c r="P38" i="7"/>
  <c r="Q38" i="7" s="1"/>
  <c r="R38" i="7"/>
  <c r="P24" i="7"/>
  <c r="Q24" i="7" s="1"/>
  <c r="R24" i="7"/>
  <c r="P36" i="7"/>
  <c r="Q36" i="7" s="1"/>
  <c r="R36" i="7"/>
  <c r="P35" i="7"/>
  <c r="Q35" i="7" s="1"/>
  <c r="R35" i="7"/>
  <c r="P37" i="7"/>
  <c r="Q37" i="7" s="1"/>
  <c r="R37" i="7"/>
  <c r="P21" i="7"/>
  <c r="Q21" i="7" s="1"/>
  <c r="R21" i="7"/>
  <c r="P23" i="7"/>
  <c r="Q23" i="7" s="1"/>
  <c r="R23" i="7"/>
  <c r="P30" i="7"/>
  <c r="Q30" i="7" s="1"/>
  <c r="R30" i="7"/>
  <c r="P31" i="7"/>
  <c r="Q31" i="7" s="1"/>
  <c r="R31" i="7"/>
  <c r="P33" i="7"/>
  <c r="Q33" i="7" s="1"/>
  <c r="R33" i="7"/>
  <c r="P26" i="7"/>
  <c r="Q26" i="7" s="1"/>
  <c r="R26" i="7"/>
  <c r="P28" i="7"/>
  <c r="Q28" i="7" s="1"/>
  <c r="R28" i="7"/>
  <c r="P40" i="7"/>
  <c r="Q40" i="7" s="1"/>
  <c r="R40" i="7"/>
  <c r="P32" i="7"/>
  <c r="Q32" i="7" s="1"/>
  <c r="R32" i="7"/>
  <c r="P39" i="7"/>
  <c r="Q39" i="7" s="1"/>
  <c r="R39" i="7"/>
  <c r="P18" i="7"/>
  <c r="Q18" i="7" s="1"/>
  <c r="R18" i="7"/>
  <c r="K9" i="7"/>
  <c r="L9" i="7" s="1"/>
  <c r="N9" i="7" s="1"/>
  <c r="J2" i="7"/>
  <c r="K2" i="7" s="1"/>
  <c r="I3" i="7"/>
  <c r="J3" i="7" s="1"/>
  <c r="K3" i="7" s="1"/>
  <c r="I14" i="7"/>
  <c r="J14" i="7" s="1"/>
  <c r="K14" i="7" s="1"/>
  <c r="L14" i="7" s="1"/>
  <c r="N14" i="7" s="1"/>
  <c r="I6" i="7"/>
  <c r="J6" i="7" s="1"/>
  <c r="K6" i="7" s="1"/>
  <c r="L6" i="7" s="1"/>
  <c r="N6" i="7" s="1"/>
  <c r="I5" i="7"/>
  <c r="J5" i="7" s="1"/>
  <c r="K5" i="7" s="1"/>
  <c r="L5" i="7" s="1"/>
  <c r="N5" i="7" s="1"/>
  <c r="I8" i="7"/>
  <c r="J8" i="7" s="1"/>
  <c r="K8" i="7" s="1"/>
  <c r="L8" i="7" s="1"/>
  <c r="N8" i="7" s="1"/>
  <c r="I11" i="7"/>
  <c r="J11" i="7" s="1"/>
  <c r="I13" i="7"/>
  <c r="J13" i="7" s="1"/>
  <c r="K13" i="7" s="1"/>
  <c r="L13" i="7" s="1"/>
  <c r="N13" i="7" s="1"/>
  <c r="I4" i="7"/>
  <c r="J4" i="7" s="1"/>
  <c r="K4" i="7" s="1"/>
  <c r="L4" i="7" s="1"/>
  <c r="N4" i="7" s="1"/>
  <c r="I7" i="7"/>
  <c r="J7" i="7" s="1"/>
  <c r="K7" i="7" s="1"/>
  <c r="L7" i="7" s="1"/>
  <c r="N7" i="7" s="1"/>
  <c r="I12" i="7"/>
  <c r="J12" i="7" s="1"/>
  <c r="K12" i="7" s="1"/>
  <c r="L12" i="7" s="1"/>
  <c r="N12" i="7" s="1"/>
  <c r="P13" i="7" l="1"/>
  <c r="Q13" i="7" s="1"/>
  <c r="R13" i="7"/>
  <c r="P12" i="7"/>
  <c r="Q12" i="7" s="1"/>
  <c r="R12" i="7"/>
  <c r="P5" i="7"/>
  <c r="Q5" i="7" s="1"/>
  <c r="R5" i="7"/>
  <c r="R6" i="7"/>
  <c r="P9" i="7"/>
  <c r="Q9" i="7" s="1"/>
  <c r="R9" i="7"/>
  <c r="P7" i="7"/>
  <c r="Q7" i="7" s="1"/>
  <c r="R7" i="7"/>
  <c r="P14" i="7"/>
  <c r="Q14" i="7" s="1"/>
  <c r="R14" i="7"/>
  <c r="P4" i="7"/>
  <c r="Q4" i="7" s="1"/>
  <c r="R4" i="7"/>
  <c r="K11" i="7"/>
  <c r="J41" i="7"/>
  <c r="R8" i="7"/>
  <c r="L2" i="7"/>
  <c r="N2" i="7" s="1"/>
  <c r="K10" i="7"/>
  <c r="J10" i="7"/>
  <c r="I10" i="7"/>
  <c r="L3" i="7"/>
  <c r="N3" i="7" s="1"/>
  <c r="I41" i="7"/>
  <c r="T41" i="7" s="1"/>
  <c r="J42" i="7" l="1"/>
  <c r="P8" i="7"/>
  <c r="Q8" i="7" s="1"/>
  <c r="P6" i="7"/>
  <c r="Q6" i="7" s="1"/>
  <c r="R10" i="7"/>
  <c r="P2" i="7"/>
  <c r="Q2" i="7" s="1"/>
  <c r="R2" i="7"/>
  <c r="L11" i="7"/>
  <c r="N11" i="7" s="1"/>
  <c r="K41" i="7"/>
  <c r="R41" i="7" s="1"/>
  <c r="P3" i="7"/>
  <c r="Q3" i="7" s="1"/>
  <c r="R3" i="7"/>
  <c r="I42" i="7"/>
  <c r="T42" i="7" s="1"/>
  <c r="K42" i="7" l="1"/>
  <c r="Q10" i="7"/>
  <c r="P11" i="7"/>
  <c r="R11" i="7"/>
  <c r="P10" i="7"/>
  <c r="Q11" i="7" l="1"/>
  <c r="Q41" i="7" s="1"/>
  <c r="Q42" i="7" s="1"/>
  <c r="R42" i="7" s="1"/>
  <c r="P41" i="7"/>
  <c r="P4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D1" authorId="0" shapeId="0" xr:uid="{567AC428-3E3B-42B6-AA7A-BCBC183439C7}">
      <text>
        <r>
          <rPr>
            <b/>
            <sz val="9"/>
            <color indexed="81"/>
            <rFont val="Tahoma"/>
            <charset val="1"/>
          </rPr>
          <t>Weinstein, Mike:</t>
        </r>
        <r>
          <rPr>
            <sz val="9"/>
            <color indexed="81"/>
            <rFont val="Tahoma"/>
            <charset val="1"/>
          </rPr>
          <t xml:space="preserve">
Per TG-143115</t>
        </r>
      </text>
    </comment>
  </commentList>
</comments>
</file>

<file path=xl/sharedStrings.xml><?xml version="1.0" encoding="utf-8"?>
<sst xmlns="http://schemas.openxmlformats.org/spreadsheetml/2006/main" count="152" uniqueCount="137">
  <si>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</si>
  <si>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</si>
  <si>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</si>
  <si>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</si>
  <si>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</si>
  <si>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</si>
  <si>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</si>
  <si>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</si>
  <si>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</si>
  <si>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</si>
  <si>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</si>
  <si>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</si>
  <si>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</si>
  <si>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</si>
  <si>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</si>
  <si>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</si>
  <si>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</si>
  <si>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</si>
  <si>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</si>
  <si>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</si>
  <si>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</si>
  <si>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</si>
  <si>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</si>
  <si>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</si>
  <si>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 Up Factors</t>
  </si>
  <si>
    <t>B&amp;O tax</t>
  </si>
  <si>
    <t>WUTC fees</t>
  </si>
  <si>
    <t>Factor</t>
  </si>
  <si>
    <t>Extras</t>
  </si>
  <si>
    <t>Total Tonnage</t>
  </si>
  <si>
    <t>Total Pounds</t>
  </si>
  <si>
    <t>Calculated Annual Pounds</t>
  </si>
  <si>
    <t>Adjusted Annual Pounds</t>
  </si>
  <si>
    <t>Company Proposed Revenue</t>
  </si>
  <si>
    <t>Company Current Tariff</t>
  </si>
  <si>
    <t>Company Current Revenue</t>
  </si>
  <si>
    <t>Monthly Customers</t>
  </si>
  <si>
    <t>Tariff Rate Increase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</si>
  <si>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</si>
  <si>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</si>
  <si>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</si>
  <si>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</si>
  <si>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</si>
  <si>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</si>
  <si>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</si>
  <si>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</si>
  <si>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</si>
  <si>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</si>
  <si>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</si>
  <si>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</si>
  <si>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</si>
  <si>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</si>
  <si>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</si>
  <si>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</si>
  <si>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</si>
  <si>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</si>
  <si>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</si>
  <si>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</si>
  <si>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</si>
  <si>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</si>
  <si>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</si>
  <si>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</si>
  <si>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</si>
  <si>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</si>
  <si>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</si>
  <si>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</si>
  <si>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</si>
  <si>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</si>
  <si>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</si>
  <si>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</si>
  <si>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</si>
  <si>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</si>
  <si>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</si>
  <si>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</si>
  <si>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</si>
  <si>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</si>
  <si>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</si>
  <si>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</si>
  <si>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</si>
  <si>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</si>
  <si>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Adjustment Factor Calculation</t>
  </si>
  <si>
    <t>4 Times per Week</t>
  </si>
  <si>
    <t>1 yd packer/compactor</t>
  </si>
  <si>
    <t>1.5 yd packer/compactor</t>
  </si>
  <si>
    <t>8 yd packer/compactor</t>
  </si>
  <si>
    <t>* not on meeks - calculated by staff</t>
  </si>
  <si>
    <t>Jefferson County</t>
  </si>
  <si>
    <t>Transfer Station</t>
  </si>
  <si>
    <t>Comments</t>
  </si>
  <si>
    <t>Not on Meeks</t>
  </si>
  <si>
    <t>Differ from Company</t>
  </si>
  <si>
    <t>35 gallon Can</t>
  </si>
  <si>
    <t>Calculated Annual PUs based on freq</t>
  </si>
  <si>
    <t>na - multiple pickups not on tariff</t>
  </si>
  <si>
    <t>32 GAL CAN MSW 1X MO</t>
  </si>
  <si>
    <t>1-20 GAL MINI CAN MSW</t>
  </si>
  <si>
    <t>1-35 GAL CART MSW</t>
  </si>
  <si>
    <t>1-64 GAL CART MSW</t>
  </si>
  <si>
    <t>2-64 GAL CARTS MSW</t>
  </si>
  <si>
    <t>1-96 GAL CART MSW</t>
  </si>
  <si>
    <t>2-96 GAL CARTS MSW</t>
  </si>
  <si>
    <t>1-1.25 YD 1X PER WEEK</t>
  </si>
  <si>
    <t>1-1.5 YD 1X PER WEEK</t>
  </si>
  <si>
    <t>1-2 YD 1X PER WEEK</t>
  </si>
  <si>
    <t>1-3 YD 1X PER WEEK</t>
  </si>
  <si>
    <t>1-4 YD 1X PER WEEK</t>
  </si>
  <si>
    <t>2-4 YD 1X PER WEEK</t>
  </si>
  <si>
    <t>1-6 YD 1X PER WEEK</t>
  </si>
  <si>
    <t>2-6 YD 1X PER WEEK</t>
  </si>
  <si>
    <t>3-6 YD 1X PER WEEK</t>
  </si>
  <si>
    <t>1-8 YD 1X PER WEEK</t>
  </si>
  <si>
    <t>Extra Yardage</t>
  </si>
  <si>
    <t>Calculated Rate</t>
  </si>
  <si>
    <t>Total Ellensburg Tonnage per TG-143115:</t>
  </si>
  <si>
    <t>extras</t>
  </si>
  <si>
    <t>Roll Off</t>
  </si>
  <si>
    <t>Roll Off Disposal Pass Through:</t>
  </si>
  <si>
    <t>Increase (decrease) per ton</t>
  </si>
  <si>
    <t>Grossed Up Increase (decrease) per ton</t>
  </si>
  <si>
    <t>Disposal Fee Revenue Increase (decrease)</t>
  </si>
  <si>
    <t>35 GAL CART MSW 1X WK</t>
  </si>
  <si>
    <t>1 YD FEL ON CALL</t>
  </si>
  <si>
    <t>1 YD MSW EOW</t>
  </si>
  <si>
    <t>1-1 YD 1X PER WEEK</t>
  </si>
  <si>
    <t>1-1.3 YD 1X PER WEEK</t>
  </si>
  <si>
    <t>1.5 YD MSW EOW</t>
  </si>
  <si>
    <t>2 YD MSW EOW</t>
  </si>
  <si>
    <t>3 YD MSW EOW</t>
  </si>
  <si>
    <t>1-4 YD 2X PER WEEK</t>
  </si>
  <si>
    <t>4-4 YD 1X PER WEEK</t>
  </si>
  <si>
    <t>5-4 YD 1X PER WEEK</t>
  </si>
  <si>
    <t>4 YD MSW EOW</t>
  </si>
  <si>
    <t>6 YD MSW EOW</t>
  </si>
  <si>
    <t>2-8 YD 1X PER WEEK</t>
  </si>
  <si>
    <t>3-8 YD 1X PER WEEK</t>
  </si>
  <si>
    <t>5-8 YD 1X PER WEEK</t>
  </si>
  <si>
    <t>8 YD MSW EOW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</si>
</sst>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0" applyNumberFormat="0" applyFill="0" applyAlignment="0" applyProtection="0"/>
    <xf numFmtId="0" fontId="50" fillId="0" borderId="21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25" applyNumberFormat="0" applyFill="0" applyAlignment="0" applyProtection="0"/>
    <xf numFmtId="0" fontId="31" fillId="0" borderId="26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5" fontId="0" fillId="4" borderId="0" xfId="2" applyNumberFormat="1" applyFont="1" applyFill="1"/>
    <xf numFmtId="44" fontId="0" fillId="4" borderId="0" xfId="2" applyFont="1" applyFill="1"/>
    <xf numFmtId="44" fontId="0" fillId="4" borderId="1" xfId="2" applyFont="1" applyFill="1" applyBorder="1"/>
    <xf numFmtId="165" fontId="0" fillId="4" borderId="1" xfId="2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4" borderId="0" xfId="2" applyNumberFormat="1" applyFont="1" applyFill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3" fillId="5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5" borderId="1" xfId="0" applyNumberFormat="1" applyFont="1" applyFill="1" applyBorder="1"/>
    <xf numFmtId="43" fontId="0" fillId="5" borderId="1" xfId="0" applyNumberFormat="1" applyFont="1" applyFill="1" applyBorder="1"/>
    <xf numFmtId="166" fontId="3" fillId="5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166" fontId="0" fillId="0" borderId="3" xfId="1" applyNumberFormat="1" applyFont="1" applyFill="1" applyBorder="1"/>
    <xf numFmtId="43" fontId="0" fillId="0" borderId="3" xfId="1" applyNumberFormat="1" applyFont="1" applyFill="1" applyBorder="1"/>
    <xf numFmtId="44" fontId="0" fillId="0" borderId="3" xfId="2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166" fontId="0" fillId="0" borderId="1" xfId="1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/>
    <xf numFmtId="0" fontId="0" fillId="0" borderId="0" xfId="0" applyFont="1" applyFill="1" applyBorder="1" applyAlignment="1"/>
    <xf numFmtId="0" fontId="0" fillId="4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1" borderId="0" xfId="0" applyFont="1" applyFill="1" applyBorder="1" applyAlignment="1">
      <alignment horizontal="left"/>
    </xf>
    <xf numFmtId="44" fontId="0" fillId="0" borderId="0" xfId="2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166" fontId="0" fillId="0" borderId="3" xfId="1" applyNumberFormat="1" applyFont="1" applyFill="1" applyBorder="1" applyAlignment="1">
      <alignment horizontal="center" wrapText="1"/>
    </xf>
    <xf numFmtId="166" fontId="3" fillId="5" borderId="1" xfId="1" applyNumberFormat="1" applyFont="1" applyFill="1" applyBorder="1" applyAlignment="1">
      <alignment horizontal="center" wrapText="1"/>
    </xf>
    <xf numFmtId="166" fontId="11" fillId="0" borderId="1" xfId="1" applyNumberFormat="1" applyFont="1" applyFill="1" applyBorder="1"/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58" fillId="0" borderId="0" xfId="370"/>
    <xf numFmtId="166" fontId="2" fillId="0" borderId="0" xfId="374" applyNumberFormat="1" applyFont="1"/>
    <xf numFmtId="166" fontId="58" fillId="0" borderId="0" xfId="374" applyNumberFormat="1"/>
    <xf numFmtId="0" fontId="0" fillId="0" borderId="1" xfId="0" applyFont="1" applyFill="1" applyBorder="1" applyAlignment="1">
      <alignment vertical="center" textRotation="90"/>
    </xf>
    <xf numFmtId="0" fontId="11" fillId="0" borderId="1" xfId="299" applyFont="1" applyFill="1" applyBorder="1"/>
    <xf numFmtId="43" fontId="2" fillId="0" borderId="0" xfId="103" applyFont="1"/>
    <xf numFmtId="43" fontId="2" fillId="0" borderId="0" xfId="375" applyNumberFormat="1"/>
    <xf numFmtId="44" fontId="2" fillId="0" borderId="0" xfId="10" applyFont="1"/>
    <xf numFmtId="43" fontId="2" fillId="0" borderId="0" xfId="103" applyFont="1" applyFill="1"/>
    <xf numFmtId="0" fontId="2" fillId="0" borderId="0" xfId="382"/>
    <xf numFmtId="43" fontId="2" fillId="0" borderId="0" xfId="103" applyFont="1"/>
    <xf numFmtId="43" fontId="9" fillId="0" borderId="0" xfId="1" applyNumberFormat="1" applyFont="1" applyFill="1" applyBorder="1"/>
    <xf numFmtId="166" fontId="2" fillId="0" borderId="0" xfId="1" applyNumberFormat="1" applyFont="1"/>
    <xf numFmtId="166" fontId="59" fillId="0" borderId="0" xfId="1" applyNumberFormat="1" applyFont="1" applyBorder="1"/>
    <xf numFmtId="166" fontId="60" fillId="0" borderId="0" xfId="0" applyNumberFormat="1" applyFont="1" applyBorder="1"/>
    <xf numFmtId="164" fontId="3" fillId="5" borderId="1" xfId="2" applyNumberFormat="1" applyFont="1" applyFill="1" applyBorder="1" applyAlignment="1">
      <alignment horizontal="center" wrapText="1"/>
    </xf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4" fontId="3" fillId="5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center" wrapText="1"/>
    </xf>
    <xf numFmtId="164" fontId="3" fillId="5" borderId="0" xfId="2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/>
    <xf numFmtId="43" fontId="11" fillId="0" borderId="1" xfId="1" applyFont="1" applyFill="1" applyBorder="1"/>
    <xf numFmtId="164" fontId="3" fillId="5" borderId="1" xfId="2" applyNumberFormat="1" applyFont="1" applyFill="1" applyBorder="1" applyAlignment="1">
      <alignment wrapText="1"/>
    </xf>
    <xf numFmtId="171" fontId="0" fillId="0" borderId="0" xfId="3" applyNumberFormat="1" applyFont="1" applyFill="1" applyBorder="1"/>
    <xf numFmtId="171" fontId="3" fillId="5" borderId="1" xfId="3" applyNumberFormat="1" applyFont="1" applyFill="1" applyBorder="1"/>
    <xf numFmtId="0" fontId="61" fillId="0" borderId="0" xfId="0" applyFont="1" applyFill="1" applyBorder="1"/>
    <xf numFmtId="166" fontId="60" fillId="0" borderId="0" xfId="0" applyNumberFormat="1" applyFont="1" applyBorder="1" applyAlignment="1">
      <alignment horizontal="right"/>
    </xf>
    <xf numFmtId="0" fontId="61" fillId="0" borderId="0" xfId="0" applyFont="1"/>
    <xf numFmtId="166" fontId="59" fillId="0" borderId="0" xfId="1" applyNumberFormat="1" applyFont="1"/>
    <xf numFmtId="164" fontId="62" fillId="0" borderId="0" xfId="0" applyNumberFormat="1" applyFont="1"/>
    <xf numFmtId="164" fontId="60" fillId="0" borderId="0" xfId="0" applyNumberFormat="1" applyFont="1"/>
    <xf numFmtId="171" fontId="3" fillId="0" borderId="0" xfId="3" applyNumberFormat="1" applyFont="1" applyBorder="1"/>
    <xf numFmtId="44" fontId="0" fillId="0" borderId="0" xfId="0" applyNumberFormat="1" applyFont="1" applyFill="1" applyBorder="1"/>
    <xf numFmtId="0" fontId="3" fillId="5" borderId="0" xfId="0" applyFont="1" applyFill="1" applyBorder="1" applyAlignment="1">
      <alignment horizontal="center" wrapText="1"/>
    </xf>
    <xf numFmtId="44" fontId="0" fillId="0" borderId="0" xfId="2" applyNumberFormat="1" applyFont="1" applyFill="1" applyBorder="1"/>
    <xf numFmtId="43" fontId="0" fillId="0" borderId="0" xfId="1" applyFont="1" applyFill="1" applyBorder="1"/>
    <xf numFmtId="0" fontId="63" fillId="0" borderId="0" xfId="345" applyFont="1" applyAlignment="1"/>
    <xf numFmtId="166" fontId="63" fillId="0" borderId="0" xfId="390" applyNumberFormat="1" applyFont="1" applyAlignment="1"/>
    <xf numFmtId="166" fontId="2" fillId="0" borderId="0" xfId="390" applyNumberFormat="1" applyFont="1" applyAlignment="1"/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</cellXfs>
  <cellStyles count="391">
    <cellStyle name="20% - Accent1 2" xfId="40" xr:uid="{00000000-0005-0000-0000-000000000000}"/>
    <cellStyle name="20% - Accent1 2 2" xfId="300" xr:uid="{00000000-0005-0000-0000-000001000000}"/>
    <cellStyle name="20% - Accent1 3" xfId="39" xr:uid="{00000000-0005-0000-0000-000002000000}"/>
    <cellStyle name="20% - Accent1 3 2" xfId="301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2" xr:uid="{00000000-0005-0000-0000-000009000000}"/>
    <cellStyle name="20% - Accent4 3" xfId="45" xr:uid="{00000000-0005-0000-0000-00000A000000}"/>
    <cellStyle name="20% - Accent4 3 2" xfId="303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4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5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6" xr:uid="{00000000-0005-0000-0000-00001E000000}"/>
    <cellStyle name="60% - Accent1 2" xfId="64" xr:uid="{00000000-0005-0000-0000-00001F000000}"/>
    <cellStyle name="60% - Accent1 2 2" xfId="307" xr:uid="{00000000-0005-0000-0000-000020000000}"/>
    <cellStyle name="60% - Accent1 3" xfId="63" xr:uid="{00000000-0005-0000-0000-000021000000}"/>
    <cellStyle name="60% - Accent1 3 2" xfId="308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09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0" xr:uid="{00000000-0005-0000-0000-00002A000000}"/>
    <cellStyle name="60% - Accent5 2" xfId="72" xr:uid="{00000000-0005-0000-0000-00002B000000}"/>
    <cellStyle name="60% - Accent5 2 2" xfId="311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2" xr:uid="{00000000-0005-0000-0000-000031000000}"/>
    <cellStyle name="Accent1 3" xfId="75" xr:uid="{00000000-0005-0000-0000-000032000000}"/>
    <cellStyle name="Accent1 3 2" xfId="313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4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5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6" xr:uid="{00000000-0005-0000-0000-00004B000000}"/>
    <cellStyle name="Calculation 3" xfId="97" xr:uid="{00000000-0005-0000-0000-00004C000000}"/>
    <cellStyle name="Calculation 3 2" xfId="317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8" xr:uid="{00000000-0005-0000-0000-00005B000000}"/>
    <cellStyle name="Comma 18" xfId="319" xr:uid="{00000000-0005-0000-0000-00005C000000}"/>
    <cellStyle name="Comma 19" xfId="320" xr:uid="{00000000-0005-0000-0000-00005D000000}"/>
    <cellStyle name="Comma 2" xfId="5" xr:uid="{00000000-0005-0000-0000-00005E000000}"/>
    <cellStyle name="Comma 2 2" xfId="6" xr:uid="{00000000-0005-0000-0000-00005F000000}"/>
    <cellStyle name="Comma 2 2 2" xfId="321" xr:uid="{00000000-0005-0000-0000-000060000000}"/>
    <cellStyle name="Comma 2 3" xfId="105" xr:uid="{00000000-0005-0000-0000-000061000000}"/>
    <cellStyle name="Comma 2 4" xfId="322" xr:uid="{00000000-0005-0000-0000-000062000000}"/>
    <cellStyle name="Comma 2 6" xfId="7" xr:uid="{00000000-0005-0000-0000-000063000000}"/>
    <cellStyle name="Comma 2 6 2" xfId="8" xr:uid="{00000000-0005-0000-0000-000064000000}"/>
    <cellStyle name="Comma 20" xfId="371" xr:uid="{00000000-0005-0000-0000-000065000000}"/>
    <cellStyle name="Comma 3" xfId="9" xr:uid="{00000000-0005-0000-0000-000066000000}"/>
    <cellStyle name="Comma 3 2" xfId="106" xr:uid="{00000000-0005-0000-0000-000067000000}"/>
    <cellStyle name="Comma 3 2 2" xfId="107" xr:uid="{00000000-0005-0000-0000-000068000000}"/>
    <cellStyle name="Comma 3 3" xfId="287" xr:uid="{00000000-0005-0000-0000-000069000000}"/>
    <cellStyle name="Comma 3 4" xfId="323" xr:uid="{00000000-0005-0000-0000-00006A000000}"/>
    <cellStyle name="Comma 4" xfId="108" xr:uid="{00000000-0005-0000-0000-00006B000000}"/>
    <cellStyle name="Comma 4 2" xfId="109" xr:uid="{00000000-0005-0000-0000-00006C000000}"/>
    <cellStyle name="Comma 4 2 2" xfId="288" xr:uid="{00000000-0005-0000-0000-00006D000000}"/>
    <cellStyle name="Comma 4 3" xfId="110" xr:uid="{00000000-0005-0000-0000-00006E000000}"/>
    <cellStyle name="Comma 4 3 2" xfId="289" xr:uid="{00000000-0005-0000-0000-00006F000000}"/>
    <cellStyle name="Comma 4 4" xfId="290" xr:uid="{00000000-0005-0000-0000-000070000000}"/>
    <cellStyle name="Comma 4 5" xfId="111" xr:uid="{00000000-0005-0000-0000-000071000000}"/>
    <cellStyle name="Comma 4 6" xfId="280" xr:uid="{00000000-0005-0000-0000-000072000000}"/>
    <cellStyle name="Comma 5" xfId="112" xr:uid="{00000000-0005-0000-0000-000073000000}"/>
    <cellStyle name="Comma 6" xfId="113" xr:uid="{00000000-0005-0000-0000-000074000000}"/>
    <cellStyle name="Comma 6 2" xfId="324" xr:uid="{00000000-0005-0000-0000-000075000000}"/>
    <cellStyle name="Comma 7" xfId="114" xr:uid="{00000000-0005-0000-0000-000076000000}"/>
    <cellStyle name="Comma 7 2" xfId="390" xr:uid="{55D0F51E-403F-47DB-A9E6-87CC3C81E119}"/>
    <cellStyle name="Comma 8" xfId="115" xr:uid="{00000000-0005-0000-0000-000077000000}"/>
    <cellStyle name="Comma 9" xfId="116" xr:uid="{00000000-0005-0000-0000-000078000000}"/>
    <cellStyle name="Comma(2)" xfId="117" xr:uid="{00000000-0005-0000-0000-000079000000}"/>
    <cellStyle name="Comma0 - Style2" xfId="118" xr:uid="{00000000-0005-0000-0000-00007A000000}"/>
    <cellStyle name="Comma1 - Style1" xfId="119" xr:uid="{00000000-0005-0000-0000-00007B000000}"/>
    <cellStyle name="Comments" xfId="120" xr:uid="{00000000-0005-0000-0000-00007C000000}"/>
    <cellStyle name="Currency" xfId="2" builtinId="4"/>
    <cellStyle name="Currency 10" xfId="325" xr:uid="{00000000-0005-0000-0000-00007E000000}"/>
    <cellStyle name="Currency 11" xfId="372" xr:uid="{00000000-0005-0000-0000-00007F000000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6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7" xr:uid="{00000000-0005-0000-0000-000092000000}"/>
    <cellStyle name="Currency 9" xfId="328" xr:uid="{00000000-0005-0000-0000-000093000000}"/>
    <cellStyle name="Data Enter" xfId="126" xr:uid="{00000000-0005-0000-0000-000094000000}"/>
    <cellStyle name="date" xfId="329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0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1" xr:uid="{00000000-0005-0000-0000-00009D000000}"/>
    <cellStyle name="Heading 1 3" xfId="132" xr:uid="{00000000-0005-0000-0000-00009E000000}"/>
    <cellStyle name="Heading 1 3 2" xfId="332" xr:uid="{00000000-0005-0000-0000-00009F000000}"/>
    <cellStyle name="Heading 2 2" xfId="135" xr:uid="{00000000-0005-0000-0000-0000A0000000}"/>
    <cellStyle name="Heading 2 2 2" xfId="333" xr:uid="{00000000-0005-0000-0000-0000A1000000}"/>
    <cellStyle name="Heading 2 3" xfId="134" xr:uid="{00000000-0005-0000-0000-0000A2000000}"/>
    <cellStyle name="Heading 2 3 2" xfId="334" xr:uid="{00000000-0005-0000-0000-0000A3000000}"/>
    <cellStyle name="Heading 3 2" xfId="137" xr:uid="{00000000-0005-0000-0000-0000A4000000}"/>
    <cellStyle name="Heading 3 2 2" xfId="335" xr:uid="{00000000-0005-0000-0000-0000A5000000}"/>
    <cellStyle name="Heading 3 3" xfId="136" xr:uid="{00000000-0005-0000-0000-0000A6000000}"/>
    <cellStyle name="Heading 3 3 2" xfId="336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7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38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0" xr:uid="{00000000-0005-0000-0000-0000C0000000}"/>
    <cellStyle name="Normal 10 2 3" xfId="339" xr:uid="{00000000-0005-0000-0000-0000C1000000}"/>
    <cellStyle name="Normal 10_2112 DF Schedule" xfId="341" xr:uid="{00000000-0005-0000-0000-0000C2000000}"/>
    <cellStyle name="Normal 100" xfId="381" xr:uid="{00000000-0005-0000-0000-0000C3000000}"/>
    <cellStyle name="Normal 101" xfId="383" xr:uid="{00000000-0005-0000-0000-0000C4000000}"/>
    <cellStyle name="Normal 102" xfId="384" xr:uid="{00000000-0005-0000-0000-0000C5000000}"/>
    <cellStyle name="Normal 103" xfId="385" xr:uid="{00000000-0005-0000-0000-0000C6000000}"/>
    <cellStyle name="Normal 104" xfId="386" xr:uid="{00000000-0005-0000-0000-0000C7000000}"/>
    <cellStyle name="Normal 105" xfId="382" xr:uid="{00000000-0005-0000-0000-0000C8000000}"/>
    <cellStyle name="Normal 106" xfId="387" xr:uid="{00000000-0005-0000-0000-0000C9000000}"/>
    <cellStyle name="Normal 107" xfId="388" xr:uid="{00000000-0005-0000-0000-0000CA000000}"/>
    <cellStyle name="Normal 108" xfId="389" xr:uid="{00000000-0005-0000-0000-0000CB000000}"/>
    <cellStyle name="Normal 11" xfId="157" xr:uid="{00000000-0005-0000-0000-0000CC000000}"/>
    <cellStyle name="Normal 12" xfId="158" xr:uid="{00000000-0005-0000-0000-0000CD000000}"/>
    <cellStyle name="Normal 12 2" xfId="342" xr:uid="{00000000-0005-0000-0000-0000CE000000}"/>
    <cellStyle name="Normal 13" xfId="159" xr:uid="{00000000-0005-0000-0000-0000CF000000}"/>
    <cellStyle name="Normal 13 2" xfId="343" xr:uid="{00000000-0005-0000-0000-0000D0000000}"/>
    <cellStyle name="Normal 14" xfId="160" xr:uid="{00000000-0005-0000-0000-0000D1000000}"/>
    <cellStyle name="Normal 14 2" xfId="344" xr:uid="{00000000-0005-0000-0000-0000D2000000}"/>
    <cellStyle name="Normal 15" xfId="161" xr:uid="{00000000-0005-0000-0000-0000D3000000}"/>
    <cellStyle name="Normal 15 2" xfId="345" xr:uid="{00000000-0005-0000-0000-0000D4000000}"/>
    <cellStyle name="Normal 16" xfId="162" xr:uid="{00000000-0005-0000-0000-0000D5000000}"/>
    <cellStyle name="Normal 16 2" xfId="346" xr:uid="{00000000-0005-0000-0000-0000D6000000}"/>
    <cellStyle name="Normal 17" xfId="163" xr:uid="{00000000-0005-0000-0000-0000D7000000}"/>
    <cellStyle name="Normal 17 2" xfId="347" xr:uid="{00000000-0005-0000-0000-0000D8000000}"/>
    <cellStyle name="Normal 18" xfId="164" xr:uid="{00000000-0005-0000-0000-0000D9000000}"/>
    <cellStyle name="Normal 18 2" xfId="348" xr:uid="{00000000-0005-0000-0000-0000DA000000}"/>
    <cellStyle name="Normal 19" xfId="165" xr:uid="{00000000-0005-0000-0000-0000DB000000}"/>
    <cellStyle name="Normal 19 2" xfId="349" xr:uid="{00000000-0005-0000-0000-0000DC000000}"/>
    <cellStyle name="Normal 2" xfId="18" xr:uid="{00000000-0005-0000-0000-0000DD000000}"/>
    <cellStyle name="Normal 2 2" xfId="19" xr:uid="{00000000-0005-0000-0000-0000DE000000}"/>
    <cellStyle name="Normal 2 2 2" xfId="167" xr:uid="{00000000-0005-0000-0000-0000DF000000}"/>
    <cellStyle name="Normal 2 2 3" xfId="166" xr:uid="{00000000-0005-0000-0000-0000E0000000}"/>
    <cellStyle name="Normal 2 2_Actual_Fuel" xfId="168" xr:uid="{00000000-0005-0000-0000-0000E1000000}"/>
    <cellStyle name="Normal 2 3" xfId="169" xr:uid="{00000000-0005-0000-0000-0000E2000000}"/>
    <cellStyle name="Normal 2 3 2" xfId="170" xr:uid="{00000000-0005-0000-0000-0000E3000000}"/>
    <cellStyle name="Normal 2 3 3" xfId="296" xr:uid="{00000000-0005-0000-0000-0000E4000000}"/>
    <cellStyle name="Normal 2 4" xfId="297" xr:uid="{00000000-0005-0000-0000-0000E5000000}"/>
    <cellStyle name="Normal 2 5" xfId="298" xr:uid="{00000000-0005-0000-0000-0000E6000000}"/>
    <cellStyle name="Normal 2_2012-10" xfId="171" xr:uid="{00000000-0005-0000-0000-0000E7000000}"/>
    <cellStyle name="Normal 20" xfId="172" xr:uid="{00000000-0005-0000-0000-0000E8000000}"/>
    <cellStyle name="Normal 21" xfId="173" xr:uid="{00000000-0005-0000-0000-0000E9000000}"/>
    <cellStyle name="Normal 22" xfId="174" xr:uid="{00000000-0005-0000-0000-0000EA000000}"/>
    <cellStyle name="Normal 23" xfId="175" xr:uid="{00000000-0005-0000-0000-0000EB000000}"/>
    <cellStyle name="Normal 24" xfId="176" xr:uid="{00000000-0005-0000-0000-0000EC000000}"/>
    <cellStyle name="Normal 25" xfId="177" xr:uid="{00000000-0005-0000-0000-0000ED000000}"/>
    <cellStyle name="Normal 26" xfId="178" xr:uid="{00000000-0005-0000-0000-0000EE000000}"/>
    <cellStyle name="Normal 27" xfId="179" xr:uid="{00000000-0005-0000-0000-0000EF000000}"/>
    <cellStyle name="Normal 28" xfId="180" xr:uid="{00000000-0005-0000-0000-0000F0000000}"/>
    <cellStyle name="Normal 29" xfId="181" xr:uid="{00000000-0005-0000-0000-0000F1000000}"/>
    <cellStyle name="Normal 3" xfId="20" xr:uid="{00000000-0005-0000-0000-0000F2000000}"/>
    <cellStyle name="Normal 3 2" xfId="183" xr:uid="{00000000-0005-0000-0000-0000F3000000}"/>
    <cellStyle name="Normal 3 3" xfId="182" xr:uid="{00000000-0005-0000-0000-0000F4000000}"/>
    <cellStyle name="Normal 3 4" xfId="281" xr:uid="{00000000-0005-0000-0000-0000F5000000}"/>
    <cellStyle name="Normal 3_2012 PR" xfId="184" xr:uid="{00000000-0005-0000-0000-0000F6000000}"/>
    <cellStyle name="Normal 30" xfId="185" xr:uid="{00000000-0005-0000-0000-0000F7000000}"/>
    <cellStyle name="Normal 31" xfId="186" xr:uid="{00000000-0005-0000-0000-0000F8000000}"/>
    <cellStyle name="Normal 32" xfId="187" xr:uid="{00000000-0005-0000-0000-0000F9000000}"/>
    <cellStyle name="Normal 33" xfId="188" xr:uid="{00000000-0005-0000-0000-0000FA000000}"/>
    <cellStyle name="Normal 34" xfId="189" xr:uid="{00000000-0005-0000-0000-0000FB000000}"/>
    <cellStyle name="Normal 35" xfId="190" xr:uid="{00000000-0005-0000-0000-0000FC000000}"/>
    <cellStyle name="Normal 36" xfId="191" xr:uid="{00000000-0005-0000-0000-0000FD000000}"/>
    <cellStyle name="Normal 37" xfId="192" xr:uid="{00000000-0005-0000-0000-0000FE000000}"/>
    <cellStyle name="Normal 38" xfId="193" xr:uid="{00000000-0005-0000-0000-0000FF000000}"/>
    <cellStyle name="Normal 39" xfId="194" xr:uid="{00000000-0005-0000-0000-000000010000}"/>
    <cellStyle name="Normal 4" xfId="21" xr:uid="{00000000-0005-0000-0000-000001010000}"/>
    <cellStyle name="Normal 4 2" xfId="195" xr:uid="{00000000-0005-0000-0000-000002010000}"/>
    <cellStyle name="Normal 40" xfId="196" xr:uid="{00000000-0005-0000-0000-000003010000}"/>
    <cellStyle name="Normal 41" xfId="197" xr:uid="{00000000-0005-0000-0000-000004010000}"/>
    <cellStyle name="Normal 42" xfId="198" xr:uid="{00000000-0005-0000-0000-000005010000}"/>
    <cellStyle name="Normal 43" xfId="199" xr:uid="{00000000-0005-0000-0000-000006010000}"/>
    <cellStyle name="Normal 44" xfId="200" xr:uid="{00000000-0005-0000-0000-000007010000}"/>
    <cellStyle name="Normal 45" xfId="201" xr:uid="{00000000-0005-0000-0000-000008010000}"/>
    <cellStyle name="Normal 46" xfId="202" xr:uid="{00000000-0005-0000-0000-000009010000}"/>
    <cellStyle name="Normal 47" xfId="203" xr:uid="{00000000-0005-0000-0000-00000A010000}"/>
    <cellStyle name="Normal 48" xfId="204" xr:uid="{00000000-0005-0000-0000-00000B010000}"/>
    <cellStyle name="Normal 49" xfId="205" xr:uid="{00000000-0005-0000-0000-00000C010000}"/>
    <cellStyle name="Normal 5" xfId="22" xr:uid="{00000000-0005-0000-0000-00000D010000}"/>
    <cellStyle name="Normal 5 2" xfId="206" xr:uid="{00000000-0005-0000-0000-00000E010000}"/>
    <cellStyle name="Normal 5_2112 DF Schedule" xfId="350" xr:uid="{00000000-0005-0000-0000-00000F010000}"/>
    <cellStyle name="Normal 50" xfId="207" xr:uid="{00000000-0005-0000-0000-000010010000}"/>
    <cellStyle name="Normal 51" xfId="208" xr:uid="{00000000-0005-0000-0000-000011010000}"/>
    <cellStyle name="Normal 52" xfId="209" xr:uid="{00000000-0005-0000-0000-000012010000}"/>
    <cellStyle name="Normal 53" xfId="210" xr:uid="{00000000-0005-0000-0000-000013010000}"/>
    <cellStyle name="Normal 54" xfId="211" xr:uid="{00000000-0005-0000-0000-000014010000}"/>
    <cellStyle name="Normal 55" xfId="212" xr:uid="{00000000-0005-0000-0000-000015010000}"/>
    <cellStyle name="Normal 56" xfId="213" xr:uid="{00000000-0005-0000-0000-000016010000}"/>
    <cellStyle name="Normal 57" xfId="214" xr:uid="{00000000-0005-0000-0000-000017010000}"/>
    <cellStyle name="Normal 58" xfId="215" xr:uid="{00000000-0005-0000-0000-000018010000}"/>
    <cellStyle name="Normal 59" xfId="216" xr:uid="{00000000-0005-0000-0000-000019010000}"/>
    <cellStyle name="Normal 6" xfId="23" xr:uid="{00000000-0005-0000-0000-00001A010000}"/>
    <cellStyle name="Normal 6 2" xfId="217" xr:uid="{00000000-0005-0000-0000-00001B010000}"/>
    <cellStyle name="Normal 60" xfId="218" xr:uid="{00000000-0005-0000-0000-00001C010000}"/>
    <cellStyle name="Normal 61" xfId="219" xr:uid="{00000000-0005-0000-0000-00001D010000}"/>
    <cellStyle name="Normal 62" xfId="220" xr:uid="{00000000-0005-0000-0000-00001E010000}"/>
    <cellStyle name="Normal 63" xfId="221" xr:uid="{00000000-0005-0000-0000-00001F010000}"/>
    <cellStyle name="Normal 64" xfId="222" xr:uid="{00000000-0005-0000-0000-000020010000}"/>
    <cellStyle name="Normal 65" xfId="223" xr:uid="{00000000-0005-0000-0000-000021010000}"/>
    <cellStyle name="Normal 66" xfId="224" xr:uid="{00000000-0005-0000-0000-000022010000}"/>
    <cellStyle name="Normal 67" xfId="225" xr:uid="{00000000-0005-0000-0000-000023010000}"/>
    <cellStyle name="Normal 68" xfId="226" xr:uid="{00000000-0005-0000-0000-000024010000}"/>
    <cellStyle name="Normal 69" xfId="227" xr:uid="{00000000-0005-0000-0000-000025010000}"/>
    <cellStyle name="Normal 7" xfId="228" xr:uid="{00000000-0005-0000-0000-000026010000}"/>
    <cellStyle name="Normal 70" xfId="229" xr:uid="{00000000-0005-0000-0000-000027010000}"/>
    <cellStyle name="Normal 71" xfId="230" xr:uid="{00000000-0005-0000-0000-000028010000}"/>
    <cellStyle name="Normal 72" xfId="231" xr:uid="{00000000-0005-0000-0000-000029010000}"/>
    <cellStyle name="Normal 73" xfId="232" xr:uid="{00000000-0005-0000-0000-00002A010000}"/>
    <cellStyle name="Normal 74" xfId="233" xr:uid="{00000000-0005-0000-0000-00002B010000}"/>
    <cellStyle name="Normal 75" xfId="234" xr:uid="{00000000-0005-0000-0000-00002C010000}"/>
    <cellStyle name="Normal 76" xfId="235" xr:uid="{00000000-0005-0000-0000-00002D010000}"/>
    <cellStyle name="Normal 77" xfId="236" xr:uid="{00000000-0005-0000-0000-00002E010000}"/>
    <cellStyle name="Normal 78" xfId="237" xr:uid="{00000000-0005-0000-0000-00002F010000}"/>
    <cellStyle name="Normal 79" xfId="238" xr:uid="{00000000-0005-0000-0000-000030010000}"/>
    <cellStyle name="Normal 8" xfId="239" xr:uid="{00000000-0005-0000-0000-000031010000}"/>
    <cellStyle name="Normal 80" xfId="240" xr:uid="{00000000-0005-0000-0000-000032010000}"/>
    <cellStyle name="Normal 81" xfId="241" xr:uid="{00000000-0005-0000-0000-000033010000}"/>
    <cellStyle name="Normal 82" xfId="242" xr:uid="{00000000-0005-0000-0000-000034010000}"/>
    <cellStyle name="Normal 83" xfId="243" xr:uid="{00000000-0005-0000-0000-000035010000}"/>
    <cellStyle name="Normal 84" xfId="38" xr:uid="{00000000-0005-0000-0000-000036010000}"/>
    <cellStyle name="Normal 84 2" xfId="278" xr:uid="{00000000-0005-0000-0000-000037010000}"/>
    <cellStyle name="Normal 84 3" xfId="351" xr:uid="{00000000-0005-0000-0000-000038010000}"/>
    <cellStyle name="Normal 85" xfId="252" xr:uid="{00000000-0005-0000-0000-000039010000}"/>
    <cellStyle name="Normal 86" xfId="270" xr:uid="{00000000-0005-0000-0000-00003A010000}"/>
    <cellStyle name="Normal 87" xfId="271" xr:uid="{00000000-0005-0000-0000-00003B010000}"/>
    <cellStyle name="Normal 88" xfId="272" xr:uid="{00000000-0005-0000-0000-00003C010000}"/>
    <cellStyle name="Normal 89" xfId="273" xr:uid="{00000000-0005-0000-0000-00003D010000}"/>
    <cellStyle name="Normal 9" xfId="244" xr:uid="{00000000-0005-0000-0000-00003E010000}"/>
    <cellStyle name="Normal 90" xfId="274" xr:uid="{00000000-0005-0000-0000-00003F010000}"/>
    <cellStyle name="Normal 91" xfId="279" xr:uid="{00000000-0005-0000-0000-000040010000}"/>
    <cellStyle name="Normal 92" xfId="370" xr:uid="{00000000-0005-0000-0000-000041010000}"/>
    <cellStyle name="Normal 93" xfId="374" xr:uid="{00000000-0005-0000-0000-000042010000}"/>
    <cellStyle name="Normal 94" xfId="375" xr:uid="{00000000-0005-0000-0000-000043010000}"/>
    <cellStyle name="Normal 95" xfId="376" xr:uid="{00000000-0005-0000-0000-000044010000}"/>
    <cellStyle name="Normal 96" xfId="377" xr:uid="{00000000-0005-0000-0000-000045010000}"/>
    <cellStyle name="Normal 97" xfId="378" xr:uid="{00000000-0005-0000-0000-000046010000}"/>
    <cellStyle name="Normal 98" xfId="379" xr:uid="{00000000-0005-0000-0000-000047010000}"/>
    <cellStyle name="Normal 99" xfId="380" xr:uid="{00000000-0005-0000-0000-000048010000}"/>
    <cellStyle name="Normal_Murrey's Jan-Dec 2012" xfId="299" xr:uid="{00000000-0005-0000-0000-000049010000}"/>
    <cellStyle name="Normal_Price out" xfId="4" xr:uid="{00000000-0005-0000-0000-00004A010000}"/>
    <cellStyle name="Note 2" xfId="246" xr:uid="{00000000-0005-0000-0000-00004B010000}"/>
    <cellStyle name="Note 2 2" xfId="352" xr:uid="{00000000-0005-0000-0000-00004C010000}"/>
    <cellStyle name="Note 3" xfId="245" xr:uid="{00000000-0005-0000-0000-00004D010000}"/>
    <cellStyle name="Note 3 2" xfId="353" xr:uid="{00000000-0005-0000-0000-00004E010000}"/>
    <cellStyle name="Notes" xfId="247" xr:uid="{00000000-0005-0000-0000-00004F010000}"/>
    <cellStyle name="Output 2" xfId="249" xr:uid="{00000000-0005-0000-0000-000050010000}"/>
    <cellStyle name="Output 3" xfId="248" xr:uid="{00000000-0005-0000-0000-000051010000}"/>
    <cellStyle name="Percent" xfId="3" builtinId="5"/>
    <cellStyle name="Percent 2" xfId="24" xr:uid="{00000000-0005-0000-0000-000053010000}"/>
    <cellStyle name="Percent 2 2" xfId="25" xr:uid="{00000000-0005-0000-0000-000054010000}"/>
    <cellStyle name="Percent 2 2 2" xfId="251" xr:uid="{00000000-0005-0000-0000-000055010000}"/>
    <cellStyle name="Percent 2 3" xfId="354" xr:uid="{00000000-0005-0000-0000-000056010000}"/>
    <cellStyle name="Percent 2 6" xfId="26" xr:uid="{00000000-0005-0000-0000-000057010000}"/>
    <cellStyle name="Percent 3" xfId="27" xr:uid="{00000000-0005-0000-0000-000058010000}"/>
    <cellStyle name="Percent 3 2" xfId="28" xr:uid="{00000000-0005-0000-0000-000059010000}"/>
    <cellStyle name="Percent 4" xfId="29" xr:uid="{00000000-0005-0000-0000-00005A010000}"/>
    <cellStyle name="Percent 4 2" xfId="356" xr:uid="{00000000-0005-0000-0000-00005B010000}"/>
    <cellStyle name="Percent 4 3" xfId="355" xr:uid="{00000000-0005-0000-0000-00005C010000}"/>
    <cellStyle name="Percent 5" xfId="253" xr:uid="{00000000-0005-0000-0000-00005D010000}"/>
    <cellStyle name="Percent 6" xfId="254" xr:uid="{00000000-0005-0000-0000-00005E010000}"/>
    <cellStyle name="Percent 7" xfId="250" xr:uid="{00000000-0005-0000-0000-00005F010000}"/>
    <cellStyle name="Percent 7 2" xfId="275" xr:uid="{00000000-0005-0000-0000-000060010000}"/>
    <cellStyle name="Percent 7 3" xfId="357" xr:uid="{00000000-0005-0000-0000-000061010000}"/>
    <cellStyle name="Percent 8" xfId="358" xr:uid="{00000000-0005-0000-0000-000062010000}"/>
    <cellStyle name="Percent 9" xfId="373" xr:uid="{00000000-0005-0000-0000-000063010000}"/>
    <cellStyle name="Percent(1)" xfId="255" xr:uid="{00000000-0005-0000-0000-000064010000}"/>
    <cellStyle name="Percent(2)" xfId="256" xr:uid="{00000000-0005-0000-0000-000065010000}"/>
    <cellStyle name="PRM" xfId="257" xr:uid="{00000000-0005-0000-0000-000066010000}"/>
    <cellStyle name="PRM 2" xfId="258" xr:uid="{00000000-0005-0000-0000-000067010000}"/>
    <cellStyle name="PRM 3" xfId="259" xr:uid="{00000000-0005-0000-0000-000068010000}"/>
    <cellStyle name="PRM_2011-11" xfId="260" xr:uid="{00000000-0005-0000-0000-000069010000}"/>
    <cellStyle name="PS_Comma" xfId="30" xr:uid="{00000000-0005-0000-0000-00006A010000}"/>
    <cellStyle name="PSChar" xfId="31" xr:uid="{00000000-0005-0000-0000-00006B010000}"/>
    <cellStyle name="PSDate" xfId="32" xr:uid="{00000000-0005-0000-0000-00006C010000}"/>
    <cellStyle name="PSDec" xfId="33" xr:uid="{00000000-0005-0000-0000-00006D010000}"/>
    <cellStyle name="PSHeading" xfId="34" xr:uid="{00000000-0005-0000-0000-00006E010000}"/>
    <cellStyle name="PSInt" xfId="35" xr:uid="{00000000-0005-0000-0000-00006F010000}"/>
    <cellStyle name="PSSpacer" xfId="36" xr:uid="{00000000-0005-0000-0000-000070010000}"/>
    <cellStyle name="STYL0 - Style1" xfId="359" xr:uid="{00000000-0005-0000-0000-000071010000}"/>
    <cellStyle name="STYL1 - Style2" xfId="360" xr:uid="{00000000-0005-0000-0000-000072010000}"/>
    <cellStyle name="STYL2 - Style3" xfId="361" xr:uid="{00000000-0005-0000-0000-000073010000}"/>
    <cellStyle name="STYL3 - Style4" xfId="362" xr:uid="{00000000-0005-0000-0000-000074010000}"/>
    <cellStyle name="STYL4 - Style5" xfId="363" xr:uid="{00000000-0005-0000-0000-000075010000}"/>
    <cellStyle name="STYL5 - Style6" xfId="364" xr:uid="{00000000-0005-0000-0000-000076010000}"/>
    <cellStyle name="STYL6 - Style7" xfId="365" xr:uid="{00000000-0005-0000-0000-000077010000}"/>
    <cellStyle name="STYL7 - Style8" xfId="366" xr:uid="{00000000-0005-0000-0000-000078010000}"/>
    <cellStyle name="Style 1" xfId="261" xr:uid="{00000000-0005-0000-0000-000079010000}"/>
    <cellStyle name="Style 1 2" xfId="262" xr:uid="{00000000-0005-0000-0000-00007A010000}"/>
    <cellStyle name="STYLE1" xfId="263" xr:uid="{00000000-0005-0000-0000-00007B010000}"/>
    <cellStyle name="sub heading" xfId="367" xr:uid="{00000000-0005-0000-0000-00007C010000}"/>
    <cellStyle name="Title 2" xfId="265" xr:uid="{00000000-0005-0000-0000-00007D010000}"/>
    <cellStyle name="Title 3" xfId="264" xr:uid="{00000000-0005-0000-0000-00007E010000}"/>
    <cellStyle name="Total 2" xfId="267" xr:uid="{00000000-0005-0000-0000-00007F010000}"/>
    <cellStyle name="Total 2 2" xfId="368" xr:uid="{00000000-0005-0000-0000-000080010000}"/>
    <cellStyle name="Total 3" xfId="266" xr:uid="{00000000-0005-0000-0000-000081010000}"/>
    <cellStyle name="Total 3 2" xfId="369" xr:uid="{00000000-0005-0000-0000-000082010000}"/>
    <cellStyle name="Warning Text 2" xfId="269" xr:uid="{00000000-0005-0000-0000-000083010000}"/>
    <cellStyle name="Warning Text 3" xfId="268" xr:uid="{00000000-0005-0000-0000-000084010000}"/>
    <cellStyle name="WM_STANDARD" xfId="37" xr:uid="{00000000-0005-0000-0000-00008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opLeftCell="A40" workbookViewId="0">
      <selection activeCell="D11" sqref="D11"/>
    </sheetView>
  </sheetViews>
  <sheetFormatPr defaultRowHeight="15"/>
  <cols>
    <col min="1" max="1" width="39.5703125" style="3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47" t="s">
        <v>17</v>
      </c>
      <c r="B1" s="147"/>
      <c r="C1" s="147"/>
      <c r="D1" s="147"/>
      <c r="E1" s="147"/>
      <c r="F1" s="147"/>
      <c r="G1" s="147"/>
      <c r="H1" s="147"/>
    </row>
    <row r="2" spans="1:8">
      <c r="A2" s="3" t="s">
        <v>52</v>
      </c>
      <c r="B2" s="16" t="s">
        <v>39</v>
      </c>
      <c r="C2" s="16" t="s">
        <v>40</v>
      </c>
      <c r="D2" s="16" t="s">
        <v>41</v>
      </c>
      <c r="E2" s="17" t="s">
        <v>43</v>
      </c>
      <c r="F2" s="17" t="s">
        <v>44</v>
      </c>
      <c r="G2" s="17" t="s">
        <v>45</v>
      </c>
      <c r="H2" s="16" t="s">
        <v>48</v>
      </c>
    </row>
    <row r="3" spans="1:8">
      <c r="A3" s="3" t="s">
        <v>49</v>
      </c>
      <c r="B3" s="1">
        <f>52*5/12</f>
        <v>21.666666666666668</v>
      </c>
      <c r="C3" s="18">
        <f>$B$3*2</f>
        <v>43.333333333333336</v>
      </c>
      <c r="D3" s="18">
        <f>$B$3*3</f>
        <v>65</v>
      </c>
      <c r="E3" s="18">
        <f>$B$3*4</f>
        <v>86.666666666666671</v>
      </c>
      <c r="F3" s="18">
        <f>$B$3*5</f>
        <v>108.33333333333334</v>
      </c>
      <c r="G3" s="18">
        <f>$B$3*6</f>
        <v>130</v>
      </c>
      <c r="H3" s="18">
        <f>$B$3*7</f>
        <v>151.66666666666669</v>
      </c>
    </row>
    <row r="4" spans="1:8">
      <c r="A4" s="3" t="s">
        <v>81</v>
      </c>
      <c r="B4" s="1">
        <f>52*4/12</f>
        <v>17.333333333333332</v>
      </c>
      <c r="C4" s="18">
        <f>$B$4*2</f>
        <v>34.666666666666664</v>
      </c>
      <c r="D4" s="18">
        <f>$B$4*3</f>
        <v>52</v>
      </c>
      <c r="E4" s="18">
        <f>$B$4*4</f>
        <v>69.333333333333329</v>
      </c>
      <c r="F4" s="18">
        <f>$B$4*5</f>
        <v>86.666666666666657</v>
      </c>
      <c r="G4" s="18">
        <f>$B$4*6</f>
        <v>104</v>
      </c>
      <c r="H4" s="18">
        <f>$B$4*7</f>
        <v>121.33333333333333</v>
      </c>
    </row>
    <row r="5" spans="1:8">
      <c r="A5" s="3" t="s">
        <v>50</v>
      </c>
      <c r="B5" s="1">
        <f>52*3/12</f>
        <v>13</v>
      </c>
      <c r="C5" s="18">
        <f>$B$5*2</f>
        <v>26</v>
      </c>
      <c r="D5" s="18">
        <f>$B$5*3</f>
        <v>39</v>
      </c>
      <c r="E5" s="18">
        <f>$B$5*4</f>
        <v>52</v>
      </c>
      <c r="F5" s="18">
        <f>$B$5*5</f>
        <v>65</v>
      </c>
      <c r="G5" s="18">
        <f>$B$5*6</f>
        <v>78</v>
      </c>
      <c r="H5" s="18">
        <f>$B$5*7</f>
        <v>91</v>
      </c>
    </row>
    <row r="6" spans="1:8">
      <c r="A6" s="3" t="s">
        <v>51</v>
      </c>
      <c r="B6" s="1">
        <f>52*2/12</f>
        <v>8.6666666666666661</v>
      </c>
      <c r="C6" s="19">
        <f>$B$6*2</f>
        <v>17.333333333333332</v>
      </c>
      <c r="D6" s="19">
        <f>$B$6*3</f>
        <v>26</v>
      </c>
      <c r="E6" s="19">
        <f>$B$6*4</f>
        <v>34.666666666666664</v>
      </c>
      <c r="F6" s="19">
        <f>$B$6*5</f>
        <v>43.333333333333329</v>
      </c>
      <c r="G6" s="19">
        <f>$B$6*6</f>
        <v>52</v>
      </c>
      <c r="H6" s="19">
        <f>$B$6*7</f>
        <v>60.666666666666664</v>
      </c>
    </row>
    <row r="7" spans="1:8">
      <c r="A7" s="3" t="s">
        <v>20</v>
      </c>
      <c r="B7" s="1">
        <f>52/12</f>
        <v>4.333333333333333</v>
      </c>
      <c r="C7" s="19">
        <f>$B$7*2</f>
        <v>8.6666666666666661</v>
      </c>
      <c r="D7" s="19">
        <f>$B$7*3</f>
        <v>13</v>
      </c>
      <c r="E7" s="19">
        <f>$B$7*4</f>
        <v>17.333333333333332</v>
      </c>
      <c r="F7" s="19">
        <f>$B$7*5</f>
        <v>21.666666666666664</v>
      </c>
      <c r="G7" s="19">
        <f>$B$7*6</f>
        <v>26</v>
      </c>
      <c r="H7" s="19">
        <f>$B$7*7</f>
        <v>30.333333333333332</v>
      </c>
    </row>
    <row r="8" spans="1:8">
      <c r="A8" s="3" t="s">
        <v>22</v>
      </c>
      <c r="B8" s="1">
        <f>26/12</f>
        <v>2.1666666666666665</v>
      </c>
      <c r="C8" s="19">
        <f>$B$8*2</f>
        <v>4.333333333333333</v>
      </c>
      <c r="D8" s="19">
        <f>$B$8*3</f>
        <v>6.5</v>
      </c>
      <c r="E8" s="19">
        <f>$B$8*4</f>
        <v>8.6666666666666661</v>
      </c>
      <c r="F8" s="19">
        <f>$B$8*5</f>
        <v>10.833333333333332</v>
      </c>
      <c r="G8" s="19">
        <f>$B$8*6</f>
        <v>13</v>
      </c>
      <c r="H8" s="19">
        <f>$B$8*7</f>
        <v>15.166666666666666</v>
      </c>
    </row>
    <row r="9" spans="1:8">
      <c r="A9" s="3" t="s">
        <v>21</v>
      </c>
      <c r="B9" s="1">
        <f>12/12</f>
        <v>1</v>
      </c>
      <c r="C9" s="19">
        <f>$B$9*2</f>
        <v>2</v>
      </c>
      <c r="D9" s="19">
        <f>$B$9*3</f>
        <v>3</v>
      </c>
      <c r="E9" s="19">
        <f>$B$9*4</f>
        <v>4</v>
      </c>
      <c r="F9" s="19">
        <f>$B$9*5</f>
        <v>5</v>
      </c>
      <c r="G9" s="19">
        <f>$B$9*6</f>
        <v>6</v>
      </c>
      <c r="H9" s="19">
        <f>$B$9*7</f>
        <v>7</v>
      </c>
    </row>
    <row r="10" spans="1:8">
      <c r="B10" s="1"/>
      <c r="C10" s="19"/>
      <c r="D10" s="19"/>
      <c r="E10" s="19"/>
      <c r="F10" s="19"/>
      <c r="G10" s="19"/>
      <c r="H10" s="19"/>
    </row>
    <row r="11" spans="1:8">
      <c r="A11" s="147" t="s">
        <v>10</v>
      </c>
      <c r="B11" s="147"/>
      <c r="C11" s="33"/>
      <c r="D11" s="19"/>
      <c r="E11" s="19"/>
      <c r="F11" s="19"/>
      <c r="G11" s="19"/>
      <c r="H11" s="19"/>
    </row>
    <row r="12" spans="1:8">
      <c r="A12" s="31" t="s">
        <v>47</v>
      </c>
      <c r="B12" s="35" t="s">
        <v>77</v>
      </c>
      <c r="C12" s="33"/>
      <c r="D12" s="19"/>
      <c r="E12" s="19"/>
      <c r="F12" s="19"/>
      <c r="G12" s="19"/>
      <c r="H12" s="19"/>
    </row>
    <row r="13" spans="1:8">
      <c r="A13" s="34" t="s">
        <v>78</v>
      </c>
      <c r="B13" s="32">
        <v>20</v>
      </c>
      <c r="C13" s="33"/>
      <c r="D13" s="19"/>
      <c r="E13" s="19"/>
      <c r="F13" s="19"/>
      <c r="G13" s="19"/>
      <c r="H13" s="19"/>
    </row>
    <row r="14" spans="1:8">
      <c r="A14" s="34" t="s">
        <v>53</v>
      </c>
      <c r="B14" s="32">
        <v>34</v>
      </c>
      <c r="C14" s="33"/>
      <c r="D14" s="19"/>
      <c r="E14" s="19"/>
      <c r="F14" s="19"/>
      <c r="G14" s="19"/>
      <c r="H14" s="19"/>
    </row>
    <row r="15" spans="1:8">
      <c r="A15" s="34" t="s">
        <v>54</v>
      </c>
      <c r="B15" s="32">
        <v>51</v>
      </c>
      <c r="C15" s="33"/>
      <c r="D15" s="19"/>
      <c r="E15" s="19"/>
      <c r="F15" s="19"/>
      <c r="G15" s="19"/>
      <c r="H15" s="19"/>
    </row>
    <row r="16" spans="1:8">
      <c r="A16" s="34" t="s">
        <v>55</v>
      </c>
      <c r="B16" s="32">
        <v>77</v>
      </c>
      <c r="C16" s="33"/>
      <c r="D16" s="19"/>
      <c r="E16" s="19"/>
      <c r="F16" s="3" t="s">
        <v>18</v>
      </c>
      <c r="G16" s="12">
        <v>2000</v>
      </c>
      <c r="H16" s="19"/>
    </row>
    <row r="17" spans="1:8">
      <c r="A17" s="34" t="s">
        <v>56</v>
      </c>
      <c r="B17" s="32">
        <v>97</v>
      </c>
      <c r="C17" s="33"/>
      <c r="D17" s="19"/>
      <c r="E17" s="19"/>
      <c r="F17" s="3" t="s">
        <v>19</v>
      </c>
      <c r="G17" s="21" t="s">
        <v>42</v>
      </c>
      <c r="H17" s="19"/>
    </row>
    <row r="18" spans="1:8">
      <c r="A18" s="34" t="s">
        <v>57</v>
      </c>
      <c r="B18" s="32">
        <v>117</v>
      </c>
      <c r="C18" s="33"/>
      <c r="D18" s="19"/>
      <c r="E18" s="19"/>
      <c r="H18" s="19"/>
    </row>
    <row r="19" spans="1:8">
      <c r="A19" s="34" t="s">
        <v>58</v>
      </c>
      <c r="B19" s="32">
        <v>157</v>
      </c>
      <c r="C19" s="33"/>
      <c r="D19" s="19"/>
      <c r="E19" s="19"/>
      <c r="F19" s="14"/>
      <c r="G19" s="15"/>
      <c r="H19" s="19"/>
    </row>
    <row r="20" spans="1:8" s="29" customFormat="1">
      <c r="A20" s="53" t="s">
        <v>91</v>
      </c>
      <c r="B20" s="43">
        <v>37</v>
      </c>
      <c r="C20" s="52" t="s">
        <v>79</v>
      </c>
      <c r="D20" s="33"/>
      <c r="E20" s="33"/>
      <c r="F20" s="14"/>
      <c r="G20" s="15"/>
      <c r="H20" s="33"/>
    </row>
    <row r="21" spans="1:8">
      <c r="A21" s="34" t="s">
        <v>59</v>
      </c>
      <c r="B21" s="32">
        <v>47</v>
      </c>
      <c r="C21" s="33"/>
      <c r="D21" s="19"/>
      <c r="E21" s="19"/>
      <c r="F21" s="19"/>
      <c r="G21" s="19"/>
      <c r="H21" s="19"/>
    </row>
    <row r="22" spans="1:8">
      <c r="A22" s="34" t="s">
        <v>60</v>
      </c>
      <c r="B22" s="32">
        <v>68</v>
      </c>
      <c r="C22" s="33"/>
      <c r="D22" s="19"/>
      <c r="E22" s="19"/>
      <c r="F22" s="19"/>
      <c r="G22" s="19"/>
      <c r="H22" s="19"/>
    </row>
    <row r="23" spans="1:8">
      <c r="A23" s="34" t="s">
        <v>61</v>
      </c>
      <c r="B23" s="32">
        <v>34</v>
      </c>
      <c r="C23" s="33"/>
      <c r="D23" s="19"/>
      <c r="E23" s="19"/>
      <c r="F23" s="19"/>
      <c r="G23" s="19"/>
      <c r="H23" s="19"/>
    </row>
    <row r="24" spans="1:8">
      <c r="A24" s="34" t="s">
        <v>28</v>
      </c>
      <c r="B24" s="32">
        <v>34</v>
      </c>
      <c r="C24" s="33"/>
      <c r="D24" s="19"/>
      <c r="E24" s="19"/>
      <c r="F24" s="19"/>
      <c r="G24" s="19"/>
      <c r="H24" s="19"/>
    </row>
    <row r="25" spans="1:8">
      <c r="A25" s="31" t="s">
        <v>62</v>
      </c>
      <c r="B25" s="32"/>
      <c r="C25" s="33"/>
      <c r="D25" s="19"/>
      <c r="E25" s="19"/>
      <c r="F25" s="19"/>
      <c r="G25" s="19"/>
      <c r="H25" s="19"/>
    </row>
    <row r="26" spans="1:8">
      <c r="A26" s="34" t="s">
        <v>63</v>
      </c>
      <c r="B26" s="32">
        <v>29</v>
      </c>
      <c r="C26" s="33"/>
      <c r="D26" s="19"/>
      <c r="E26" s="19"/>
      <c r="F26" s="19"/>
      <c r="G26" s="19"/>
      <c r="H26" s="19"/>
    </row>
    <row r="27" spans="1:8">
      <c r="A27" s="34" t="s">
        <v>64</v>
      </c>
      <c r="B27" s="32">
        <v>175</v>
      </c>
      <c r="C27" s="33"/>
      <c r="D27" s="19"/>
      <c r="E27" s="19"/>
      <c r="F27" s="19"/>
      <c r="G27" s="19"/>
      <c r="H27" s="19"/>
    </row>
    <row r="28" spans="1:8">
      <c r="A28" s="34" t="s">
        <v>65</v>
      </c>
      <c r="B28" s="32">
        <v>250</v>
      </c>
      <c r="C28" s="33"/>
      <c r="D28" s="19"/>
      <c r="E28" s="19"/>
      <c r="F28" s="19"/>
      <c r="G28" s="19"/>
      <c r="H28" s="19"/>
    </row>
    <row r="29" spans="1:8">
      <c r="A29" s="34" t="s">
        <v>66</v>
      </c>
      <c r="B29" s="32">
        <v>324</v>
      </c>
      <c r="C29" s="33"/>
      <c r="D29" s="19"/>
      <c r="E29" s="19"/>
      <c r="F29" s="19"/>
      <c r="G29" s="19"/>
      <c r="H29" s="19"/>
    </row>
    <row r="30" spans="1:8">
      <c r="A30" s="34" t="s">
        <v>67</v>
      </c>
      <c r="B30" s="32">
        <v>473</v>
      </c>
      <c r="C30" s="33"/>
      <c r="D30" s="19"/>
      <c r="E30" s="19"/>
      <c r="F30" s="19"/>
      <c r="G30" s="19"/>
      <c r="H30" s="19"/>
    </row>
    <row r="31" spans="1:8">
      <c r="A31" s="34" t="s">
        <v>68</v>
      </c>
      <c r="B31" s="32">
        <v>613</v>
      </c>
      <c r="C31" s="33"/>
      <c r="D31" s="19"/>
      <c r="E31" s="19"/>
      <c r="F31" s="19"/>
      <c r="G31" s="19"/>
      <c r="H31" s="19"/>
    </row>
    <row r="32" spans="1:8">
      <c r="A32" s="34" t="s">
        <v>69</v>
      </c>
      <c r="B32" s="32">
        <v>840</v>
      </c>
      <c r="C32" s="33"/>
      <c r="D32" s="19"/>
      <c r="E32" s="19"/>
      <c r="F32" s="19"/>
      <c r="G32" s="19"/>
      <c r="H32" s="19"/>
    </row>
    <row r="33" spans="1:8">
      <c r="A33" s="34" t="s">
        <v>70</v>
      </c>
      <c r="B33" s="32">
        <v>980</v>
      </c>
      <c r="C33" s="33"/>
      <c r="D33" s="19"/>
      <c r="E33" s="19"/>
      <c r="F33" s="19"/>
      <c r="G33" s="19"/>
      <c r="H33" s="19"/>
    </row>
    <row r="34" spans="1:8">
      <c r="A34" s="34" t="s">
        <v>82</v>
      </c>
      <c r="B34" s="32">
        <v>482</v>
      </c>
      <c r="C34" s="33" t="s">
        <v>79</v>
      </c>
      <c r="D34" s="19"/>
      <c r="E34" s="19"/>
      <c r="F34" s="19"/>
      <c r="G34" s="19"/>
      <c r="H34" s="19"/>
    </row>
    <row r="35" spans="1:8">
      <c r="A35" s="34" t="s">
        <v>83</v>
      </c>
      <c r="B35" s="32">
        <v>689</v>
      </c>
      <c r="C35" s="33" t="s">
        <v>79</v>
      </c>
      <c r="D35" s="19"/>
      <c r="E35" s="19"/>
      <c r="F35" s="19"/>
      <c r="G35" s="19"/>
      <c r="H35" s="19"/>
    </row>
    <row r="36" spans="1:8" s="29" customFormat="1">
      <c r="A36" s="34" t="s">
        <v>72</v>
      </c>
      <c r="B36" s="32">
        <v>892</v>
      </c>
      <c r="C36" s="33" t="s">
        <v>79</v>
      </c>
      <c r="D36" s="30"/>
      <c r="E36" s="30"/>
      <c r="F36" s="30"/>
      <c r="G36" s="30"/>
      <c r="H36" s="30"/>
    </row>
    <row r="37" spans="1:8" s="29" customFormat="1">
      <c r="A37" s="34" t="s">
        <v>71</v>
      </c>
      <c r="B37" s="32">
        <v>1301</v>
      </c>
      <c r="C37" s="33"/>
      <c r="D37" s="30"/>
      <c r="E37" s="30"/>
      <c r="F37" s="30"/>
      <c r="G37" s="30"/>
      <c r="H37" s="30"/>
    </row>
    <row r="38" spans="1:8" s="29" customFormat="1">
      <c r="A38" s="34" t="s">
        <v>73</v>
      </c>
      <c r="B38" s="32">
        <v>1686</v>
      </c>
      <c r="C38" s="33"/>
      <c r="D38" s="30"/>
      <c r="E38" s="30"/>
      <c r="F38" s="30"/>
      <c r="G38" s="30"/>
      <c r="H38" s="30"/>
    </row>
    <row r="39" spans="1:8" s="29" customFormat="1">
      <c r="A39" s="34" t="s">
        <v>74</v>
      </c>
      <c r="B39" s="32">
        <v>2046</v>
      </c>
      <c r="C39" s="33"/>
      <c r="D39" s="30"/>
      <c r="E39" s="30"/>
      <c r="F39" s="30"/>
      <c r="G39" s="30"/>
      <c r="H39" s="30"/>
    </row>
    <row r="40" spans="1:8" s="29" customFormat="1">
      <c r="A40" s="34" t="s">
        <v>75</v>
      </c>
      <c r="B40" s="32">
        <v>2310</v>
      </c>
      <c r="C40" s="33"/>
      <c r="D40" s="30"/>
      <c r="E40" s="30"/>
      <c r="F40" s="30"/>
      <c r="G40" s="30"/>
      <c r="H40" s="30"/>
    </row>
    <row r="41" spans="1:8" s="29" customFormat="1">
      <c r="A41" s="34" t="s">
        <v>84</v>
      </c>
      <c r="B41" s="32">
        <v>2800</v>
      </c>
      <c r="C41" s="33" t="s">
        <v>79</v>
      </c>
      <c r="D41" s="30"/>
      <c r="E41" s="30"/>
      <c r="F41" s="30"/>
      <c r="G41" s="30"/>
      <c r="H41" s="30"/>
    </row>
    <row r="42" spans="1:8" s="29" customFormat="1">
      <c r="A42" s="34" t="s">
        <v>76</v>
      </c>
      <c r="B42" s="32">
        <v>125</v>
      </c>
      <c r="C42" s="33"/>
      <c r="D42" s="30"/>
      <c r="E42" s="30"/>
      <c r="F42" s="30"/>
      <c r="G42" s="30"/>
      <c r="H42" s="30"/>
    </row>
    <row r="43" spans="1:8">
      <c r="B43" s="149" t="s">
        <v>85</v>
      </c>
      <c r="C43" s="149"/>
    </row>
    <row r="46" spans="1:8">
      <c r="A46" s="28" t="s">
        <v>86</v>
      </c>
      <c r="B46" s="26" t="s">
        <v>5</v>
      </c>
      <c r="C46" s="26" t="s">
        <v>6</v>
      </c>
      <c r="F46" s="148" t="s">
        <v>24</v>
      </c>
      <c r="G46" s="148"/>
    </row>
    <row r="47" spans="1:8">
      <c r="A47" s="22" t="s">
        <v>7</v>
      </c>
      <c r="B47" s="5">
        <v>27.76</v>
      </c>
      <c r="C47" s="4">
        <f>B47/2000</f>
        <v>1.388E-2</v>
      </c>
      <c r="F47" s="3" t="s">
        <v>25</v>
      </c>
      <c r="G47" s="8">
        <v>1.7500000000000002E-2</v>
      </c>
    </row>
    <row r="48" spans="1:8">
      <c r="A48" s="22" t="s">
        <v>8</v>
      </c>
      <c r="B48" s="6">
        <v>47.62</v>
      </c>
      <c r="C48" s="7">
        <f>B48/2000</f>
        <v>2.3809999999999998E-2</v>
      </c>
      <c r="F48" s="3" t="s">
        <v>26</v>
      </c>
      <c r="G48" s="9">
        <f>0.0051</f>
        <v>5.1000000000000004E-3</v>
      </c>
    </row>
    <row r="49" spans="1:7">
      <c r="A49" s="20" t="s">
        <v>9</v>
      </c>
      <c r="B49" s="5">
        <f>B48-B47</f>
        <v>19.859999999999996</v>
      </c>
      <c r="C49" s="11">
        <f>C48-C47</f>
        <v>9.9299999999999979E-3</v>
      </c>
      <c r="F49" s="3" t="s">
        <v>46</v>
      </c>
      <c r="G49" s="10">
        <v>6.1000000000000004E-3</v>
      </c>
    </row>
    <row r="50" spans="1:7">
      <c r="F50" s="3" t="s">
        <v>15</v>
      </c>
      <c r="G50" s="23">
        <f>SUM(G47:G49)</f>
        <v>2.8700000000000003E-2</v>
      </c>
    </row>
    <row r="51" spans="1:7">
      <c r="B51" s="27" t="s">
        <v>87</v>
      </c>
    </row>
    <row r="52" spans="1:7">
      <c r="A52" s="3" t="s">
        <v>117</v>
      </c>
      <c r="B52" s="24">
        <f>B49</f>
        <v>19.859999999999996</v>
      </c>
      <c r="F52" s="3" t="s">
        <v>27</v>
      </c>
      <c r="G52" s="25">
        <f>1-G50</f>
        <v>0.97130000000000005</v>
      </c>
    </row>
    <row r="53" spans="1:7">
      <c r="A53" s="3" t="s">
        <v>118</v>
      </c>
      <c r="B53" s="24">
        <f>B52/$G$52</f>
        <v>20.446823844332332</v>
      </c>
    </row>
    <row r="54" spans="1:7">
      <c r="A54" s="3" t="s">
        <v>23</v>
      </c>
      <c r="B54" s="13">
        <f>Calculation!D47</f>
        <v>1561</v>
      </c>
    </row>
    <row r="55" spans="1:7" ht="17.25">
      <c r="A55" s="2" t="s">
        <v>119</v>
      </c>
      <c r="B55" s="137">
        <f>B53*B54</f>
        <v>31917.49202100277</v>
      </c>
    </row>
    <row r="57" spans="1:7">
      <c r="A57" s="135" t="s">
        <v>116</v>
      </c>
    </row>
    <row r="58" spans="1:7" ht="17.25">
      <c r="A58" s="29" t="s">
        <v>23</v>
      </c>
      <c r="B58" s="136">
        <f>+Calculation!D58</f>
        <v>1856</v>
      </c>
    </row>
    <row r="59" spans="1:7" ht="17.25">
      <c r="A59" s="31" t="s">
        <v>119</v>
      </c>
      <c r="B59" s="137">
        <f>+B58*B49</f>
        <v>36860.159999999989</v>
      </c>
    </row>
    <row r="61" spans="1:7" ht="17.25">
      <c r="B61" s="138">
        <f>+B59+B55</f>
        <v>68777.652021002752</v>
      </c>
    </row>
  </sheetData>
  <mergeCells count="4">
    <mergeCell ref="A1:H1"/>
    <mergeCell ref="F46:G46"/>
    <mergeCell ref="A11:B11"/>
    <mergeCell ref="B43:C43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0"/>
  <sheetViews>
    <sheetView tabSelected="1" zoomScale="80" zoomScaleNormal="80" workbookViewId="0">
      <pane xSplit="3" ySplit="1" topLeftCell="I20" activePane="bottomRight" state="frozen"/>
      <selection pane="topRight" activeCell="D1" sqref="D1"/>
      <selection pane="bottomLeft" activeCell="A6" sqref="A6"/>
      <selection pane="bottomRight" activeCell="M11" sqref="M11"/>
    </sheetView>
  </sheetViews>
  <sheetFormatPr defaultColWidth="8.85546875" defaultRowHeight="15"/>
  <cols>
    <col min="1" max="1" width="4.5703125" style="68" customWidth="1"/>
    <col min="2" max="2" width="10.85546875" style="71" bestFit="1" customWidth="1"/>
    <col min="3" max="3" width="35.5703125" style="68" bestFit="1" customWidth="1"/>
    <col min="4" max="4" width="18.7109375" style="69" bestFit="1" customWidth="1"/>
    <col min="5" max="5" width="10.28515625" style="68" bestFit="1" customWidth="1"/>
    <col min="6" max="6" width="12.28515625" style="68" bestFit="1" customWidth="1"/>
    <col min="7" max="7" width="15.140625" style="68" customWidth="1"/>
    <col min="8" max="8" width="38.42578125" style="68" bestFit="1" customWidth="1"/>
    <col min="9" max="9" width="16.28515625" style="67" customWidth="1"/>
    <col min="10" max="11" width="10.7109375" style="36" bestFit="1" customWidth="1"/>
    <col min="12" max="12" width="10.7109375" style="68" customWidth="1"/>
    <col min="13" max="13" width="16.5703125" style="68" customWidth="1"/>
    <col min="14" max="14" width="15.140625" style="68" bestFit="1" customWidth="1"/>
    <col min="15" max="15" width="17.140625" style="36" bestFit="1" customWidth="1"/>
    <col min="16" max="16" width="18.42578125" style="68" customWidth="1"/>
    <col min="17" max="17" width="19.28515625" style="36" bestFit="1" customWidth="1"/>
    <col min="18" max="18" width="10.28515625" style="68" customWidth="1"/>
    <col min="19" max="19" width="4.7109375" style="68" customWidth="1"/>
    <col min="20" max="20" width="13" style="68" bestFit="1" customWidth="1"/>
    <col min="21" max="16384" width="8.85546875" style="68"/>
  </cols>
  <sheetData>
    <row r="1" spans="1:22" ht="30">
      <c r="A1" s="57"/>
      <c r="B1" s="87" t="s">
        <v>14</v>
      </c>
      <c r="C1" s="88" t="s">
        <v>16</v>
      </c>
      <c r="D1" s="87" t="s">
        <v>36</v>
      </c>
      <c r="E1" s="87" t="s">
        <v>0</v>
      </c>
      <c r="F1" s="57" t="s">
        <v>1</v>
      </c>
      <c r="G1" s="87" t="s">
        <v>10</v>
      </c>
      <c r="H1" s="87" t="s">
        <v>31</v>
      </c>
      <c r="I1" s="101" t="s">
        <v>32</v>
      </c>
      <c r="J1" s="130" t="s">
        <v>9</v>
      </c>
      <c r="K1" s="120" t="s">
        <v>2</v>
      </c>
      <c r="L1" s="87" t="s">
        <v>37</v>
      </c>
      <c r="M1" s="87" t="s">
        <v>34</v>
      </c>
      <c r="N1" s="141" t="s">
        <v>112</v>
      </c>
      <c r="O1" s="127" t="s">
        <v>35</v>
      </c>
      <c r="P1" s="87" t="s">
        <v>33</v>
      </c>
      <c r="Q1" s="120" t="s">
        <v>38</v>
      </c>
    </row>
    <row r="2" spans="1:22" s="70" customFormat="1">
      <c r="A2" s="151" t="s">
        <v>12</v>
      </c>
      <c r="B2" s="59">
        <v>22</v>
      </c>
      <c r="C2" s="105" t="s">
        <v>94</v>
      </c>
      <c r="D2" s="107">
        <v>1</v>
      </c>
      <c r="E2" s="81">
        <f>References!B9</f>
        <v>1</v>
      </c>
      <c r="F2" s="78">
        <f>D2*E2*12</f>
        <v>12</v>
      </c>
      <c r="G2" s="110">
        <f>References!B14</f>
        <v>34</v>
      </c>
      <c r="H2" s="80">
        <f>F2*G2</f>
        <v>408</v>
      </c>
      <c r="I2" s="100">
        <f t="shared" ref="I2:I9" si="0">$D$50*H2</f>
        <v>159.56490498080376</v>
      </c>
      <c r="J2" s="121">
        <f>(References!$C$49*I2)</f>
        <v>1.5844795064593811</v>
      </c>
      <c r="K2" s="121">
        <f>J2/References!$G$52</f>
        <v>1.6312977519400607</v>
      </c>
      <c r="L2" s="82">
        <f>K2/F2</f>
        <v>0.13594147932833839</v>
      </c>
      <c r="M2" s="112">
        <v>6.39</v>
      </c>
      <c r="N2" s="142">
        <f>ROUND(L2+M2,2)</f>
        <v>6.53</v>
      </c>
      <c r="O2" s="122">
        <f>+D2*M2*12</f>
        <v>76.679999999999993</v>
      </c>
      <c r="P2" s="122">
        <f>+N2*D2*12</f>
        <v>78.36</v>
      </c>
      <c r="Q2" s="121">
        <f>P2-O2</f>
        <v>1.6800000000000068</v>
      </c>
      <c r="R2" s="131">
        <f>+L2/M2</f>
        <v>2.1274096921492708E-2</v>
      </c>
    </row>
    <row r="3" spans="1:22" s="70" customFormat="1">
      <c r="A3" s="152"/>
      <c r="B3" s="55">
        <v>22</v>
      </c>
      <c r="C3" s="105" t="s">
        <v>95</v>
      </c>
      <c r="D3" s="107">
        <v>3</v>
      </c>
      <c r="E3" s="79">
        <f>References!B7</f>
        <v>4.333333333333333</v>
      </c>
      <c r="F3" s="78">
        <f>D3*E3*12</f>
        <v>156</v>
      </c>
      <c r="G3" s="111">
        <f>References!B13</f>
        <v>20</v>
      </c>
      <c r="H3" s="78">
        <f>F3*G3</f>
        <v>3120</v>
      </c>
      <c r="I3" s="54">
        <f t="shared" si="0"/>
        <v>1220.2022145590875</v>
      </c>
      <c r="J3" s="122">
        <f>(References!$C$49*I3)</f>
        <v>12.116607990571735</v>
      </c>
      <c r="K3" s="122">
        <f>J3/References!$G$52</f>
        <v>12.474629867776933</v>
      </c>
      <c r="L3" s="77">
        <f>K3/F3*E3</f>
        <v>0.34651749632713702</v>
      </c>
      <c r="M3" s="112">
        <v>8.75</v>
      </c>
      <c r="N3" s="142">
        <f t="shared" ref="N3:N40" si="1">ROUND(L3+M3,2)</f>
        <v>9.1</v>
      </c>
      <c r="O3" s="122">
        <f t="shared" ref="O3:O8" si="2">+D3*M3*12</f>
        <v>315</v>
      </c>
      <c r="P3" s="122">
        <f>+N3*D3*12</f>
        <v>327.59999999999997</v>
      </c>
      <c r="Q3" s="122">
        <f>P3-O3</f>
        <v>12.599999999999966</v>
      </c>
      <c r="R3" s="131">
        <f t="shared" ref="R3:R40" si="3">+L3/M3</f>
        <v>3.9601999580244233E-2</v>
      </c>
    </row>
    <row r="4" spans="1:22" s="70" customFormat="1">
      <c r="A4" s="152"/>
      <c r="B4" s="55">
        <v>22</v>
      </c>
      <c r="C4" s="105" t="s">
        <v>96</v>
      </c>
      <c r="D4" s="107">
        <v>256</v>
      </c>
      <c r="E4" s="79">
        <f>References!$B$7</f>
        <v>4.333333333333333</v>
      </c>
      <c r="F4" s="78">
        <f t="shared" ref="F4:F9" si="4">D4*E4*12</f>
        <v>13312</v>
      </c>
      <c r="G4" s="110">
        <f>References!B20</f>
        <v>37</v>
      </c>
      <c r="H4" s="78">
        <f t="shared" ref="H4:H9" si="5">F4*G4</f>
        <v>492544</v>
      </c>
      <c r="I4" s="54">
        <f t="shared" si="0"/>
        <v>192629.25627172794</v>
      </c>
      <c r="J4" s="122">
        <f>(References!$C$49*I4)</f>
        <v>1912.8085147782581</v>
      </c>
      <c r="K4" s="122">
        <f>J4/References!$G$52</f>
        <v>1969.3282351263852</v>
      </c>
      <c r="L4" s="77">
        <f t="shared" ref="L4:L9" si="6">K4/F4*E4</f>
        <v>0.64105736820520343</v>
      </c>
      <c r="M4" s="112">
        <v>11.31</v>
      </c>
      <c r="N4" s="142">
        <f t="shared" si="1"/>
        <v>11.95</v>
      </c>
      <c r="O4" s="122">
        <f t="shared" si="2"/>
        <v>34744.32</v>
      </c>
      <c r="P4" s="122">
        <f t="shared" ref="P4:P8" si="7">+N4*D4*12</f>
        <v>36710.399999999994</v>
      </c>
      <c r="Q4" s="122">
        <f t="shared" ref="Q4:Q9" si="8">P4-O4</f>
        <v>1966.0799999999945</v>
      </c>
      <c r="R4" s="131">
        <f t="shared" si="3"/>
        <v>5.6680580743165641E-2</v>
      </c>
    </row>
    <row r="5" spans="1:22" s="70" customFormat="1">
      <c r="A5" s="152"/>
      <c r="B5" s="55">
        <v>22</v>
      </c>
      <c r="C5" s="105" t="s">
        <v>97</v>
      </c>
      <c r="D5" s="107">
        <v>460</v>
      </c>
      <c r="E5" s="79">
        <f>References!$B$7</f>
        <v>4.333333333333333</v>
      </c>
      <c r="F5" s="78">
        <f t="shared" si="4"/>
        <v>23920</v>
      </c>
      <c r="G5" s="110">
        <f>References!B21</f>
        <v>47</v>
      </c>
      <c r="H5" s="78">
        <f t="shared" si="5"/>
        <v>1124240</v>
      </c>
      <c r="I5" s="54">
        <f t="shared" si="0"/>
        <v>439679.53131279116</v>
      </c>
      <c r="J5" s="122">
        <f>(References!$C$49*I5)</f>
        <v>4366.0177459360157</v>
      </c>
      <c r="K5" s="122">
        <f>J5/References!$G$52</f>
        <v>4495.0249623556219</v>
      </c>
      <c r="L5" s="77">
        <f t="shared" si="6"/>
        <v>0.81431611636877199</v>
      </c>
      <c r="M5" s="112">
        <v>16.02</v>
      </c>
      <c r="N5" s="142">
        <f t="shared" si="1"/>
        <v>16.829999999999998</v>
      </c>
      <c r="O5" s="122">
        <f t="shared" si="2"/>
        <v>88430.399999999994</v>
      </c>
      <c r="P5" s="122">
        <f t="shared" si="7"/>
        <v>92901.599999999991</v>
      </c>
      <c r="Q5" s="122">
        <f t="shared" si="8"/>
        <v>4471.1999999999971</v>
      </c>
      <c r="R5" s="131">
        <f t="shared" si="3"/>
        <v>5.0831218250235455E-2</v>
      </c>
      <c r="U5" s="77"/>
      <c r="V5" s="131"/>
    </row>
    <row r="6" spans="1:22" s="70" customFormat="1">
      <c r="A6" s="152"/>
      <c r="B6" s="55">
        <v>22</v>
      </c>
      <c r="C6" s="105" t="s">
        <v>98</v>
      </c>
      <c r="D6" s="107">
        <v>6</v>
      </c>
      <c r="E6" s="116">
        <f>References!B6</f>
        <v>8.6666666666666661</v>
      </c>
      <c r="F6" s="78">
        <f t="shared" si="4"/>
        <v>624</v>
      </c>
      <c r="G6" s="110">
        <f>References!B21</f>
        <v>47</v>
      </c>
      <c r="H6" s="78">
        <f t="shared" si="5"/>
        <v>29328</v>
      </c>
      <c r="I6" s="54">
        <f t="shared" si="0"/>
        <v>11469.900816855423</v>
      </c>
      <c r="J6" s="122">
        <f>(References!$C$49*I6)</f>
        <v>113.89611511137433</v>
      </c>
      <c r="K6" s="122">
        <f>J6/References!$G$52</f>
        <v>117.26152075710318</v>
      </c>
      <c r="L6" s="77">
        <f t="shared" si="6"/>
        <v>1.628632232737544</v>
      </c>
      <c r="M6" s="112">
        <f>+M5*2</f>
        <v>32.04</v>
      </c>
      <c r="N6" s="142">
        <f t="shared" si="1"/>
        <v>33.67</v>
      </c>
      <c r="O6" s="122">
        <f t="shared" si="2"/>
        <v>2306.88</v>
      </c>
      <c r="P6" s="122">
        <f t="shared" si="7"/>
        <v>2424.2400000000002</v>
      </c>
      <c r="Q6" s="122">
        <f t="shared" si="8"/>
        <v>117.36000000000013</v>
      </c>
      <c r="R6" s="131">
        <f t="shared" si="3"/>
        <v>5.0831218250235455E-2</v>
      </c>
      <c r="T6" s="140"/>
      <c r="U6" s="77"/>
      <c r="V6" s="131"/>
    </row>
    <row r="7" spans="1:22" s="70" customFormat="1">
      <c r="A7" s="152"/>
      <c r="B7" s="55">
        <v>22</v>
      </c>
      <c r="C7" s="105" t="s">
        <v>99</v>
      </c>
      <c r="D7" s="107">
        <v>279</v>
      </c>
      <c r="E7" s="79">
        <f>References!$B$7</f>
        <v>4.333333333333333</v>
      </c>
      <c r="F7" s="78">
        <f t="shared" si="4"/>
        <v>14508</v>
      </c>
      <c r="G7" s="110">
        <f>References!B22</f>
        <v>68</v>
      </c>
      <c r="H7" s="78">
        <f t="shared" si="5"/>
        <v>986544</v>
      </c>
      <c r="I7" s="54">
        <f t="shared" si="0"/>
        <v>385827.94024358346</v>
      </c>
      <c r="J7" s="122">
        <f>(References!$C$49*I7)</f>
        <v>3831.2714466187831</v>
      </c>
      <c r="K7" s="122">
        <f>J7/References!$G$52</f>
        <v>3944.4779641910663</v>
      </c>
      <c r="L7" s="77">
        <f t="shared" si="6"/>
        <v>1.1781594875122658</v>
      </c>
      <c r="M7" s="112">
        <v>20.52</v>
      </c>
      <c r="N7" s="142">
        <f t="shared" si="1"/>
        <v>21.7</v>
      </c>
      <c r="O7" s="122">
        <f t="shared" si="2"/>
        <v>68700.959999999992</v>
      </c>
      <c r="P7" s="122">
        <f t="shared" si="7"/>
        <v>72651.600000000006</v>
      </c>
      <c r="Q7" s="122">
        <f t="shared" si="8"/>
        <v>3950.640000000014</v>
      </c>
      <c r="R7" s="131">
        <f t="shared" si="3"/>
        <v>5.7415179703326796E-2</v>
      </c>
      <c r="U7" s="77"/>
      <c r="V7" s="131"/>
    </row>
    <row r="8" spans="1:22" s="70" customFormat="1">
      <c r="A8" s="152"/>
      <c r="B8" s="55">
        <v>22</v>
      </c>
      <c r="C8" s="105" t="s">
        <v>100</v>
      </c>
      <c r="D8" s="106">
        <v>11</v>
      </c>
      <c r="E8" s="116">
        <f>References!B6</f>
        <v>8.6666666666666661</v>
      </c>
      <c r="F8" s="78">
        <f t="shared" si="4"/>
        <v>1144</v>
      </c>
      <c r="G8" s="110">
        <f>References!B22</f>
        <v>68</v>
      </c>
      <c r="H8" s="99">
        <f t="shared" si="5"/>
        <v>77792</v>
      </c>
      <c r="I8" s="54">
        <f t="shared" si="0"/>
        <v>30423.708549673247</v>
      </c>
      <c r="J8" s="122">
        <f>(References!$C$49*I8)</f>
        <v>302.10742589825526</v>
      </c>
      <c r="K8" s="122">
        <f>J8/References!$G$52</f>
        <v>311.0341047032382</v>
      </c>
      <c r="L8" s="77">
        <f t="shared" si="6"/>
        <v>2.3563189750245312</v>
      </c>
      <c r="M8" s="112">
        <f>+M7*2</f>
        <v>41.04</v>
      </c>
      <c r="N8" s="142">
        <f t="shared" si="1"/>
        <v>43.4</v>
      </c>
      <c r="O8" s="122">
        <f t="shared" si="2"/>
        <v>5417.28</v>
      </c>
      <c r="P8" s="122">
        <f t="shared" si="7"/>
        <v>5728.7999999999993</v>
      </c>
      <c r="Q8" s="122">
        <f t="shared" si="8"/>
        <v>311.51999999999953</v>
      </c>
      <c r="R8" s="131">
        <f t="shared" si="3"/>
        <v>5.7415179703326789E-2</v>
      </c>
      <c r="T8" s="140"/>
      <c r="U8" s="77"/>
      <c r="V8" s="131"/>
    </row>
    <row r="9" spans="1:22" s="70" customFormat="1">
      <c r="A9" s="108"/>
      <c r="B9" s="98">
        <v>23</v>
      </c>
      <c r="C9" s="109" t="s">
        <v>114</v>
      </c>
      <c r="D9" s="128">
        <v>1</v>
      </c>
      <c r="E9" s="97">
        <v>1</v>
      </c>
      <c r="F9" s="86">
        <f t="shared" si="4"/>
        <v>12</v>
      </c>
      <c r="G9" s="129">
        <f>+G2</f>
        <v>34</v>
      </c>
      <c r="H9" s="102">
        <f t="shared" si="5"/>
        <v>408</v>
      </c>
      <c r="I9" s="54">
        <f t="shared" si="0"/>
        <v>159.56490498080376</v>
      </c>
      <c r="J9" s="122">
        <f>(References!$C$49*I9)</f>
        <v>1.5844795064593811</v>
      </c>
      <c r="K9" s="122">
        <f>J9/References!$G$52</f>
        <v>1.6312977519400607</v>
      </c>
      <c r="L9" s="77">
        <f t="shared" si="6"/>
        <v>0.13594147932833839</v>
      </c>
      <c r="M9" s="112">
        <v>4.59</v>
      </c>
      <c r="N9" s="142">
        <f t="shared" si="1"/>
        <v>4.7300000000000004</v>
      </c>
      <c r="O9" s="122">
        <f>+D9*M9*12</f>
        <v>55.08</v>
      </c>
      <c r="P9" s="122">
        <f>+N9*D9*12</f>
        <v>56.760000000000005</v>
      </c>
      <c r="Q9" s="122">
        <f t="shared" si="8"/>
        <v>1.6800000000000068</v>
      </c>
      <c r="R9" s="131">
        <f t="shared" si="3"/>
        <v>2.9616880027960434E-2</v>
      </c>
    </row>
    <row r="10" spans="1:22" s="70" customFormat="1">
      <c r="A10" s="58"/>
      <c r="B10" s="89"/>
      <c r="C10" s="60" t="s">
        <v>15</v>
      </c>
      <c r="D10" s="61">
        <f>SUM(D2:D9)</f>
        <v>1017</v>
      </c>
      <c r="E10" s="62"/>
      <c r="F10" s="63">
        <f>SUM(F2:F9)</f>
        <v>53688</v>
      </c>
      <c r="G10" s="64"/>
      <c r="H10" s="90">
        <f>SUM(H2:H9)</f>
        <v>2714384</v>
      </c>
      <c r="I10" s="65">
        <f>SUM(I2:I9)</f>
        <v>1061569.6692191518</v>
      </c>
      <c r="J10" s="123">
        <f>SUM(J2:J9)</f>
        <v>10541.386815346175</v>
      </c>
      <c r="K10" s="123">
        <f>SUM(K2:K9)</f>
        <v>10852.864012505072</v>
      </c>
      <c r="L10" s="84"/>
      <c r="M10" s="84"/>
      <c r="N10" s="84"/>
      <c r="O10" s="123">
        <f>SUM(O2:O9)</f>
        <v>200046.59999999998</v>
      </c>
      <c r="P10" s="123">
        <f>SUM(P2:P9)</f>
        <v>210879.35999999999</v>
      </c>
      <c r="Q10" s="123">
        <f>SUM(Q2:Q9)</f>
        <v>10832.760000000006</v>
      </c>
      <c r="R10" s="132">
        <f>+K10/O10</f>
        <v>5.4251679421220222E-2</v>
      </c>
    </row>
    <row r="11" spans="1:22" s="70" customFormat="1" ht="15" customHeight="1">
      <c r="A11" s="151" t="s">
        <v>13</v>
      </c>
      <c r="B11" s="55">
        <v>31</v>
      </c>
      <c r="C11" s="144" t="s">
        <v>120</v>
      </c>
      <c r="D11" s="145">
        <v>1</v>
      </c>
      <c r="E11" s="79">
        <v>4.3330000000000002</v>
      </c>
      <c r="F11" s="117">
        <f>ROUND(+E11*D11*12,0)</f>
        <v>52</v>
      </c>
      <c r="G11" s="115">
        <f>References!B26</f>
        <v>29</v>
      </c>
      <c r="H11" s="78">
        <f t="shared" ref="H11:H12" si="9">F11*G11</f>
        <v>1508</v>
      </c>
      <c r="I11" s="54">
        <f t="shared" ref="I11:I40" si="10">$D$50*H11</f>
        <v>589.76440370355897</v>
      </c>
      <c r="J11" s="122">
        <f>(References!$C$49*I11)</f>
        <v>5.8563605287763396</v>
      </c>
      <c r="K11" s="122">
        <f>J11/References!$G$52</f>
        <v>6.029404436092185</v>
      </c>
      <c r="L11" s="77">
        <f>K11/F11</f>
        <v>0.1159500853094651</v>
      </c>
      <c r="M11" s="112">
        <v>5.56</v>
      </c>
      <c r="N11" s="142">
        <f t="shared" si="1"/>
        <v>5.68</v>
      </c>
      <c r="O11" s="122">
        <f>F11*M11</f>
        <v>289.12</v>
      </c>
      <c r="P11" s="122">
        <f>+N11*F11</f>
        <v>295.36</v>
      </c>
      <c r="Q11" s="122">
        <f t="shared" ref="Q11" si="11">P11-O11</f>
        <v>6.2400000000000091</v>
      </c>
      <c r="R11" s="131">
        <f t="shared" si="3"/>
        <v>2.0854331890191567E-2</v>
      </c>
    </row>
    <row r="12" spans="1:22" s="70" customFormat="1">
      <c r="A12" s="152"/>
      <c r="B12" s="55">
        <v>31</v>
      </c>
      <c r="C12" s="144" t="s">
        <v>97</v>
      </c>
      <c r="D12" s="145">
        <v>2</v>
      </c>
      <c r="E12" s="79">
        <f>+E11</f>
        <v>4.3330000000000002</v>
      </c>
      <c r="F12" s="117">
        <f t="shared" ref="F12:F40" si="12">ROUND(+E12*D12*12,0)</f>
        <v>104</v>
      </c>
      <c r="G12" s="115">
        <f>References!B26</f>
        <v>29</v>
      </c>
      <c r="H12" s="78">
        <f t="shared" si="9"/>
        <v>3016</v>
      </c>
      <c r="I12" s="54">
        <f t="shared" si="10"/>
        <v>1179.5288074071179</v>
      </c>
      <c r="J12" s="122">
        <f>(References!$C$49*I12)</f>
        <v>11.712721057552679</v>
      </c>
      <c r="K12" s="122">
        <f>J12/References!$G$52</f>
        <v>12.05880887218437</v>
      </c>
      <c r="L12" s="77">
        <f t="shared" ref="L12" si="13">K12/F12</f>
        <v>0.1159500853094651</v>
      </c>
      <c r="M12" s="112">
        <v>6.82</v>
      </c>
      <c r="N12" s="142">
        <f t="shared" si="1"/>
        <v>6.94</v>
      </c>
      <c r="O12" s="122">
        <f>F12*M12</f>
        <v>709.28</v>
      </c>
      <c r="P12" s="122">
        <f t="shared" ref="P12:P40" si="14">+N12*F12</f>
        <v>721.76</v>
      </c>
      <c r="Q12" s="122">
        <f t="shared" ref="Q12" si="15">P12-O12</f>
        <v>12.480000000000018</v>
      </c>
      <c r="R12" s="131">
        <f t="shared" si="3"/>
        <v>1.7001478784379045E-2</v>
      </c>
    </row>
    <row r="13" spans="1:22" s="70" customFormat="1">
      <c r="A13" s="152"/>
      <c r="B13" s="55">
        <v>31</v>
      </c>
      <c r="C13" s="144" t="s">
        <v>99</v>
      </c>
      <c r="D13" s="145">
        <v>6</v>
      </c>
      <c r="E13" s="79">
        <f>+E12</f>
        <v>4.3330000000000002</v>
      </c>
      <c r="F13" s="117">
        <f t="shared" si="12"/>
        <v>312</v>
      </c>
      <c r="G13" s="115">
        <f>References!B22</f>
        <v>68</v>
      </c>
      <c r="H13" s="78">
        <f t="shared" ref="H13:H14" si="16">F13*G13</f>
        <v>21216</v>
      </c>
      <c r="I13" s="54">
        <f t="shared" si="10"/>
        <v>8297.3750590017953</v>
      </c>
      <c r="J13" s="122">
        <f>(References!$C$49*I13)</f>
        <v>82.392934335887816</v>
      </c>
      <c r="K13" s="122">
        <f>J13/References!$G$52</f>
        <v>84.827483100883157</v>
      </c>
      <c r="L13" s="77">
        <f t="shared" ref="L13:L14" si="17">K13/F13</f>
        <v>0.27188295865667678</v>
      </c>
      <c r="M13" s="112">
        <v>7.95</v>
      </c>
      <c r="N13" s="142">
        <f t="shared" si="1"/>
        <v>8.2200000000000006</v>
      </c>
      <c r="O13" s="122">
        <f>F13*M13</f>
        <v>2480.4</v>
      </c>
      <c r="P13" s="122">
        <f t="shared" si="14"/>
        <v>2564.6400000000003</v>
      </c>
      <c r="Q13" s="122">
        <f t="shared" ref="Q13:Q14" si="18">P13-O13</f>
        <v>84.240000000000236</v>
      </c>
      <c r="R13" s="131">
        <f t="shared" si="3"/>
        <v>3.4199114296437329E-2</v>
      </c>
    </row>
    <row r="14" spans="1:22" s="70" customFormat="1">
      <c r="A14" s="152"/>
      <c r="B14" s="55">
        <v>31</v>
      </c>
      <c r="C14" s="144" t="s">
        <v>121</v>
      </c>
      <c r="D14" s="145">
        <v>1</v>
      </c>
      <c r="E14" s="79">
        <f t="shared" ref="E14:E18" si="19">+E13</f>
        <v>4.3330000000000002</v>
      </c>
      <c r="F14" s="117">
        <f t="shared" si="12"/>
        <v>52</v>
      </c>
      <c r="G14" s="115">
        <v>175</v>
      </c>
      <c r="H14" s="78">
        <f t="shared" si="16"/>
        <v>9100</v>
      </c>
      <c r="I14" s="54">
        <f t="shared" si="10"/>
        <v>3558.9231257973383</v>
      </c>
      <c r="J14" s="122">
        <f>(References!$C$49*I14)</f>
        <v>35.340106639167566</v>
      </c>
      <c r="K14" s="122">
        <f>J14/References!$G$52</f>
        <v>36.384337114349393</v>
      </c>
      <c r="L14" s="77">
        <f t="shared" si="17"/>
        <v>0.69969879066056528</v>
      </c>
      <c r="M14" s="112">
        <v>18.23</v>
      </c>
      <c r="N14" s="142">
        <f t="shared" si="1"/>
        <v>18.93</v>
      </c>
      <c r="O14" s="122">
        <f>F14*M14</f>
        <v>947.96</v>
      </c>
      <c r="P14" s="122">
        <f t="shared" si="14"/>
        <v>984.36</v>
      </c>
      <c r="Q14" s="122">
        <f t="shared" si="18"/>
        <v>36.399999999999977</v>
      </c>
      <c r="R14" s="131">
        <f t="shared" si="3"/>
        <v>3.8381721923234517E-2</v>
      </c>
    </row>
    <row r="15" spans="1:22" s="70" customFormat="1">
      <c r="A15" s="152"/>
      <c r="B15" s="55">
        <v>31</v>
      </c>
      <c r="C15" s="144" t="s">
        <v>122</v>
      </c>
      <c r="D15" s="146">
        <v>10</v>
      </c>
      <c r="E15" s="79">
        <v>2.1667000000000001</v>
      </c>
      <c r="F15" s="117">
        <f t="shared" si="12"/>
        <v>260</v>
      </c>
      <c r="G15" s="113">
        <f>+References!B27</f>
        <v>175</v>
      </c>
      <c r="H15" s="78">
        <f t="shared" ref="H15:H40" si="20">F15*G15</f>
        <v>45500</v>
      </c>
      <c r="I15" s="54">
        <f t="shared" si="10"/>
        <v>17794.615628986692</v>
      </c>
      <c r="J15" s="122">
        <f>(References!$C$49*I15)</f>
        <v>176.70053319583781</v>
      </c>
      <c r="K15" s="122">
        <f>J15/References!$G$52</f>
        <v>181.92168557174693</v>
      </c>
      <c r="L15" s="77">
        <f t="shared" ref="L15:L40" si="21">K15/F15</f>
        <v>0.69969879066056517</v>
      </c>
      <c r="M15" s="112">
        <v>14.48</v>
      </c>
      <c r="N15" s="142">
        <f t="shared" si="1"/>
        <v>15.18</v>
      </c>
      <c r="O15" s="122">
        <f t="shared" ref="O15:O40" si="22">F15*M15</f>
        <v>3764.8</v>
      </c>
      <c r="P15" s="122">
        <f t="shared" si="14"/>
        <v>3946.7999999999997</v>
      </c>
      <c r="Q15" s="122">
        <f t="shared" ref="Q15:Q40" si="23">P15-O15</f>
        <v>181.99999999999955</v>
      </c>
      <c r="R15" s="131">
        <f t="shared" si="3"/>
        <v>4.8321739686503121E-2</v>
      </c>
    </row>
    <row r="16" spans="1:22" s="70" customFormat="1">
      <c r="A16" s="152"/>
      <c r="B16" s="55">
        <v>31</v>
      </c>
      <c r="C16" s="144" t="s">
        <v>123</v>
      </c>
      <c r="D16" s="145">
        <v>11</v>
      </c>
      <c r="E16" s="79">
        <v>2.1667000000000001</v>
      </c>
      <c r="F16" s="117">
        <f t="shared" si="12"/>
        <v>286</v>
      </c>
      <c r="G16" s="113">
        <f>+G15</f>
        <v>175</v>
      </c>
      <c r="H16" s="78">
        <f t="shared" si="20"/>
        <v>50050</v>
      </c>
      <c r="I16" s="54">
        <f t="shared" si="10"/>
        <v>19574.077191885361</v>
      </c>
      <c r="J16" s="122">
        <f>(References!$C$49*I16)</f>
        <v>194.37058651542159</v>
      </c>
      <c r="K16" s="122">
        <f>J16/References!$G$52</f>
        <v>200.11385412892164</v>
      </c>
      <c r="L16" s="77">
        <f t="shared" si="21"/>
        <v>0.69969879066056517</v>
      </c>
      <c r="M16" s="112">
        <f>+M15</f>
        <v>14.48</v>
      </c>
      <c r="N16" s="142">
        <f t="shared" si="1"/>
        <v>15.18</v>
      </c>
      <c r="O16" s="122">
        <f t="shared" si="22"/>
        <v>4141.28</v>
      </c>
      <c r="P16" s="122">
        <f t="shared" si="14"/>
        <v>4341.4799999999996</v>
      </c>
      <c r="Q16" s="122">
        <f t="shared" si="23"/>
        <v>200.19999999999982</v>
      </c>
      <c r="R16" s="131">
        <f t="shared" si="3"/>
        <v>4.8321739686503121E-2</v>
      </c>
    </row>
    <row r="17" spans="1:18" s="70" customFormat="1">
      <c r="A17" s="152"/>
      <c r="B17" s="55">
        <v>31</v>
      </c>
      <c r="C17" s="144" t="s">
        <v>101</v>
      </c>
      <c r="D17" s="145">
        <v>9</v>
      </c>
      <c r="E17" s="79">
        <v>4.3330000000000002</v>
      </c>
      <c r="F17" s="117">
        <f t="shared" si="12"/>
        <v>468</v>
      </c>
      <c r="G17" s="113">
        <v>213</v>
      </c>
      <c r="H17" s="78">
        <f t="shared" si="20"/>
        <v>99684</v>
      </c>
      <c r="I17" s="54">
        <f t="shared" si="10"/>
        <v>38985.460755162843</v>
      </c>
      <c r="J17" s="122">
        <f>(References!$C$49*I17)</f>
        <v>387.12562529876698</v>
      </c>
      <c r="K17" s="122">
        <f>J17/References!$G$52</f>
        <v>398.56442427547302</v>
      </c>
      <c r="L17" s="77">
        <f t="shared" si="21"/>
        <v>0.85163338520400222</v>
      </c>
      <c r="M17" s="112">
        <v>16.36</v>
      </c>
      <c r="N17" s="142">
        <f t="shared" si="1"/>
        <v>17.21</v>
      </c>
      <c r="O17" s="122">
        <f t="shared" si="22"/>
        <v>7656.48</v>
      </c>
      <c r="P17" s="122">
        <f t="shared" si="14"/>
        <v>8054.2800000000007</v>
      </c>
      <c r="Q17" s="122">
        <f t="shared" si="23"/>
        <v>397.80000000000109</v>
      </c>
      <c r="R17" s="131">
        <f t="shared" si="3"/>
        <v>5.2055830391442681E-2</v>
      </c>
    </row>
    <row r="18" spans="1:18" s="70" customFormat="1">
      <c r="A18" s="152"/>
      <c r="B18" s="55">
        <v>31</v>
      </c>
      <c r="C18" s="144" t="s">
        <v>124</v>
      </c>
      <c r="D18" s="145">
        <v>1</v>
      </c>
      <c r="E18" s="79">
        <f t="shared" si="19"/>
        <v>4.3330000000000002</v>
      </c>
      <c r="F18" s="117">
        <f t="shared" si="12"/>
        <v>52</v>
      </c>
      <c r="G18" s="113">
        <f>+G17</f>
        <v>213</v>
      </c>
      <c r="H18" s="78">
        <f t="shared" si="20"/>
        <v>11076</v>
      </c>
      <c r="I18" s="54">
        <f t="shared" si="10"/>
        <v>4331.7178616847605</v>
      </c>
      <c r="J18" s="122">
        <f>(References!$C$49*I18)</f>
        <v>43.013958366529664</v>
      </c>
      <c r="K18" s="122">
        <f>J18/References!$G$52</f>
        <v>44.284936030608115</v>
      </c>
      <c r="L18" s="77">
        <f t="shared" si="21"/>
        <v>0.85163338520400222</v>
      </c>
      <c r="M18" s="112">
        <f>+M17</f>
        <v>16.36</v>
      </c>
      <c r="N18" s="142">
        <f t="shared" si="1"/>
        <v>17.21</v>
      </c>
      <c r="O18" s="122">
        <f t="shared" si="22"/>
        <v>850.72</v>
      </c>
      <c r="P18" s="122">
        <f t="shared" si="14"/>
        <v>894.92000000000007</v>
      </c>
      <c r="Q18" s="122">
        <f t="shared" si="23"/>
        <v>44.200000000000045</v>
      </c>
      <c r="R18" s="131">
        <f t="shared" si="3"/>
        <v>5.2055830391442681E-2</v>
      </c>
    </row>
    <row r="19" spans="1:18" s="70" customFormat="1">
      <c r="A19" s="152"/>
      <c r="B19" s="55">
        <v>31</v>
      </c>
      <c r="C19" s="144" t="s">
        <v>125</v>
      </c>
      <c r="D19" s="146">
        <v>1</v>
      </c>
      <c r="E19" s="79">
        <f>+E15</f>
        <v>2.1667000000000001</v>
      </c>
      <c r="F19" s="117">
        <f t="shared" si="12"/>
        <v>26</v>
      </c>
      <c r="G19" s="113">
        <f>+References!B28</f>
        <v>250</v>
      </c>
      <c r="H19" s="78">
        <f t="shared" si="20"/>
        <v>6500</v>
      </c>
      <c r="I19" s="54">
        <f t="shared" si="10"/>
        <v>2542.0879469980991</v>
      </c>
      <c r="J19" s="122">
        <f>(References!$C$49*I19)</f>
        <v>25.242933313691118</v>
      </c>
      <c r="K19" s="122">
        <f>J19/References!$G$52</f>
        <v>25.98881222453528</v>
      </c>
      <c r="L19" s="77">
        <f t="shared" si="21"/>
        <v>0.9995697009436646</v>
      </c>
      <c r="M19" s="112">
        <v>18.57</v>
      </c>
      <c r="N19" s="142">
        <f t="shared" si="1"/>
        <v>19.57</v>
      </c>
      <c r="O19" s="122">
        <f t="shared" si="22"/>
        <v>482.82</v>
      </c>
      <c r="P19" s="122">
        <f t="shared" si="14"/>
        <v>508.82</v>
      </c>
      <c r="Q19" s="122">
        <f t="shared" si="23"/>
        <v>26</v>
      </c>
      <c r="R19" s="131">
        <f t="shared" si="3"/>
        <v>5.3827124445000783E-2</v>
      </c>
    </row>
    <row r="20" spans="1:18" s="70" customFormat="1">
      <c r="A20" s="152"/>
      <c r="B20" s="55">
        <v>31</v>
      </c>
      <c r="C20" s="144" t="s">
        <v>102</v>
      </c>
      <c r="D20" s="145">
        <v>28</v>
      </c>
      <c r="E20" s="79">
        <v>4.3330000000000002</v>
      </c>
      <c r="F20" s="117">
        <f t="shared" si="12"/>
        <v>1456</v>
      </c>
      <c r="G20" s="115">
        <f>+G19</f>
        <v>250</v>
      </c>
      <c r="H20" s="78">
        <f t="shared" si="20"/>
        <v>364000</v>
      </c>
      <c r="I20" s="54">
        <f t="shared" si="10"/>
        <v>142356.92503189354</v>
      </c>
      <c r="J20" s="122">
        <f>(References!$C$49*I20)</f>
        <v>1413.6042655667025</v>
      </c>
      <c r="K20" s="122">
        <f>J20/References!$G$52</f>
        <v>1455.3734845739755</v>
      </c>
      <c r="L20" s="77">
        <f t="shared" si="21"/>
        <v>0.99956970094366449</v>
      </c>
      <c r="M20" s="112">
        <f>+M19</f>
        <v>18.57</v>
      </c>
      <c r="N20" s="142">
        <f t="shared" si="1"/>
        <v>19.57</v>
      </c>
      <c r="O20" s="122">
        <f t="shared" si="22"/>
        <v>27037.920000000002</v>
      </c>
      <c r="P20" s="122">
        <f t="shared" si="14"/>
        <v>28493.920000000002</v>
      </c>
      <c r="Q20" s="122">
        <f t="shared" si="23"/>
        <v>1456</v>
      </c>
      <c r="R20" s="131">
        <f t="shared" si="3"/>
        <v>5.3827124445000776E-2</v>
      </c>
    </row>
    <row r="21" spans="1:18" s="70" customFormat="1">
      <c r="A21" s="152"/>
      <c r="B21" s="55">
        <v>31</v>
      </c>
      <c r="C21" s="144" t="s">
        <v>126</v>
      </c>
      <c r="D21" s="146">
        <v>8</v>
      </c>
      <c r="E21" s="79">
        <f>+E18</f>
        <v>4.3330000000000002</v>
      </c>
      <c r="F21" s="117">
        <f t="shared" si="12"/>
        <v>416</v>
      </c>
      <c r="G21" s="115">
        <f>+References!B29</f>
        <v>324</v>
      </c>
      <c r="H21" s="78">
        <f t="shared" si="20"/>
        <v>134784</v>
      </c>
      <c r="I21" s="54">
        <f t="shared" si="10"/>
        <v>52712.735668952577</v>
      </c>
      <c r="J21" s="122">
        <f>(References!$C$49*I21)</f>
        <v>523.43746519269894</v>
      </c>
      <c r="K21" s="122">
        <f>J21/References!$G$52</f>
        <v>538.9040102879635</v>
      </c>
      <c r="L21" s="77">
        <f t="shared" si="21"/>
        <v>1.2954423324229891</v>
      </c>
      <c r="M21" s="112">
        <v>22.77</v>
      </c>
      <c r="N21" s="142">
        <f t="shared" si="1"/>
        <v>24.07</v>
      </c>
      <c r="O21" s="122">
        <f t="shared" si="22"/>
        <v>9472.32</v>
      </c>
      <c r="P21" s="122">
        <f t="shared" si="14"/>
        <v>10013.120000000001</v>
      </c>
      <c r="Q21" s="122">
        <f t="shared" si="23"/>
        <v>540.80000000000109</v>
      </c>
      <c r="R21" s="131">
        <f t="shared" si="3"/>
        <v>5.6892504717742168E-2</v>
      </c>
    </row>
    <row r="22" spans="1:18" s="70" customFormat="1">
      <c r="A22" s="152"/>
      <c r="B22" s="55">
        <v>31</v>
      </c>
      <c r="C22" s="144" t="s">
        <v>103</v>
      </c>
      <c r="D22" s="145">
        <v>20</v>
      </c>
      <c r="E22" s="79">
        <v>4.3330000000000002</v>
      </c>
      <c r="F22" s="117">
        <f t="shared" si="12"/>
        <v>1040</v>
      </c>
      <c r="G22" s="115">
        <f>+References!B29</f>
        <v>324</v>
      </c>
      <c r="H22" s="78">
        <f t="shared" si="20"/>
        <v>336960</v>
      </c>
      <c r="I22" s="54">
        <f t="shared" si="10"/>
        <v>131781.83917238144</v>
      </c>
      <c r="J22" s="122">
        <f>(References!$C$49*I22)</f>
        <v>1308.5936629817475</v>
      </c>
      <c r="K22" s="122">
        <f>J22/References!$G$52</f>
        <v>1347.2600257199088</v>
      </c>
      <c r="L22" s="77">
        <f t="shared" si="21"/>
        <v>1.2954423324229891</v>
      </c>
      <c r="M22" s="112">
        <f>+M21</f>
        <v>22.77</v>
      </c>
      <c r="N22" s="142">
        <f t="shared" si="1"/>
        <v>24.07</v>
      </c>
      <c r="O22" s="122">
        <f t="shared" si="22"/>
        <v>23680.799999999999</v>
      </c>
      <c r="P22" s="122">
        <f t="shared" si="14"/>
        <v>25032.799999999999</v>
      </c>
      <c r="Q22" s="122">
        <f t="shared" si="23"/>
        <v>1352</v>
      </c>
      <c r="R22" s="131">
        <f t="shared" si="3"/>
        <v>5.6892504717742168E-2</v>
      </c>
    </row>
    <row r="23" spans="1:18" s="70" customFormat="1">
      <c r="A23" s="152"/>
      <c r="B23" s="55">
        <v>31</v>
      </c>
      <c r="C23" s="144" t="s">
        <v>104</v>
      </c>
      <c r="D23" s="146">
        <v>27</v>
      </c>
      <c r="E23" s="79">
        <f>+E20</f>
        <v>4.3330000000000002</v>
      </c>
      <c r="F23" s="117">
        <f t="shared" si="12"/>
        <v>1404</v>
      </c>
      <c r="G23" s="115">
        <f>+References!B30</f>
        <v>473</v>
      </c>
      <c r="H23" s="78">
        <f t="shared" si="20"/>
        <v>664092</v>
      </c>
      <c r="I23" s="54">
        <f t="shared" si="10"/>
        <v>259720.04136890176</v>
      </c>
      <c r="J23" s="122">
        <f>(References!$C$49*I23)</f>
        <v>2579.0200107931937</v>
      </c>
      <c r="K23" s="122">
        <f>J23/References!$G$52</f>
        <v>2655.2249673563201</v>
      </c>
      <c r="L23" s="77">
        <f t="shared" si="21"/>
        <v>1.8911858741854133</v>
      </c>
      <c r="M23" s="112">
        <v>31.37</v>
      </c>
      <c r="N23" s="142">
        <f t="shared" si="1"/>
        <v>33.26</v>
      </c>
      <c r="O23" s="122">
        <f t="shared" si="22"/>
        <v>44043.48</v>
      </c>
      <c r="P23" s="122">
        <f t="shared" si="14"/>
        <v>46697.039999999994</v>
      </c>
      <c r="Q23" s="122">
        <f t="shared" si="23"/>
        <v>2653.5599999999904</v>
      </c>
      <c r="R23" s="131">
        <f t="shared" si="3"/>
        <v>6.0286448013561152E-2</v>
      </c>
    </row>
    <row r="24" spans="1:18" s="70" customFormat="1">
      <c r="A24" s="152"/>
      <c r="B24" s="55">
        <v>31</v>
      </c>
      <c r="C24" s="144" t="s">
        <v>127</v>
      </c>
      <c r="D24" s="146">
        <v>1</v>
      </c>
      <c r="E24" s="79">
        <f>+E19</f>
        <v>2.1667000000000001</v>
      </c>
      <c r="F24" s="117">
        <f t="shared" si="12"/>
        <v>26</v>
      </c>
      <c r="G24" s="115">
        <f>+G23</f>
        <v>473</v>
      </c>
      <c r="H24" s="78">
        <f t="shared" si="20"/>
        <v>12298</v>
      </c>
      <c r="I24" s="54">
        <f t="shared" si="10"/>
        <v>4809.6303957204036</v>
      </c>
      <c r="J24" s="122">
        <f>(References!$C$49*I24)</f>
        <v>47.759629829503595</v>
      </c>
      <c r="K24" s="122">
        <f>J24/References!$G$52</f>
        <v>49.170832728820749</v>
      </c>
      <c r="L24" s="77">
        <f t="shared" si="21"/>
        <v>1.8911858741854135</v>
      </c>
      <c r="M24" s="112">
        <f>+M23</f>
        <v>31.37</v>
      </c>
      <c r="N24" s="142">
        <f t="shared" si="1"/>
        <v>33.26</v>
      </c>
      <c r="O24" s="122">
        <f t="shared" si="22"/>
        <v>815.62</v>
      </c>
      <c r="P24" s="122">
        <f t="shared" si="14"/>
        <v>864.76</v>
      </c>
      <c r="Q24" s="122">
        <f t="shared" si="23"/>
        <v>49.139999999999986</v>
      </c>
      <c r="R24" s="131">
        <f t="shared" si="3"/>
        <v>6.0286448013561159E-2</v>
      </c>
    </row>
    <row r="25" spans="1:18" s="70" customFormat="1">
      <c r="A25" s="152"/>
      <c r="B25" s="55">
        <v>31</v>
      </c>
      <c r="C25" s="144" t="s">
        <v>105</v>
      </c>
      <c r="D25" s="146">
        <v>17</v>
      </c>
      <c r="E25" s="79">
        <f>+E23</f>
        <v>4.3330000000000002</v>
      </c>
      <c r="F25" s="117">
        <f t="shared" si="12"/>
        <v>884</v>
      </c>
      <c r="G25" s="115">
        <f>+References!B31</f>
        <v>613</v>
      </c>
      <c r="H25" s="78">
        <f t="shared" si="20"/>
        <v>541892</v>
      </c>
      <c r="I25" s="54">
        <f t="shared" si="10"/>
        <v>211928.78796533751</v>
      </c>
      <c r="J25" s="122">
        <f>(References!$C$49*I25)</f>
        <v>2104.4528644958009</v>
      </c>
      <c r="K25" s="122">
        <f>J25/References!$G$52</f>
        <v>2166.6352975350569</v>
      </c>
      <c r="L25" s="77">
        <f t="shared" si="21"/>
        <v>2.4509449067138651</v>
      </c>
      <c r="M25" s="112">
        <v>39.97</v>
      </c>
      <c r="N25" s="142">
        <f t="shared" si="1"/>
        <v>42.42</v>
      </c>
      <c r="O25" s="122">
        <f t="shared" si="22"/>
        <v>35333.479999999996</v>
      </c>
      <c r="P25" s="122">
        <f t="shared" si="14"/>
        <v>37499.279999999999</v>
      </c>
      <c r="Q25" s="122">
        <f t="shared" si="23"/>
        <v>2165.8000000000029</v>
      </c>
      <c r="R25" s="131">
        <f t="shared" si="3"/>
        <v>6.1319612377129476E-2</v>
      </c>
    </row>
    <row r="26" spans="1:18" s="70" customFormat="1">
      <c r="A26" s="152"/>
      <c r="B26" s="55">
        <v>31</v>
      </c>
      <c r="C26" s="144" t="s">
        <v>128</v>
      </c>
      <c r="D26" s="146">
        <v>1</v>
      </c>
      <c r="E26" s="79">
        <v>8.6660000000000004</v>
      </c>
      <c r="F26" s="117">
        <f t="shared" si="12"/>
        <v>104</v>
      </c>
      <c r="G26" s="115">
        <f>+G25</f>
        <v>613</v>
      </c>
      <c r="H26" s="78">
        <f t="shared" si="20"/>
        <v>63752</v>
      </c>
      <c r="I26" s="54">
        <f t="shared" si="10"/>
        <v>24932.798584157354</v>
      </c>
      <c r="J26" s="122">
        <f>(References!$C$49*I26)</f>
        <v>247.58268994068246</v>
      </c>
      <c r="K26" s="122">
        <f>J26/References!$G$52</f>
        <v>254.89827029824198</v>
      </c>
      <c r="L26" s="77">
        <f t="shared" si="21"/>
        <v>2.4509449067138651</v>
      </c>
      <c r="M26" s="112">
        <f>+M25</f>
        <v>39.97</v>
      </c>
      <c r="N26" s="142">
        <f t="shared" si="1"/>
        <v>42.42</v>
      </c>
      <c r="O26" s="122">
        <f t="shared" si="22"/>
        <v>4156.88</v>
      </c>
      <c r="P26" s="122">
        <f t="shared" si="14"/>
        <v>4411.68</v>
      </c>
      <c r="Q26" s="122">
        <f t="shared" si="23"/>
        <v>254.80000000000018</v>
      </c>
      <c r="R26" s="131">
        <f t="shared" si="3"/>
        <v>6.1319612377129476E-2</v>
      </c>
    </row>
    <row r="27" spans="1:18" s="70" customFormat="1">
      <c r="A27" s="152"/>
      <c r="B27" s="55">
        <v>31</v>
      </c>
      <c r="C27" s="144" t="s">
        <v>106</v>
      </c>
      <c r="D27" s="146">
        <v>6</v>
      </c>
      <c r="E27" s="79">
        <f>+E25</f>
        <v>4.3330000000000002</v>
      </c>
      <c r="F27" s="117">
        <f t="shared" si="12"/>
        <v>312</v>
      </c>
      <c r="G27" s="115">
        <f>+G26</f>
        <v>613</v>
      </c>
      <c r="H27" s="78">
        <f t="shared" si="20"/>
        <v>191256</v>
      </c>
      <c r="I27" s="54">
        <f t="shared" si="10"/>
        <v>74798.395752472061</v>
      </c>
      <c r="J27" s="122">
        <f>(References!$C$49*I27)</f>
        <v>742.74806982204746</v>
      </c>
      <c r="K27" s="122">
        <f>J27/References!$G$52</f>
        <v>764.69481089472606</v>
      </c>
      <c r="L27" s="77">
        <f t="shared" si="21"/>
        <v>2.4509449067138656</v>
      </c>
      <c r="M27" s="112">
        <f>+M26</f>
        <v>39.97</v>
      </c>
      <c r="N27" s="142">
        <f t="shared" si="1"/>
        <v>42.42</v>
      </c>
      <c r="O27" s="122">
        <f t="shared" si="22"/>
        <v>12470.64</v>
      </c>
      <c r="P27" s="122">
        <f t="shared" si="14"/>
        <v>13235.04</v>
      </c>
      <c r="Q27" s="122">
        <f t="shared" si="23"/>
        <v>764.40000000000146</v>
      </c>
      <c r="R27" s="131">
        <f t="shared" si="3"/>
        <v>6.131961237712949E-2</v>
      </c>
    </row>
    <row r="28" spans="1:18" s="70" customFormat="1">
      <c r="A28" s="152"/>
      <c r="B28" s="55">
        <v>31</v>
      </c>
      <c r="C28" s="144" t="s">
        <v>129</v>
      </c>
      <c r="D28" s="146">
        <v>4</v>
      </c>
      <c r="E28" s="79">
        <f>+E23</f>
        <v>4.3330000000000002</v>
      </c>
      <c r="F28" s="117">
        <f t="shared" si="12"/>
        <v>208</v>
      </c>
      <c r="G28" s="115">
        <f t="shared" ref="G28:G33" si="24">+G27</f>
        <v>613</v>
      </c>
      <c r="H28" s="78">
        <f t="shared" si="20"/>
        <v>127504</v>
      </c>
      <c r="I28" s="54">
        <f t="shared" si="10"/>
        <v>49865.597168314707</v>
      </c>
      <c r="J28" s="122">
        <f>(References!$C$49*I28)</f>
        <v>495.16537988136491</v>
      </c>
      <c r="K28" s="122">
        <f>J28/References!$G$52</f>
        <v>509.79654059648396</v>
      </c>
      <c r="L28" s="77">
        <f t="shared" si="21"/>
        <v>2.4509449067138651</v>
      </c>
      <c r="M28" s="112">
        <f>+M27</f>
        <v>39.97</v>
      </c>
      <c r="N28" s="142">
        <f t="shared" si="1"/>
        <v>42.42</v>
      </c>
      <c r="O28" s="122">
        <f t="shared" si="22"/>
        <v>8313.76</v>
      </c>
      <c r="P28" s="122">
        <f t="shared" si="14"/>
        <v>8823.36</v>
      </c>
      <c r="Q28" s="122">
        <f t="shared" si="23"/>
        <v>509.60000000000036</v>
      </c>
      <c r="R28" s="131">
        <f t="shared" si="3"/>
        <v>6.1319612377129476E-2</v>
      </c>
    </row>
    <row r="29" spans="1:18" s="70" customFormat="1">
      <c r="A29" s="152"/>
      <c r="B29" s="55">
        <v>31</v>
      </c>
      <c r="C29" s="144" t="s">
        <v>130</v>
      </c>
      <c r="D29" s="146">
        <v>5</v>
      </c>
      <c r="E29" s="79">
        <f>+E25</f>
        <v>4.3330000000000002</v>
      </c>
      <c r="F29" s="117">
        <f t="shared" si="12"/>
        <v>260</v>
      </c>
      <c r="G29" s="115">
        <f t="shared" si="24"/>
        <v>613</v>
      </c>
      <c r="H29" s="78">
        <f t="shared" si="20"/>
        <v>159380</v>
      </c>
      <c r="I29" s="54">
        <f t="shared" si="10"/>
        <v>62331.996460393384</v>
      </c>
      <c r="J29" s="122">
        <f>(References!$C$49*I29)</f>
        <v>618.95672485170621</v>
      </c>
      <c r="K29" s="122">
        <f>J29/References!$G$52</f>
        <v>637.24567574560501</v>
      </c>
      <c r="L29" s="77">
        <f t="shared" si="21"/>
        <v>2.4509449067138656</v>
      </c>
      <c r="M29" s="112">
        <f>+M28</f>
        <v>39.97</v>
      </c>
      <c r="N29" s="142">
        <f t="shared" si="1"/>
        <v>42.42</v>
      </c>
      <c r="O29" s="122">
        <f t="shared" si="22"/>
        <v>10392.199999999999</v>
      </c>
      <c r="P29" s="122">
        <f t="shared" si="14"/>
        <v>11029.2</v>
      </c>
      <c r="Q29" s="122">
        <f t="shared" si="23"/>
        <v>637.00000000000182</v>
      </c>
      <c r="R29" s="131">
        <f t="shared" si="3"/>
        <v>6.131961237712949E-2</v>
      </c>
    </row>
    <row r="30" spans="1:18" s="70" customFormat="1">
      <c r="A30" s="152"/>
      <c r="B30" s="55">
        <v>31</v>
      </c>
      <c r="C30" s="144" t="s">
        <v>131</v>
      </c>
      <c r="D30" s="145">
        <v>2</v>
      </c>
      <c r="E30" s="79">
        <f>+E24</f>
        <v>2.1667000000000001</v>
      </c>
      <c r="F30" s="117">
        <f t="shared" si="12"/>
        <v>52</v>
      </c>
      <c r="G30" s="115">
        <f t="shared" si="24"/>
        <v>613</v>
      </c>
      <c r="H30" s="78">
        <f t="shared" si="20"/>
        <v>31876</v>
      </c>
      <c r="I30" s="54">
        <f t="shared" si="10"/>
        <v>12466.399292078677</v>
      </c>
      <c r="J30" s="122">
        <f>(References!$C$49*I30)</f>
        <v>123.79134497034123</v>
      </c>
      <c r="K30" s="122">
        <f>J30/References!$G$52</f>
        <v>127.44913514912099</v>
      </c>
      <c r="L30" s="77">
        <f t="shared" si="21"/>
        <v>2.4509449067138651</v>
      </c>
      <c r="M30" s="112">
        <f>+M29</f>
        <v>39.97</v>
      </c>
      <c r="N30" s="142">
        <f t="shared" si="1"/>
        <v>42.42</v>
      </c>
      <c r="O30" s="122">
        <f t="shared" si="22"/>
        <v>2078.44</v>
      </c>
      <c r="P30" s="122">
        <f t="shared" si="14"/>
        <v>2205.84</v>
      </c>
      <c r="Q30" s="122">
        <f t="shared" si="23"/>
        <v>127.40000000000009</v>
      </c>
      <c r="R30" s="131">
        <f t="shared" si="3"/>
        <v>6.1319612377129476E-2</v>
      </c>
    </row>
    <row r="31" spans="1:18" s="70" customFormat="1">
      <c r="A31" s="152"/>
      <c r="B31" s="55">
        <v>31</v>
      </c>
      <c r="C31" s="144" t="s">
        <v>107</v>
      </c>
      <c r="D31" s="146">
        <v>14</v>
      </c>
      <c r="E31" s="79">
        <f>+E29</f>
        <v>4.3330000000000002</v>
      </c>
      <c r="F31" s="117">
        <f t="shared" si="12"/>
        <v>728</v>
      </c>
      <c r="G31" s="115">
        <f>+References!B32</f>
        <v>840</v>
      </c>
      <c r="H31" s="78">
        <f t="shared" si="20"/>
        <v>611520</v>
      </c>
      <c r="I31" s="54">
        <f t="shared" si="10"/>
        <v>239159.63405358113</v>
      </c>
      <c r="J31" s="122">
        <f>(References!$C$49*I31)</f>
        <v>2374.8551661520601</v>
      </c>
      <c r="K31" s="122">
        <f>J31/References!$G$52</f>
        <v>2445.0274540842788</v>
      </c>
      <c r="L31" s="77">
        <f t="shared" si="21"/>
        <v>3.3585541951707127</v>
      </c>
      <c r="M31" s="112">
        <v>56.85</v>
      </c>
      <c r="N31" s="142">
        <f t="shared" si="1"/>
        <v>60.21</v>
      </c>
      <c r="O31" s="122">
        <f t="shared" si="22"/>
        <v>41386.800000000003</v>
      </c>
      <c r="P31" s="122">
        <f t="shared" si="14"/>
        <v>43832.88</v>
      </c>
      <c r="Q31" s="122">
        <f t="shared" si="23"/>
        <v>2446.0799999999945</v>
      </c>
      <c r="R31" s="131">
        <f t="shared" si="3"/>
        <v>5.9077470451551671E-2</v>
      </c>
    </row>
    <row r="32" spans="1:18" s="70" customFormat="1">
      <c r="A32" s="152"/>
      <c r="B32" s="55">
        <v>31</v>
      </c>
      <c r="C32" s="144" t="s">
        <v>108</v>
      </c>
      <c r="D32" s="146">
        <v>8</v>
      </c>
      <c r="E32" s="79">
        <f>+E31</f>
        <v>4.3330000000000002</v>
      </c>
      <c r="F32" s="117">
        <f t="shared" si="12"/>
        <v>416</v>
      </c>
      <c r="G32" s="115">
        <f t="shared" si="24"/>
        <v>840</v>
      </c>
      <c r="H32" s="78">
        <f t="shared" si="20"/>
        <v>349440</v>
      </c>
      <c r="I32" s="54">
        <f t="shared" si="10"/>
        <v>136662.6480306178</v>
      </c>
      <c r="J32" s="122">
        <f>(References!$C$49*I32)</f>
        <v>1357.0600949440345</v>
      </c>
      <c r="K32" s="122">
        <f>J32/References!$G$52</f>
        <v>1397.1585451910166</v>
      </c>
      <c r="L32" s="77">
        <f t="shared" si="21"/>
        <v>3.3585541951707132</v>
      </c>
      <c r="M32" s="112">
        <f>+M31</f>
        <v>56.85</v>
      </c>
      <c r="N32" s="142">
        <f t="shared" si="1"/>
        <v>60.21</v>
      </c>
      <c r="O32" s="122">
        <f t="shared" si="22"/>
        <v>23649.600000000002</v>
      </c>
      <c r="P32" s="122">
        <f t="shared" si="14"/>
        <v>25047.360000000001</v>
      </c>
      <c r="Q32" s="122">
        <f t="shared" si="23"/>
        <v>1397.7599999999984</v>
      </c>
      <c r="R32" s="131">
        <f t="shared" si="3"/>
        <v>5.9077470451551685E-2</v>
      </c>
    </row>
    <row r="33" spans="1:20" s="70" customFormat="1">
      <c r="A33" s="152"/>
      <c r="B33" s="55">
        <v>31</v>
      </c>
      <c r="C33" s="144" t="s">
        <v>109</v>
      </c>
      <c r="D33" s="146">
        <v>6</v>
      </c>
      <c r="E33" s="79">
        <f>+E32</f>
        <v>4.3330000000000002</v>
      </c>
      <c r="F33" s="117">
        <f t="shared" si="12"/>
        <v>312</v>
      </c>
      <c r="G33" s="115">
        <f t="shared" si="24"/>
        <v>840</v>
      </c>
      <c r="H33" s="78">
        <f t="shared" si="20"/>
        <v>262080</v>
      </c>
      <c r="I33" s="54">
        <f t="shared" si="10"/>
        <v>102496.98602296335</v>
      </c>
      <c r="J33" s="122">
        <f>(References!$C$49*I33)</f>
        <v>1017.7950712080259</v>
      </c>
      <c r="K33" s="122">
        <f>J33/References!$G$52</f>
        <v>1047.8689088932624</v>
      </c>
      <c r="L33" s="77">
        <f t="shared" si="21"/>
        <v>3.3585541951707127</v>
      </c>
      <c r="M33" s="112">
        <f>+M32</f>
        <v>56.85</v>
      </c>
      <c r="N33" s="142">
        <f t="shared" si="1"/>
        <v>60.21</v>
      </c>
      <c r="O33" s="122">
        <f t="shared" si="22"/>
        <v>17737.2</v>
      </c>
      <c r="P33" s="122">
        <f t="shared" si="14"/>
        <v>18785.52</v>
      </c>
      <c r="Q33" s="122">
        <f t="shared" si="23"/>
        <v>1048.3199999999997</v>
      </c>
      <c r="R33" s="131">
        <f t="shared" si="3"/>
        <v>5.9077470451551671E-2</v>
      </c>
    </row>
    <row r="34" spans="1:20" s="70" customFormat="1">
      <c r="A34" s="152"/>
      <c r="B34" s="55">
        <v>31</v>
      </c>
      <c r="C34" s="144" t="s">
        <v>132</v>
      </c>
      <c r="D34" s="146">
        <v>1</v>
      </c>
      <c r="E34" s="79">
        <f>+E30</f>
        <v>2.1667000000000001</v>
      </c>
      <c r="F34" s="117">
        <f t="shared" si="12"/>
        <v>26</v>
      </c>
      <c r="G34" s="115">
        <f>+G33</f>
        <v>840</v>
      </c>
      <c r="H34" s="78">
        <f t="shared" si="20"/>
        <v>21840</v>
      </c>
      <c r="I34" s="54">
        <f t="shared" si="10"/>
        <v>8541.4155019136124</v>
      </c>
      <c r="J34" s="122">
        <f>(References!$C$49*I34)</f>
        <v>84.816255934002157</v>
      </c>
      <c r="K34" s="122">
        <f>J34/References!$G$52</f>
        <v>87.322409074438539</v>
      </c>
      <c r="L34" s="77">
        <f t="shared" si="21"/>
        <v>3.3585541951707132</v>
      </c>
      <c r="M34" s="112">
        <f>+M33</f>
        <v>56.85</v>
      </c>
      <c r="N34" s="142">
        <f t="shared" si="1"/>
        <v>60.21</v>
      </c>
      <c r="O34" s="122">
        <f t="shared" si="22"/>
        <v>1478.1000000000001</v>
      </c>
      <c r="P34" s="122">
        <f t="shared" si="14"/>
        <v>1565.46</v>
      </c>
      <c r="Q34" s="122">
        <f t="shared" si="23"/>
        <v>87.3599999999999</v>
      </c>
      <c r="R34" s="131">
        <f t="shared" si="3"/>
        <v>5.9077470451551685E-2</v>
      </c>
    </row>
    <row r="35" spans="1:20" s="70" customFormat="1">
      <c r="A35" s="152"/>
      <c r="B35" s="55">
        <v>31</v>
      </c>
      <c r="C35" s="144" t="s">
        <v>110</v>
      </c>
      <c r="D35" s="146">
        <v>9</v>
      </c>
      <c r="E35" s="79">
        <f>+E28</f>
        <v>4.3330000000000002</v>
      </c>
      <c r="F35" s="117">
        <f t="shared" si="12"/>
        <v>468</v>
      </c>
      <c r="G35" s="115">
        <f>+References!B33</f>
        <v>980</v>
      </c>
      <c r="H35" s="78">
        <f t="shared" si="20"/>
        <v>458640</v>
      </c>
      <c r="I35" s="54">
        <f t="shared" si="10"/>
        <v>179369.72554018587</v>
      </c>
      <c r="J35" s="122">
        <f>(References!$C$49*I35)</f>
        <v>1781.1413746140454</v>
      </c>
      <c r="K35" s="122">
        <f>J35/References!$G$52</f>
        <v>1833.7705905632095</v>
      </c>
      <c r="L35" s="77">
        <f t="shared" si="21"/>
        <v>3.9183132276991657</v>
      </c>
      <c r="M35" s="112">
        <v>73.95</v>
      </c>
      <c r="N35" s="142">
        <f t="shared" si="1"/>
        <v>77.87</v>
      </c>
      <c r="O35" s="122">
        <f t="shared" si="22"/>
        <v>34608.6</v>
      </c>
      <c r="P35" s="122">
        <f t="shared" si="14"/>
        <v>36443.160000000003</v>
      </c>
      <c r="Q35" s="122">
        <f t="shared" si="23"/>
        <v>1834.5600000000049</v>
      </c>
      <c r="R35" s="131">
        <f t="shared" si="3"/>
        <v>5.2985980090590475E-2</v>
      </c>
    </row>
    <row r="36" spans="1:20" s="70" customFormat="1">
      <c r="A36" s="152"/>
      <c r="B36" s="55">
        <v>31</v>
      </c>
      <c r="C36" s="144" t="s">
        <v>133</v>
      </c>
      <c r="D36" s="146">
        <v>2</v>
      </c>
      <c r="E36" s="79">
        <f>+E33</f>
        <v>4.3330000000000002</v>
      </c>
      <c r="F36" s="117">
        <f t="shared" si="12"/>
        <v>104</v>
      </c>
      <c r="G36" s="115">
        <f>+G35</f>
        <v>980</v>
      </c>
      <c r="H36" s="78">
        <f t="shared" si="20"/>
        <v>101920</v>
      </c>
      <c r="I36" s="54">
        <f t="shared" si="10"/>
        <v>39859.939008930189</v>
      </c>
      <c r="J36" s="122">
        <f>(References!$C$49*I36)</f>
        <v>395.80919435867668</v>
      </c>
      <c r="K36" s="122">
        <f>J36/References!$G$52</f>
        <v>407.50457568071312</v>
      </c>
      <c r="L36" s="77">
        <f t="shared" si="21"/>
        <v>3.9183132276991648</v>
      </c>
      <c r="M36" s="112">
        <f>+M35</f>
        <v>73.95</v>
      </c>
      <c r="N36" s="142">
        <f t="shared" si="1"/>
        <v>77.87</v>
      </c>
      <c r="O36" s="122">
        <f t="shared" si="22"/>
        <v>7690.8</v>
      </c>
      <c r="P36" s="122">
        <f t="shared" si="14"/>
        <v>8098.4800000000005</v>
      </c>
      <c r="Q36" s="122">
        <f t="shared" si="23"/>
        <v>407.68000000000029</v>
      </c>
      <c r="R36" s="131">
        <f t="shared" si="3"/>
        <v>5.2985980090590461E-2</v>
      </c>
    </row>
    <row r="37" spans="1:20" s="70" customFormat="1">
      <c r="A37" s="152"/>
      <c r="B37" s="55">
        <v>31</v>
      </c>
      <c r="C37" s="144" t="s">
        <v>134</v>
      </c>
      <c r="D37" s="146">
        <v>6</v>
      </c>
      <c r="E37" s="79">
        <f>+E36</f>
        <v>4.3330000000000002</v>
      </c>
      <c r="F37" s="117">
        <f t="shared" si="12"/>
        <v>312</v>
      </c>
      <c r="G37" s="115">
        <f>+G36</f>
        <v>980</v>
      </c>
      <c r="H37" s="78">
        <f t="shared" si="20"/>
        <v>305760</v>
      </c>
      <c r="I37" s="54">
        <f t="shared" si="10"/>
        <v>119579.81702679057</v>
      </c>
      <c r="J37" s="122">
        <f>(References!$C$49*I37)</f>
        <v>1187.42758307603</v>
      </c>
      <c r="K37" s="122">
        <f>J37/References!$G$52</f>
        <v>1222.5137270421394</v>
      </c>
      <c r="L37" s="77">
        <f t="shared" si="21"/>
        <v>3.9183132276991648</v>
      </c>
      <c r="M37" s="112">
        <f>+M36</f>
        <v>73.95</v>
      </c>
      <c r="N37" s="142">
        <f t="shared" si="1"/>
        <v>77.87</v>
      </c>
      <c r="O37" s="122">
        <f t="shared" si="22"/>
        <v>23072.400000000001</v>
      </c>
      <c r="P37" s="122">
        <f t="shared" si="14"/>
        <v>24295.440000000002</v>
      </c>
      <c r="Q37" s="122">
        <f t="shared" si="23"/>
        <v>1223.0400000000009</v>
      </c>
      <c r="R37" s="131">
        <f t="shared" si="3"/>
        <v>5.2985980090590461E-2</v>
      </c>
    </row>
    <row r="38" spans="1:20" s="70" customFormat="1">
      <c r="A38" s="152"/>
      <c r="B38" s="55">
        <v>31</v>
      </c>
      <c r="C38" s="144" t="s">
        <v>135</v>
      </c>
      <c r="D38" s="146">
        <v>5</v>
      </c>
      <c r="E38" s="79">
        <f>+E37</f>
        <v>4.3330000000000002</v>
      </c>
      <c r="F38" s="117">
        <f t="shared" si="12"/>
        <v>260</v>
      </c>
      <c r="G38" s="115">
        <f>+G37</f>
        <v>980</v>
      </c>
      <c r="H38" s="78">
        <f t="shared" si="20"/>
        <v>254800</v>
      </c>
      <c r="I38" s="54">
        <f t="shared" si="10"/>
        <v>99649.847522325479</v>
      </c>
      <c r="J38" s="122">
        <f>(References!$C$49*I38)</f>
        <v>989.52298589669181</v>
      </c>
      <c r="K38" s="122">
        <f>J38/References!$G$52</f>
        <v>1018.7614392017829</v>
      </c>
      <c r="L38" s="77">
        <f t="shared" si="21"/>
        <v>3.9183132276991648</v>
      </c>
      <c r="M38" s="112">
        <f>+M37</f>
        <v>73.95</v>
      </c>
      <c r="N38" s="142">
        <f t="shared" si="1"/>
        <v>77.87</v>
      </c>
      <c r="O38" s="122">
        <f t="shared" si="22"/>
        <v>19227</v>
      </c>
      <c r="P38" s="122">
        <f t="shared" si="14"/>
        <v>20246.2</v>
      </c>
      <c r="Q38" s="122">
        <f t="shared" si="23"/>
        <v>1019.2000000000007</v>
      </c>
      <c r="R38" s="131">
        <f t="shared" si="3"/>
        <v>5.2985980090590461E-2</v>
      </c>
    </row>
    <row r="39" spans="1:20" s="70" customFormat="1">
      <c r="A39" s="152"/>
      <c r="B39" s="55">
        <v>31</v>
      </c>
      <c r="C39" s="144" t="s">
        <v>136</v>
      </c>
      <c r="D39" s="146">
        <v>1</v>
      </c>
      <c r="E39" s="79">
        <f>+E34</f>
        <v>2.1667000000000001</v>
      </c>
      <c r="F39" s="117">
        <f t="shared" si="12"/>
        <v>26</v>
      </c>
      <c r="G39" s="115">
        <f>+G38</f>
        <v>980</v>
      </c>
      <c r="H39" s="78">
        <f t="shared" si="20"/>
        <v>25480</v>
      </c>
      <c r="I39" s="54">
        <f t="shared" si="10"/>
        <v>9964.9847522325472</v>
      </c>
      <c r="J39" s="122">
        <f>(References!$C$49*I39)</f>
        <v>98.952298589669169</v>
      </c>
      <c r="K39" s="122">
        <f>J39/References!$G$52</f>
        <v>101.87614392017828</v>
      </c>
      <c r="L39" s="77">
        <f t="shared" si="21"/>
        <v>3.9183132276991648</v>
      </c>
      <c r="M39" s="112">
        <f>+M38</f>
        <v>73.95</v>
      </c>
      <c r="N39" s="142">
        <f t="shared" si="1"/>
        <v>77.87</v>
      </c>
      <c r="O39" s="122">
        <f t="shared" si="22"/>
        <v>1922.7</v>
      </c>
      <c r="P39" s="122">
        <f t="shared" si="14"/>
        <v>2024.6200000000001</v>
      </c>
      <c r="Q39" s="122">
        <f t="shared" si="23"/>
        <v>101.92000000000007</v>
      </c>
      <c r="R39" s="131">
        <f t="shared" si="3"/>
        <v>5.2985980090590461E-2</v>
      </c>
    </row>
    <row r="40" spans="1:20" s="70" customFormat="1">
      <c r="A40" s="152"/>
      <c r="B40" s="55">
        <v>24</v>
      </c>
      <c r="C40" s="114" t="s">
        <v>111</v>
      </c>
      <c r="D40" s="67">
        <v>1</v>
      </c>
      <c r="E40" s="79">
        <v>1</v>
      </c>
      <c r="F40" s="117">
        <f t="shared" si="12"/>
        <v>12</v>
      </c>
      <c r="G40" s="115">
        <f>+References!B42</f>
        <v>125</v>
      </c>
      <c r="H40" s="78">
        <f t="shared" si="20"/>
        <v>1500</v>
      </c>
      <c r="I40" s="54">
        <f t="shared" si="10"/>
        <v>586.63568007648439</v>
      </c>
      <c r="J40" s="122">
        <f>(References!$C$49*I40)</f>
        <v>5.8252923031594888</v>
      </c>
      <c r="K40" s="122">
        <f>J40/References!$G$52</f>
        <v>5.9974182056619876</v>
      </c>
      <c r="L40" s="77">
        <f t="shared" si="21"/>
        <v>0.4997848504718323</v>
      </c>
      <c r="M40" s="112">
        <v>23.32</v>
      </c>
      <c r="N40" s="142">
        <f t="shared" si="1"/>
        <v>23.82</v>
      </c>
      <c r="O40" s="122">
        <f t="shared" si="22"/>
        <v>279.84000000000003</v>
      </c>
      <c r="P40" s="122">
        <f t="shared" si="14"/>
        <v>285.84000000000003</v>
      </c>
      <c r="Q40" s="122">
        <f t="shared" si="23"/>
        <v>6</v>
      </c>
      <c r="R40" s="131">
        <f t="shared" si="3"/>
        <v>2.1431597361570853E-2</v>
      </c>
    </row>
    <row r="41" spans="1:20" s="70" customFormat="1">
      <c r="A41" s="58"/>
      <c r="B41" s="56"/>
      <c r="C41" s="60" t="s">
        <v>15</v>
      </c>
      <c r="D41" s="61">
        <f>SUM(D11:D40)</f>
        <v>214</v>
      </c>
      <c r="E41" s="61"/>
      <c r="F41" s="61">
        <f>SUM(F11:F40)</f>
        <v>10438</v>
      </c>
      <c r="G41" s="61"/>
      <c r="H41" s="61">
        <f>SUM(H11:H40)</f>
        <v>5268424</v>
      </c>
      <c r="I41" s="65">
        <f>SUM(I11:I40)</f>
        <v>2060430.3307808477</v>
      </c>
      <c r="J41" s="123">
        <f>SUM(J11:J40)</f>
        <v>20460.073184653815</v>
      </c>
      <c r="K41" s="123">
        <f>SUM(K11:K40)</f>
        <v>21064.628008497693</v>
      </c>
      <c r="L41" s="83"/>
      <c r="M41" s="83"/>
      <c r="N41" s="83"/>
      <c r="O41" s="123">
        <f>SUM(O11:O40)</f>
        <v>370171.44</v>
      </c>
      <c r="P41" s="83">
        <f>SUM(P11:P40)</f>
        <v>391243.4200000001</v>
      </c>
      <c r="Q41" s="123">
        <f>SUM(Q11:Q40)</f>
        <v>21071.980000000003</v>
      </c>
      <c r="R41" s="132">
        <f>+K41/O41</f>
        <v>5.6905060013537762E-2</v>
      </c>
      <c r="T41" s="143">
        <f>+I41/2000</f>
        <v>1030.2151653904239</v>
      </c>
    </row>
    <row r="42" spans="1:20">
      <c r="C42" s="73" t="s">
        <v>3</v>
      </c>
      <c r="D42" s="74">
        <f>D10+D41</f>
        <v>1231</v>
      </c>
      <c r="E42" s="74"/>
      <c r="F42" s="96">
        <f>F10+F41</f>
        <v>64126</v>
      </c>
      <c r="G42" s="74"/>
      <c r="H42" s="74">
        <f>H10+H41</f>
        <v>7982808</v>
      </c>
      <c r="I42" s="74">
        <f>I10+I41</f>
        <v>3121999.9999999995</v>
      </c>
      <c r="J42" s="124">
        <f>J10+J41</f>
        <v>31001.459999999992</v>
      </c>
      <c r="K42" s="124">
        <f>K10+K41</f>
        <v>31917.492021002763</v>
      </c>
      <c r="L42" s="85"/>
      <c r="M42" s="85"/>
      <c r="N42" s="85"/>
      <c r="O42" s="124">
        <f>O10+O41</f>
        <v>570218.04</v>
      </c>
      <c r="P42" s="124">
        <f>P10+P41</f>
        <v>602122.78</v>
      </c>
      <c r="Q42" s="124">
        <f>Q10+Q41</f>
        <v>31904.740000000009</v>
      </c>
      <c r="R42" s="139">
        <f>+Q42/O42</f>
        <v>5.5951825024687062E-2</v>
      </c>
      <c r="T42" s="143">
        <f>+I42/2000</f>
        <v>1560.9999999999998</v>
      </c>
    </row>
    <row r="43" spans="1:20">
      <c r="J43" s="122"/>
    </row>
    <row r="44" spans="1:20">
      <c r="A44" s="72"/>
      <c r="C44" s="75"/>
    </row>
    <row r="45" spans="1:20">
      <c r="A45" s="72"/>
      <c r="C45" s="150" t="s">
        <v>80</v>
      </c>
      <c r="D45" s="150"/>
      <c r="E45" s="91"/>
      <c r="F45" s="91"/>
      <c r="H45" s="94" t="s">
        <v>88</v>
      </c>
    </row>
    <row r="46" spans="1:20">
      <c r="A46" s="72"/>
      <c r="D46" s="66" t="s">
        <v>15</v>
      </c>
      <c r="E46" s="44"/>
      <c r="F46" s="44"/>
      <c r="H46" s="92" t="s">
        <v>89</v>
      </c>
      <c r="O46" s="125"/>
      <c r="P46" s="47"/>
    </row>
    <row r="47" spans="1:20">
      <c r="A47" s="72"/>
      <c r="C47" s="68" t="s">
        <v>29</v>
      </c>
      <c r="D47" s="76">
        <f>+D56</f>
        <v>1561</v>
      </c>
      <c r="G47" s="51"/>
      <c r="H47" s="93" t="s">
        <v>90</v>
      </c>
      <c r="O47" s="125"/>
      <c r="P47" s="95"/>
    </row>
    <row r="48" spans="1:20">
      <c r="A48" s="72"/>
      <c r="C48" s="68" t="s">
        <v>30</v>
      </c>
      <c r="D48" s="42">
        <f>D47*2000</f>
        <v>3122000</v>
      </c>
      <c r="E48" s="42"/>
      <c r="F48" s="42"/>
      <c r="G48" s="42"/>
      <c r="H48" s="103" t="s">
        <v>92</v>
      </c>
      <c r="P48" s="95"/>
    </row>
    <row r="49" spans="1:16">
      <c r="A49" s="72"/>
      <c r="C49" s="68" t="s">
        <v>4</v>
      </c>
      <c r="D49" s="42">
        <f>F10+F41</f>
        <v>64126</v>
      </c>
      <c r="E49" s="67"/>
      <c r="F49" s="67"/>
      <c r="G49" s="67"/>
      <c r="H49" s="104" t="s">
        <v>93</v>
      </c>
      <c r="O49" s="125"/>
      <c r="P49" s="95"/>
    </row>
    <row r="50" spans="1:16">
      <c r="C50" s="48" t="s">
        <v>11</v>
      </c>
      <c r="D50" s="41">
        <f>D48/$H$42</f>
        <v>0.39109045338432291</v>
      </c>
      <c r="E50" s="41"/>
      <c r="F50" s="41"/>
      <c r="G50" s="41"/>
      <c r="H50" s="37"/>
      <c r="M50" s="46"/>
      <c r="N50" s="46"/>
      <c r="O50" s="126"/>
      <c r="P50" s="45"/>
    </row>
    <row r="51" spans="1:16">
      <c r="G51" s="50"/>
      <c r="H51" s="38"/>
      <c r="M51" s="49"/>
      <c r="N51" s="36"/>
      <c r="P51" s="37"/>
    </row>
    <row r="52" spans="1:16">
      <c r="D52" s="40"/>
      <c r="E52" s="39"/>
      <c r="G52" s="50"/>
      <c r="H52" s="38"/>
      <c r="M52" s="49"/>
      <c r="N52" s="36"/>
      <c r="P52" s="37"/>
    </row>
    <row r="53" spans="1:16">
      <c r="B53" s="133" t="s">
        <v>113</v>
      </c>
      <c r="D53" s="40"/>
      <c r="E53" s="39"/>
      <c r="G53" s="50"/>
      <c r="H53" s="38"/>
      <c r="M53" s="49"/>
      <c r="N53" s="36"/>
      <c r="P53" s="37"/>
    </row>
    <row r="54" spans="1:16">
      <c r="C54" s="68" t="s">
        <v>12</v>
      </c>
      <c r="D54" s="67">
        <v>638</v>
      </c>
      <c r="I54" s="68"/>
    </row>
    <row r="55" spans="1:16" ht="17.25">
      <c r="C55" s="68" t="s">
        <v>13</v>
      </c>
      <c r="D55" s="118">
        <v>923</v>
      </c>
      <c r="E55" s="47"/>
      <c r="I55" s="68"/>
    </row>
    <row r="56" spans="1:16" ht="17.25">
      <c r="D56" s="119">
        <f>SUM(D54:D55)</f>
        <v>1561</v>
      </c>
      <c r="I56" s="68"/>
    </row>
    <row r="57" spans="1:16">
      <c r="D57" s="68"/>
      <c r="I57" s="68"/>
    </row>
    <row r="58" spans="1:16" ht="17.25">
      <c r="C58" s="68" t="s">
        <v>115</v>
      </c>
      <c r="D58" s="118">
        <v>1856</v>
      </c>
    </row>
    <row r="60" spans="1:16" ht="17.25">
      <c r="D60" s="134">
        <f>+D58+D56</f>
        <v>3417</v>
      </c>
    </row>
  </sheetData>
  <mergeCells count="3">
    <mergeCell ref="C45:D45"/>
    <mergeCell ref="A2:A8"/>
    <mergeCell ref="A11:A40"/>
  </mergeCells>
  <pageMargins left="0.2" right="0.22" top="0.63" bottom="0.34" header="0.19" footer="0.17"/>
  <pageSetup scale="48" fitToHeight="0" orientation="landscape" r:id="rId1"/>
  <headerFooter>
    <oddHeader>&amp;C&amp;"-,Bold"&amp;12Murrey's Disposal Co, Inc&amp;"-,Regular"
Disposal Fee Staff Calculations</oddHeader>
    <oddFooter>&amp;L&amp;F - &amp;A&amp;C&amp;D&amp;R&amp;P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2021-01-13T08:00:00+00:00</OpenedDate>
    <SignificantOrder xmlns="dc463f71-b30c-4ab2-9473-d307f9d35888">false</SignificantOrder>
    <Date1 xmlns="dc463f71-b30c-4ab2-9473-d307f9d35888">2021-01-13T08:00:00+00:00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210027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BC3677623F6C468F3D72DD6E35D8F2" ma:contentTypeVersion="44" ma:contentTypeDescription="" ma:contentTypeScope="" ma:versionID="5371e320820bc13366d7dec30604ea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07CD2B-AB66-4292-9838-6A430EDFEC38}"/>
</file>

<file path=customXml/itemProps4.xml><?xml version="1.0" encoding="utf-8"?>
<ds:datastoreItem xmlns:ds="http://schemas.openxmlformats.org/officeDocument/2006/customXml" ds:itemID="{29A92883-6FAF-4F56-A23F-853DFB2607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References</vt:lpstr>
      <vt:lpstr>Calculation</vt:lpstr>
      <vt:lpstr>Calculation!Print_Area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Weinstein, Mike</cp:lastModifiedBy>
  <cp:lastPrinted>2016-06-27T17:35:33Z</cp:lastPrinted>
  <dcterms:created xsi:type="dcterms:W3CDTF">2013-10-29T22:33:54Z</dcterms:created>
  <dcterms:modified xsi:type="dcterms:W3CDTF">2021-01-13T20:08:48Z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0x0101006E56B4D1795A2E4DB2F0B01679ED314A0092BC3677623F6C468F3D72DD6E35D8F2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