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#Community_Solar\Financial Modeling\Working Fin Model\"/>
    </mc:Choice>
  </mc:AlternateContent>
  <bookViews>
    <workbookView xWindow="0" yWindow="0" windowWidth="18855" windowHeight="7245"/>
  </bookViews>
  <sheets>
    <sheet name="Assumptions" sheetId="2" r:id="rId1"/>
    <sheet name="Product Costs" sheetId="4" r:id="rId2"/>
    <sheet name="Product Pricing" sheetId="5" r:id="rId3"/>
    <sheet name="Inputs ---&gt;" sheetId="1" r:id="rId4"/>
    <sheet name="Cost of Capital" sheetId="3" r:id="rId5"/>
    <sheet name="IT" sheetId="8" r:id="rId6"/>
    <sheet name="Labor" sheetId="16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sd">'Product Costs'!$C$26</definedName>
    <definedName name="BEM">[1]Lists!$G$48:$G$52</definedName>
    <definedName name="BTSBA">[1]Lists!$C$62:$C$67</definedName>
    <definedName name="Budget_End_Date">[1]ProjProfile!$C$9</definedName>
    <definedName name="Budget_Start_Date">[1]ProjProfile!$C$8</definedName>
    <definedName name="Business_Line">[1]Lists!$E$48:$E$60</definedName>
    <definedName name="Business_Line_Priority">[1]Lists!$E$6:$E$11</definedName>
    <definedName name="Capital_Category">[1]Lists!$M$48:$M$54</definedName>
    <definedName name="Capital_Contingency">'[2]III. KeySched_HW_Cash'!$C$36</definedName>
    <definedName name="Capital_Cost">'[2]III. KeySched_HW_Cash'!$C$35</definedName>
    <definedName name="Capital_Total_wcont">'[2]III. KeySched_HW_Cash'!$C$37</definedName>
    <definedName name="Cash_Benefits_Total">'[2]III. KeySched_HW_Cash'!$C$38</definedName>
    <definedName name="CASH_BENEFITS_TOTAL_5_YEARS">IT!$J$49</definedName>
    <definedName name="CASH_BENEFITS_YEAR_1">IT!$B$49</definedName>
    <definedName name="CASH_BENEFITS_YEAR_2">IT!$D$49</definedName>
    <definedName name="CASH_BENEFITS_YEAR_3">IT!$E$49</definedName>
    <definedName name="CASH_BENEFITS_YEAR_4">IT!$F$49</definedName>
    <definedName name="CASH_BENEFITS_YEAR_5">IT!$H$49</definedName>
    <definedName name="Contingency_Percent">'[2]III. KeySched_HW_Cash'!$C$6</definedName>
    <definedName name="COST_CONTINGENCY_OM_OCM_YEAR_1">'Product Costs'!$C$61</definedName>
    <definedName name="COST_CONTINGENCY_OM_OCM_YEAR_2">'Product Costs'!$E$61</definedName>
    <definedName name="COST_CONTINGENCY_OM_OCM_YEAR_3">'Product Costs'!$F$61</definedName>
    <definedName name="COST_CONTINGENCY_OM_OCM_YEAR_4">'Product Costs'!$G$61</definedName>
    <definedName name="COST_CONTINGENCY_OM_OCM_YEAR_5">'Product Costs'!$I$61</definedName>
    <definedName name="COST_EXTERNAL_LABOR_OCM_OM_YEAR_1">'Product Costs'!$C$51</definedName>
    <definedName name="COST_EXTERNAL_LABOR_OCM_OM_YEAR_2">'Product Costs'!$E$51</definedName>
    <definedName name="COST_EXTERNAL_LABOR_OCM_OM_YEAR_3">'Product Costs'!$F$51</definedName>
    <definedName name="COST_EXTERNAL_LABOR_OCM_OM_YEAR_4">'Product Costs'!$G$51</definedName>
    <definedName name="COST_EXTERNAL_LABOR_OCM_OM_YEAR_5">'Product Costs'!$I$51</definedName>
    <definedName name="COST_INTERNAL_LABOR_OCM_OM_YEAR_1">'Product Costs'!$C$48</definedName>
    <definedName name="COST_INTERNAL_LABOR_OCM_OM_YEAR_2">'Product Costs'!$E$48</definedName>
    <definedName name="COST_INTERNAL_LABOR_OCM_OM_YEAR_3">'Product Costs'!$F$48</definedName>
    <definedName name="COST_INTERNAL_LABOR_OCM_OM_YEAR_4">'Product Costs'!$G$48</definedName>
    <definedName name="COST_INTERNAL_LABOR_OCM_OM_YEAR_5">'Product Costs'!$I$48</definedName>
    <definedName name="COST_TAXES_OM_OCM_YEAR_1">'Product Costs'!$C$57</definedName>
    <definedName name="COST_TAXES_OM_OCM_YEAR_2">'Product Costs'!$E$57</definedName>
    <definedName name="COST_TAXES_OM_OCM_YEAR_3">'Product Costs'!$F$57</definedName>
    <definedName name="COST_TAXES_OM_OCM_YEAR_4">'Product Costs'!$G$57</definedName>
    <definedName name="COST_TAXES_OM_OCM_YEAR_5">'Product Costs'!$I$57</definedName>
    <definedName name="COST_TOTAL_CAPITAL">'Product Costs'!#REF!</definedName>
    <definedName name="COST_TOTAL_CAPITAL_YEAR_1">'Product Costs'!$C$26</definedName>
    <definedName name="COST_TOTAL_CAPITAL_YEAR_2">'Product Costs'!$E$26</definedName>
    <definedName name="COST_TOTAL_CAPITAL_YEAR_3">'Product Costs'!$F$26</definedName>
    <definedName name="COST_TOTAL_CAPITAL_YEAR_4">'Product Costs'!$G$26</definedName>
    <definedName name="COST_TOTAL_CAPITAL_YEAR_5">'Product Costs'!$I$26</definedName>
    <definedName name="COST_TOTAL_ON_GOING_OM">'Product Costs'!#REF!</definedName>
    <definedName name="COST_TOTAL_ON_GOING_OM_YEAR_1">'Product Costs'!$C$66</definedName>
    <definedName name="COST_TOTAL_ON_GOING_OM_YEAR_2">'Product Costs'!$E$66</definedName>
    <definedName name="COST_TOTAL_ON_GOING_OM_YEAR_3">'Product Costs'!$F$66</definedName>
    <definedName name="COST_TOTAL_ON_GOING_OM_YEAR_4">'Product Costs'!$G$66</definedName>
    <definedName name="COST_TOTAL_ON_GOING_OM_YEAR_5">'Product Costs'!$I$66</definedName>
    <definedName name="COST_TOTAL_PROJECT_OM_YEAR_1">'Product Costs'!$C$44</definedName>
    <definedName name="COST_TOTAL_PROJECT_OM_YEAR_2">'Product Costs'!$E$44</definedName>
    <definedName name="COST_TOTAL_PROJECT_OM_YEAR_3">'Product Costs'!$F$44</definedName>
    <definedName name="COST_TOTAL_PROJECT_OM_YEAR_4">'Product Costs'!$G$44</definedName>
    <definedName name="COST_TOTAL_PROJECT_OM_YEAR_5">'Product Costs'!$I$44</definedName>
    <definedName name="Duration">[1]Lists!$M$15:$M$18</definedName>
    <definedName name="Expected_InService_Date">[1]ProjProfile!$C$10</definedName>
    <definedName name="Grand_Total_Project_Capital_wcont">'[2]III. KeySched_HW_Cash'!$F$37</definedName>
    <definedName name="Hours_Per_Year">'[1]IIIa. Project Labor'!$G$2</definedName>
    <definedName name="HW_Shipping_Cost_Percent">'[2]III. KeySched_HW_Cash'!$C$8</definedName>
    <definedName name="Impact">[1]Lists!$C$49:$C$51</definedName>
    <definedName name="Impacted_Customers">[1]Lists!$G$15:$G$18</definedName>
    <definedName name="Impacted_Users">[1]Lists!$E$15:$E$18</definedName>
    <definedName name="Int_Org_Impact">[1]Lists!$I$15:$I$18</definedName>
    <definedName name="IT_Classifications">[1]Lists!$E$62:$E$65</definedName>
    <definedName name="IT_Complexity">[1]Lists!$K$72:$K$77</definedName>
    <definedName name="IT_Project_Type">[1]Lists!$I$72:$I$80</definedName>
    <definedName name="Level_of_Difficulty" comment="Pull from IT Project Tiering Template RADAR Tab">[1]Lists!#REF!</definedName>
    <definedName name="List_Customer">[1]Lists!$E$39:$E$44</definedName>
    <definedName name="List_FInancial">[1]Lists!$C$39:$C$43</definedName>
    <definedName name="List_People">[1]Lists!$I$39:$I$41</definedName>
    <definedName name="List_ProcessandTools">[1]Lists!$G$39:$G$44</definedName>
    <definedName name="List_Safety">[1]Lists!$K$39:$K$40</definedName>
    <definedName name="OMRC_Contingency">'[2]III. KeySched_HW_Cash'!$E$36</definedName>
    <definedName name="OMRC_Cost">'[2]III. KeySched_HW_Cash'!$E$35</definedName>
    <definedName name="PAYBACK">[3]Payback_Calculation!$E$30</definedName>
    <definedName name="Phase_Gate">[1]Lists!$C$15:$C$21</definedName>
    <definedName name="PreTaxWACC">[4]Assumptions!$O$25</definedName>
    <definedName name="Primary_ISP_Alignment">[1]Lists!$C$6:$C$11</definedName>
    <definedName name="Profile_Roles">[1]Lists!$C$77:$C$100</definedName>
    <definedName name="Project_Complexity">[1]Lists!$K$15:$K$18</definedName>
    <definedName name="Project_Methodology" comment="Derived from IT Project Tiering Template sizing Tab">[1]Lists!$C$72:$C$74</definedName>
    <definedName name="Project_OM_Total_wcont">'[2]III. KeySched_HW_Cash'!$D$37</definedName>
    <definedName name="Project_Size" comment="Pull information from IT Project Tiering Templage, sizing Tab.">[1]Lists!$E$72:$E$75</definedName>
    <definedName name="Sales_Tax_Percentage">'[2]III. KeySched_HW_Cash'!$C$5</definedName>
    <definedName name="Score">[1]Lists!$C$25:$C$30</definedName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'Product Pricing'!#REF!</definedName>
    <definedName name="solver_typ" localSheetId="2" hidden="1">3</definedName>
    <definedName name="solver_val" localSheetId="2" hidden="1">0</definedName>
    <definedName name="solver_ver" localSheetId="2" hidden="1">3</definedName>
    <definedName name="Sponsor_Director">[1]Lists!$K$48:$K$70</definedName>
    <definedName name="SPP_Flag">[1]Lists!$G$62:$G$65</definedName>
    <definedName name="StartDate">'[5]Peak Capacity'!#REF!</definedName>
    <definedName name="Uplift_Percentage">'[2]III. KeySched_HW_Cash'!$C$7</definedName>
    <definedName name="VP">[1]Lists!$I$48:$I$56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E11" i="5"/>
  <c r="C26" i="4"/>
  <c r="C10" i="4"/>
  <c r="H14" i="4" l="1"/>
  <c r="I14" i="4"/>
  <c r="J14" i="4"/>
  <c r="K14" i="4"/>
  <c r="L14" i="4"/>
  <c r="G14" i="4"/>
  <c r="C7" i="5" l="1"/>
  <c r="C11" i="2" l="1"/>
  <c r="S20" i="4" l="1"/>
  <c r="Q20" i="4"/>
  <c r="U20" i="4"/>
  <c r="R20" i="4"/>
  <c r="P20" i="4"/>
  <c r="V20" i="4"/>
  <c r="T20" i="4"/>
  <c r="G20" i="4" l="1"/>
  <c r="H20" i="4" l="1"/>
  <c r="I20" i="4"/>
  <c r="J20" i="4" l="1"/>
  <c r="K20" i="4" l="1"/>
  <c r="L20" i="4" l="1"/>
  <c r="N20" i="4" l="1"/>
  <c r="M20" i="4"/>
  <c r="O20" i="4" l="1"/>
  <c r="H8" i="4" l="1"/>
  <c r="H4" i="4" l="1"/>
  <c r="H6" i="4" s="1"/>
  <c r="H9" i="4"/>
  <c r="C5" i="2" l="1"/>
  <c r="C7" i="2" l="1"/>
  <c r="G15" i="4" s="1"/>
  <c r="C8" i="5"/>
  <c r="S12" i="5" l="1"/>
  <c r="E12" i="5"/>
  <c r="P12" i="5"/>
  <c r="R12" i="5"/>
  <c r="Q12" i="5"/>
  <c r="O12" i="5"/>
  <c r="N12" i="5"/>
  <c r="M12" i="5"/>
  <c r="I4" i="4"/>
  <c r="I6" i="4" s="1"/>
  <c r="G24" i="4" l="1"/>
  <c r="H5" i="4"/>
  <c r="H7" i="4" s="1"/>
  <c r="H10" i="4" l="1"/>
  <c r="G12" i="5"/>
  <c r="H12" i="5"/>
  <c r="F12" i="5"/>
  <c r="L12" i="5"/>
  <c r="J12" i="5"/>
  <c r="I12" i="5"/>
  <c r="K12" i="5"/>
  <c r="I8" i="4"/>
  <c r="I5" i="4"/>
  <c r="I7" i="4" s="1"/>
  <c r="H15" i="4" l="1"/>
  <c r="I9" i="4"/>
  <c r="K15" i="4"/>
  <c r="J8" i="4"/>
  <c r="J9" i="4" s="1"/>
  <c r="J4" i="4"/>
  <c r="J6" i="4" s="1"/>
  <c r="I10" i="4" l="1"/>
  <c r="H24" i="4"/>
  <c r="I15" i="4"/>
  <c r="L15" i="4"/>
  <c r="J15" i="4"/>
  <c r="K8" i="4"/>
  <c r="K9" i="4" s="1"/>
  <c r="J5" i="4"/>
  <c r="J7" i="4" s="1"/>
  <c r="K4" i="4"/>
  <c r="K6" i="4" s="1"/>
  <c r="I24" i="4" l="1"/>
  <c r="J10" i="4"/>
  <c r="L8" i="4"/>
  <c r="L9" i="4" s="1"/>
  <c r="L4" i="4"/>
  <c r="L6" i="4" s="1"/>
  <c r="K5" i="4"/>
  <c r="K7" i="4" s="1"/>
  <c r="K10" i="4" l="1"/>
  <c r="M8" i="4"/>
  <c r="M9" i="4" s="1"/>
  <c r="M4" i="4"/>
  <c r="M6" i="4" s="1"/>
  <c r="L5" i="4"/>
  <c r="L7" i="4" s="1"/>
  <c r="J24" i="4" l="1"/>
  <c r="K24" i="4"/>
  <c r="L10" i="4"/>
  <c r="N8" i="4"/>
  <c r="N9" i="4" s="1"/>
  <c r="N4" i="4"/>
  <c r="N6" i="4" s="1"/>
  <c r="M5" i="4"/>
  <c r="M7" i="4" s="1"/>
  <c r="L24" i="4" l="1"/>
  <c r="M10" i="4"/>
  <c r="O8" i="4"/>
  <c r="O4" i="4"/>
  <c r="N5" i="4"/>
  <c r="N7" i="4" s="1"/>
  <c r="P4" i="4" l="1"/>
  <c r="P6" i="4" s="1"/>
  <c r="O6" i="4"/>
  <c r="O9" i="4"/>
  <c r="P8" i="4"/>
  <c r="M24" i="4"/>
  <c r="N10" i="4"/>
  <c r="O5" i="4"/>
  <c r="P5" i="4" l="1"/>
  <c r="P7" i="4" s="1"/>
  <c r="Q4" i="4"/>
  <c r="Q6" i="4" s="1"/>
  <c r="O7" i="4"/>
  <c r="O10" i="4" s="1"/>
  <c r="Q8" i="4"/>
  <c r="P9" i="4"/>
  <c r="N24" i="4"/>
  <c r="Q5" i="4" l="1"/>
  <c r="Q7" i="4" s="1"/>
  <c r="R4" i="4"/>
  <c r="R6" i="4" s="1"/>
  <c r="P10" i="4"/>
  <c r="P24" i="4" s="1"/>
  <c r="R8" i="4"/>
  <c r="Q9" i="4"/>
  <c r="O24" i="4"/>
  <c r="R5" i="4" l="1"/>
  <c r="R7" i="4" s="1"/>
  <c r="S4" i="4"/>
  <c r="S6" i="4" s="1"/>
  <c r="Q10" i="4"/>
  <c r="Q24" i="4" s="1"/>
  <c r="S8" i="4"/>
  <c r="R9" i="4"/>
  <c r="S5" i="4" l="1"/>
  <c r="S7" i="4" s="1"/>
  <c r="T4" i="4"/>
  <c r="T6" i="4" s="1"/>
  <c r="R10" i="4"/>
  <c r="R24" i="4" s="1"/>
  <c r="T8" i="4"/>
  <c r="S9" i="4"/>
  <c r="T5" i="4" l="1"/>
  <c r="T7" i="4" s="1"/>
  <c r="U4" i="4"/>
  <c r="U6" i="4" s="1"/>
  <c r="S10" i="4"/>
  <c r="S24" i="4" s="1"/>
  <c r="T9" i="4"/>
  <c r="U8" i="4"/>
  <c r="U5" i="4" l="1"/>
  <c r="U7" i="4" s="1"/>
  <c r="V4" i="4"/>
  <c r="V6" i="4" s="1"/>
  <c r="T10" i="4"/>
  <c r="T24" i="4" s="1"/>
  <c r="V8" i="4"/>
  <c r="U9" i="4"/>
  <c r="V5" i="4" l="1"/>
  <c r="V7" i="4" s="1"/>
  <c r="U10" i="4"/>
  <c r="U24" i="4" s="1"/>
  <c r="V9" i="4"/>
  <c r="V10" i="4" l="1"/>
  <c r="V24" i="4"/>
  <c r="C2" i="5" l="1"/>
  <c r="J13" i="5" l="1"/>
  <c r="N13" i="5"/>
  <c r="R13" i="5"/>
  <c r="I13" i="5"/>
  <c r="M13" i="5"/>
  <c r="Q13" i="5"/>
  <c r="O13" i="5"/>
  <c r="S13" i="5"/>
  <c r="L13" i="5"/>
  <c r="E13" i="5"/>
  <c r="H13" i="5"/>
  <c r="G13" i="5"/>
  <c r="P13" i="5"/>
  <c r="K13" i="5"/>
  <c r="F13" i="5"/>
</calcChain>
</file>

<file path=xl/sharedStrings.xml><?xml version="1.0" encoding="utf-8"?>
<sst xmlns="http://schemas.openxmlformats.org/spreadsheetml/2006/main" count="80" uniqueCount="73">
  <si>
    <t>Assumptions</t>
  </si>
  <si>
    <t>Eastside solar (MWac)</t>
  </si>
  <si>
    <t>Westside solar (MWac)</t>
  </si>
  <si>
    <t>Degradation</t>
  </si>
  <si>
    <t>Production (MWh) - Eastside solar</t>
  </si>
  <si>
    <t>Production (MWh) - Westside solar</t>
  </si>
  <si>
    <t>Total Power Costs</t>
  </si>
  <si>
    <t>Eastside solar power costs</t>
  </si>
  <si>
    <t>Westside solar power costs</t>
  </si>
  <si>
    <t>POWER COSTS</t>
  </si>
  <si>
    <t>IT COSTS</t>
  </si>
  <si>
    <t>ADMIN COSTS</t>
  </si>
  <si>
    <t>TOTAL COSTS</t>
  </si>
  <si>
    <t>Full program (MWac)</t>
  </si>
  <si>
    <t>Portion of full program</t>
  </si>
  <si>
    <t>Customer offer</t>
  </si>
  <si>
    <t>Cost per block ($)</t>
  </si>
  <si>
    <t>Revenue requirement</t>
  </si>
  <si>
    <t>Program length</t>
  </si>
  <si>
    <t>Total cost to customer (annual)</t>
  </si>
  <si>
    <t>Production (kwh) - Eastside (5MWac)</t>
  </si>
  <si>
    <t>$REC - Eastside solar</t>
  </si>
  <si>
    <t>Power Costs NPV</t>
  </si>
  <si>
    <t>Round 1 program size</t>
  </si>
  <si>
    <t>Energy credit ($/kWh)</t>
  </si>
  <si>
    <t>REC price ($/REC)</t>
  </si>
  <si>
    <t>Westside ($/MWh)</t>
  </si>
  <si>
    <t>Eastside ($/MWh)</t>
  </si>
  <si>
    <t>ranging $3000-5000</t>
  </si>
  <si>
    <t xml:space="preserve">one quarter </t>
  </si>
  <si>
    <t>10% on actual basis</t>
  </si>
  <si>
    <t>work hand in hand w/ real estate</t>
  </si>
  <si>
    <t>business can draft this</t>
  </si>
  <si>
    <t>Round 1 Total</t>
  </si>
  <si>
    <t>Total MW sited through Round 1 of Community Solar</t>
  </si>
  <si>
    <t>Expected cost to acquire environmental attributes from Eastside project</t>
  </si>
  <si>
    <t>Energy cost associated with the Eastside project's power</t>
  </si>
  <si>
    <t>Round 1 MW planned in Kittitas County</t>
  </si>
  <si>
    <t>Round 1 MW sited in Western Washington</t>
  </si>
  <si>
    <t>Green Direct energy credit, to be applied to Community Solar solar energy production</t>
  </si>
  <si>
    <t>Eastside solar power costs + REC</t>
  </si>
  <si>
    <t>Block size (kW)</t>
  </si>
  <si>
    <t>Estimates for the PSE labor needed to develop, launch, and manage the product</t>
  </si>
  <si>
    <t>Expected production from all Westside projects - based on Helioscope review of the projects</t>
  </si>
  <si>
    <t>IT Infrastructure Revenue Requirement</t>
  </si>
  <si>
    <t>Production (kWh) - Westside (1.6MWac)</t>
  </si>
  <si>
    <t>Utility Capital Structure</t>
  </si>
  <si>
    <t>PUGET SOUND ENERGY, INC.</t>
  </si>
  <si>
    <t>Full program IT costs</t>
  </si>
  <si>
    <t>Round 1 IT costs</t>
  </si>
  <si>
    <t>Revenue Requirement</t>
  </si>
  <si>
    <t>Round 1 education and admin costs</t>
  </si>
  <si>
    <t>Industry standard</t>
  </si>
  <si>
    <t>Cost/MWh for all Westside projects combined - based on solar installer site design &amp; projected construction costs</t>
  </si>
  <si>
    <t>Expected production from Eastside project - based on expected capacity factor for the project</t>
  </si>
  <si>
    <t>Length of Community Solar product offering</t>
  </si>
  <si>
    <t>Total MW expected through Community Solar product offering</t>
  </si>
  <si>
    <t>2019 GENERAL RATE CASE</t>
  </si>
  <si>
    <t>Proposed Cost of Capital and Rate of Return</t>
  </si>
  <si>
    <t>Line</t>
  </si>
  <si>
    <t>No.</t>
  </si>
  <si>
    <t>DESCRIPTION</t>
  </si>
  <si>
    <t>SHORT AND LONG TERM DEBT</t>
  </si>
  <si>
    <t>EQUITY</t>
  </si>
  <si>
    <t>TOTAL</t>
  </si>
  <si>
    <t>AFTER TAX SHORT TERM DEBT ( (LINE 1)* 79%)</t>
  </si>
  <si>
    <t>TOTAL AFTER TAX COST OF CAPITAL</t>
  </si>
  <si>
    <t>Estimates for the build of the IT solution needed to offer the product</t>
  </si>
  <si>
    <t>Community Solar charges (annual)</t>
  </si>
  <si>
    <t>Community Solar energy credits (annual)</t>
  </si>
  <si>
    <t xml:space="preserve">Average costs and credits </t>
  </si>
  <si>
    <t>Total program size (MWac)</t>
  </si>
  <si>
    <t>Program length (yrs)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</si>
</sst>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0.0"/>
    <numFmt numFmtId="167" formatCode="&quot;$&quot;#,##0.00_);\(&quot;$&quot;#,##0.00\);\–_);&quot;–&quot;_)"/>
    <numFmt numFmtId="168" formatCode="&quot;$&quot;#,##0.000"/>
    <numFmt numFmtId="169" formatCode="&quot; As of &quot;mmmm\ d\,\ yyyy"/>
    <numFmt numFmtId="170" formatCode="#,##0.0_);\(#,##0.0\);\–_);&quot;–&quot;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Geneva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Font="0"/>
    <xf numFmtId="10" fontId="5" fillId="0" borderId="0"/>
    <xf numFmtId="37" fontId="5" fillId="0" borderId="0"/>
    <xf numFmtId="0" fontId="5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4" fontId="0" fillId="0" borderId="0" xfId="2" applyFont="1"/>
    <xf numFmtId="0" fontId="2" fillId="0" borderId="0" xfId="0" applyFont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/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4" fontId="0" fillId="0" borderId="0" xfId="0" applyNumberFormat="1" applyFont="1"/>
    <xf numFmtId="0" fontId="0" fillId="0" borderId="0" xfId="0" applyFont="1" applyFill="1"/>
    <xf numFmtId="8" fontId="0" fillId="0" borderId="0" xfId="0" applyNumberFormat="1" applyFont="1" applyFill="1"/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44" fontId="0" fillId="0" borderId="7" xfId="0" applyNumberFormat="1" applyFont="1" applyBorder="1" applyAlignment="1">
      <alignment horizontal="center"/>
    </xf>
    <xf numFmtId="0" fontId="2" fillId="3" borderId="0" xfId="0" applyFont="1" applyFill="1"/>
    <xf numFmtId="8" fontId="2" fillId="3" borderId="0" xfId="0" applyNumberFormat="1" applyFont="1" applyFill="1"/>
    <xf numFmtId="0" fontId="0" fillId="3" borderId="0" xfId="0" applyFont="1" applyFill="1"/>
    <xf numFmtId="0" fontId="0" fillId="3" borderId="7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0" xfId="0" applyFill="1"/>
    <xf numFmtId="165" fontId="0" fillId="0" borderId="7" xfId="0" applyNumberFormat="1" applyFont="1" applyBorder="1"/>
    <xf numFmtId="165" fontId="0" fillId="0" borderId="6" xfId="0" applyNumberFormat="1" applyFont="1" applyBorder="1"/>
    <xf numFmtId="165" fontId="0" fillId="0" borderId="8" xfId="0" applyNumberFormat="1" applyFont="1" applyBorder="1"/>
    <xf numFmtId="165" fontId="0" fillId="0" borderId="0" xfId="0" applyNumberFormat="1" applyFont="1"/>
    <xf numFmtId="165" fontId="0" fillId="0" borderId="7" xfId="0" applyNumberFormat="1" applyFont="1" applyBorder="1" applyAlignment="1">
      <alignment horizontal="center"/>
    </xf>
    <xf numFmtId="165" fontId="0" fillId="0" borderId="7" xfId="2" applyNumberFormat="1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/>
    <xf numFmtId="8" fontId="0" fillId="0" borderId="1" xfId="0" applyNumberFormat="1" applyFont="1" applyBorder="1"/>
    <xf numFmtId="0" fontId="0" fillId="0" borderId="9" xfId="0" applyFont="1" applyBorder="1"/>
    <xf numFmtId="165" fontId="0" fillId="0" borderId="1" xfId="0" applyNumberFormat="1" applyFont="1" applyBorder="1"/>
    <xf numFmtId="0" fontId="2" fillId="0" borderId="1" xfId="0" applyFont="1" applyBorder="1"/>
    <xf numFmtId="165" fontId="0" fillId="0" borderId="9" xfId="0" applyNumberFormat="1" applyFont="1" applyBorder="1"/>
    <xf numFmtId="165" fontId="0" fillId="0" borderId="1" xfId="2" applyNumberFormat="1" applyFont="1" applyBorder="1"/>
    <xf numFmtId="9" fontId="0" fillId="0" borderId="0" xfId="3" applyFont="1"/>
    <xf numFmtId="8" fontId="0" fillId="0" borderId="0" xfId="0" applyNumberFormat="1" applyFill="1"/>
    <xf numFmtId="166" fontId="0" fillId="0" borderId="0" xfId="0" applyNumberFormat="1"/>
    <xf numFmtId="0" fontId="7" fillId="0" borderId="0" xfId="0" applyFont="1"/>
    <xf numFmtId="7" fontId="4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/>
    <xf numFmtId="2" fontId="0" fillId="0" borderId="0" xfId="0" applyNumberFormat="1" applyFill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43" fontId="0" fillId="0" borderId="0" xfId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5" fontId="0" fillId="0" borderId="3" xfId="2" applyNumberFormat="1" applyFont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8" fontId="1" fillId="3" borderId="0" xfId="0" applyNumberFormat="1" applyFont="1" applyFill="1" applyAlignment="1">
      <alignment horizontal="center"/>
    </xf>
    <xf numFmtId="8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170" fontId="0" fillId="0" borderId="0" xfId="0" applyNumberFormat="1" applyFont="1" applyAlignment="1">
      <alignment horizontal="center"/>
    </xf>
    <xf numFmtId="170" fontId="0" fillId="0" borderId="0" xfId="0" applyNumberFormat="1" applyFont="1" applyFill="1" applyAlignment="1">
      <alignment horizontal="center"/>
    </xf>
    <xf numFmtId="9" fontId="0" fillId="0" borderId="0" xfId="3" applyFont="1" applyAlignment="1">
      <alignment horizontal="center"/>
    </xf>
    <xf numFmtId="168" fontId="0" fillId="0" borderId="0" xfId="2" applyNumberFormat="1" applyFont="1" applyFill="1" applyAlignment="1">
      <alignment horizontal="center"/>
    </xf>
    <xf numFmtId="6" fontId="0" fillId="0" borderId="0" xfId="0" applyNumberFormat="1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wrapText="1"/>
    </xf>
    <xf numFmtId="10" fontId="0" fillId="0" borderId="0" xfId="3" applyNumberFormat="1" applyFont="1" applyAlignment="1">
      <alignment horizontal="center"/>
    </xf>
    <xf numFmtId="0" fontId="0" fillId="0" borderId="0" xfId="0" applyFont="1" applyAlignment="1"/>
    <xf numFmtId="10" fontId="7" fillId="0" borderId="0" xfId="5" applyFont="1" applyFill="1"/>
    <xf numFmtId="0" fontId="9" fillId="0" borderId="0" xfId="7" applyFont="1" applyFill="1" applyBorder="1" applyAlignment="1" applyProtection="1">
      <alignment horizontal="center" vertical="center" wrapText="1"/>
    </xf>
    <xf numFmtId="10" fontId="9" fillId="0" borderId="0" xfId="5" applyFont="1" applyFill="1" applyAlignment="1">
      <alignment horizontal="center"/>
    </xf>
    <xf numFmtId="10" fontId="9" fillId="0" borderId="0" xfId="5" applyFont="1" applyFill="1" applyBorder="1" applyAlignment="1" applyProtection="1">
      <alignment horizontal="center" vertical="center" wrapText="1"/>
    </xf>
    <xf numFmtId="10" fontId="7" fillId="0" borderId="0" xfId="5" applyFont="1" applyFill="1" applyAlignment="1">
      <alignment horizontal="center"/>
    </xf>
    <xf numFmtId="169" fontId="9" fillId="0" borderId="0" xfId="5" applyNumberFormat="1" applyFont="1" applyFill="1" applyAlignment="1" applyProtection="1"/>
    <xf numFmtId="169" fontId="9" fillId="0" borderId="0" xfId="5" applyNumberFormat="1" applyFont="1" applyFill="1" applyBorder="1" applyAlignment="1" applyProtection="1">
      <alignment horizontal="center" vertical="center" wrapText="1"/>
    </xf>
    <xf numFmtId="10" fontId="7" fillId="0" borderId="0" xfId="5" applyFont="1" applyFill="1" applyBorder="1" applyAlignment="1">
      <alignment horizontal="center" vertical="center" wrapText="1"/>
    </xf>
    <xf numFmtId="1" fontId="7" fillId="0" borderId="0" xfId="5" applyNumberFormat="1" applyFont="1" applyFill="1" applyAlignment="1" applyProtection="1">
      <alignment horizontal="center"/>
    </xf>
    <xf numFmtId="0" fontId="7" fillId="0" borderId="0" xfId="0" applyFont="1" applyFill="1"/>
    <xf numFmtId="1" fontId="9" fillId="0" borderId="0" xfId="5" applyNumberFormat="1" applyFont="1" applyFill="1" applyAlignment="1" applyProtection="1">
      <alignment horizontal="center"/>
    </xf>
    <xf numFmtId="1" fontId="9" fillId="0" borderId="2" xfId="5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>
      <alignment horizontal="center"/>
    </xf>
    <xf numFmtId="37" fontId="9" fillId="0" borderId="2" xfId="6" applyFont="1" applyFill="1" applyBorder="1" applyAlignment="1" applyProtection="1">
      <alignment horizontal="center"/>
    </xf>
    <xf numFmtId="37" fontId="9" fillId="0" borderId="0" xfId="6" applyFont="1" applyFill="1" applyAlignment="1" applyProtection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/>
    <xf numFmtId="10" fontId="7" fillId="0" borderId="0" xfId="3" applyNumberFormat="1" applyFont="1" applyFill="1" applyAlignment="1">
      <alignment horizontal="center"/>
    </xf>
    <xf numFmtId="10" fontId="7" fillId="0" borderId="0" xfId="8" applyNumberFormat="1" applyFont="1" applyFill="1" applyAlignment="1">
      <alignment horizontal="center"/>
    </xf>
    <xf numFmtId="10" fontId="7" fillId="0" borderId="2" xfId="5" applyFont="1" applyFill="1" applyBorder="1" applyAlignment="1" applyProtection="1">
      <alignment horizontal="center"/>
    </xf>
    <xf numFmtId="10" fontId="10" fillId="0" borderId="2" xfId="5" applyFont="1" applyFill="1" applyBorder="1" applyAlignment="1">
      <alignment horizontal="center"/>
    </xf>
    <xf numFmtId="10" fontId="9" fillId="0" borderId="0" xfId="5" applyFont="1" applyFill="1" applyAlignment="1" applyProtection="1">
      <alignment horizontal="center"/>
    </xf>
    <xf numFmtId="10" fontId="11" fillId="0" borderId="0" xfId="5" applyFont="1" applyFill="1" applyAlignment="1" applyProtection="1">
      <alignment horizontal="center"/>
    </xf>
    <xf numFmtId="10" fontId="12" fillId="0" borderId="0" xfId="5" applyFont="1" applyFill="1" applyAlignment="1" applyProtection="1">
      <alignment horizontal="center"/>
    </xf>
    <xf numFmtId="10" fontId="7" fillId="0" borderId="0" xfId="5" applyFont="1" applyFill="1" applyAlignment="1" applyProtection="1">
      <alignment horizontal="left"/>
    </xf>
    <xf numFmtId="10" fontId="7" fillId="0" borderId="0" xfId="9" applyNumberFormat="1" applyFont="1" applyFill="1" applyAlignment="1" applyProtection="1">
      <alignment horizontal="center"/>
    </xf>
    <xf numFmtId="10" fontId="7" fillId="0" borderId="0" xfId="5" applyNumberFormat="1" applyFont="1" applyFill="1" applyAlignment="1" applyProtection="1"/>
    <xf numFmtId="10" fontId="7" fillId="0" borderId="2" xfId="9" applyNumberFormat="1" applyFont="1" applyFill="1" applyBorder="1" applyAlignment="1" applyProtection="1">
      <alignment horizontal="center"/>
    </xf>
    <xf numFmtId="10" fontId="10" fillId="0" borderId="2" xfId="9" applyNumberFormat="1" applyFont="1" applyFill="1" applyBorder="1" applyAlignment="1" applyProtection="1">
      <alignment horizontal="center"/>
    </xf>
    <xf numFmtId="10" fontId="9" fillId="0" borderId="0" xfId="5" applyFont="1" applyFill="1"/>
    <xf numFmtId="5" fontId="7" fillId="0" borderId="0" xfId="5" applyNumberFormat="1" applyFont="1" applyFill="1" applyAlignment="1"/>
    <xf numFmtId="10" fontId="7" fillId="0" borderId="0" xfId="5" applyFont="1" applyFill="1" applyBorder="1" applyAlignment="1" applyProtection="1"/>
    <xf numFmtId="10" fontId="7" fillId="0" borderId="0" xfId="5" applyNumberFormat="1" applyFont="1" applyFill="1" applyAlignment="1"/>
    <xf numFmtId="0" fontId="0" fillId="0" borderId="0" xfId="0" applyFont="1" applyBorder="1" applyAlignment="1">
      <alignment horizontal="left"/>
    </xf>
    <xf numFmtId="0" fontId="8" fillId="0" borderId="0" xfId="0" applyFont="1" applyFill="1" applyBorder="1" applyAlignment="1" applyProtection="1">
      <alignment horizontal="right" vertical="center" wrapText="1"/>
    </xf>
    <xf numFmtId="166" fontId="9" fillId="0" borderId="0" xfId="2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5" fontId="0" fillId="0" borderId="0" xfId="1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1" fillId="0" borderId="0" xfId="2" applyNumberFormat="1" applyFont="1" applyFill="1" applyBorder="1" applyAlignment="1">
      <alignment horizontal="center"/>
    </xf>
    <xf numFmtId="4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</cellXfs>
  <cellStyles count="10">
    <cellStyle name="Comma" xfId="1" builtinId="3"/>
    <cellStyle name="Comma 2 2" xfId="9"/>
    <cellStyle name="Currency" xfId="2" builtinId="4"/>
    <cellStyle name="Normal" xfId="0" builtinId="0"/>
    <cellStyle name="Normal 59" xfId="4"/>
    <cellStyle name="Normal_AMACAPST" xfId="7"/>
    <cellStyle name="Normal_COSTOF" xfId="6"/>
    <cellStyle name="Normal_RATEOFRE" xfId="5"/>
    <cellStyle name="Percent" xfId="3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oole\AppData\Local\Microsoft\Windows\Temporary%20Internet%20Files\Content.Outlook\JE25GEBZ\CSA%20Estimation%20Workbook%20Community%20Solar_vF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enParticipants_Model_2020.04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%23Community_Solar/IT/IT%20Cost%20Estimate_Community%20Solar%203.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sourcePlanning\2017%20IRP\PSM\PSM%20III%2024.6_2017%20IRP_1-Bas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64424\AppData\Local\Microsoft\Windows\INetCache\Content.Outlook\EHOXXAY7\DSR%20Avoided%20Costs_CETA%20SCC%20Adder_Calc_clean_1-17-2020_v1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lanSummary"/>
      <sheetName val="I. Project Overview"/>
      <sheetName val="II. PhaseSummary"/>
      <sheetName val="ProjProfile"/>
      <sheetName val="Assumptions"/>
      <sheetName val="Contacts"/>
      <sheetName val="Roles Scenarios"/>
      <sheetName val="Roles Personas"/>
      <sheetName val="III. KeySched_HW_Cash"/>
      <sheetName val="IIIa. Project Labor"/>
      <sheetName val="RateSheet"/>
      <sheetName val="IIIa. ProjO&amp;M"/>
      <sheetName val="IIIb. SW_Install_Ongoing"/>
      <sheetName val="CSACutPaste"/>
      <sheetName val="IIIc. PhaseSpread"/>
      <sheetName val="IV. CSA Proj Desc&amp;Obj"/>
      <sheetName val="VI. Schedule"/>
      <sheetName val="V. CSA Risk Mgmt"/>
      <sheetName val="RiskAdd"/>
      <sheetName val="WorkSpace"/>
      <sheetName val="ProjPlanning"/>
      <sheetName val="Charts"/>
      <sheetName val="ChangeTracking"/>
      <sheetName val="Definitions"/>
      <sheetName val="Documents"/>
      <sheetName val="CapvsExp"/>
      <sheetName val="DataFlow"/>
      <sheetName val="Updates"/>
      <sheetName val="Lists"/>
      <sheetName val="RFQSWVendor"/>
      <sheetName val="MAINT"/>
      <sheetName val="RoleResp"/>
    </sheetNames>
    <sheetDataSet>
      <sheetData sheetId="0"/>
      <sheetData sheetId="1"/>
      <sheetData sheetId="2">
        <row r="9">
          <cell r="C9" t="str">
            <v>Initiation -  (25%)</v>
          </cell>
        </row>
      </sheetData>
      <sheetData sheetId="3"/>
      <sheetData sheetId="4">
        <row r="8">
          <cell r="C8">
            <v>43480</v>
          </cell>
        </row>
        <row r="9">
          <cell r="C9">
            <v>44196</v>
          </cell>
        </row>
        <row r="10">
          <cell r="C10">
            <v>44196</v>
          </cell>
        </row>
      </sheetData>
      <sheetData sheetId="5"/>
      <sheetData sheetId="6"/>
      <sheetData sheetId="7"/>
      <sheetData sheetId="8"/>
      <sheetData sheetId="9"/>
      <sheetData sheetId="10">
        <row r="2">
          <cell r="G2">
            <v>1809</v>
          </cell>
        </row>
      </sheetData>
      <sheetData sheetId="11"/>
      <sheetData sheetId="12">
        <row r="3">
          <cell r="B3" t="str">
            <v>Project O&amp;M (Project related costs that can not be treated as Capital)</v>
          </cell>
        </row>
      </sheetData>
      <sheetData sheetId="13">
        <row r="34">
          <cell r="A34" t="str">
            <v>CAPITAL SOFTWARE COST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">
          <cell r="C6" t="str">
            <v>SELECT FROM LIST</v>
          </cell>
          <cell r="E6" t="str">
            <v>SELECT FROM LIST</v>
          </cell>
        </row>
        <row r="7">
          <cell r="C7" t="str">
            <v>ISP - Financial</v>
          </cell>
          <cell r="E7" t="str">
            <v>Compliance</v>
          </cell>
        </row>
        <row r="8">
          <cell r="C8" t="str">
            <v>ISP - Customer</v>
          </cell>
          <cell r="E8" t="str">
            <v>Cost Benefit</v>
          </cell>
        </row>
        <row r="9">
          <cell r="C9" t="str">
            <v>ISP - Process &amp; Tools</v>
          </cell>
          <cell r="E9" t="str">
            <v>Risk Mitigation</v>
          </cell>
        </row>
        <row r="10">
          <cell r="C10" t="str">
            <v>ISP - People</v>
          </cell>
          <cell r="E10" t="str">
            <v>Officer 20/20</v>
          </cell>
        </row>
        <row r="11">
          <cell r="C11" t="str">
            <v>ISP - Safety</v>
          </cell>
          <cell r="E11" t="str">
            <v>Payback</v>
          </cell>
        </row>
        <row r="15">
          <cell r="C15" t="str">
            <v>SELECT FROM LIST</v>
          </cell>
          <cell r="E15" t="str">
            <v>SELECT FROM LIST (OCM Sizing Worksheet)</v>
          </cell>
          <cell r="G15" t="str">
            <v>SELECT FROM LIST (OCM Sizing Worksheet)</v>
          </cell>
          <cell r="I15" t="str">
            <v>SELECT FROM LIST (OCM Sizing Worksheet)</v>
          </cell>
          <cell r="K15" t="str">
            <v>SELECT FROM LIST (OCM Sizing Worksheet)</v>
          </cell>
          <cell r="M15" t="str">
            <v>SELECT FROM LIST (OCM Sizing Worksheet)</v>
          </cell>
        </row>
        <row r="16">
          <cell r="C16" t="str">
            <v>Ideation</v>
          </cell>
          <cell r="E16" t="str">
            <v>&lt;100</v>
          </cell>
          <cell r="G16" t="str">
            <v>None</v>
          </cell>
          <cell r="I16" t="str">
            <v>1 Dept. or less</v>
          </cell>
          <cell r="K16" t="str">
            <v>Straightforward, well understood</v>
          </cell>
          <cell r="M16" t="str">
            <v>&lt;   6 Months</v>
          </cell>
        </row>
        <row r="17">
          <cell r="C17" t="str">
            <v>Initiation -  25% Cont</v>
          </cell>
          <cell r="E17" t="str">
            <v>&lt;500</v>
          </cell>
          <cell r="G17" t="str">
            <v>&lt; 100K Electric or 1K Gas</v>
          </cell>
          <cell r="I17" t="str">
            <v>2 - 5 Dept.</v>
          </cell>
          <cell r="K17" t="str">
            <v>Complex and well understood</v>
          </cell>
          <cell r="M17" t="str">
            <v>&lt; 12 Months</v>
          </cell>
        </row>
        <row r="18">
          <cell r="C18" t="str">
            <v>Planning - 25% Cont</v>
          </cell>
          <cell r="E18" t="str">
            <v>&gt;500</v>
          </cell>
          <cell r="G18" t="str">
            <v>&gt; 100K Electric or 1K Gas</v>
          </cell>
          <cell r="I18" t="str">
            <v>&gt; 5 Dept. / Business Platform / Enterprise</v>
          </cell>
          <cell r="K18" t="str">
            <v>Complex and not well understood</v>
          </cell>
          <cell r="M18" t="str">
            <v>&gt; 12 Months</v>
          </cell>
        </row>
        <row r="19">
          <cell r="C19" t="str">
            <v>Design -  15% Cont</v>
          </cell>
        </row>
        <row r="20">
          <cell r="C20" t="str">
            <v>Execution -  10% Cont</v>
          </cell>
        </row>
        <row r="21">
          <cell r="C21" t="str">
            <v>Close-Out</v>
          </cell>
        </row>
        <row r="25">
          <cell r="C25" t="str">
            <v>SELECT FROM LIST   (Project Cost Estimate Classif. Template)</v>
          </cell>
        </row>
        <row r="26">
          <cell r="C26" t="str">
            <v>Class 5 - Concept Screening</v>
          </cell>
        </row>
        <row r="27">
          <cell r="C27" t="str">
            <v>Class 4 - Study / Feasibility Planning</v>
          </cell>
        </row>
        <row r="28">
          <cell r="C28" t="str">
            <v>Class 3 - Baseline Budget</v>
          </cell>
        </row>
        <row r="29">
          <cell r="C29" t="str">
            <v>Class 2 - Release to Proceed</v>
          </cell>
        </row>
        <row r="30">
          <cell r="C30" t="str">
            <v>Class 1 - Firm Completion Price</v>
          </cell>
        </row>
        <row r="39">
          <cell r="C39" t="str">
            <v>SELECT FROM LIST</v>
          </cell>
          <cell r="E39" t="str">
            <v>SELECT FROM LIST</v>
          </cell>
          <cell r="G39" t="str">
            <v>SELECT FROM LIST</v>
          </cell>
          <cell r="I39" t="str">
            <v>SELECT FROM LIST</v>
          </cell>
          <cell r="K39" t="str">
            <v>SELECT FROM LIST</v>
          </cell>
        </row>
        <row r="40">
          <cell r="C40" t="str">
            <v>Five-Year Strategic Plan</v>
          </cell>
          <cell r="E40" t="str">
            <v>Execute the Customer Experience Intent Statement</v>
          </cell>
          <cell r="G40" t="str">
            <v>Streamline processes to drive Effectiveness &amp; Efficiency</v>
          </cell>
          <cell r="I40" t="str">
            <v>Develop/Retain best employees</v>
          </cell>
          <cell r="K40" t="str">
            <v>Educate and train employees on effective safety and wellness strategies</v>
          </cell>
        </row>
        <row r="41">
          <cell r="C41" t="str">
            <v>Maximize Long-term Value</v>
          </cell>
          <cell r="E41" t="str">
            <v>Recognition of PSE role in community</v>
          </cell>
          <cell r="G41" t="str">
            <v>System Reliability &amp; Integrity</v>
          </cell>
          <cell r="I41" t="str">
            <v>Ownership, innovation and continuous improvement</v>
          </cell>
        </row>
        <row r="42">
          <cell r="C42" t="str">
            <v>Grow Core Business</v>
          </cell>
          <cell r="E42" t="str">
            <v>Customer Preparedness &amp; Safety</v>
          </cell>
          <cell r="G42" t="str">
            <v>Safety and Security of systems, information and assets</v>
          </cell>
        </row>
        <row r="43">
          <cell r="C43" t="str">
            <v>Grow New Business</v>
          </cell>
          <cell r="E43" t="str">
            <v>Ideal Customer Behaviors</v>
          </cell>
          <cell r="G43" t="str">
            <v>Extract and Leverage value from existing technology and assets</v>
          </cell>
        </row>
        <row r="44">
          <cell r="E44" t="str">
            <v>Listen &amp; Dialogue with Customers</v>
          </cell>
          <cell r="G44" t="str">
            <v>Optimize product/service portfolio consistent with long-term strategy</v>
          </cell>
        </row>
        <row r="48">
          <cell r="E48" t="str">
            <v>SELECT FROM LIST</v>
          </cell>
          <cell r="G48" t="str">
            <v>SELECT FROM LIST</v>
          </cell>
          <cell r="I48" t="str">
            <v>SELECT FROM LIST</v>
          </cell>
          <cell r="K48" t="str">
            <v>SELECT FROM LIST</v>
          </cell>
          <cell r="M48" t="str">
            <v>SELECT FROM LIST</v>
          </cell>
        </row>
        <row r="49">
          <cell r="C49" t="str">
            <v>Low</v>
          </cell>
          <cell r="E49" t="str">
            <v>Corp Shared Services</v>
          </cell>
          <cell r="G49" t="str">
            <v>Atkinson</v>
          </cell>
          <cell r="I49" t="str">
            <v>Doyle</v>
          </cell>
          <cell r="K49" t="str">
            <v>Collier</v>
          </cell>
          <cell r="M49" t="str">
            <v>2017 Portfolio</v>
          </cell>
        </row>
        <row r="50">
          <cell r="C50" t="str">
            <v>Medium</v>
          </cell>
          <cell r="E50" t="str">
            <v>Customer</v>
          </cell>
          <cell r="G50" t="str">
            <v>Kakani</v>
          </cell>
          <cell r="I50" t="str">
            <v>Gilbertson</v>
          </cell>
          <cell r="K50" t="str">
            <v>Einstein</v>
          </cell>
          <cell r="M50" t="str">
            <v>2018 Proposed</v>
          </cell>
        </row>
        <row r="51">
          <cell r="C51" t="str">
            <v>High</v>
          </cell>
          <cell r="E51" t="str">
            <v>Energy Operations</v>
          </cell>
          <cell r="G51" t="str">
            <v>Oliveto</v>
          </cell>
          <cell r="I51" t="str">
            <v>Hopkins</v>
          </cell>
          <cell r="K51" t="str">
            <v>Figone</v>
          </cell>
          <cell r="M51" t="str">
            <v>2019-22 Initiatives</v>
          </cell>
        </row>
        <row r="52">
          <cell r="E52" t="str">
            <v>Environment</v>
          </cell>
          <cell r="G52" t="str">
            <v>Peterson</v>
          </cell>
          <cell r="I52" t="str">
            <v>Mellies</v>
          </cell>
          <cell r="K52" t="str">
            <v>Fellon</v>
          </cell>
          <cell r="M52" t="str">
            <v>CoreIT</v>
          </cell>
        </row>
        <row r="53">
          <cell r="E53" t="str">
            <v>Finance</v>
          </cell>
          <cell r="I53" t="str">
            <v>Mills</v>
          </cell>
          <cell r="K53" t="str">
            <v>Jacobs</v>
          </cell>
          <cell r="M53" t="str">
            <v>New Initiative</v>
          </cell>
        </row>
        <row r="54">
          <cell r="E54" t="str">
            <v>GTZ</v>
          </cell>
          <cell r="I54" t="str">
            <v>Secrist</v>
          </cell>
          <cell r="K54" t="str">
            <v>King</v>
          </cell>
          <cell r="M54" t="str">
            <v>Strategic Initiatives</v>
          </cell>
        </row>
        <row r="55">
          <cell r="E55" t="str">
            <v>IT</v>
          </cell>
          <cell r="I55" t="str">
            <v>Wappler</v>
          </cell>
          <cell r="K55" t="str">
            <v>Koch</v>
          </cell>
        </row>
        <row r="56">
          <cell r="E56" t="str">
            <v xml:space="preserve">Legal </v>
          </cell>
          <cell r="K56" t="str">
            <v>Loreen</v>
          </cell>
        </row>
        <row r="57">
          <cell r="E57" t="str">
            <v>Operations -Common</v>
          </cell>
          <cell r="K57" t="str">
            <v>Luebbe</v>
          </cell>
        </row>
        <row r="58">
          <cell r="E58" t="str">
            <v>Operations - Electric</v>
          </cell>
          <cell r="K58" t="str">
            <v>McArthur</v>
          </cell>
        </row>
        <row r="59">
          <cell r="E59" t="str">
            <v>Project Management</v>
          </cell>
          <cell r="K59" t="str">
            <v>Macelia</v>
          </cell>
        </row>
        <row r="60">
          <cell r="E60" t="str">
            <v>Safety</v>
          </cell>
          <cell r="K60" t="str">
            <v>Molander</v>
          </cell>
        </row>
        <row r="61">
          <cell r="K61" t="str">
            <v>Netik</v>
          </cell>
        </row>
        <row r="62">
          <cell r="C62" t="str">
            <v>SELECT FROM LIST</v>
          </cell>
          <cell r="E62" t="str">
            <v>SELECT FROM LIST</v>
          </cell>
          <cell r="G62" t="str">
            <v>NOT CURRENTLY USED</v>
          </cell>
          <cell r="K62" t="str">
            <v>Neumann</v>
          </cell>
        </row>
        <row r="63">
          <cell r="C63" t="str">
            <v>Roland LaMothe</v>
          </cell>
          <cell r="E63" t="str">
            <v>IT Initiation   -30% to +50%</v>
          </cell>
          <cell r="G63" t="str">
            <v>Choice 1</v>
          </cell>
          <cell r="K63" t="str">
            <v>Richardson</v>
          </cell>
        </row>
        <row r="64">
          <cell r="C64" t="str">
            <v>Dianne Gordon</v>
          </cell>
          <cell r="E64" t="str">
            <v>Planning  -20% to +30%</v>
          </cell>
          <cell r="G64" t="str">
            <v>Choice 2</v>
          </cell>
          <cell r="K64" t="str">
            <v>Shapiro</v>
          </cell>
        </row>
        <row r="65">
          <cell r="C65" t="str">
            <v>Loic Roger</v>
          </cell>
          <cell r="E65" t="str">
            <v>Design +/- 5%</v>
          </cell>
          <cell r="G65" t="str">
            <v>Choice 3</v>
          </cell>
          <cell r="K65" t="str">
            <v>Stranik</v>
          </cell>
        </row>
        <row r="66">
          <cell r="C66" t="str">
            <v>Andrew Chaffin</v>
          </cell>
          <cell r="K66" t="str">
            <v>Tamayo</v>
          </cell>
        </row>
        <row r="67">
          <cell r="C67" t="str">
            <v>Paula Russell</v>
          </cell>
          <cell r="K67" t="str">
            <v>Tran</v>
          </cell>
        </row>
        <row r="68">
          <cell r="K68" t="str">
            <v>Tran</v>
          </cell>
        </row>
        <row r="69">
          <cell r="K69" t="str">
            <v>Wetherbee</v>
          </cell>
        </row>
        <row r="72">
          <cell r="C72" t="str">
            <v>SELECT Methodology  (IT Project Tiering Template AGILE Tab)</v>
          </cell>
          <cell r="E72" t="str">
            <v>SELECT Project Size  (IT Project Tiering Template Sizing Tab/Row 39)</v>
          </cell>
          <cell r="I72" t="str">
            <v>SELECT Type  (IT Project Tiering Template RADAR Tab, Row 7)</v>
          </cell>
          <cell r="K72" t="str">
            <v>Select Difficulty    (IT Project Tiering Template RADAR Tab/Row 78)</v>
          </cell>
        </row>
        <row r="73">
          <cell r="C73" t="str">
            <v>WATERFALL</v>
          </cell>
          <cell r="E73" t="str">
            <v>Large</v>
          </cell>
          <cell r="I73" t="str">
            <v>New Application, Customer</v>
          </cell>
          <cell r="K73" t="str">
            <v>5 - Very Difficult</v>
          </cell>
        </row>
        <row r="74">
          <cell r="C74" t="str">
            <v>AGILE</v>
          </cell>
          <cell r="E74" t="str">
            <v>Medium</v>
          </cell>
          <cell r="I74" t="str">
            <v>New Application, COTS</v>
          </cell>
          <cell r="K74" t="str">
            <v>4 - Difficult</v>
          </cell>
        </row>
        <row r="75">
          <cell r="E75" t="str">
            <v>Small</v>
          </cell>
          <cell r="I75" t="str">
            <v>New Application, SaaS</v>
          </cell>
          <cell r="K75" t="str">
            <v>3 - Medium / average</v>
          </cell>
        </row>
        <row r="76">
          <cell r="I76" t="str">
            <v>New Infrastructure</v>
          </cell>
          <cell r="K76" t="str">
            <v>2 - some complexity</v>
          </cell>
        </row>
        <row r="77">
          <cell r="C77" t="str">
            <v>SELECT ROLE</v>
          </cell>
          <cell r="I77" t="str">
            <v>IT Operational, Lights-On Project; Infra</v>
          </cell>
          <cell r="K77" t="str">
            <v>1 - Low Technical Complexity</v>
          </cell>
        </row>
        <row r="78">
          <cell r="C78" t="str">
            <v>Multiple Roles (use notes)</v>
          </cell>
          <cell r="I78" t="str">
            <v>IT Operational, Lights-On Project; Apps</v>
          </cell>
        </row>
        <row r="79">
          <cell r="C79" t="str">
            <v>Other Internal (use notes)</v>
          </cell>
          <cell r="I79" t="str">
            <v>Combination Project</v>
          </cell>
        </row>
        <row r="80">
          <cell r="C80" t="str">
            <v>Other Outside (use notes)</v>
          </cell>
          <cell r="I80" t="str">
            <v>Other</v>
          </cell>
        </row>
        <row r="81">
          <cell r="C81" t="str">
            <v>Business</v>
          </cell>
        </row>
        <row r="82">
          <cell r="C82" t="str">
            <v>Manager</v>
          </cell>
        </row>
        <row r="83">
          <cell r="C83" t="str">
            <v>EPP - OCM</v>
          </cell>
        </row>
        <row r="84">
          <cell r="C84" t="str">
            <v>EPP - Process</v>
          </cell>
        </row>
        <row r="85">
          <cell r="C85" t="str">
            <v>Training</v>
          </cell>
        </row>
        <row r="86">
          <cell r="C86" t="str">
            <v>IT - Architecture</v>
          </cell>
        </row>
        <row r="87">
          <cell r="C87" t="str">
            <v>IT - PM</v>
          </cell>
        </row>
        <row r="88">
          <cell r="C88" t="str">
            <v>IT - Developer</v>
          </cell>
        </row>
        <row r="89">
          <cell r="C89" t="str">
            <v>IT - Test</v>
          </cell>
        </row>
        <row r="90">
          <cell r="C90" t="str">
            <v>IT - QA</v>
          </cell>
        </row>
        <row r="91">
          <cell r="C91" t="str">
            <v>IT - Release Mgmt</v>
          </cell>
        </row>
        <row r="92">
          <cell r="C92" t="str">
            <v>IT - Environment</v>
          </cell>
        </row>
        <row r="93">
          <cell r="C93" t="str">
            <v>IT - BA</v>
          </cell>
        </row>
        <row r="94">
          <cell r="C94" t="str">
            <v>IT - Infrastructure</v>
          </cell>
        </row>
        <row r="95">
          <cell r="C95" t="str">
            <v>IT - Security</v>
          </cell>
        </row>
        <row r="96">
          <cell r="C96" t="str">
            <v>IT - Data</v>
          </cell>
        </row>
        <row r="97">
          <cell r="C97" t="str">
            <v>IT - Apps</v>
          </cell>
        </row>
        <row r="98">
          <cell r="C98" t="str">
            <v>IT - SAP</v>
          </cell>
        </row>
        <row r="99">
          <cell r="C99" t="str">
            <v>Outside - SI</v>
          </cell>
        </row>
        <row r="100">
          <cell r="C100" t="str">
            <v>Outside - SAP</v>
          </cell>
        </row>
      </sheetData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MACRS"/>
      <sheetName val="Assumptions"/>
      <sheetName val="III. KeySched_HW_Cash"/>
      <sheetName val="PSE Cost Details"/>
      <sheetName val="Power Costs &amp; Gen"/>
      <sheetName val="Plant-"/>
      <sheetName val="DCF-"/>
      <sheetName val="RR-"/>
      <sheetName val="Customer Models"/>
      <sheetName val="Energy Credit Inputs"/>
      <sheetName val="Year 1 By Month"/>
      <sheetName val="pvwatts_Penstemon"/>
      <sheetName val="pvwatts_RFI"/>
      <sheetName val="Sensitivity"/>
      <sheetName val="Incentives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0.108</v>
          </cell>
        </row>
        <row r="6">
          <cell r="C6">
            <v>0.25</v>
          </cell>
        </row>
        <row r="7">
          <cell r="C7">
            <v>2.5000000000000001E-2</v>
          </cell>
        </row>
        <row r="8">
          <cell r="C8">
            <v>0.05</v>
          </cell>
        </row>
        <row r="35">
          <cell r="C35">
            <v>1506652.5785000001</v>
          </cell>
          <cell r="E35">
            <v>0</v>
          </cell>
        </row>
        <row r="36">
          <cell r="C36">
            <v>376663.14462500002</v>
          </cell>
          <cell r="E36">
            <v>0</v>
          </cell>
        </row>
        <row r="37">
          <cell r="C37">
            <v>1883315.723125</v>
          </cell>
          <cell r="D37">
            <v>4500</v>
          </cell>
          <cell r="F37">
            <v>1887815.723125</v>
          </cell>
        </row>
        <row r="38">
          <cell r="C3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ost Data"/>
      <sheetName val="Cost Estimate Summary"/>
      <sheetName val="Benefit Data"/>
      <sheetName val="Settings"/>
      <sheetName val="Cost_Items_List"/>
      <sheetName val="Ongoing_Cost_Items_List"/>
      <sheetName val="Benefit_Items_List"/>
      <sheetName val="Cost_Summary_Table"/>
      <sheetName val="Cost_Summary_Table_Scorecard"/>
      <sheetName val="Cost_Summary_Pivot_Table"/>
      <sheetName val="Cost_Summary_Charts"/>
      <sheetName val="Check_Log"/>
      <sheetName val="CSA Table"/>
      <sheetName val="Cash_Flow"/>
      <sheetName val="Payback_Calculation"/>
      <sheetName val="Model"/>
      <sheetName val="Model_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0">
          <cell r="E30" t="str">
            <v>N\A</v>
          </cell>
        </row>
      </sheetData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/>
      <sheetData sheetId="5">
        <row r="25">
          <cell r="O25">
            <v>7.7399999999999997E-2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eak Capacity"/>
      <sheetName val="Renewable"/>
      <sheetName val="Hourly Power Prices"/>
      <sheetName val="SCC Adder"/>
    </sheetNames>
    <sheetDataSet>
      <sheetData sheetId="0"/>
      <sheetData sheetId="1">
        <row r="4">
          <cell r="D4">
            <v>114.35131088802898</v>
          </cell>
        </row>
      </sheetData>
      <sheetData sheetId="2">
        <row r="3">
          <cell r="F3">
            <v>4.4289992729723044</v>
          </cell>
        </row>
      </sheetData>
      <sheetData sheetId="3">
        <row r="6">
          <cell r="Y6">
            <v>21.572243700207689</v>
          </cell>
        </row>
      </sheetData>
      <sheetData sheetId="4">
        <row r="15">
          <cell r="G15">
            <v>31.901428828558839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</sheetPr>
  <dimension ref="B1:R15"/>
  <sheetViews>
    <sheetView tabSelected="1" zoomScaleNormal="100" workbookViewId="0">
      <selection activeCell="B21" sqref="B21"/>
    </sheetView>
  </sheetViews>
  <sheetFormatPr defaultRowHeight="15"/>
  <cols>
    <col min="1" max="1" width="1.5703125" style="2" customWidth="1"/>
    <col min="2" max="2" width="28.28515625" style="73" customWidth="1"/>
    <col min="3" max="3" width="10.5703125" style="14" bestFit="1" customWidth="1"/>
    <col min="4" max="16384" width="9.140625" style="2"/>
  </cols>
  <sheetData>
    <row r="1" spans="2:18" ht="7.5" customHeight="1"/>
    <row r="2" spans="2:18">
      <c r="B2" s="74" t="s">
        <v>0</v>
      </c>
    </row>
    <row r="3" spans="2:18">
      <c r="B3" s="73" t="s">
        <v>1</v>
      </c>
      <c r="C3" s="75">
        <v>5</v>
      </c>
      <c r="D3" s="2" t="s">
        <v>37</v>
      </c>
    </row>
    <row r="4" spans="2:18">
      <c r="B4" s="73" t="s">
        <v>2</v>
      </c>
      <c r="C4" s="76">
        <v>1.601</v>
      </c>
      <c r="D4" s="2" t="s">
        <v>38</v>
      </c>
    </row>
    <row r="5" spans="2:18">
      <c r="B5" s="73" t="s">
        <v>13</v>
      </c>
      <c r="C5" s="75">
        <f>C4+C3</f>
        <v>6.601</v>
      </c>
      <c r="D5" s="2" t="s">
        <v>34</v>
      </c>
    </row>
    <row r="6" spans="2:18">
      <c r="B6" s="73" t="s">
        <v>71</v>
      </c>
      <c r="C6" s="14">
        <v>20</v>
      </c>
      <c r="D6" s="2" t="s">
        <v>56</v>
      </c>
    </row>
    <row r="7" spans="2:18">
      <c r="B7" s="73" t="s">
        <v>14</v>
      </c>
      <c r="C7" s="77">
        <f>C5/C6</f>
        <v>0.33005000000000001</v>
      </c>
    </row>
    <row r="8" spans="2:18">
      <c r="B8" s="73" t="s">
        <v>24</v>
      </c>
      <c r="C8" s="78">
        <v>4.4882999999999999E-2</v>
      </c>
      <c r="D8" s="2" t="s">
        <v>39</v>
      </c>
    </row>
    <row r="9" spans="2:18">
      <c r="B9" s="73" t="s">
        <v>25</v>
      </c>
      <c r="C9" s="79">
        <v>5</v>
      </c>
      <c r="D9" s="2" t="s">
        <v>35</v>
      </c>
    </row>
    <row r="10" spans="2:18">
      <c r="B10" s="2" t="s">
        <v>26</v>
      </c>
      <c r="C10" s="80">
        <v>124</v>
      </c>
      <c r="D10" s="18" t="s">
        <v>53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2:18">
      <c r="B11" s="2" t="s">
        <v>27</v>
      </c>
      <c r="C11" s="80">
        <f>C8*1000</f>
        <v>44.883000000000003</v>
      </c>
      <c r="D11" s="18" t="s">
        <v>36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2:18" ht="12" customHeight="1">
      <c r="B12" s="2" t="s">
        <v>45</v>
      </c>
      <c r="C12" s="81">
        <v>2418326.6799999997</v>
      </c>
      <c r="D12" s="82" t="s">
        <v>43</v>
      </c>
      <c r="E12" s="83"/>
      <c r="F12" s="83"/>
      <c r="G12" s="18"/>
    </row>
    <row r="13" spans="2:18">
      <c r="B13" s="2" t="s">
        <v>20</v>
      </c>
      <c r="C13" s="81">
        <v>10380600</v>
      </c>
      <c r="D13" s="82" t="s">
        <v>54</v>
      </c>
      <c r="E13" s="83"/>
      <c r="F13" s="83"/>
      <c r="G13" s="18"/>
    </row>
    <row r="14" spans="2:18">
      <c r="B14" s="73" t="s">
        <v>3</v>
      </c>
      <c r="C14" s="84">
        <v>5.0000000000000001E-3</v>
      </c>
      <c r="D14" s="85" t="s">
        <v>52</v>
      </c>
      <c r="E14" s="83"/>
      <c r="F14" s="83"/>
      <c r="G14" s="18"/>
    </row>
    <row r="15" spans="2:18">
      <c r="B15" s="73" t="s">
        <v>72</v>
      </c>
      <c r="C15" s="14">
        <v>15</v>
      </c>
      <c r="D15" s="18" t="s">
        <v>55</v>
      </c>
      <c r="E15" s="83"/>
      <c r="F15" s="83"/>
      <c r="G15" s="18"/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</sheetPr>
  <dimension ref="A1:V26"/>
  <sheetViews>
    <sheetView zoomScaleNormal="100" workbookViewId="0">
      <selection activeCell="C27" sqref="C27"/>
    </sheetView>
  </sheetViews>
  <sheetFormatPr defaultRowHeight="15"/>
  <cols>
    <col min="1" max="1" width="1.85546875" style="18" customWidth="1"/>
    <col min="2" max="2" width="20.85546875" style="2" customWidth="1"/>
    <col min="3" max="3" width="16.7109375" style="2" customWidth="1"/>
    <col min="4" max="4" width="9.140625" style="2"/>
    <col min="5" max="5" width="32.28515625" style="2" customWidth="1"/>
    <col min="6" max="6" width="14" style="2" customWidth="1"/>
    <col min="7" max="7" width="13.5703125" style="20" customWidth="1"/>
    <col min="8" max="12" width="14.28515625" style="2" bestFit="1" customWidth="1"/>
    <col min="13" max="14" width="13.5703125" style="2" bestFit="1" customWidth="1"/>
    <col min="15" max="15" width="14.7109375" style="2" bestFit="1" customWidth="1"/>
    <col min="16" max="22" width="13.85546875" style="2" bestFit="1" customWidth="1"/>
    <col min="23" max="16384" width="9.140625" style="2"/>
  </cols>
  <sheetData>
    <row r="1" spans="1:22" s="40" customFormat="1" ht="9.75" customHeight="1" thickBot="1">
      <c r="A1" s="39"/>
      <c r="G1" s="42"/>
    </row>
    <row r="2" spans="1:22">
      <c r="B2" s="25" t="s">
        <v>9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>
        <v>7</v>
      </c>
      <c r="O2" s="4">
        <v>8</v>
      </c>
      <c r="P2" s="4">
        <v>9</v>
      </c>
      <c r="Q2" s="4">
        <v>10</v>
      </c>
      <c r="R2" s="4">
        <v>11</v>
      </c>
      <c r="S2" s="4">
        <v>12</v>
      </c>
      <c r="T2" s="4">
        <v>13</v>
      </c>
      <c r="U2" s="4">
        <v>14</v>
      </c>
      <c r="V2" s="4">
        <v>15</v>
      </c>
    </row>
    <row r="3" spans="1:22">
      <c r="H3" s="3">
        <v>2021</v>
      </c>
      <c r="I3" s="3">
        <v>2022</v>
      </c>
      <c r="J3" s="3">
        <v>2023</v>
      </c>
      <c r="K3" s="3">
        <v>2024</v>
      </c>
      <c r="L3" s="3">
        <v>2025</v>
      </c>
      <c r="M3" s="3">
        <v>2026</v>
      </c>
      <c r="N3" s="3">
        <v>2027</v>
      </c>
      <c r="O3" s="3">
        <v>2028</v>
      </c>
      <c r="P3" s="3">
        <v>2029</v>
      </c>
      <c r="Q3" s="3">
        <v>2030</v>
      </c>
      <c r="R3" s="3">
        <v>2031</v>
      </c>
      <c r="S3" s="3">
        <v>2032</v>
      </c>
      <c r="T3" s="3">
        <v>2033</v>
      </c>
      <c r="U3" s="3">
        <v>2034</v>
      </c>
      <c r="V3" s="3">
        <v>2035</v>
      </c>
    </row>
    <row r="4" spans="1:22">
      <c r="E4" s="7" t="s">
        <v>4</v>
      </c>
      <c r="F4" s="7"/>
      <c r="G4" s="33"/>
      <c r="H4" s="57">
        <f>(Assumptions!C13/1000)</f>
        <v>10380.6</v>
      </c>
      <c r="I4" s="57">
        <f>H4*(1-Assumptions!$C$14)</f>
        <v>10328.697</v>
      </c>
      <c r="J4" s="57">
        <f>I4*(1-Assumptions!$C$14)</f>
        <v>10277.053515</v>
      </c>
      <c r="K4" s="57">
        <f>J4*(1-Assumptions!$C$14)</f>
        <v>10225.668247424999</v>
      </c>
      <c r="L4" s="57">
        <f>K4*(1-Assumptions!$C$14)</f>
        <v>10174.539906187874</v>
      </c>
      <c r="M4" s="57">
        <f>L4*(1-Assumptions!$C$14)</f>
        <v>10123.667206656935</v>
      </c>
      <c r="N4" s="57">
        <f>M4*(1-Assumptions!$C$14)</f>
        <v>10073.04887062365</v>
      </c>
      <c r="O4" s="57">
        <f>N4*(1-Assumptions!$C$14)</f>
        <v>10022.683626270531</v>
      </c>
      <c r="P4" s="57">
        <f>O4*(1-Assumptions!$C$14)</f>
        <v>9972.5702081391792</v>
      </c>
      <c r="Q4" s="57">
        <f>P4*(1-Assumptions!$C$14)</f>
        <v>9922.707357098483</v>
      </c>
      <c r="R4" s="57">
        <f>Q4*(1-Assumptions!$C$14)</f>
        <v>9873.0938203129899</v>
      </c>
      <c r="S4" s="57">
        <f>R4*(1-Assumptions!$C$14)</f>
        <v>9823.7283512114245</v>
      </c>
      <c r="T4" s="57">
        <f>S4*(1-Assumptions!$C$14)</f>
        <v>9774.6097094553679</v>
      </c>
      <c r="U4" s="57">
        <f>T4*(1-Assumptions!$C$14)</f>
        <v>9725.7366609080909</v>
      </c>
      <c r="V4" s="57">
        <f>U4*(1-Assumptions!$C$14)</f>
        <v>9677.1079776035513</v>
      </c>
    </row>
    <row r="5" spans="1:22">
      <c r="E5" s="8" t="s">
        <v>21</v>
      </c>
      <c r="F5" s="7"/>
      <c r="G5" s="33"/>
      <c r="H5" s="58">
        <f>H4*Assumptions!$C$9</f>
        <v>51903</v>
      </c>
      <c r="I5" s="58">
        <f>I4*Assumptions!$C$9</f>
        <v>51643.485000000001</v>
      </c>
      <c r="J5" s="58">
        <f>J4*Assumptions!$C$9</f>
        <v>51385.267574999998</v>
      </c>
      <c r="K5" s="58">
        <f>K4*Assumptions!$C$9</f>
        <v>51128.341237124994</v>
      </c>
      <c r="L5" s="58">
        <f>L4*Assumptions!$C$9</f>
        <v>50872.699530939368</v>
      </c>
      <c r="M5" s="58">
        <f>M4*Assumptions!$C$9</f>
        <v>50618.336033284679</v>
      </c>
      <c r="N5" s="58">
        <f>N4*Assumptions!$C$9</f>
        <v>50365.244353118251</v>
      </c>
      <c r="O5" s="58">
        <f>O4*Assumptions!$C$9</f>
        <v>50113.418131352657</v>
      </c>
      <c r="P5" s="58">
        <f>P4*Assumptions!$C$9</f>
        <v>49862.851040695896</v>
      </c>
      <c r="Q5" s="58">
        <f>Q4*Assumptions!$C$9</f>
        <v>49613.536785492412</v>
      </c>
      <c r="R5" s="58">
        <f>R4*Assumptions!$C$9</f>
        <v>49365.469101564951</v>
      </c>
      <c r="S5" s="58">
        <f>S4*Assumptions!$C$9</f>
        <v>49118.641756057121</v>
      </c>
      <c r="T5" s="58">
        <f>T4*Assumptions!$C$9</f>
        <v>48873.048547276841</v>
      </c>
      <c r="U5" s="58">
        <f>U4*Assumptions!$C$9</f>
        <v>48628.683304540456</v>
      </c>
      <c r="V5" s="58">
        <f>V4*Assumptions!$C$9</f>
        <v>48385.539888017753</v>
      </c>
    </row>
    <row r="6" spans="1:22">
      <c r="E6" s="8" t="s">
        <v>7</v>
      </c>
      <c r="F6" s="7"/>
      <c r="G6" s="33"/>
      <c r="H6" s="58">
        <f>H4*Assumptions!$C$11</f>
        <v>465912.46980000002</v>
      </c>
      <c r="I6" s="58">
        <f>I4*Assumptions!$C$11</f>
        <v>463582.90745100001</v>
      </c>
      <c r="J6" s="58">
        <f>J4*Assumptions!$C$11</f>
        <v>461264.99291374499</v>
      </c>
      <c r="K6" s="58">
        <f>K4*Assumptions!$C$11</f>
        <v>458958.66794917628</v>
      </c>
      <c r="L6" s="58">
        <f>L4*Assumptions!$C$11</f>
        <v>456663.87460943038</v>
      </c>
      <c r="M6" s="58">
        <f>M4*Assumptions!$C$11</f>
        <v>454380.55523638328</v>
      </c>
      <c r="N6" s="58">
        <f>N4*Assumptions!$C$11</f>
        <v>452108.65246020129</v>
      </c>
      <c r="O6" s="58">
        <f>O4*Assumptions!$C$11</f>
        <v>449848.10919790028</v>
      </c>
      <c r="P6" s="58">
        <f>P4*Assumptions!$C$11</f>
        <v>447598.8686519108</v>
      </c>
      <c r="Q6" s="58">
        <f>Q4*Assumptions!$C$11</f>
        <v>445360.87430865125</v>
      </c>
      <c r="R6" s="58">
        <f>R4*Assumptions!$C$11</f>
        <v>443134.06993710797</v>
      </c>
      <c r="S6" s="58">
        <f>S4*Assumptions!$C$11</f>
        <v>440918.39958742238</v>
      </c>
      <c r="T6" s="58">
        <f>T4*Assumptions!$C$11</f>
        <v>438713.80758948531</v>
      </c>
      <c r="U6" s="58">
        <f>U4*Assumptions!$C$11</f>
        <v>436520.23855153786</v>
      </c>
      <c r="V6" s="58">
        <f>V4*Assumptions!$C$11</f>
        <v>434337.63735878019</v>
      </c>
    </row>
    <row r="7" spans="1:22">
      <c r="E7" s="9" t="s">
        <v>40</v>
      </c>
      <c r="F7" s="10"/>
      <c r="G7" s="34"/>
      <c r="H7" s="59">
        <f>H5+H6</f>
        <v>517815.46980000002</v>
      </c>
      <c r="I7" s="60">
        <f t="shared" ref="I7:V7" si="0">I5+I6</f>
        <v>515226.39245099999</v>
      </c>
      <c r="J7" s="60">
        <f t="shared" si="0"/>
        <v>512650.260488745</v>
      </c>
      <c r="K7" s="60">
        <f t="shared" si="0"/>
        <v>510087.00918630126</v>
      </c>
      <c r="L7" s="60">
        <f t="shared" si="0"/>
        <v>507536.57414036978</v>
      </c>
      <c r="M7" s="60">
        <f t="shared" si="0"/>
        <v>504998.89126966795</v>
      </c>
      <c r="N7" s="60">
        <f t="shared" si="0"/>
        <v>502473.89681331953</v>
      </c>
      <c r="O7" s="60">
        <f t="shared" si="0"/>
        <v>499961.52732925292</v>
      </c>
      <c r="P7" s="60">
        <f t="shared" si="0"/>
        <v>497461.71969260671</v>
      </c>
      <c r="Q7" s="60">
        <f t="shared" si="0"/>
        <v>494974.41109414364</v>
      </c>
      <c r="R7" s="60">
        <f t="shared" si="0"/>
        <v>492499.53903867293</v>
      </c>
      <c r="S7" s="60">
        <f t="shared" si="0"/>
        <v>490037.04134347948</v>
      </c>
      <c r="T7" s="60">
        <f t="shared" si="0"/>
        <v>487586.85613676213</v>
      </c>
      <c r="U7" s="60">
        <f t="shared" si="0"/>
        <v>485148.92185607832</v>
      </c>
      <c r="V7" s="60">
        <f t="shared" si="0"/>
        <v>482723.17724679795</v>
      </c>
    </row>
    <row r="8" spans="1:22">
      <c r="E8" s="11" t="s">
        <v>5</v>
      </c>
      <c r="F8" s="12"/>
      <c r="G8" s="35"/>
      <c r="H8" s="61">
        <f>Assumptions!C12/1000</f>
        <v>2418.3266799999997</v>
      </c>
      <c r="I8" s="62">
        <f>H8*(1-Assumptions!$C$14)</f>
        <v>2406.2350465999998</v>
      </c>
      <c r="J8" s="62">
        <f>I8*(1-Assumptions!$C$14)</f>
        <v>2394.2038713669999</v>
      </c>
      <c r="K8" s="62">
        <f>J8*(1-Assumptions!$C$14)</f>
        <v>2382.2328520101651</v>
      </c>
      <c r="L8" s="62">
        <f>K8*(1-Assumptions!$C$14)</f>
        <v>2370.3216877501141</v>
      </c>
      <c r="M8" s="62">
        <f>L8*(1-Assumptions!$C$14)</f>
        <v>2358.4700793113634</v>
      </c>
      <c r="N8" s="62">
        <f>M8*(1-Assumptions!$C$14)</f>
        <v>2346.6777289148067</v>
      </c>
      <c r="O8" s="62">
        <f>N8*(1-Assumptions!$C$14)</f>
        <v>2334.9443402702327</v>
      </c>
      <c r="P8" s="62">
        <f>O8*(1-Assumptions!$C$14)</f>
        <v>2323.2696185688815</v>
      </c>
      <c r="Q8" s="62">
        <f>P8*(1-Assumptions!$C$14)</f>
        <v>2311.6532704760371</v>
      </c>
      <c r="R8" s="62">
        <f>Q8*(1-Assumptions!$C$14)</f>
        <v>2300.095004123657</v>
      </c>
      <c r="S8" s="62">
        <f>R8*(1-Assumptions!$C$14)</f>
        <v>2288.5945291030389</v>
      </c>
      <c r="T8" s="62">
        <f>S8*(1-Assumptions!$C$14)</f>
        <v>2277.1515564575238</v>
      </c>
      <c r="U8" s="62">
        <f>T8*(1-Assumptions!$C$14)</f>
        <v>2265.7657986752361</v>
      </c>
      <c r="V8" s="62">
        <f>U8*(1-Assumptions!$C$14)</f>
        <v>2254.4369696818599</v>
      </c>
    </row>
    <row r="9" spans="1:22">
      <c r="E9" s="9" t="s">
        <v>8</v>
      </c>
      <c r="F9" s="10"/>
      <c r="G9" s="34"/>
      <c r="H9" s="63">
        <f>Assumptions!$C$10*H8</f>
        <v>299872.50831999996</v>
      </c>
      <c r="I9" s="63">
        <f>Assumptions!$C$10*I8</f>
        <v>298373.14577839995</v>
      </c>
      <c r="J9" s="63">
        <f>Assumptions!$C$10*J8</f>
        <v>296881.28004950797</v>
      </c>
      <c r="K9" s="63">
        <f>Assumptions!$C$10*K8</f>
        <v>295396.87364926049</v>
      </c>
      <c r="L9" s="63">
        <f>Assumptions!$C$10*L8</f>
        <v>293919.88928101416</v>
      </c>
      <c r="M9" s="63">
        <f>Assumptions!$C$10*M8</f>
        <v>292450.28983460908</v>
      </c>
      <c r="N9" s="63">
        <f>Assumptions!$C$10*N8</f>
        <v>290988.03838543606</v>
      </c>
      <c r="O9" s="63">
        <f>Assumptions!$C$10*O8</f>
        <v>289533.09819350886</v>
      </c>
      <c r="P9" s="63">
        <f>Assumptions!$C$10*P8</f>
        <v>288085.43270254129</v>
      </c>
      <c r="Q9" s="63">
        <f>Assumptions!$C$10*Q8</f>
        <v>286645.00553902861</v>
      </c>
      <c r="R9" s="63">
        <f>Assumptions!$C$10*R8</f>
        <v>285211.78051133349</v>
      </c>
      <c r="S9" s="63">
        <f>Assumptions!$C$10*S8</f>
        <v>283785.72160877683</v>
      </c>
      <c r="T9" s="63">
        <f>Assumptions!$C$10*T8</f>
        <v>282366.79300073296</v>
      </c>
      <c r="U9" s="63">
        <f>Assumptions!$C$10*U8</f>
        <v>280954.95903572929</v>
      </c>
      <c r="V9" s="63">
        <f>Assumptions!$C$10*V8</f>
        <v>279550.18424055062</v>
      </c>
    </row>
    <row r="10" spans="1:22">
      <c r="B10" s="18" t="s">
        <v>22</v>
      </c>
      <c r="C10" s="19">
        <f>NPV('Cost of Capital'!F17,'Product Costs'!H10:V10)</f>
        <v>7328252.6550994674</v>
      </c>
      <c r="E10" s="6" t="s">
        <v>6</v>
      </c>
      <c r="G10" s="33"/>
      <c r="H10" s="58">
        <f>SUM(H7,H9)</f>
        <v>817687.97811999999</v>
      </c>
      <c r="I10" s="58">
        <f t="shared" ref="I10:V10" si="1">SUM(I7,I9)</f>
        <v>813599.53822939994</v>
      </c>
      <c r="J10" s="58">
        <f t="shared" si="1"/>
        <v>809531.54053825303</v>
      </c>
      <c r="K10" s="58">
        <f t="shared" si="1"/>
        <v>805483.88283556176</v>
      </c>
      <c r="L10" s="58">
        <f t="shared" si="1"/>
        <v>801456.46342138387</v>
      </c>
      <c r="M10" s="58">
        <f t="shared" si="1"/>
        <v>797449.18110427703</v>
      </c>
      <c r="N10" s="58">
        <f t="shared" si="1"/>
        <v>793461.93519875559</v>
      </c>
      <c r="O10" s="58">
        <f t="shared" si="1"/>
        <v>789494.62552276184</v>
      </c>
      <c r="P10" s="58">
        <f t="shared" si="1"/>
        <v>785547.15239514806</v>
      </c>
      <c r="Q10" s="58">
        <f t="shared" si="1"/>
        <v>781619.41663317219</v>
      </c>
      <c r="R10" s="58">
        <f t="shared" si="1"/>
        <v>777711.31955000642</v>
      </c>
      <c r="S10" s="58">
        <f t="shared" si="1"/>
        <v>773822.76295225625</v>
      </c>
      <c r="T10" s="58">
        <f t="shared" si="1"/>
        <v>769953.64913749509</v>
      </c>
      <c r="U10" s="58">
        <f t="shared" si="1"/>
        <v>766103.88089180761</v>
      </c>
      <c r="V10" s="58">
        <f t="shared" si="1"/>
        <v>762273.36148734856</v>
      </c>
    </row>
    <row r="11" spans="1:22" s="40" customFormat="1" ht="15.75" thickBot="1">
      <c r="A11" s="39"/>
      <c r="E11" s="41"/>
      <c r="G11" s="42"/>
      <c r="H11" s="43"/>
      <c r="I11" s="43"/>
      <c r="J11" s="43"/>
      <c r="K11" s="43"/>
      <c r="L11" s="43"/>
      <c r="M11" s="43"/>
      <c r="N11" s="43"/>
      <c r="O11" s="43"/>
    </row>
    <row r="12" spans="1:22">
      <c r="B12" s="25" t="s">
        <v>10</v>
      </c>
      <c r="G12" s="22">
        <v>0</v>
      </c>
      <c r="H12" s="21">
        <v>1</v>
      </c>
      <c r="I12" s="14">
        <v>2</v>
      </c>
      <c r="J12" s="14">
        <v>3</v>
      </c>
      <c r="K12" s="14">
        <v>4</v>
      </c>
      <c r="L12" s="14">
        <v>5</v>
      </c>
    </row>
    <row r="13" spans="1:22">
      <c r="G13" s="23">
        <v>2020</v>
      </c>
      <c r="H13" s="3">
        <v>2021</v>
      </c>
      <c r="I13" s="3">
        <v>2022</v>
      </c>
      <c r="J13" s="3">
        <v>2023</v>
      </c>
      <c r="K13" s="3">
        <v>2024</v>
      </c>
      <c r="L13" s="3">
        <v>2025</v>
      </c>
    </row>
    <row r="14" spans="1:22">
      <c r="E14" s="13" t="s">
        <v>48</v>
      </c>
      <c r="G14" s="51">
        <f>IT!C4</f>
        <v>28186.011412500004</v>
      </c>
      <c r="H14" s="51">
        <f>IT!D4</f>
        <v>466439.37524889247</v>
      </c>
      <c r="I14" s="51">
        <f>IT!E4</f>
        <v>424478.37670886074</v>
      </c>
      <c r="J14" s="51">
        <f>IT!F4</f>
        <v>396400.04050632915</v>
      </c>
      <c r="K14" s="51">
        <f>IT!G4</f>
        <v>368321.70430379745</v>
      </c>
      <c r="L14" s="51">
        <f>IT!H4</f>
        <v>340243.36810126581</v>
      </c>
    </row>
    <row r="15" spans="1:22">
      <c r="E15" s="1" t="s">
        <v>49</v>
      </c>
      <c r="G15" s="37">
        <f>G14*Assumptions!C7</f>
        <v>9302.7930666956272</v>
      </c>
      <c r="H15" s="56">
        <f>H14*Assumptions!$C$7</f>
        <v>153948.31580089696</v>
      </c>
      <c r="I15" s="56">
        <f>I14*Assumptions!$C$7</f>
        <v>140099.0882327595</v>
      </c>
      <c r="J15" s="56">
        <f>J14*Assumptions!$C$7</f>
        <v>130831.83336911394</v>
      </c>
      <c r="K15" s="56">
        <f>K14*Assumptions!$C$7</f>
        <v>121564.57850546835</v>
      </c>
      <c r="L15" s="56">
        <f>L14*Assumptions!$C$7</f>
        <v>112297.32364182278</v>
      </c>
    </row>
    <row r="16" spans="1:22">
      <c r="E16" s="1"/>
      <c r="G16" s="24"/>
      <c r="H16" s="17"/>
      <c r="I16" s="17"/>
      <c r="J16" s="17"/>
      <c r="K16" s="17"/>
      <c r="L16" s="17"/>
    </row>
    <row r="17" spans="1:22">
      <c r="E17" s="1"/>
      <c r="G17" s="24"/>
      <c r="H17" s="17"/>
      <c r="I17" s="17"/>
      <c r="J17" s="17"/>
      <c r="K17" s="17"/>
      <c r="L17" s="17"/>
    </row>
    <row r="18" spans="1:22">
      <c r="B18" s="25" t="s">
        <v>11</v>
      </c>
      <c r="G18" s="22">
        <v>0</v>
      </c>
      <c r="H18" s="4">
        <v>1</v>
      </c>
      <c r="I18" s="4">
        <v>2</v>
      </c>
      <c r="J18" s="4">
        <v>3</v>
      </c>
      <c r="K18" s="4">
        <v>4</v>
      </c>
      <c r="L18" s="4">
        <v>5</v>
      </c>
      <c r="M18" s="4">
        <v>6</v>
      </c>
      <c r="N18" s="4">
        <v>7</v>
      </c>
      <c r="O18" s="4">
        <v>8</v>
      </c>
      <c r="P18" s="4">
        <v>9</v>
      </c>
      <c r="Q18" s="4">
        <v>10</v>
      </c>
      <c r="R18" s="4">
        <v>11</v>
      </c>
      <c r="S18" s="4">
        <v>12</v>
      </c>
      <c r="T18" s="4">
        <v>13</v>
      </c>
      <c r="U18" s="4">
        <v>14</v>
      </c>
      <c r="V18" s="4">
        <v>15</v>
      </c>
    </row>
    <row r="19" spans="1:22">
      <c r="G19" s="23">
        <v>2020</v>
      </c>
      <c r="H19" s="3">
        <v>2021</v>
      </c>
      <c r="I19" s="3">
        <v>2022</v>
      </c>
      <c r="J19" s="3">
        <v>2023</v>
      </c>
      <c r="K19" s="3">
        <v>2024</v>
      </c>
      <c r="L19" s="3">
        <v>2025</v>
      </c>
      <c r="M19" s="3">
        <v>2026</v>
      </c>
      <c r="N19" s="3">
        <v>2027</v>
      </c>
      <c r="O19" s="3">
        <v>2028</v>
      </c>
      <c r="P19" s="3">
        <v>2029</v>
      </c>
      <c r="Q19" s="3">
        <v>2030</v>
      </c>
      <c r="R19" s="3">
        <v>2031</v>
      </c>
      <c r="S19" s="3">
        <v>2032</v>
      </c>
      <c r="T19" s="3">
        <v>2033</v>
      </c>
      <c r="U19" s="3">
        <v>2034</v>
      </c>
      <c r="V19" s="3">
        <v>2035</v>
      </c>
    </row>
    <row r="20" spans="1:22">
      <c r="E20" s="1" t="s">
        <v>51</v>
      </c>
      <c r="G20" s="38">
        <f>Labor!C4</f>
        <v>9290.159999999998</v>
      </c>
      <c r="H20" s="64">
        <f>Labor!D4</f>
        <v>197118.17890843749</v>
      </c>
      <c r="I20" s="65">
        <f>Labor!E4</f>
        <v>66912.35902802342</v>
      </c>
      <c r="J20" s="65">
        <f>Labor!F4</f>
        <v>68378.918003724015</v>
      </c>
      <c r="K20" s="65">
        <f>Labor!G4</f>
        <v>51570.054623311858</v>
      </c>
      <c r="L20" s="65">
        <f>Labor!H4</f>
        <v>52653.055988894659</v>
      </c>
      <c r="M20" s="65">
        <f>Labor!I4</f>
        <v>48376.263685544691</v>
      </c>
      <c r="N20" s="65">
        <f>Labor!J4</f>
        <v>49379.420277683312</v>
      </c>
      <c r="O20" s="65">
        <f>Labor!K4</f>
        <v>50407.655784625385</v>
      </c>
      <c r="P20" s="65">
        <f>Labor!L4</f>
        <v>51461.59717924102</v>
      </c>
      <c r="Q20" s="65">
        <f>Labor!M4</f>
        <v>52541.887108722047</v>
      </c>
      <c r="R20" s="65">
        <f>Labor!N4</f>
        <v>53649.18428644009</v>
      </c>
      <c r="S20" s="65">
        <f>Labor!O4</f>
        <v>54784.163893601093</v>
      </c>
      <c r="T20" s="65">
        <f>Labor!P4</f>
        <v>55947.517990941124</v>
      </c>
      <c r="U20" s="65">
        <f>Labor!Q4</f>
        <v>57139.955940714644</v>
      </c>
      <c r="V20" s="65">
        <f>Labor!R4</f>
        <v>58362.204839232516</v>
      </c>
    </row>
    <row r="21" spans="1:22" s="40" customFormat="1" ht="13.5" customHeight="1" thickBot="1">
      <c r="A21" s="39"/>
      <c r="E21" s="44"/>
      <c r="G21" s="45"/>
      <c r="H21" s="46"/>
      <c r="I21" s="46"/>
      <c r="J21" s="46"/>
      <c r="K21" s="46"/>
      <c r="L21" s="46"/>
      <c r="M21" s="46"/>
      <c r="N21" s="46"/>
      <c r="O21" s="46"/>
    </row>
    <row r="22" spans="1:22" s="18" customFormat="1">
      <c r="B22" s="26" t="s">
        <v>12</v>
      </c>
      <c r="C22" s="27"/>
      <c r="D22" s="27"/>
      <c r="E22" s="27"/>
      <c r="F22" s="27"/>
      <c r="G22" s="28">
        <v>0</v>
      </c>
      <c r="H22" s="29">
        <v>1</v>
      </c>
      <c r="I22" s="29">
        <v>2</v>
      </c>
      <c r="J22" s="29">
        <v>3</v>
      </c>
      <c r="K22" s="29">
        <v>4</v>
      </c>
      <c r="L22" s="29">
        <v>5</v>
      </c>
      <c r="M22" s="29">
        <v>6</v>
      </c>
      <c r="N22" s="29">
        <v>7</v>
      </c>
      <c r="O22" s="29">
        <v>8</v>
      </c>
      <c r="P22" s="29">
        <v>9</v>
      </c>
      <c r="Q22" s="29">
        <v>10</v>
      </c>
      <c r="R22" s="29">
        <v>11</v>
      </c>
      <c r="S22" s="29">
        <v>12</v>
      </c>
      <c r="T22" s="29">
        <v>13</v>
      </c>
      <c r="U22" s="29">
        <v>14</v>
      </c>
      <c r="V22" s="29">
        <v>15</v>
      </c>
    </row>
    <row r="23" spans="1:22" s="18" customFormat="1">
      <c r="B23" s="27"/>
      <c r="C23" s="27"/>
      <c r="D23" s="27"/>
      <c r="E23" s="27"/>
      <c r="F23" s="27"/>
      <c r="G23" s="30">
        <v>2020</v>
      </c>
      <c r="H23" s="31">
        <v>2021</v>
      </c>
      <c r="I23" s="31">
        <v>2022</v>
      </c>
      <c r="J23" s="31">
        <v>2023</v>
      </c>
      <c r="K23" s="31">
        <v>2024</v>
      </c>
      <c r="L23" s="31">
        <v>2025</v>
      </c>
      <c r="M23" s="31">
        <v>2026</v>
      </c>
      <c r="N23" s="31">
        <v>2027</v>
      </c>
      <c r="O23" s="31">
        <v>2028</v>
      </c>
      <c r="P23" s="31">
        <v>2029</v>
      </c>
      <c r="Q23" s="31">
        <v>2030</v>
      </c>
      <c r="R23" s="31">
        <v>2031</v>
      </c>
      <c r="S23" s="31">
        <v>2032</v>
      </c>
      <c r="T23" s="31">
        <v>2033</v>
      </c>
      <c r="U23" s="31">
        <v>2034</v>
      </c>
      <c r="V23" s="31">
        <v>2035</v>
      </c>
    </row>
    <row r="24" spans="1:22" s="18" customFormat="1">
      <c r="B24" s="27"/>
      <c r="C24" s="27"/>
      <c r="D24" s="27"/>
      <c r="E24" s="27"/>
      <c r="F24" s="27"/>
      <c r="G24" s="66">
        <f>SUM(G15,G20)</f>
        <v>18592.953066695627</v>
      </c>
      <c r="H24" s="67">
        <f t="shared" ref="H24:V24" si="2">SUM(H10,H15,H20)</f>
        <v>1168754.4728293344</v>
      </c>
      <c r="I24" s="67">
        <f t="shared" si="2"/>
        <v>1020610.9854901829</v>
      </c>
      <c r="J24" s="67">
        <f t="shared" si="2"/>
        <v>1008742.291911091</v>
      </c>
      <c r="K24" s="67">
        <f t="shared" si="2"/>
        <v>978618.51596434193</v>
      </c>
      <c r="L24" s="67">
        <f t="shared" si="2"/>
        <v>966406.84305210132</v>
      </c>
      <c r="M24" s="67">
        <f t="shared" si="2"/>
        <v>845825.44478982175</v>
      </c>
      <c r="N24" s="67">
        <f t="shared" si="2"/>
        <v>842841.35547643888</v>
      </c>
      <c r="O24" s="67">
        <f t="shared" si="2"/>
        <v>839902.28130738717</v>
      </c>
      <c r="P24" s="67">
        <f t="shared" si="2"/>
        <v>837008.74957438908</v>
      </c>
      <c r="Q24" s="67">
        <f t="shared" si="2"/>
        <v>834161.3037418942</v>
      </c>
      <c r="R24" s="67">
        <f t="shared" si="2"/>
        <v>831360.50383644656</v>
      </c>
      <c r="S24" s="67">
        <f t="shared" si="2"/>
        <v>828606.92684585729</v>
      </c>
      <c r="T24" s="67">
        <f t="shared" si="2"/>
        <v>825901.16712843627</v>
      </c>
      <c r="U24" s="67">
        <f t="shared" si="2"/>
        <v>823243.8368325223</v>
      </c>
      <c r="V24" s="67">
        <f t="shared" si="2"/>
        <v>820635.56632658106</v>
      </c>
    </row>
    <row r="26" spans="1:22">
      <c r="B26" s="18" t="s">
        <v>50</v>
      </c>
      <c r="C26" s="19">
        <f>NPV('Cost of Capital'!F17,H24:V24)+G24</f>
        <v>8540771.2420951612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0.59999389629810485"/>
  </sheetPr>
  <dimension ref="A1:S15"/>
  <sheetViews>
    <sheetView workbookViewId="0">
      <selection activeCell="E11" sqref="E11"/>
    </sheetView>
  </sheetViews>
  <sheetFormatPr defaultRowHeight="15"/>
  <cols>
    <col min="1" max="1" width="3" customWidth="1"/>
    <col min="2" max="2" width="37.7109375" customWidth="1"/>
    <col min="3" max="3" width="14.28515625" bestFit="1" customWidth="1"/>
    <col min="4" max="4" width="14.28515625" customWidth="1"/>
    <col min="5" max="5" width="13.5703125" bestFit="1" customWidth="1"/>
    <col min="6" max="6" width="13.42578125" customWidth="1"/>
    <col min="7" max="12" width="13.5703125" bestFit="1" customWidth="1"/>
    <col min="13" max="13" width="12.7109375" customWidth="1"/>
    <col min="14" max="15" width="11.85546875" bestFit="1" customWidth="1"/>
    <col min="16" max="19" width="9.7109375" bestFit="1" customWidth="1"/>
  </cols>
  <sheetData>
    <row r="1" spans="1:19" ht="11.25" customHeight="1"/>
    <row r="2" spans="1:19">
      <c r="B2" t="s">
        <v>17</v>
      </c>
      <c r="C2" s="5">
        <f>asd-D2</f>
        <v>8540771.2420951612</v>
      </c>
      <c r="D2" s="5"/>
    </row>
    <row r="4" spans="1:19">
      <c r="B4" s="1" t="s">
        <v>15</v>
      </c>
    </row>
    <row r="5" spans="1:19">
      <c r="B5" t="s">
        <v>41</v>
      </c>
      <c r="C5" s="54">
        <v>1.7109904483172693</v>
      </c>
    </row>
    <row r="6" spans="1:19">
      <c r="B6" t="s">
        <v>16</v>
      </c>
      <c r="C6" s="55">
        <v>20</v>
      </c>
    </row>
    <row r="7" spans="1:19">
      <c r="B7" t="s">
        <v>18</v>
      </c>
      <c r="C7" s="52">
        <f>Assumptions!C15</f>
        <v>15</v>
      </c>
    </row>
    <row r="8" spans="1:19">
      <c r="B8" t="s">
        <v>23</v>
      </c>
      <c r="C8" s="52">
        <f>Assumptions!C5</f>
        <v>6.601</v>
      </c>
    </row>
    <row r="9" spans="1:19">
      <c r="E9" s="15">
        <v>1</v>
      </c>
      <c r="F9" s="4">
        <v>2</v>
      </c>
      <c r="G9" s="4">
        <v>3</v>
      </c>
      <c r="H9" s="4">
        <v>4</v>
      </c>
      <c r="I9" s="4">
        <v>5</v>
      </c>
      <c r="J9" s="4">
        <v>6</v>
      </c>
      <c r="K9" s="4">
        <v>7</v>
      </c>
      <c r="L9" s="4">
        <v>8</v>
      </c>
      <c r="M9" s="4">
        <v>9</v>
      </c>
      <c r="N9" s="4">
        <v>10</v>
      </c>
      <c r="O9" s="4">
        <v>11</v>
      </c>
      <c r="P9" s="4">
        <v>12</v>
      </c>
      <c r="Q9" s="4">
        <v>13</v>
      </c>
      <c r="R9" s="4">
        <v>14</v>
      </c>
      <c r="S9" s="4">
        <v>15</v>
      </c>
    </row>
    <row r="10" spans="1:19">
      <c r="B10" s="1" t="s">
        <v>70</v>
      </c>
      <c r="E10" s="16">
        <v>2021</v>
      </c>
      <c r="F10" s="3">
        <v>2022</v>
      </c>
      <c r="G10" s="3">
        <v>2023</v>
      </c>
      <c r="H10" s="3">
        <v>2024</v>
      </c>
      <c r="I10" s="3">
        <v>2025</v>
      </c>
      <c r="J10" s="3">
        <v>2026</v>
      </c>
      <c r="K10" s="3">
        <v>2027</v>
      </c>
      <c r="L10" s="3">
        <v>2028</v>
      </c>
      <c r="M10" s="3">
        <v>2029</v>
      </c>
      <c r="N10" s="3">
        <v>2030</v>
      </c>
      <c r="O10" s="3">
        <v>2031</v>
      </c>
      <c r="P10" s="3">
        <v>2032</v>
      </c>
      <c r="Q10" s="3">
        <v>2033</v>
      </c>
      <c r="R10" s="3">
        <v>2034</v>
      </c>
      <c r="S10" s="3">
        <v>2035</v>
      </c>
    </row>
    <row r="11" spans="1:19">
      <c r="B11" t="s">
        <v>68</v>
      </c>
      <c r="E11" s="68">
        <f>-(PMT('Cost of Capital'!$F$17,'Product Pricing'!$C$7,'Product Pricing'!$C$2))/(($C$8*1000))*$C$5</f>
        <v>240</v>
      </c>
      <c r="F11" s="68">
        <f>-(PMT('Cost of Capital'!$F$17,'Product Pricing'!$C$7,'Product Pricing'!$C$2))/(($C$8*1000))*$C$5</f>
        <v>240</v>
      </c>
      <c r="G11" s="68">
        <f>-(PMT('Cost of Capital'!$F$17,'Product Pricing'!$C$7,'Product Pricing'!$C$2))/(($C$8*1000))*$C$5</f>
        <v>240</v>
      </c>
      <c r="H11" s="68">
        <f>-(PMT('Cost of Capital'!$F$17,'Product Pricing'!$C$7,'Product Pricing'!$C$2))/(($C$8*1000))*$C$5</f>
        <v>240</v>
      </c>
      <c r="I11" s="68">
        <f>-(PMT('Cost of Capital'!$F$17,'Product Pricing'!$C$7,'Product Pricing'!$C$2))/(($C$8*1000))*$C$5</f>
        <v>240</v>
      </c>
      <c r="J11" s="68">
        <f>-(PMT('Cost of Capital'!$F$17,'Product Pricing'!$C$7,'Product Pricing'!$C$2))/(($C$8*1000))*$C$5</f>
        <v>240</v>
      </c>
      <c r="K11" s="68">
        <f>-(PMT('Cost of Capital'!$F$17,'Product Pricing'!$C$7,'Product Pricing'!$C$2))/(($C$8*1000))*$C$5</f>
        <v>240</v>
      </c>
      <c r="L11" s="68">
        <f>-(PMT('Cost of Capital'!$F$17,'Product Pricing'!$C$7,'Product Pricing'!$C$2))/(($C$8*1000))*$C$5</f>
        <v>240</v>
      </c>
      <c r="M11" s="68">
        <f>-(PMT('Cost of Capital'!$F$17,'Product Pricing'!$C$7,'Product Pricing'!$C$2))/(($C$8*1000))*$C$5</f>
        <v>240</v>
      </c>
      <c r="N11" s="68">
        <f>-(PMT('Cost of Capital'!$F$17,'Product Pricing'!$C$7,'Product Pricing'!$C$2))/(($C$8*1000))*$C$5</f>
        <v>240</v>
      </c>
      <c r="O11" s="68">
        <f>-(PMT('Cost of Capital'!$F$17,'Product Pricing'!$C$7,'Product Pricing'!$C$2))/(($C$8*1000))*$C$5</f>
        <v>240</v>
      </c>
      <c r="P11" s="68">
        <f>-(PMT('Cost of Capital'!$F$17,'Product Pricing'!$C$7,'Product Pricing'!$C$2))/(($C$8*1000))*$C$5</f>
        <v>240</v>
      </c>
      <c r="Q11" s="68">
        <f>-(PMT('Cost of Capital'!$F$17,'Product Pricing'!$C$7,'Product Pricing'!$C$2))/(($C$8*1000))*$C$5</f>
        <v>240</v>
      </c>
      <c r="R11" s="68">
        <f>-(PMT('Cost of Capital'!$F$17,'Product Pricing'!$C$7,'Product Pricing'!$C$2))/(($C$8*1000))*$C$5</f>
        <v>240</v>
      </c>
      <c r="S11" s="68">
        <f>-(PMT('Cost of Capital'!$F$17,'Product Pricing'!$C$7,'Product Pricing'!$C$2))/(($C$8*1000))*$C$5</f>
        <v>240</v>
      </c>
    </row>
    <row r="12" spans="1:19">
      <c r="B12" t="s">
        <v>69</v>
      </c>
      <c r="E12" s="69">
        <f>-($C$5/($C$8*1000))*(SUM('Product Costs'!$H$4,'Product Costs'!$H$8)*1000)*Assumptions!$C$8</f>
        <v>-148.89951431401289</v>
      </c>
      <c r="F12" s="69">
        <f>-($C$5/($C$8*1000))*(SUM('Product Costs'!$H$4,'Product Costs'!$H$8)*1000)*Assumptions!$C$8</f>
        <v>-148.89951431401289</v>
      </c>
      <c r="G12" s="69">
        <f>-($C$5/($C$8*1000))*(SUM('Product Costs'!$H$4,'Product Costs'!$H$8)*1000)*Assumptions!$C$8</f>
        <v>-148.89951431401289</v>
      </c>
      <c r="H12" s="69">
        <f>-($C$5/($C$8*1000))*(SUM('Product Costs'!$H$4,'Product Costs'!$H$8)*1000)*Assumptions!$C$8</f>
        <v>-148.89951431401289</v>
      </c>
      <c r="I12" s="69">
        <f>-($C$5/($C$8*1000))*(SUM('Product Costs'!$H$4,'Product Costs'!$H$8)*1000)*Assumptions!$C$8</f>
        <v>-148.89951431401289</v>
      </c>
      <c r="J12" s="69">
        <f>-($C$5/($C$8*1000))*(SUM('Product Costs'!$H$4,'Product Costs'!$H$8)*1000)*Assumptions!$C$8</f>
        <v>-148.89951431401289</v>
      </c>
      <c r="K12" s="69">
        <f>-($C$5/($C$8*1000))*(SUM('Product Costs'!$H$4,'Product Costs'!$H$8)*1000)*Assumptions!$C$8</f>
        <v>-148.89951431401289</v>
      </c>
      <c r="L12" s="69">
        <f>-($C$5/($C$8*1000))*(SUM('Product Costs'!$H$4,'Product Costs'!$H$8)*1000)*Assumptions!$C$8</f>
        <v>-148.89951431401289</v>
      </c>
      <c r="M12" s="69">
        <f>-($C$5/($C$8*1000))*(SUM('Product Costs'!$H$4,'Product Costs'!$H$8)*1000)*Assumptions!$C$8</f>
        <v>-148.89951431401289</v>
      </c>
      <c r="N12" s="69">
        <f>-($C$5/($C$8*1000))*(SUM('Product Costs'!$H$4,'Product Costs'!$H$8)*1000)*Assumptions!$C$8</f>
        <v>-148.89951431401289</v>
      </c>
      <c r="O12" s="69">
        <f>-($C$5/($C$8*1000))*(SUM('Product Costs'!$H$4,'Product Costs'!$H$8)*1000)*Assumptions!$C$8</f>
        <v>-148.89951431401289</v>
      </c>
      <c r="P12" s="69">
        <f>-($C$5/($C$8*1000))*(SUM('Product Costs'!$H$4,'Product Costs'!$H$8)*1000)*Assumptions!$C$8</f>
        <v>-148.89951431401289</v>
      </c>
      <c r="Q12" s="69">
        <f>-($C$5/($C$8*1000))*(SUM('Product Costs'!$H$4,'Product Costs'!$H$8)*1000)*Assumptions!$C$8</f>
        <v>-148.89951431401289</v>
      </c>
      <c r="R12" s="69">
        <f>-($C$5/($C$8*1000))*(SUM('Product Costs'!$H$4,'Product Costs'!$H$8)*1000)*Assumptions!$C$8</f>
        <v>-148.89951431401289</v>
      </c>
      <c r="S12" s="69">
        <f>-($C$5/($C$8*1000))*(SUM('Product Costs'!$H$4,'Product Costs'!$H$8)*1000)*Assumptions!$C$8</f>
        <v>-148.89951431401289</v>
      </c>
    </row>
    <row r="13" spans="1:19">
      <c r="B13" t="s">
        <v>19</v>
      </c>
      <c r="E13" s="68">
        <f>SUM(E11:E12)</f>
        <v>91.10048568598711</v>
      </c>
      <c r="F13" s="68">
        <f t="shared" ref="F13:L13" si="0">SUM(F11:F12)</f>
        <v>91.10048568598711</v>
      </c>
      <c r="G13" s="68">
        <f t="shared" si="0"/>
        <v>91.10048568598711</v>
      </c>
      <c r="H13" s="68">
        <f t="shared" si="0"/>
        <v>91.10048568598711</v>
      </c>
      <c r="I13" s="68">
        <f t="shared" si="0"/>
        <v>91.10048568598711</v>
      </c>
      <c r="J13" s="68">
        <f t="shared" si="0"/>
        <v>91.10048568598711</v>
      </c>
      <c r="K13" s="68">
        <f t="shared" si="0"/>
        <v>91.10048568598711</v>
      </c>
      <c r="L13" s="68">
        <f t="shared" si="0"/>
        <v>91.10048568598711</v>
      </c>
      <c r="M13" s="68">
        <f>SUM(M11:M12)</f>
        <v>91.10048568598711</v>
      </c>
      <c r="N13" s="68">
        <f>SUM(N11:N12)</f>
        <v>91.10048568598711</v>
      </c>
      <c r="O13" s="68">
        <f>SUM(O11:O12)</f>
        <v>91.10048568598711</v>
      </c>
      <c r="P13" s="68">
        <f t="shared" ref="P13:S13" si="1">SUM(P11:P12)</f>
        <v>91.10048568598711</v>
      </c>
      <c r="Q13" s="68">
        <f t="shared" si="1"/>
        <v>91.10048568598711</v>
      </c>
      <c r="R13" s="68">
        <f t="shared" si="1"/>
        <v>91.10048568598711</v>
      </c>
      <c r="S13" s="68">
        <f t="shared" si="1"/>
        <v>91.10048568598711</v>
      </c>
    </row>
    <row r="14" spans="1:19" ht="21" customHeight="1">
      <c r="A14" s="32"/>
      <c r="B14" s="32"/>
      <c r="C14" s="48"/>
      <c r="D14" s="32"/>
      <c r="E14" s="47"/>
    </row>
    <row r="15" spans="1:19">
      <c r="E15" s="49"/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59999389629810485"/>
  </sheetPr>
  <dimension ref="A1"/>
  <sheetViews>
    <sheetView workbookViewId="0">
      <selection activeCell="G74" sqref="G74"/>
    </sheetView>
  </sheetViews>
  <sheetFormatPr defaultRowHeight="15"/>
  <sheetData/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59999389629810485"/>
  </sheetPr>
  <dimension ref="B1:G26"/>
  <sheetViews>
    <sheetView workbookViewId="0">
      <selection activeCell="M19" sqref="M19"/>
    </sheetView>
  </sheetViews>
  <sheetFormatPr defaultRowHeight="15"/>
  <cols>
    <col min="1" max="1" width="1.7109375" style="50" customWidth="1"/>
    <col min="2" max="2" width="9.28515625" style="50" bestFit="1" customWidth="1"/>
    <col min="3" max="3" width="49.85546875" style="50" customWidth="1"/>
    <col min="4" max="4" width="14.5703125" style="50" bestFit="1" customWidth="1"/>
    <col min="5" max="5" width="8.140625" style="50" bestFit="1" customWidth="1"/>
    <col min="6" max="6" width="6.7109375" style="50" bestFit="1" customWidth="1"/>
    <col min="7" max="7" width="9.7109375" style="50" bestFit="1" customWidth="1"/>
    <col min="8" max="16384" width="9.140625" style="50"/>
  </cols>
  <sheetData>
    <row r="1" spans="2:7" ht="8.25" customHeight="1"/>
    <row r="2" spans="2:7">
      <c r="B2" s="86"/>
      <c r="C2" s="87" t="s">
        <v>47</v>
      </c>
      <c r="D2" s="87"/>
      <c r="E2" s="87"/>
      <c r="F2" s="87"/>
      <c r="G2" s="87"/>
    </row>
    <row r="3" spans="2:7">
      <c r="B3" s="88"/>
      <c r="C3" s="89" t="s">
        <v>57</v>
      </c>
      <c r="D3" s="90"/>
      <c r="E3" s="90"/>
      <c r="F3" s="90"/>
      <c r="G3" s="90"/>
    </row>
    <row r="4" spans="2:7">
      <c r="B4" s="86"/>
      <c r="C4" s="89" t="s">
        <v>46</v>
      </c>
      <c r="D4" s="89"/>
      <c r="E4" s="89"/>
      <c r="F4" s="89"/>
      <c r="G4" s="89"/>
    </row>
    <row r="5" spans="2:7">
      <c r="B5" s="86"/>
      <c r="C5" s="91" t="s">
        <v>58</v>
      </c>
      <c r="D5" s="91"/>
      <c r="E5" s="91"/>
      <c r="F5" s="91"/>
      <c r="G5" s="91"/>
    </row>
    <row r="6" spans="2:7">
      <c r="B6" s="92"/>
      <c r="C6" s="93"/>
      <c r="D6" s="92"/>
      <c r="E6" s="92"/>
      <c r="F6" s="92"/>
      <c r="G6" s="92"/>
    </row>
    <row r="7" spans="2:7">
      <c r="B7" s="94"/>
      <c r="C7" s="86"/>
      <c r="D7" s="95"/>
      <c r="E7" s="86"/>
      <c r="F7" s="86"/>
      <c r="G7" s="86"/>
    </row>
    <row r="8" spans="2:7">
      <c r="B8" s="96" t="s">
        <v>59</v>
      </c>
      <c r="C8" s="86"/>
      <c r="D8" s="86"/>
      <c r="E8" s="86"/>
      <c r="F8" s="86"/>
      <c r="G8" s="86"/>
    </row>
    <row r="9" spans="2:7">
      <c r="B9" s="97" t="s">
        <v>60</v>
      </c>
      <c r="C9" s="98" t="s">
        <v>61</v>
      </c>
      <c r="D9" s="99"/>
      <c r="E9" s="99"/>
      <c r="F9" s="99"/>
      <c r="G9" s="100"/>
    </row>
    <row r="10" spans="2:7">
      <c r="B10" s="101"/>
      <c r="C10" s="86"/>
      <c r="D10" s="86"/>
      <c r="E10" s="86"/>
      <c r="F10" s="86"/>
      <c r="G10" s="86"/>
    </row>
    <row r="11" spans="2:7">
      <c r="B11" s="101">
        <v>1</v>
      </c>
      <c r="C11" s="102" t="s">
        <v>62</v>
      </c>
      <c r="D11" s="90">
        <v>0.51500000000000001</v>
      </c>
      <c r="E11" s="103">
        <v>5.4951456310679617E-2</v>
      </c>
      <c r="F11" s="104">
        <v>2.8299999999999999E-2</v>
      </c>
      <c r="G11" s="88"/>
    </row>
    <row r="12" spans="2:7">
      <c r="B12" s="101">
        <v>2</v>
      </c>
      <c r="C12" s="102" t="s">
        <v>63</v>
      </c>
      <c r="D12" s="105">
        <v>0.48499999999999999</v>
      </c>
      <c r="E12" s="106">
        <v>9.4E-2</v>
      </c>
      <c r="F12" s="106">
        <v>4.5600000000000002E-2</v>
      </c>
      <c r="G12" s="107"/>
    </row>
    <row r="13" spans="2:7">
      <c r="B13" s="101">
        <v>3</v>
      </c>
      <c r="C13" s="102" t="s">
        <v>64</v>
      </c>
      <c r="D13" s="108">
        <v>1</v>
      </c>
      <c r="E13" s="108"/>
      <c r="F13" s="109">
        <v>7.3899999999999993E-2</v>
      </c>
      <c r="G13" s="108"/>
    </row>
    <row r="14" spans="2:7">
      <c r="B14" s="101">
        <v>4</v>
      </c>
      <c r="C14" s="110"/>
      <c r="D14" s="110"/>
      <c r="E14" s="110"/>
      <c r="F14" s="110"/>
      <c r="G14" s="110"/>
    </row>
    <row r="15" spans="2:7">
      <c r="B15" s="101">
        <v>5</v>
      </c>
      <c r="C15" s="102" t="s">
        <v>65</v>
      </c>
      <c r="D15" s="111">
        <v>0.51500000000000001</v>
      </c>
      <c r="E15" s="103">
        <v>4.3411650485436902E-2</v>
      </c>
      <c r="F15" s="90">
        <v>2.24E-2</v>
      </c>
      <c r="G15" s="112"/>
    </row>
    <row r="16" spans="2:7">
      <c r="B16" s="101">
        <v>6</v>
      </c>
      <c r="C16" s="102" t="s">
        <v>63</v>
      </c>
      <c r="D16" s="113">
        <v>0.48499999999999999</v>
      </c>
      <c r="E16" s="114">
        <v>9.4E-2</v>
      </c>
      <c r="F16" s="106">
        <v>4.5600000000000002E-2</v>
      </c>
      <c r="G16" s="112"/>
    </row>
    <row r="17" spans="2:7">
      <c r="B17" s="101">
        <v>7</v>
      </c>
      <c r="C17" s="102" t="s">
        <v>66</v>
      </c>
      <c r="D17" s="108">
        <v>1</v>
      </c>
      <c r="E17" s="112"/>
      <c r="F17" s="109">
        <v>6.8000000000000005E-2</v>
      </c>
      <c r="G17" s="112"/>
    </row>
    <row r="18" spans="2:7">
      <c r="B18" s="101"/>
      <c r="C18" s="115"/>
      <c r="D18" s="116"/>
      <c r="E18" s="112"/>
      <c r="F18" s="117"/>
      <c r="G18" s="118"/>
    </row>
    <row r="19" spans="2:7">
      <c r="B19" s="101"/>
      <c r="C19" s="86"/>
      <c r="D19" s="116"/>
      <c r="E19" s="112"/>
      <c r="F19" s="117"/>
      <c r="G19" s="118"/>
    </row>
    <row r="20" spans="2:7">
      <c r="B20" s="101">
        <v>1</v>
      </c>
      <c r="C20" s="102" t="s">
        <v>62</v>
      </c>
      <c r="D20" s="90">
        <v>0.51500000000000001</v>
      </c>
      <c r="E20" s="103">
        <v>5.4951456310679617E-2</v>
      </c>
      <c r="F20" s="104">
        <v>2.8299999999999999E-2</v>
      </c>
      <c r="G20" s="118"/>
    </row>
    <row r="21" spans="2:7">
      <c r="B21" s="101">
        <v>2</v>
      </c>
      <c r="C21" s="102" t="s">
        <v>63</v>
      </c>
      <c r="D21" s="105">
        <v>0.48499999999999999</v>
      </c>
      <c r="E21" s="106">
        <v>9.4E-2</v>
      </c>
      <c r="F21" s="106">
        <v>4.6100000000000002E-2</v>
      </c>
      <c r="G21" s="118"/>
    </row>
    <row r="22" spans="2:7">
      <c r="B22" s="101">
        <v>3</v>
      </c>
      <c r="C22" s="102" t="s">
        <v>64</v>
      </c>
      <c r="D22" s="108">
        <v>1</v>
      </c>
      <c r="E22" s="108"/>
      <c r="F22" s="109">
        <v>7.4399999999999994E-2</v>
      </c>
      <c r="G22" s="118"/>
    </row>
    <row r="23" spans="2:7">
      <c r="B23" s="101">
        <v>4</v>
      </c>
      <c r="C23" s="110"/>
      <c r="D23" s="110"/>
      <c r="E23" s="110"/>
      <c r="F23" s="110"/>
      <c r="G23" s="118"/>
    </row>
    <row r="24" spans="2:7">
      <c r="B24" s="101">
        <v>5</v>
      </c>
      <c r="C24" s="102" t="s">
        <v>65</v>
      </c>
      <c r="D24" s="111">
        <v>0.51500000000000001</v>
      </c>
      <c r="E24" s="103">
        <v>4.3411650485436902E-2</v>
      </c>
      <c r="F24" s="90">
        <v>2.24E-2</v>
      </c>
      <c r="G24" s="118"/>
    </row>
    <row r="25" spans="2:7">
      <c r="B25" s="101">
        <v>6</v>
      </c>
      <c r="C25" s="102" t="s">
        <v>63</v>
      </c>
      <c r="D25" s="113">
        <v>0.48499999999999999</v>
      </c>
      <c r="E25" s="114">
        <v>9.4E-2</v>
      </c>
      <c r="F25" s="106">
        <v>4.6100000000000002E-2</v>
      </c>
      <c r="G25" s="118"/>
    </row>
    <row r="26" spans="2:7">
      <c r="B26" s="101">
        <v>7</v>
      </c>
      <c r="C26" s="102" t="s">
        <v>66</v>
      </c>
      <c r="D26" s="108">
        <v>1</v>
      </c>
      <c r="E26" s="112"/>
      <c r="F26" s="109">
        <v>6.8500000000000005E-2</v>
      </c>
      <c r="G26" s="118"/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59999389629810485"/>
  </sheetPr>
  <dimension ref="B1:P29"/>
  <sheetViews>
    <sheetView workbookViewId="0">
      <selection activeCell="E16" sqref="E16"/>
    </sheetView>
  </sheetViews>
  <sheetFormatPr defaultRowHeight="15"/>
  <cols>
    <col min="1" max="1" width="1.85546875" style="7" customWidth="1"/>
    <col min="2" max="2" width="40.7109375" style="119" customWidth="1"/>
    <col min="3" max="3" width="12.85546875" style="7" customWidth="1"/>
    <col min="4" max="8" width="11.140625" style="7" bestFit="1" customWidth="1"/>
    <col min="9" max="9" width="14.28515625" style="7" bestFit="1" customWidth="1"/>
    <col min="10" max="10" width="11.85546875" style="7" bestFit="1" customWidth="1"/>
    <col min="11" max="16384" width="9.140625" style="7"/>
  </cols>
  <sheetData>
    <row r="1" spans="2:16" ht="9" customHeight="1"/>
    <row r="2" spans="2:16">
      <c r="B2" s="136" t="s">
        <v>67</v>
      </c>
      <c r="C2" s="136"/>
      <c r="D2" s="136"/>
      <c r="E2" s="136"/>
      <c r="F2" s="136"/>
      <c r="G2" s="136"/>
      <c r="H2" s="136"/>
    </row>
    <row r="3" spans="2:16">
      <c r="B3" s="132"/>
      <c r="C3" s="133">
        <v>2020</v>
      </c>
      <c r="D3" s="133">
        <v>2021</v>
      </c>
      <c r="E3" s="133">
        <v>2022</v>
      </c>
      <c r="F3" s="133">
        <v>2023</v>
      </c>
      <c r="G3" s="133">
        <v>2024</v>
      </c>
      <c r="H3" s="133">
        <v>2025</v>
      </c>
    </row>
    <row r="4" spans="2:16" s="53" customFormat="1" ht="14.25" customHeight="1">
      <c r="B4" s="134" t="s">
        <v>44</v>
      </c>
      <c r="C4" s="135">
        <v>28186.011412500004</v>
      </c>
      <c r="D4" s="135">
        <v>466439.37524889247</v>
      </c>
      <c r="E4" s="135">
        <v>424478.37670886074</v>
      </c>
      <c r="F4" s="135">
        <v>396400.04050632915</v>
      </c>
      <c r="G4" s="135">
        <v>368321.70430379745</v>
      </c>
      <c r="H4" s="135">
        <v>340243.36810126581</v>
      </c>
      <c r="J4" s="120"/>
      <c r="K4" s="121"/>
      <c r="L4" s="121"/>
      <c r="M4" s="121"/>
      <c r="N4" s="121"/>
      <c r="O4" s="121"/>
      <c r="P4" s="121"/>
    </row>
    <row r="5" spans="2:16" s="53" customFormat="1">
      <c r="B5" s="122"/>
    </row>
    <row r="6" spans="2:16" s="53" customFormat="1">
      <c r="B6" s="122"/>
    </row>
    <row r="7" spans="2:16" s="53" customFormat="1">
      <c r="B7" s="134"/>
      <c r="C7" s="123"/>
      <c r="D7" s="124"/>
      <c r="E7" s="124"/>
      <c r="F7" s="124"/>
      <c r="G7" s="124"/>
      <c r="H7" s="124"/>
      <c r="I7" s="124"/>
    </row>
    <row r="8" spans="2:16" s="53" customFormat="1">
      <c r="B8" s="125"/>
      <c r="C8" s="123"/>
      <c r="D8" s="126"/>
      <c r="E8" s="126"/>
      <c r="F8" s="126"/>
      <c r="G8" s="126"/>
      <c r="H8" s="126"/>
      <c r="I8" s="127"/>
    </row>
    <row r="9" spans="2:16" s="53" customFormat="1">
      <c r="B9" s="125"/>
      <c r="C9" s="123"/>
      <c r="D9" s="126"/>
      <c r="E9" s="126"/>
      <c r="F9" s="126"/>
      <c r="G9" s="126"/>
      <c r="H9" s="126"/>
      <c r="I9" s="127"/>
    </row>
    <row r="10" spans="2:16" s="53" customFormat="1">
      <c r="B10" s="125"/>
      <c r="C10" s="123"/>
      <c r="D10" s="126"/>
      <c r="E10" s="126"/>
      <c r="F10" s="126"/>
      <c r="G10" s="126"/>
      <c r="H10" s="126"/>
      <c r="I10" s="127"/>
    </row>
    <row r="11" spans="2:16" s="53" customFormat="1">
      <c r="B11" s="125"/>
      <c r="C11" s="123"/>
      <c r="D11" s="126"/>
      <c r="E11" s="126"/>
      <c r="F11" s="126"/>
      <c r="G11" s="126"/>
      <c r="H11" s="126"/>
      <c r="I11" s="127"/>
    </row>
    <row r="12" spans="2:16" s="53" customFormat="1">
      <c r="B12" s="125"/>
      <c r="C12" s="123"/>
      <c r="D12" s="126"/>
      <c r="E12" s="126"/>
      <c r="F12" s="126"/>
      <c r="G12" s="126"/>
      <c r="H12" s="126"/>
      <c r="I12" s="127"/>
    </row>
    <row r="13" spans="2:16" s="53" customFormat="1">
      <c r="B13" s="125"/>
      <c r="C13" s="123"/>
      <c r="D13" s="128"/>
      <c r="E13" s="128"/>
      <c r="F13" s="128"/>
      <c r="G13" s="128"/>
      <c r="H13" s="128"/>
      <c r="I13" s="128"/>
    </row>
    <row r="14" spans="2:16" s="53" customFormat="1">
      <c r="B14" s="125"/>
      <c r="C14" s="123"/>
      <c r="D14" s="128"/>
      <c r="E14" s="128"/>
      <c r="F14" s="128"/>
      <c r="G14" s="128"/>
      <c r="H14" s="128"/>
      <c r="I14" s="128"/>
    </row>
    <row r="15" spans="2:16" s="53" customFormat="1">
      <c r="B15" s="125"/>
      <c r="C15" s="129"/>
      <c r="D15" s="128"/>
      <c r="E15" s="128"/>
      <c r="F15" s="128"/>
      <c r="G15" s="128"/>
      <c r="H15" s="128"/>
      <c r="I15" s="128"/>
    </row>
    <row r="16" spans="2:16" s="53" customFormat="1">
      <c r="B16" s="125"/>
      <c r="C16" s="129"/>
      <c r="D16" s="128"/>
      <c r="E16" s="128"/>
      <c r="F16" s="128"/>
      <c r="G16" s="128"/>
      <c r="H16" s="128"/>
      <c r="I16" s="128"/>
    </row>
    <row r="17" spans="2:9" s="53" customFormat="1">
      <c r="B17" s="125"/>
      <c r="C17" s="123"/>
      <c r="D17" s="130"/>
      <c r="E17" s="130"/>
      <c r="F17" s="130"/>
      <c r="G17" s="130"/>
      <c r="H17" s="130"/>
      <c r="I17" s="131"/>
    </row>
    <row r="20" spans="2:9" ht="25.5" hidden="1" customHeight="1">
      <c r="B20" s="119" t="s">
        <v>28</v>
      </c>
    </row>
    <row r="21" spans="2:9" hidden="1"/>
    <row r="22" spans="2:9" hidden="1"/>
    <row r="23" spans="2:9" hidden="1"/>
    <row r="24" spans="2:9" hidden="1"/>
    <row r="25" spans="2:9" hidden="1"/>
    <row r="26" spans="2:9" hidden="1"/>
    <row r="27" spans="2:9" hidden="1">
      <c r="B27" s="119" t="s">
        <v>29</v>
      </c>
      <c r="C27" s="7" t="s">
        <v>30</v>
      </c>
    </row>
    <row r="28" spans="2:9" hidden="1">
      <c r="B28" s="119" t="s">
        <v>32</v>
      </c>
    </row>
    <row r="29" spans="2:9" hidden="1">
      <c r="B29" s="119" t="s">
        <v>31</v>
      </c>
    </row>
  </sheetData>
  <mergeCells count="1">
    <mergeCell ref="B2:H2"/>
  </mergeCells>
  <pageMargins left="0.7" right="0.7" top="0.75" bottom="0.75" header="0.3" footer="0.3"/>
  <pageSetup orientation="portrait" horizontalDpi="90" verticalDpi="90" r:id="rId1"/>
  <customProperties>
    <customPr name="EpmWorksheetKeyString_GUID" r:id="rId2"/>
    <customPr name="FPMExcelClientCellBasedFunctionStatus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59999389629810485"/>
  </sheetPr>
  <dimension ref="B1:W4"/>
  <sheetViews>
    <sheetView workbookViewId="0">
      <selection activeCell="D18" sqref="D18"/>
    </sheetView>
  </sheetViews>
  <sheetFormatPr defaultColWidth="9.140625" defaultRowHeight="15"/>
  <cols>
    <col min="1" max="1" width="1.85546875" style="2" customWidth="1"/>
    <col min="2" max="2" width="14.28515625" style="2" customWidth="1"/>
    <col min="3" max="3" width="11.7109375" style="2" customWidth="1"/>
    <col min="4" max="4" width="11.140625" style="2" bestFit="1" customWidth="1"/>
    <col min="5" max="15" width="10.140625" style="2" bestFit="1" customWidth="1"/>
    <col min="16" max="16" width="11.140625" style="2" bestFit="1" customWidth="1"/>
    <col min="17" max="18" width="10.140625" style="2" bestFit="1" customWidth="1"/>
    <col min="19" max="20" width="9.140625" style="2"/>
    <col min="21" max="21" width="11.140625" style="2" bestFit="1" customWidth="1"/>
    <col min="22" max="32" width="9.140625" style="2"/>
    <col min="33" max="33" width="11.140625" style="2" bestFit="1" customWidth="1"/>
    <col min="34" max="16384" width="9.140625" style="2"/>
  </cols>
  <sheetData>
    <row r="1" spans="2:23" ht="8.25" customHeight="1"/>
    <row r="2" spans="2:23">
      <c r="B2" s="137" t="s">
        <v>42</v>
      </c>
      <c r="C2" s="137"/>
      <c r="D2" s="137"/>
      <c r="E2" s="137"/>
      <c r="F2" s="137"/>
      <c r="G2" s="137"/>
      <c r="H2" s="137"/>
      <c r="I2" s="137"/>
      <c r="J2" s="85"/>
      <c r="K2" s="85"/>
      <c r="L2" s="85"/>
      <c r="M2" s="85"/>
    </row>
    <row r="3" spans="2:23">
      <c r="C3" s="70">
        <v>2020</v>
      </c>
      <c r="D3" s="71">
        <v>2021</v>
      </c>
      <c r="E3" s="72">
        <v>2022</v>
      </c>
      <c r="F3" s="72">
        <v>2023</v>
      </c>
      <c r="G3" s="72">
        <v>2024</v>
      </c>
      <c r="H3" s="72">
        <v>2025</v>
      </c>
      <c r="I3" s="72">
        <v>2026</v>
      </c>
      <c r="J3" s="72">
        <v>2027</v>
      </c>
      <c r="K3" s="72">
        <v>2028</v>
      </c>
      <c r="L3" s="72">
        <v>2029</v>
      </c>
      <c r="M3" s="72">
        <v>2030</v>
      </c>
      <c r="N3" s="72">
        <v>2031</v>
      </c>
      <c r="O3" s="72">
        <v>2032</v>
      </c>
      <c r="P3" s="72">
        <v>2033</v>
      </c>
      <c r="Q3" s="72">
        <v>2034</v>
      </c>
      <c r="R3" s="72">
        <v>2035</v>
      </c>
    </row>
    <row r="4" spans="2:23">
      <c r="B4" s="12" t="s">
        <v>33</v>
      </c>
      <c r="C4" s="35">
        <v>9290.159999999998</v>
      </c>
      <c r="D4" s="36">
        <v>197118.17890843749</v>
      </c>
      <c r="E4" s="36">
        <v>66912.35902802342</v>
      </c>
      <c r="F4" s="36">
        <v>68378.918003724015</v>
      </c>
      <c r="G4" s="36">
        <v>51570.054623311858</v>
      </c>
      <c r="H4" s="36">
        <v>52653.055988894659</v>
      </c>
      <c r="I4" s="36">
        <v>48376.263685544691</v>
      </c>
      <c r="J4" s="36">
        <v>49379.420277683312</v>
      </c>
      <c r="K4" s="36">
        <v>50407.655784625385</v>
      </c>
      <c r="L4" s="36">
        <v>51461.59717924102</v>
      </c>
      <c r="M4" s="36">
        <v>52541.887108722047</v>
      </c>
      <c r="N4" s="36">
        <v>53649.18428644009</v>
      </c>
      <c r="O4" s="36">
        <v>54784.163893601093</v>
      </c>
      <c r="P4" s="36">
        <v>55947.517990941124</v>
      </c>
      <c r="Q4" s="36">
        <v>57139.955940714644</v>
      </c>
      <c r="R4" s="36">
        <v>58362.204839232516</v>
      </c>
      <c r="S4" s="36"/>
      <c r="T4" s="36"/>
      <c r="U4" s="36"/>
      <c r="V4" s="36"/>
      <c r="W4" s="36"/>
    </row>
  </sheetData>
  <mergeCells count="1">
    <mergeCell ref="B2:I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8A28199346F564D9F57298B659F8398" ma:contentTypeVersion="52" ma:contentTypeDescription="" ma:contentTypeScope="" ma:versionID="ee4ab031349b62758e6210ab9e61173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200998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C596A95-0F7C-439E-8BBC-A2D9162C9A69}"/>
</file>

<file path=customXml/itemProps2.xml><?xml version="1.0" encoding="utf-8"?>
<ds:datastoreItem xmlns:ds="http://schemas.openxmlformats.org/officeDocument/2006/customXml" ds:itemID="{4DCBCD7A-398F-4C9E-BA8A-29EA2CA8FD79}"/>
</file>

<file path=customXml/itemProps3.xml><?xml version="1.0" encoding="utf-8"?>
<ds:datastoreItem xmlns:ds="http://schemas.openxmlformats.org/officeDocument/2006/customXml" ds:itemID="{F1666F9D-DC7A-4935-9E8D-CF68629B9758}"/>
</file>

<file path=customXml/itemProps4.xml><?xml version="1.0" encoding="utf-8"?>
<ds:datastoreItem xmlns:ds="http://schemas.openxmlformats.org/officeDocument/2006/customXml" ds:itemID="{B0DD8E7E-61CF-4087-A3C9-020C60B5A5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Assumptions</vt:lpstr>
      <vt:lpstr>Product Costs</vt:lpstr>
      <vt:lpstr>Product Pricing</vt:lpstr>
      <vt:lpstr>Inputs ---&gt;</vt:lpstr>
      <vt:lpstr>Cost of Capital</vt:lpstr>
      <vt:lpstr>IT</vt:lpstr>
      <vt:lpstr>Labor</vt:lpstr>
      <vt:lpstr>asd</vt:lpstr>
      <vt:lpstr>CASH_BENEFITS_TOTAL_5_YEARS</vt:lpstr>
      <vt:lpstr>CASH_BENEFITS_YEAR_1</vt:lpstr>
      <vt:lpstr>CASH_BENEFITS_YEAR_2</vt:lpstr>
      <vt:lpstr>CASH_BENEFITS_YEAR_3</vt:lpstr>
      <vt:lpstr>CASH_BENEFITS_YEAR_4</vt:lpstr>
      <vt:lpstr>CASH_BENEFITS_YEAR_5</vt:lpstr>
      <vt:lpstr>COST_CONTINGENCY_OM_OCM_YEAR_1</vt:lpstr>
      <vt:lpstr>COST_CONTINGENCY_OM_OCM_YEAR_2</vt:lpstr>
      <vt:lpstr>COST_CONTINGENCY_OM_OCM_YEAR_3</vt:lpstr>
      <vt:lpstr>COST_CONTINGENCY_OM_OCM_YEAR_4</vt:lpstr>
      <vt:lpstr>COST_CONTINGENCY_OM_OCM_YEAR_5</vt:lpstr>
      <vt:lpstr>COST_EXTERNAL_LABOR_OCM_OM_YEAR_1</vt:lpstr>
      <vt:lpstr>COST_EXTERNAL_LABOR_OCM_OM_YEAR_2</vt:lpstr>
      <vt:lpstr>COST_EXTERNAL_LABOR_OCM_OM_YEAR_3</vt:lpstr>
      <vt:lpstr>COST_EXTERNAL_LABOR_OCM_OM_YEAR_4</vt:lpstr>
      <vt:lpstr>COST_EXTERNAL_LABOR_OCM_OM_YEAR_5</vt:lpstr>
      <vt:lpstr>COST_INTERNAL_LABOR_OCM_OM_YEAR_1</vt:lpstr>
      <vt:lpstr>COST_INTERNAL_LABOR_OCM_OM_YEAR_2</vt:lpstr>
      <vt:lpstr>COST_INTERNAL_LABOR_OCM_OM_YEAR_3</vt:lpstr>
      <vt:lpstr>COST_INTERNAL_LABOR_OCM_OM_YEAR_4</vt:lpstr>
      <vt:lpstr>COST_INTERNAL_LABOR_OCM_OM_YEAR_5</vt:lpstr>
      <vt:lpstr>COST_TAXES_OM_OCM_YEAR_1</vt:lpstr>
      <vt:lpstr>COST_TAXES_OM_OCM_YEAR_2</vt:lpstr>
      <vt:lpstr>COST_TAXES_OM_OCM_YEAR_3</vt:lpstr>
      <vt:lpstr>COST_TAXES_OM_OCM_YEAR_4</vt:lpstr>
      <vt:lpstr>COST_TAXES_OM_OCM_YEAR_5</vt:lpstr>
      <vt:lpstr>COST_TOTAL_CAPITAL_YEAR_1</vt:lpstr>
      <vt:lpstr>COST_TOTAL_CAPITAL_YEAR_2</vt:lpstr>
      <vt:lpstr>COST_TOTAL_CAPITAL_YEAR_3</vt:lpstr>
      <vt:lpstr>COST_TOTAL_CAPITAL_YEAR_4</vt:lpstr>
      <vt:lpstr>COST_TOTAL_CAPITAL_YEAR_5</vt:lpstr>
      <vt:lpstr>COST_TOTAL_ON_GOING_OM_YEAR_1</vt:lpstr>
      <vt:lpstr>COST_TOTAL_ON_GOING_OM_YEAR_2</vt:lpstr>
      <vt:lpstr>COST_TOTAL_ON_GOING_OM_YEAR_3</vt:lpstr>
      <vt:lpstr>COST_TOTAL_ON_GOING_OM_YEAR_4</vt:lpstr>
      <vt:lpstr>COST_TOTAL_ON_GOING_OM_YEAR_5</vt:lpstr>
      <vt:lpstr>COST_TOTAL_PROJECT_OM_YEAR_1</vt:lpstr>
      <vt:lpstr>COST_TOTAL_PROJECT_OM_YEAR_2</vt:lpstr>
      <vt:lpstr>COST_TOTAL_PROJECT_OM_YEAR_3</vt:lpstr>
      <vt:lpstr>COST_TOTAL_PROJECT_OM_YEAR_4</vt:lpstr>
      <vt:lpstr>COST_TOTAL_PROJECT_OM_YEAR_5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Rich, Emily</dc:creator>
  <cp:lastModifiedBy>Rich, Emily</cp:lastModifiedBy>
  <dcterms:created xsi:type="dcterms:W3CDTF">2020-04-15T21:58:46Z</dcterms:created>
  <dcterms:modified xsi:type="dcterms:W3CDTF">2020-12-17T18:28:56Z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0x0101006E56B4D1795A2E4DB2F0B01679ED314A0078A28199346F564D9F57298B659F8398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