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5.xml" ContentType="application/vnd.openxmlformats-officedocument.spreadsheetml.worksheet+xml"/>
  <Override PartName="/xl/externalLinks/externalLink12.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custom.xml" ContentType="application/vnd.openxmlformats-officedocument.custom-properties+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8.xml" ContentType="application/vnd.openxmlformats-officedocument.spreadsheetml.externalLink+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xl/calcChain.xml" ContentType="application/vnd.openxmlformats-officedocument.spreadsheetml.calcChain+xml"/>
  <Override PartName="/xl/externalLinks/externalLink7.xml" ContentType="application/vnd.openxmlformats-officedocument.spreadsheetml.externalLink+xml"/>
  <Override PartName="/xl/comments1.xml" ContentType="application/vnd.openxmlformats-officedocument.spreadsheetml.comments+xml"/>
  <Override PartName="/xl/externalLinks/externalLink11.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Western Region\WUTC\WUTC-Mason 2149\Dump Fee\Dump Fee Mason 1-1-2021\"/>
    </mc:Choice>
  </mc:AlternateContent>
  <bookViews>
    <workbookView xWindow="120" yWindow="105" windowWidth="19320" windowHeight="2790" tabRatio="782"/>
  </bookViews>
  <sheets>
    <sheet name="References" sheetId="5" r:id="rId1"/>
    <sheet name="DF Calc (Mason Co.)" sheetId="6" r:id="rId2"/>
    <sheet name="Mason Co. Regulated - Price Out" sheetId="10" r:id="rId3"/>
    <sheet name="11.2018-10.2019 Disposal" sheetId="11" r:id="rId4"/>
    <sheet name="Prop. Rates" sheetId="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ACT1">[1]Hidden!#REF!</definedName>
    <definedName name="______ACT2">[1]Hidden!#REF!</definedName>
    <definedName name="______ACT3">[1]Hidden!#REF!</definedName>
    <definedName name="_____ACT1">[1]Hidden!#REF!</definedName>
    <definedName name="_____ACT2">[1]Hidden!#REF!</definedName>
    <definedName name="_____ACT3">[1]Hidden!#REF!</definedName>
    <definedName name="____ACT1">[1]Hidden!#REF!</definedName>
    <definedName name="____ACT2">[1]Hidden!#REF!</definedName>
    <definedName name="____ACT3">[1]Hidden!#REF!</definedName>
    <definedName name="___ACT1">[1]Hidden!#REF!</definedName>
    <definedName name="___ACT2">[1]Hidden!#REF!</definedName>
    <definedName name="___ACT3">[1]Hidden!#REF!</definedName>
    <definedName name="__ACT1">[1]Hidden!#REF!</definedName>
    <definedName name="__ACT2">[1]Hidden!#REF!</definedName>
    <definedName name="__ACT3">[1]Hidden!#REF!</definedName>
    <definedName name="__CYA1">[2]Hidden!$N$11</definedName>
    <definedName name="__CYA10">[2]Hidden!$E$11</definedName>
    <definedName name="__CYA11">[2]Hidden!$P$11</definedName>
    <definedName name="__CYA2">[2]Hidden!$M$11</definedName>
    <definedName name="__CYA3">[2]Hidden!$L$11</definedName>
    <definedName name="__CYA4">[2]Hidden!$K$11</definedName>
    <definedName name="__CYA5">[2]Hidden!$J$11</definedName>
    <definedName name="__CYA6">[2]Hidden!$I$11</definedName>
    <definedName name="__CYA7">[2]Hidden!$H$11</definedName>
    <definedName name="__CYA8">[2]Hidden!$G$11</definedName>
    <definedName name="__CYA9">[2]Hidden!$F$11</definedName>
    <definedName name="__LYA12">[2]Hidden!$O$11</definedName>
    <definedName name="_ACT1" localSheetId="3">[3]Hidden!#REF!</definedName>
    <definedName name="_ACT1" localSheetId="2">[3]Hidden!#REF!</definedName>
    <definedName name="_ACT1">[3]Hidden!#REF!</definedName>
    <definedName name="_ACT2" localSheetId="3">[3]Hidden!#REF!</definedName>
    <definedName name="_ACT2" localSheetId="2">[3]Hidden!#REF!</definedName>
    <definedName name="_ACT2">[3]Hidden!#REF!</definedName>
    <definedName name="_ACT3" localSheetId="2">[3]Hidden!#REF!</definedName>
    <definedName name="_ACT3">[3]Hidden!#REF!</definedName>
    <definedName name="_ACT4">[1]Hidden!#REF!</definedName>
    <definedName name="_CYA1">[2]Hidden!$N$11</definedName>
    <definedName name="_CYA10">[2]Hidden!$E$11</definedName>
    <definedName name="_CYA11">[2]Hidden!$P$11</definedName>
    <definedName name="_CYA2">[2]Hidden!$M$11</definedName>
    <definedName name="_CYA3">[2]Hidden!$L$11</definedName>
    <definedName name="_CYA4">[2]Hidden!$K$11</definedName>
    <definedName name="_CYA5">[2]Hidden!$J$11</definedName>
    <definedName name="_CYA6">[2]Hidden!$I$11</definedName>
    <definedName name="_CYA7">[2]Hidden!$H$11</definedName>
    <definedName name="_CYA8">[2]Hidden!$G$11</definedName>
    <definedName name="_CYA9">[2]Hidden!$F$11</definedName>
    <definedName name="_xlnm._FilterDatabase" localSheetId="2" hidden="1">'Mason Co. Regulated - Price Out'!$A$1:$AJ$245</definedName>
    <definedName name="_LYA12">[2]Hidden!$O$11</definedName>
    <definedName name="a" localSheetId="3">'[4]2012 Act-Fcast P&amp;L'!#REF!</definedName>
    <definedName name="a">#REF!</definedName>
    <definedName name="Accounts">#REF!</definedName>
    <definedName name="ACCT" localSheetId="3">[3]Hidden!#REF!</definedName>
    <definedName name="ACCT" localSheetId="2">[3]Hidden!#REF!</definedName>
    <definedName name="ACCT">[2]Hidden!$D$11</definedName>
    <definedName name="ACCT.ConsolSum">[2]Hidden!$Q$11</definedName>
    <definedName name="AcctName">'[4]2012 Act-Fcast P&amp;L'!#REF!</definedName>
    <definedName name="ACT_CUR" localSheetId="3">[3]Hidden!#REF!</definedName>
    <definedName name="ACT_CUR" localSheetId="2">[3]Hidden!#REF!</definedName>
    <definedName name="ACT_CUR">[3]Hidden!#REF!</definedName>
    <definedName name="ACT_YTD" localSheetId="3">[3]Hidden!#REF!</definedName>
    <definedName name="ACT_YTD" localSheetId="2">[3]Hidden!#REF!</definedName>
    <definedName name="ACT_YTD">[3]Hidden!#REF!</definedName>
    <definedName name="AmountCount" localSheetId="3">#REF!</definedName>
    <definedName name="AmountCount" localSheetId="2">#REF!</definedName>
    <definedName name="AmountCount">#REF!</definedName>
    <definedName name="AmountFrom">#REF!</definedName>
    <definedName name="AmountTo">#REF!</definedName>
    <definedName name="AmountTotal" localSheetId="2">#REF!</definedName>
    <definedName name="AmountTotal">#REF!</definedName>
    <definedName name="BaseMonthDate">[5]Settings!$I$15</definedName>
    <definedName name="BaseMonthDate2">[5]Settings!$I$16</definedName>
    <definedName name="BaseMonthDate3">[5]Settings!$I$17</definedName>
    <definedName name="BaseYear">#REF!</definedName>
    <definedName name="BookRev">'[6]Pacific Regulated - Price Out'!$F$50</definedName>
    <definedName name="BookRev_com">'[6]Pacific Regulated - Price Out'!$F$214</definedName>
    <definedName name="BookRev_mfr">'[6]Pacific Regulated - Price Out'!$F$222</definedName>
    <definedName name="BookRev_ro">'[6]Pacific Regulated - Price Out'!$F$282</definedName>
    <definedName name="BookRev_rr">'[6]Pacific Regulated - Price Out'!$F$59</definedName>
    <definedName name="BookRev_yw">'[6]Pacific Regulated - Price Out'!$F$70</definedName>
    <definedName name="BREMAIR_COST_of_SERVICE_STUDY" localSheetId="2">#REF!</definedName>
    <definedName name="BREMAIR_COST_of_SERVICE_STUDY">#REF!</definedName>
    <definedName name="BUD_CUR" localSheetId="3">[3]Hidden!#REF!</definedName>
    <definedName name="BUD_CUR" localSheetId="2">[3]Hidden!#REF!</definedName>
    <definedName name="BUD_CUR">[3]Hidden!#REF!</definedName>
    <definedName name="BUD_YTD" localSheetId="3">[3]Hidden!#REF!</definedName>
    <definedName name="BUD_YTD" localSheetId="2">[3]Hidden!#REF!</definedName>
    <definedName name="BUD_YTD">[3]Hidden!#REF!</definedName>
    <definedName name="BusUnitCode">[5]Settings!$I$3</definedName>
    <definedName name="BusUnitName">[5]Settings!$I$4</definedName>
    <definedName name="CalRecyTons">'[7]Recycl Tons, Commodity Value'!$L$23</definedName>
    <definedName name="CheckTotals" localSheetId="3">#REF!</definedName>
    <definedName name="CheckTotals" localSheetId="2">#REF!</definedName>
    <definedName name="CheckTotals">#REF!</definedName>
    <definedName name="colgroup">[2]Orientation!$G$6</definedName>
    <definedName name="colsegment">[2]Orientation!$F$6</definedName>
    <definedName name="Comments">[8]Main!$K$57:INDEX([8]Main!$K$57:$K$59,SUMPRODUCT(--([8]Main!$K$57:$K$59&lt;&gt;"")))</definedName>
    <definedName name="CRCTable" localSheetId="3">#REF!</definedName>
    <definedName name="CRCTable" localSheetId="2">#REF!</definedName>
    <definedName name="CRCTable">#REF!</definedName>
    <definedName name="CRCTableOLD" localSheetId="3">#REF!</definedName>
    <definedName name="CRCTableOLD" localSheetId="2">#REF!</definedName>
    <definedName name="CRCTableOLD">#REF!</definedName>
    <definedName name="CriteriaType" localSheetId="3">[9]ControlPanel!$Z$2:$Z$5</definedName>
    <definedName name="CriteriaType" localSheetId="2">[10]ControlPanel!$Z$2:$Z$5</definedName>
    <definedName name="CriteriaType">[11]ControlPanel!$Z$2:$Z$5</definedName>
    <definedName name="Currency">[8]Main!$I$82</definedName>
    <definedName name="CurrentMonth" localSheetId="3">'[12]JE Query-update and refresh'!$J$8</definedName>
    <definedName name="CurrentMonth">'[13]Service Charges'!$J$8</definedName>
    <definedName name="Cutomers" localSheetId="2">#REF!</definedName>
    <definedName name="Cutomers">#REF!</definedName>
    <definedName name="Data_End_Test">#REF!</definedName>
    <definedName name="Data_Start_Test">#REF!</definedName>
    <definedName name="_xlnm.Database" localSheetId="2">#REF!</definedName>
    <definedName name="_xlnm.Database">#REF!</definedName>
    <definedName name="Database1" localSheetId="2">#REF!</definedName>
    <definedName name="Database1">#REF!</definedName>
    <definedName name="DateFrom" localSheetId="3">'[12]JE Query-update and refresh'!$I$12</definedName>
    <definedName name="DateFrom">'[13]Service Charges'!$I$12</definedName>
    <definedName name="DateRange">#REF!</definedName>
    <definedName name="DateTo" localSheetId="3">'[12]JE Query-update and refresh'!$I$13</definedName>
    <definedName name="DateTo">'[13]Service Charges'!$I$13</definedName>
    <definedName name="DEPT" localSheetId="3">[3]Hidden!#REF!</definedName>
    <definedName name="DEPT" localSheetId="2">[3]Hidden!#REF!</definedName>
    <definedName name="DEPT">[3]Hidden!#REF!</definedName>
    <definedName name="Dist">#REF!</definedName>
    <definedName name="District" localSheetId="3">#REF!</definedName>
    <definedName name="District">'[14]Vashon BS'!#REF!</definedName>
    <definedName name="DistrictNum" localSheetId="3">#REF!</definedName>
    <definedName name="DistrictNum" localSheetId="2">#REF!</definedName>
    <definedName name="DistrictNum">#REF!</definedName>
    <definedName name="Districts">#REF!</definedName>
    <definedName name="DistrictSelection">[15]Summary!$C$6</definedName>
    <definedName name="drlFilter">[2]Settings!$D$27</definedName>
    <definedName name="End" localSheetId="3">#REF!</definedName>
    <definedName name="End" localSheetId="2">#REF!</definedName>
    <definedName name="End">#REF!</definedName>
    <definedName name="EntrieShownLimit" localSheetId="3">'[12]JE Query-update and refresh'!$D$6</definedName>
    <definedName name="EntrieShownLimit">'[13]Service Charges'!$D$6</definedName>
    <definedName name="ExcludeIC">'[14]Vashon BS'!#REF!</definedName>
    <definedName name="FBTable" localSheetId="3">#REF!</definedName>
    <definedName name="FBTable" localSheetId="2">#REF!</definedName>
    <definedName name="FBTable">#REF!</definedName>
    <definedName name="FBTableOld" localSheetId="3">#REF!</definedName>
    <definedName name="FBTableOld" localSheetId="2">#REF!</definedName>
    <definedName name="FBTableOld">#REF!</definedName>
    <definedName name="filter">[2]Settings!$B$14:$H$25</definedName>
    <definedName name="FromMonth">#REF!</definedName>
    <definedName name="FundsApprPend">[16]Data!#REF!</definedName>
    <definedName name="FundsBudUnbud">[16]Data!#REF!</definedName>
    <definedName name="GLMappingStart" localSheetId="3">#REF!</definedName>
    <definedName name="GLMappingStart" localSheetId="2">#REF!</definedName>
    <definedName name="GLMappingStart">#REF!</definedName>
    <definedName name="Import_Range">[16]Data!#REF!</definedName>
    <definedName name="IncomeStmnt" localSheetId="2">#REF!</definedName>
    <definedName name="IncomeStmnt">#REF!</definedName>
    <definedName name="INPUT" localSheetId="2">#REF!</definedName>
    <definedName name="INPUT">#REF!</definedName>
    <definedName name="Insurance" localSheetId="2">#REF!</definedName>
    <definedName name="Insurance">#REF!</definedName>
    <definedName name="Invoice_Start">[16]Invoice_Drill!#REF!</definedName>
    <definedName name="JEDetail" localSheetId="3">#REF!</definedName>
    <definedName name="JEDetail" localSheetId="2">#REF!</definedName>
    <definedName name="JEDetail">#REF!</definedName>
    <definedName name="JEType" localSheetId="3">#REF!</definedName>
    <definedName name="JEType" localSheetId="2">#REF!</definedName>
    <definedName name="JEType">#REF!</definedName>
    <definedName name="lblBillAreaStatus" localSheetId="3">#REF!</definedName>
    <definedName name="lblBillAreaStatus" localSheetId="2">#REF!</definedName>
    <definedName name="lblBillAreaStatus">#REF!</definedName>
    <definedName name="lblBillCycleStatus" localSheetId="2">#REF!</definedName>
    <definedName name="lblBillCycleStatus">#REF!</definedName>
    <definedName name="lblCategoryStatus" localSheetId="2">#REF!</definedName>
    <definedName name="lblCategoryStatus">#REF!</definedName>
    <definedName name="lblCompanyStatus" localSheetId="2">#REF!</definedName>
    <definedName name="lblCompanyStatus">#REF!</definedName>
    <definedName name="lblDatabaseStatus" localSheetId="2">#REF!</definedName>
    <definedName name="lblDatabaseStatus">#REF!</definedName>
    <definedName name="lblPullStatus" localSheetId="2">#REF!</definedName>
    <definedName name="lblPullStatus">#REF!</definedName>
    <definedName name="lllllllllllllllllllll" localSheetId="2">#REF!</definedName>
    <definedName name="lllllllllllllllllllll">#REF!</definedName>
    <definedName name="LOB">[17]DropDownRanges!$B$4:$B$37</definedName>
    <definedName name="MainDataEnd" localSheetId="3">#REF!</definedName>
    <definedName name="MainDataEnd" localSheetId="2">#REF!</definedName>
    <definedName name="MainDataEnd">#REF!</definedName>
    <definedName name="MainDataStart" localSheetId="3">#REF!</definedName>
    <definedName name="MainDataStart" localSheetId="2">#REF!</definedName>
    <definedName name="MainDataStart">#REF!</definedName>
    <definedName name="MapKeyStart" localSheetId="3">#REF!</definedName>
    <definedName name="MapKeyStart" localSheetId="2">#REF!</definedName>
    <definedName name="MapKeyStart">#REF!</definedName>
    <definedName name="master_def" localSheetId="2">#REF!</definedName>
    <definedName name="master_def">#REF!</definedName>
    <definedName name="MemoAttachment">#REF!</definedName>
    <definedName name="MetaSet">[2]Orientation!$C$22</definedName>
    <definedName name="MonthList">'[16]Lookup Tables'!$A$1:$A$13</definedName>
    <definedName name="NarrThreshold_Doll">[5]Settings!$I$27</definedName>
    <definedName name="NarrThreshold_Perc">[5]Settings!$I$26</definedName>
    <definedName name="NewLob">[17]DropDownRanges!$B$4:$B$37</definedName>
    <definedName name="NewOnlyOrg">#N/A</definedName>
    <definedName name="NewSource">[17]DropDownRanges!$D$4:$D$7</definedName>
    <definedName name="NOTES" localSheetId="2">#REF!</definedName>
    <definedName name="NOTES">#REF!</definedName>
    <definedName name="NR">#REF!</definedName>
    <definedName name="OfficerSalary">#N/A</definedName>
    <definedName name="OffsetAcctBil" localSheetId="3">[18]JEexport!$L$10</definedName>
    <definedName name="OffsetAcctBil">[19]JEexport!$L$10</definedName>
    <definedName name="OffsetAcctPmt" localSheetId="3">[18]JEexport!$L$9</definedName>
    <definedName name="OffsetAcctPmt">[19]JEexport!$L$9</definedName>
    <definedName name="Org11_13">#N/A</definedName>
    <definedName name="Org7_10">#N/A</definedName>
    <definedName name="p" localSheetId="2">#REF!</definedName>
    <definedName name="p">#REF!</definedName>
    <definedName name="PAGE_1" localSheetId="2">#REF!</definedName>
    <definedName name="PAGE_1">#REF!</definedName>
    <definedName name="pBatchID" localSheetId="3">#REF!</definedName>
    <definedName name="pBatchID" localSheetId="2">#REF!</definedName>
    <definedName name="pBatchID">#REF!</definedName>
    <definedName name="pBillArea" localSheetId="3">#REF!</definedName>
    <definedName name="pBillArea" localSheetId="2">#REF!</definedName>
    <definedName name="pBillArea">#REF!</definedName>
    <definedName name="pBillCycle" localSheetId="3">#REF!</definedName>
    <definedName name="pBillCycle" localSheetId="2">#REF!</definedName>
    <definedName name="pBillCycle">#REF!</definedName>
    <definedName name="pCategory" localSheetId="2">#REF!</definedName>
    <definedName name="pCategory">#REF!</definedName>
    <definedName name="pCompany" localSheetId="2">#REF!</definedName>
    <definedName name="pCompany">#REF!</definedName>
    <definedName name="pCustomerNumber" localSheetId="2">#REF!</definedName>
    <definedName name="pCustomerNumber">#REF!</definedName>
    <definedName name="pDatabase" localSheetId="2">#REF!</definedName>
    <definedName name="pDatabase">#REF!</definedName>
    <definedName name="pEndPostDate" localSheetId="2">#REF!</definedName>
    <definedName name="pEndPostDate">#REF!</definedName>
    <definedName name="Period" localSheetId="2">#REF!</definedName>
    <definedName name="Period">#REF!</definedName>
    <definedName name="pMonth" localSheetId="2">#REF!</definedName>
    <definedName name="pMonth">#REF!</definedName>
    <definedName name="pOnlyShowLastTranx" localSheetId="2">#REF!</definedName>
    <definedName name="pOnlyShowLastTranx">#REF!</definedName>
    <definedName name="Posting">#REF!</definedName>
    <definedName name="primtbl">[2]Orientation!$C$23</definedName>
    <definedName name="_xlnm.Print_Area" localSheetId="1">'DF Calc (Mason Co.)'!$A$1:$S$77</definedName>
    <definedName name="_xlnm.Print_Area" localSheetId="2">'Mason Co. Regulated - Price Out'!$A$1:$AG$198</definedName>
    <definedName name="_xlnm.Print_Area" localSheetId="0">References!$A$1:$I$67</definedName>
    <definedName name="_xlnm.Print_Area">#REF!</definedName>
    <definedName name="Print_Area_MI" localSheetId="2">#REF!</definedName>
    <definedName name="Print_Area_MI">#REF!</definedName>
    <definedName name="Print_Area1" localSheetId="2">#REF!</definedName>
    <definedName name="Print_Area1">#REF!</definedName>
    <definedName name="Print_Area2" localSheetId="2">#REF!</definedName>
    <definedName name="Print_Area2">#REF!</definedName>
    <definedName name="Print_Area3" localSheetId="2">#REF!</definedName>
    <definedName name="Print_Area3">#REF!</definedName>
    <definedName name="Print_Area5" localSheetId="2">#REF!</definedName>
    <definedName name="Print_Area5">#REF!</definedName>
    <definedName name="_xlnm.Print_Titles" localSheetId="1">'DF Calc (Mason Co.)'!$5:$5</definedName>
    <definedName name="_xlnm.Print_Titles" localSheetId="2">'Mason Co. Regulated - Price Out'!$D:$D,'Mason Co. Regulated - Price Out'!$1:$5</definedName>
    <definedName name="_xlnm.Print_Titles" localSheetId="4">'Prop. Rates'!$4:$5</definedName>
    <definedName name="Print1" localSheetId="2">#REF!</definedName>
    <definedName name="Print1">#REF!</definedName>
    <definedName name="Print2" localSheetId="2">#REF!</definedName>
    <definedName name="Print2">#REF!</definedName>
    <definedName name="Print5" localSheetId="2">#REF!</definedName>
    <definedName name="Print5">#REF!</definedName>
    <definedName name="ProRev">'[6]Pacific Regulated - Price Out'!$M$49</definedName>
    <definedName name="ProRev_com">'[6]Pacific Regulated - Price Out'!$M$213</definedName>
    <definedName name="ProRev_mfr">'[6]Pacific Regulated - Price Out'!$M$221</definedName>
    <definedName name="ProRev_ro">'[6]Pacific Regulated - Price Out'!$M$281</definedName>
    <definedName name="ProRev_rr">'[6]Pacific Regulated - Price Out'!$M$58</definedName>
    <definedName name="ProRev_yw">'[6]Pacific Regulated - Price Out'!$M$69</definedName>
    <definedName name="pServer" localSheetId="3">#REF!</definedName>
    <definedName name="pServer" localSheetId="2">#REF!</definedName>
    <definedName name="pServer">#REF!</definedName>
    <definedName name="pServiceCode" localSheetId="2">#REF!</definedName>
    <definedName name="pServiceCode">#REF!</definedName>
    <definedName name="pShowAllUnposted" localSheetId="2">#REF!</definedName>
    <definedName name="pShowAllUnposted">#REF!</definedName>
    <definedName name="pShowCustomerDetail" localSheetId="2">#REF!</definedName>
    <definedName name="pShowCustomerDetail">#REF!</definedName>
    <definedName name="pSortOption" localSheetId="2">#REF!</definedName>
    <definedName name="pSortOption">#REF!</definedName>
    <definedName name="pStartPostDate" localSheetId="2">#REF!</definedName>
    <definedName name="pStartPostDate">#REF!</definedName>
    <definedName name="pTransType" localSheetId="2">#REF!</definedName>
    <definedName name="pTransType">#REF!</definedName>
    <definedName name="RCW_81.04.080">#N/A</definedName>
    <definedName name="RecyDisposal">#N/A</definedName>
    <definedName name="RelatedSalary">#N/A</definedName>
    <definedName name="report_type">[2]Orientation!$C$24</definedName>
    <definedName name="ReportNames" localSheetId="3">[9]ControlPanel!$X$2:$X$8</definedName>
    <definedName name="ReportNames" localSheetId="2">[10]ControlPanel!$X$2:$X$8</definedName>
    <definedName name="ReportNames">[20]ControlPanel!$S$2:$S$16</definedName>
    <definedName name="ReportVersion">[2]Settings!$D$5</definedName>
    <definedName name="RetainedEarnings" localSheetId="2">#REF!</definedName>
    <definedName name="RetainedEarnings">#REF!</definedName>
    <definedName name="RevCust" localSheetId="2">[21]RevenuesCust!#REF!</definedName>
    <definedName name="RevCust">[21]RevenuesCust!#REF!</definedName>
    <definedName name="rngCreateLog">[2]Delivery!$B$12</definedName>
    <definedName name="rngFilePassword">[2]Delivery!$B$6</definedName>
    <definedName name="rngSourceTab">[2]Delivery!$E$8</definedName>
    <definedName name="rowgroup">[2]Orientation!$C$17</definedName>
    <definedName name="rowsegment">[2]Orientation!$B$17</definedName>
    <definedName name="rtr">'[22]Variance Report'!#REF!</definedName>
    <definedName name="Sbst">#REF!</definedName>
    <definedName name="Sequential_Group">[2]Settings!$J$6</definedName>
    <definedName name="Sequential_Segment">[2]Settings!$I$6</definedName>
    <definedName name="Sequential_sort">[2]Settings!$I$10:$J$11</definedName>
    <definedName name="Setting_DeprFactor">[5]Settings!$F$5</definedName>
    <definedName name="Setting_LFDeplUnitAcct">[5]Settings!$F$4</definedName>
    <definedName name="Setting_LFUnitCost">[5]Settings!$F$3</definedName>
    <definedName name="Setting_LFUnitCostNY">[5]Settings!$F$7</definedName>
    <definedName name="Setting_LFUnitRow">[5]Settings!$C$3</definedName>
    <definedName name="sortcol" localSheetId="3">#REF!</definedName>
    <definedName name="sortcol" localSheetId="2">#REF!</definedName>
    <definedName name="sortcol">#REF!</definedName>
    <definedName name="Source">#REF!</definedName>
    <definedName name="sSRCDate" localSheetId="2">'[23]Feb''12 FAR Data'!#REF!</definedName>
    <definedName name="sSRCDate">'[23]Feb''12 FAR Data'!#REF!</definedName>
    <definedName name="SubSystems">#REF!</definedName>
    <definedName name="Supplemental_filter">[2]Settings!$C$31</definedName>
    <definedName name="SWDisposal">#N/A</definedName>
    <definedName name="Syst">#REF!</definedName>
    <definedName name="System">[24]BS_Close!$V$8</definedName>
    <definedName name="Systems">#REF!</definedName>
    <definedName name="TargetMonths">[5]Settings!$I$18</definedName>
    <definedName name="TemplateEnd" localSheetId="3">#REF!</definedName>
    <definedName name="TemplateEnd" localSheetId="2">#REF!</definedName>
    <definedName name="TemplateEnd">#REF!</definedName>
    <definedName name="TemplateStart" localSheetId="3">#REF!</definedName>
    <definedName name="TemplateStart" localSheetId="2">#REF!</definedName>
    <definedName name="TemplateStart">#REF!</definedName>
    <definedName name="TheTable" localSheetId="3">#REF!</definedName>
    <definedName name="TheTable" localSheetId="2">#REF!</definedName>
    <definedName name="TheTable">#REF!</definedName>
    <definedName name="TheTableOLD" localSheetId="2">#REF!</definedName>
    <definedName name="TheTableOLD">#REF!</definedName>
    <definedName name="timeseries">[2]Orientation!$B$6:$C$13</definedName>
    <definedName name="ToMonth">#REF!</definedName>
    <definedName name="Total_Comm">'[7]Tariff Rate Sheet'!$L$214</definedName>
    <definedName name="Total_DB">'[7]Tariff Rate Sheet'!$L$278</definedName>
    <definedName name="Total_Resi">'[7]Tariff Rate Sheet'!$L$107</definedName>
    <definedName name="Transactions" localSheetId="2">#REF!</definedName>
    <definedName name="Transactions">#REF!</definedName>
    <definedName name="VendorCode">#REF!</definedName>
    <definedName name="Version">[16]Data!#REF!</definedName>
    <definedName name="WTable" localSheetId="3">#REF!</definedName>
    <definedName name="WTable" localSheetId="2">#REF!</definedName>
    <definedName name="WTable">#REF!</definedName>
    <definedName name="WTableOld" localSheetId="3">#REF!</definedName>
    <definedName name="WTableOld" localSheetId="2">#REF!</definedName>
    <definedName name="WTableOld">#REF!</definedName>
    <definedName name="ww">#REF!</definedName>
    <definedName name="xperiod">[2]Orientation!$G$15</definedName>
    <definedName name="xtabin" localSheetId="3">[3]Hidden!#REF!</definedName>
    <definedName name="xtabin" localSheetId="2">[3]Hidden!#REF!</definedName>
    <definedName name="xtabin">[3]Hidden!#REF!</definedName>
    <definedName name="xx" localSheetId="2">#REF!</definedName>
    <definedName name="xx">#REF!</definedName>
    <definedName name="xxx">#REF!</definedName>
    <definedName name="xxxx">#REF!</definedName>
    <definedName name="YearMonth" localSheetId="3">[8]Main!$I$77</definedName>
    <definedName name="YearMonth">'[14]Vashon BS'!#REF!</definedName>
    <definedName name="YearMonthDate">[5]Settings!$I$10</definedName>
    <definedName name="YearMonthDate2">[5]Settings!$I$11</definedName>
    <definedName name="YearMonthDate3">[5]Settings!$I$12</definedName>
    <definedName name="YearMonthDate4">[5]Settings!$I$13</definedName>
    <definedName name="YearMonthDate5">[5]Settings!$I$14</definedName>
    <definedName name="YWMedWasteDisp">#N/A</definedName>
  </definedNames>
  <calcPr calcId="162913"/>
</workbook>
</file>

<file path=xl/calcChain.xml><?xml version="1.0" encoding="utf-8"?>
<calcChain xmlns="http://schemas.openxmlformats.org/spreadsheetml/2006/main">
  <c r="G51" i="5" l="1"/>
  <c r="G61" i="5" l="1"/>
  <c r="N15" i="11" l="1"/>
  <c r="M15" i="11"/>
  <c r="L15" i="11"/>
  <c r="K15" i="11"/>
  <c r="J15" i="11"/>
  <c r="I15" i="11"/>
  <c r="H15" i="11"/>
  <c r="G15" i="11"/>
  <c r="F15" i="11"/>
  <c r="E15" i="11"/>
  <c r="D15" i="11"/>
  <c r="C15" i="11"/>
  <c r="O14" i="11"/>
  <c r="R49" i="6" s="1"/>
  <c r="N11" i="11"/>
  <c r="M11" i="11"/>
  <c r="L11" i="11"/>
  <c r="K11" i="11"/>
  <c r="J11" i="11"/>
  <c r="I11" i="11"/>
  <c r="H11" i="11"/>
  <c r="G11" i="11"/>
  <c r="F11" i="11"/>
  <c r="E11" i="11"/>
  <c r="D11" i="11"/>
  <c r="C11" i="11"/>
  <c r="O10" i="11"/>
  <c r="B59" i="5" s="1"/>
  <c r="M6" i="6" l="1"/>
  <c r="M30" i="6" l="1"/>
  <c r="G30" i="6"/>
  <c r="G6" i="6"/>
  <c r="G8" i="6"/>
  <c r="M8" i="6"/>
  <c r="G9" i="6"/>
  <c r="M9" i="6"/>
  <c r="G10" i="6"/>
  <c r="M10" i="6"/>
  <c r="G11" i="6"/>
  <c r="M11" i="6"/>
  <c r="G13" i="6"/>
  <c r="M13" i="6"/>
  <c r="G14" i="6"/>
  <c r="M14" i="6"/>
  <c r="G15" i="6"/>
  <c r="M15" i="6"/>
  <c r="G16" i="6"/>
  <c r="M16" i="6"/>
  <c r="G18" i="6"/>
  <c r="M18" i="6"/>
  <c r="G19" i="6"/>
  <c r="M19" i="6"/>
  <c r="G20" i="6"/>
  <c r="M20" i="6"/>
  <c r="G21" i="6"/>
  <c r="M21" i="6"/>
  <c r="G23" i="6"/>
  <c r="M23" i="6"/>
  <c r="G24" i="6"/>
  <c r="M24" i="6"/>
  <c r="G25" i="6"/>
  <c r="M25" i="6"/>
  <c r="G26" i="6"/>
  <c r="M26" i="6"/>
  <c r="G27" i="6"/>
  <c r="M27" i="6"/>
  <c r="G28" i="6"/>
  <c r="M28" i="6"/>
  <c r="Y222" i="10"/>
  <c r="X222" i="10"/>
  <c r="W222" i="10"/>
  <c r="V222" i="10"/>
  <c r="Y221" i="10"/>
  <c r="X221" i="10"/>
  <c r="W221" i="10"/>
  <c r="V221" i="10"/>
  <c r="Y220" i="10"/>
  <c r="X220" i="10"/>
  <c r="W220" i="10"/>
  <c r="V220" i="10"/>
  <c r="Y219" i="10"/>
  <c r="X219" i="10"/>
  <c r="W219" i="10"/>
  <c r="V219" i="10"/>
  <c r="Y218" i="10"/>
  <c r="X218" i="10"/>
  <c r="W218" i="10"/>
  <c r="V218" i="10"/>
  <c r="Y217" i="10"/>
  <c r="X217" i="10"/>
  <c r="W217" i="10"/>
  <c r="V217" i="10"/>
  <c r="Y216" i="10"/>
  <c r="X216" i="10"/>
  <c r="W216" i="10"/>
  <c r="V216" i="10"/>
  <c r="Y215" i="10"/>
  <c r="X215" i="10"/>
  <c r="W215" i="10"/>
  <c r="V215" i="10"/>
  <c r="Y214" i="10"/>
  <c r="X214" i="10"/>
  <c r="W214" i="10"/>
  <c r="V214" i="10"/>
  <c r="Y213" i="10"/>
  <c r="X213" i="10"/>
  <c r="W213" i="10"/>
  <c r="V213" i="10"/>
  <c r="Y212" i="10"/>
  <c r="X212" i="10"/>
  <c r="W212" i="10"/>
  <c r="V212" i="10"/>
  <c r="Y211" i="10"/>
  <c r="X211" i="10"/>
  <c r="W211" i="10"/>
  <c r="V211" i="10"/>
  <c r="Y210" i="10"/>
  <c r="X210" i="10"/>
  <c r="W210" i="10"/>
  <c r="V210" i="10"/>
  <c r="Y209" i="10"/>
  <c r="X209" i="10"/>
  <c r="W209" i="10"/>
  <c r="V209" i="10"/>
  <c r="Y208" i="10"/>
  <c r="X208" i="10"/>
  <c r="W208" i="10"/>
  <c r="V208" i="10"/>
  <c r="Y207" i="10"/>
  <c r="X207" i="10"/>
  <c r="W207" i="10"/>
  <c r="V207" i="10"/>
  <c r="Y206" i="10"/>
  <c r="X206" i="10"/>
  <c r="W206" i="10"/>
  <c r="V206" i="10"/>
  <c r="Y205" i="10"/>
  <c r="X205" i="10"/>
  <c r="W205" i="10"/>
  <c r="V205" i="10"/>
  <c r="AG203" i="10"/>
  <c r="AF203" i="10"/>
  <c r="AE203" i="10"/>
  <c r="AD203" i="10"/>
  <c r="AC203" i="10"/>
  <c r="AB203" i="10"/>
  <c r="AA203" i="10"/>
  <c r="Z203" i="10"/>
  <c r="Y203" i="10"/>
  <c r="X203" i="10"/>
  <c r="W203" i="10"/>
  <c r="V203" i="10"/>
  <c r="AG201" i="10"/>
  <c r="AF201" i="10"/>
  <c r="AE201" i="10"/>
  <c r="AD201" i="10"/>
  <c r="AC201" i="10"/>
  <c r="AB201" i="10"/>
  <c r="Z201" i="10"/>
  <c r="Y201" i="10"/>
  <c r="X201" i="10"/>
  <c r="W201" i="10"/>
  <c r="V201" i="10"/>
  <c r="M201" i="10"/>
  <c r="AA201" i="10" s="1"/>
  <c r="B201" i="10"/>
  <c r="B200" i="10"/>
  <c r="A200" i="10"/>
  <c r="AG199" i="10"/>
  <c r="AF199" i="10"/>
  <c r="AE199" i="10"/>
  <c r="AD199" i="10"/>
  <c r="AC199" i="10"/>
  <c r="AB199" i="10"/>
  <c r="AA199" i="10"/>
  <c r="Z199" i="10"/>
  <c r="Y199" i="10"/>
  <c r="X199" i="10"/>
  <c r="W199" i="10"/>
  <c r="V199" i="10"/>
  <c r="B199" i="10"/>
  <c r="B198" i="10"/>
  <c r="A198" i="10"/>
  <c r="AG197" i="10"/>
  <c r="AF197" i="10"/>
  <c r="AE197" i="10"/>
  <c r="AD197" i="10"/>
  <c r="AC197" i="10"/>
  <c r="AB197" i="10"/>
  <c r="AA197" i="10"/>
  <c r="Z197" i="10"/>
  <c r="Y197" i="10"/>
  <c r="X197" i="10"/>
  <c r="W197" i="10"/>
  <c r="V197" i="10"/>
  <c r="B197" i="10"/>
  <c r="AG196" i="10"/>
  <c r="AF196" i="10"/>
  <c r="AE196" i="10"/>
  <c r="AD196" i="10"/>
  <c r="AC196" i="10"/>
  <c r="AB196" i="10"/>
  <c r="AA196" i="10"/>
  <c r="Z196" i="10"/>
  <c r="Y196" i="10"/>
  <c r="X196" i="10"/>
  <c r="W196" i="10"/>
  <c r="V196" i="10"/>
  <c r="B196" i="10"/>
  <c r="AG195" i="10"/>
  <c r="AF195" i="10"/>
  <c r="AE195" i="10"/>
  <c r="AD195" i="10"/>
  <c r="AC195" i="10"/>
  <c r="AB195" i="10"/>
  <c r="AA195" i="10"/>
  <c r="Z195" i="10"/>
  <c r="Y195" i="10"/>
  <c r="X195" i="10"/>
  <c r="W195" i="10"/>
  <c r="V195" i="10"/>
  <c r="B195" i="10"/>
  <c r="B194" i="10"/>
  <c r="B193" i="10"/>
  <c r="A193" i="10"/>
  <c r="B192" i="10"/>
  <c r="A192" i="10"/>
  <c r="AD192" i="10" s="1"/>
  <c r="B191" i="10"/>
  <c r="A191" i="10"/>
  <c r="B190" i="10"/>
  <c r="A190" i="10"/>
  <c r="AG189" i="10"/>
  <c r="AF189" i="10"/>
  <c r="AE189" i="10"/>
  <c r="AD189" i="10"/>
  <c r="AC189" i="10"/>
  <c r="AB189" i="10"/>
  <c r="AA189" i="10"/>
  <c r="Z189" i="10"/>
  <c r="Y189" i="10"/>
  <c r="X189" i="10"/>
  <c r="W189" i="10"/>
  <c r="V189" i="10"/>
  <c r="B189" i="10"/>
  <c r="AG188" i="10"/>
  <c r="AF188" i="10"/>
  <c r="AE188" i="10"/>
  <c r="AD188" i="10"/>
  <c r="AC188" i="10"/>
  <c r="AB188" i="10"/>
  <c r="AA188" i="10"/>
  <c r="Z188" i="10"/>
  <c r="Y188" i="10"/>
  <c r="X188" i="10"/>
  <c r="W188" i="10"/>
  <c r="V188" i="10"/>
  <c r="B188" i="10"/>
  <c r="B187" i="10"/>
  <c r="AG186" i="10"/>
  <c r="AF186" i="10"/>
  <c r="AE186" i="10"/>
  <c r="AD186" i="10"/>
  <c r="AC186" i="10"/>
  <c r="Z186" i="10"/>
  <c r="Y186" i="10"/>
  <c r="X186" i="10"/>
  <c r="W186" i="10"/>
  <c r="V186" i="10"/>
  <c r="N186" i="10"/>
  <c r="AB186" i="10" s="1"/>
  <c r="M186" i="10"/>
  <c r="AA186" i="10" s="1"/>
  <c r="B186" i="10"/>
  <c r="B185" i="10"/>
  <c r="A185" i="10"/>
  <c r="B184" i="10"/>
  <c r="A184" i="10"/>
  <c r="B183" i="10"/>
  <c r="A183" i="10"/>
  <c r="B182" i="10"/>
  <c r="A182" i="10"/>
  <c r="B181" i="10"/>
  <c r="A181" i="10"/>
  <c r="B180" i="10"/>
  <c r="A180" i="10"/>
  <c r="B179" i="10"/>
  <c r="A179" i="10"/>
  <c r="B178" i="10"/>
  <c r="A178" i="10"/>
  <c r="B177" i="10"/>
  <c r="A177" i="10"/>
  <c r="B176" i="10"/>
  <c r="A176" i="10"/>
  <c r="B175" i="10"/>
  <c r="A175" i="10"/>
  <c r="B174" i="10"/>
  <c r="A174" i="10"/>
  <c r="B173" i="10"/>
  <c r="A173" i="10"/>
  <c r="B172" i="10"/>
  <c r="A172" i="10"/>
  <c r="B171" i="10"/>
  <c r="A171" i="10"/>
  <c r="B170" i="10"/>
  <c r="A170" i="10"/>
  <c r="B169" i="10"/>
  <c r="A169" i="10"/>
  <c r="B168" i="10"/>
  <c r="A168" i="10"/>
  <c r="B167" i="10"/>
  <c r="A167" i="10"/>
  <c r="B166" i="10"/>
  <c r="A166" i="10"/>
  <c r="B165" i="10"/>
  <c r="A165" i="10"/>
  <c r="B164" i="10"/>
  <c r="A164" i="10"/>
  <c r="B163" i="10"/>
  <c r="A163" i="10"/>
  <c r="B162" i="10"/>
  <c r="A162" i="10"/>
  <c r="B161" i="10"/>
  <c r="A161" i="10"/>
  <c r="B160" i="10"/>
  <c r="A160" i="10"/>
  <c r="B159" i="10"/>
  <c r="A159" i="10"/>
  <c r="B158" i="10"/>
  <c r="A158" i="10"/>
  <c r="B157" i="10"/>
  <c r="A157" i="10"/>
  <c r="B156" i="10"/>
  <c r="A156" i="10"/>
  <c r="B155" i="10"/>
  <c r="A155" i="10"/>
  <c r="B154" i="10"/>
  <c r="A154" i="10"/>
  <c r="B153" i="10"/>
  <c r="A153" i="10"/>
  <c r="AG152" i="10"/>
  <c r="AF152" i="10"/>
  <c r="AE152" i="10"/>
  <c r="AD152" i="10"/>
  <c r="AC152" i="10"/>
  <c r="AB152" i="10"/>
  <c r="AA152" i="10"/>
  <c r="Z152" i="10"/>
  <c r="Y152" i="10"/>
  <c r="X152" i="10"/>
  <c r="W152" i="10"/>
  <c r="V152" i="10"/>
  <c r="B152" i="10"/>
  <c r="AG151" i="10"/>
  <c r="AF151" i="10"/>
  <c r="AE151" i="10"/>
  <c r="AD151" i="10"/>
  <c r="AC151" i="10"/>
  <c r="AB151" i="10"/>
  <c r="AA151" i="10"/>
  <c r="Z151" i="10"/>
  <c r="Y151" i="10"/>
  <c r="X151" i="10"/>
  <c r="W151" i="10"/>
  <c r="V151" i="10"/>
  <c r="B151" i="10"/>
  <c r="AG150" i="10"/>
  <c r="AF150" i="10"/>
  <c r="AE150" i="10"/>
  <c r="AD150" i="10"/>
  <c r="AC150" i="10"/>
  <c r="AB150" i="10"/>
  <c r="AA150" i="10"/>
  <c r="Z150" i="10"/>
  <c r="Y150" i="10"/>
  <c r="X150" i="10"/>
  <c r="W150" i="10"/>
  <c r="V150" i="10"/>
  <c r="B150" i="10"/>
  <c r="AG149" i="10"/>
  <c r="AF149" i="10"/>
  <c r="AE149" i="10"/>
  <c r="AD149" i="10"/>
  <c r="AC149" i="10"/>
  <c r="AB149" i="10"/>
  <c r="AA149" i="10"/>
  <c r="Z149" i="10"/>
  <c r="Y149" i="10"/>
  <c r="X149" i="10"/>
  <c r="W149" i="10"/>
  <c r="V149" i="10"/>
  <c r="B149" i="10"/>
  <c r="AG148" i="10"/>
  <c r="AF148" i="10"/>
  <c r="AE148" i="10"/>
  <c r="AD148" i="10"/>
  <c r="AC148" i="10"/>
  <c r="AB148" i="10"/>
  <c r="AA148" i="10"/>
  <c r="Z148" i="10"/>
  <c r="Y148" i="10"/>
  <c r="X148" i="10"/>
  <c r="W148" i="10"/>
  <c r="V148" i="10"/>
  <c r="B148" i="10"/>
  <c r="B147" i="10"/>
  <c r="AG146" i="10"/>
  <c r="AF146" i="10"/>
  <c r="AE146" i="10"/>
  <c r="AD146" i="10"/>
  <c r="AC146" i="10"/>
  <c r="AB146" i="10"/>
  <c r="AA146" i="10"/>
  <c r="Z146" i="10"/>
  <c r="Y146" i="10"/>
  <c r="X146" i="10"/>
  <c r="W146" i="10"/>
  <c r="V146" i="10"/>
  <c r="B146" i="10"/>
  <c r="B145" i="10"/>
  <c r="A145" i="10"/>
  <c r="B144" i="10"/>
  <c r="A144" i="10"/>
  <c r="B143" i="10"/>
  <c r="A143" i="10"/>
  <c r="B142" i="10"/>
  <c r="A142" i="10"/>
  <c r="B141" i="10"/>
  <c r="A141" i="10"/>
  <c r="B140" i="10"/>
  <c r="A140" i="10"/>
  <c r="B139" i="10"/>
  <c r="A139" i="10"/>
  <c r="B138" i="10"/>
  <c r="A138" i="10"/>
  <c r="B137" i="10"/>
  <c r="A137" i="10"/>
  <c r="B136" i="10"/>
  <c r="A136" i="10"/>
  <c r="AG136" i="10" s="1"/>
  <c r="B135" i="10"/>
  <c r="A135" i="10"/>
  <c r="B134" i="10"/>
  <c r="A134" i="10"/>
  <c r="Z134" i="10" s="1"/>
  <c r="B133" i="10"/>
  <c r="A133" i="10"/>
  <c r="AE133" i="10" s="1"/>
  <c r="B132" i="10"/>
  <c r="A132" i="10"/>
  <c r="Z132" i="10" s="1"/>
  <c r="B131" i="10"/>
  <c r="A131" i="10"/>
  <c r="B130" i="10"/>
  <c r="A130" i="10"/>
  <c r="B129" i="10"/>
  <c r="A129" i="10"/>
  <c r="B128" i="10"/>
  <c r="A128" i="10"/>
  <c r="B127" i="10"/>
  <c r="A127" i="10"/>
  <c r="AG126" i="10"/>
  <c r="AF126" i="10"/>
  <c r="AE126" i="10"/>
  <c r="AD126" i="10"/>
  <c r="AC126" i="10"/>
  <c r="AB126" i="10"/>
  <c r="AA126" i="10"/>
  <c r="Z126" i="10"/>
  <c r="Y126" i="10"/>
  <c r="X126" i="10"/>
  <c r="W126" i="10"/>
  <c r="V126" i="10"/>
  <c r="B126" i="10"/>
  <c r="AF125" i="10"/>
  <c r="AE125" i="10"/>
  <c r="AD125" i="10"/>
  <c r="AC125" i="10"/>
  <c r="AB125" i="10"/>
  <c r="AA125" i="10"/>
  <c r="Z125" i="10"/>
  <c r="Y125" i="10"/>
  <c r="X125" i="10"/>
  <c r="W125" i="10"/>
  <c r="V125" i="10"/>
  <c r="B123" i="10"/>
  <c r="A123" i="10"/>
  <c r="B122" i="10"/>
  <c r="A122" i="10"/>
  <c r="B121" i="10"/>
  <c r="A121" i="10"/>
  <c r="B120" i="10"/>
  <c r="A120" i="10"/>
  <c r="B119" i="10"/>
  <c r="A119" i="10"/>
  <c r="B118" i="10"/>
  <c r="A118" i="10"/>
  <c r="B117" i="10"/>
  <c r="A117" i="10"/>
  <c r="B116" i="10"/>
  <c r="A116" i="10"/>
  <c r="B115" i="10"/>
  <c r="A115" i="10"/>
  <c r="B114" i="10"/>
  <c r="A114" i="10"/>
  <c r="B113" i="10"/>
  <c r="A113" i="10"/>
  <c r="B112" i="10"/>
  <c r="A112" i="10"/>
  <c r="B111" i="10"/>
  <c r="A111" i="10"/>
  <c r="B110" i="10"/>
  <c r="A110" i="10"/>
  <c r="B109" i="10"/>
  <c r="A109" i="10"/>
  <c r="B108" i="10"/>
  <c r="A108" i="10"/>
  <c r="B107" i="10"/>
  <c r="A107" i="10"/>
  <c r="B106" i="10"/>
  <c r="A106" i="10"/>
  <c r="B105" i="10"/>
  <c r="A105" i="10"/>
  <c r="B104" i="10"/>
  <c r="A104" i="10"/>
  <c r="B103" i="10"/>
  <c r="A103" i="10"/>
  <c r="B102" i="10"/>
  <c r="A102" i="10"/>
  <c r="B101" i="10"/>
  <c r="A101" i="10"/>
  <c r="B100" i="10"/>
  <c r="A100" i="10"/>
  <c r="B99" i="10"/>
  <c r="A99" i="10"/>
  <c r="B98" i="10"/>
  <c r="A98" i="10"/>
  <c r="B97" i="10"/>
  <c r="A97" i="10"/>
  <c r="AD97" i="10" s="1"/>
  <c r="B96" i="10"/>
  <c r="A96" i="10"/>
  <c r="B95" i="10"/>
  <c r="A95" i="10"/>
  <c r="B94" i="10"/>
  <c r="A94" i="10"/>
  <c r="B93" i="10"/>
  <c r="A93" i="10"/>
  <c r="B92" i="10"/>
  <c r="A92" i="10"/>
  <c r="B91" i="10"/>
  <c r="A91" i="10"/>
  <c r="AF90" i="10"/>
  <c r="AE90" i="10"/>
  <c r="AD90" i="10"/>
  <c r="AC90" i="10"/>
  <c r="AB90" i="10"/>
  <c r="AA90" i="10"/>
  <c r="Z90" i="10"/>
  <c r="Y90" i="10"/>
  <c r="X90" i="10"/>
  <c r="W90" i="10"/>
  <c r="V90" i="10"/>
  <c r="B90" i="10"/>
  <c r="AF89" i="10"/>
  <c r="AE89" i="10"/>
  <c r="AD89" i="10"/>
  <c r="AC89" i="10"/>
  <c r="AB89" i="10"/>
  <c r="AA89" i="10"/>
  <c r="Z89" i="10"/>
  <c r="Y89" i="10"/>
  <c r="X89" i="10"/>
  <c r="W89" i="10"/>
  <c r="V89" i="10"/>
  <c r="B89" i="10"/>
  <c r="AG88" i="10"/>
  <c r="AF88" i="10"/>
  <c r="AE88" i="10"/>
  <c r="AD88" i="10"/>
  <c r="AC88" i="10"/>
  <c r="AB88" i="10"/>
  <c r="AA88" i="10"/>
  <c r="Z88" i="10"/>
  <c r="Y88" i="10"/>
  <c r="X88" i="10"/>
  <c r="W88" i="10"/>
  <c r="V88" i="10"/>
  <c r="B88" i="10"/>
  <c r="AG87" i="10"/>
  <c r="AF87" i="10"/>
  <c r="AE87" i="10"/>
  <c r="AD87" i="10"/>
  <c r="AC87" i="10"/>
  <c r="AB87" i="10"/>
  <c r="AA87" i="10"/>
  <c r="Z87" i="10"/>
  <c r="Y87" i="10"/>
  <c r="X87" i="10"/>
  <c r="W87" i="10"/>
  <c r="V87" i="10"/>
  <c r="B87" i="10"/>
  <c r="AG86" i="10"/>
  <c r="AF86" i="10"/>
  <c r="AE86" i="10"/>
  <c r="AD86" i="10"/>
  <c r="AC86" i="10"/>
  <c r="AB86" i="10"/>
  <c r="AA86" i="10"/>
  <c r="Z86" i="10"/>
  <c r="Y86" i="10"/>
  <c r="X86" i="10"/>
  <c r="W86" i="10"/>
  <c r="V86" i="10"/>
  <c r="B86" i="10"/>
  <c r="AG85" i="10"/>
  <c r="AF85" i="10"/>
  <c r="AE85" i="10"/>
  <c r="AD85" i="10"/>
  <c r="AC85" i="10"/>
  <c r="AB85" i="10"/>
  <c r="AA85" i="10"/>
  <c r="Z85" i="10"/>
  <c r="Y85" i="10"/>
  <c r="X85" i="10"/>
  <c r="W85" i="10"/>
  <c r="V85" i="10"/>
  <c r="B85" i="10"/>
  <c r="AG84" i="10"/>
  <c r="AF84" i="10"/>
  <c r="AE84" i="10"/>
  <c r="AD84" i="10"/>
  <c r="AC84" i="10"/>
  <c r="AB84" i="10"/>
  <c r="AA84" i="10"/>
  <c r="Z84" i="10"/>
  <c r="Y84" i="10"/>
  <c r="X84" i="10"/>
  <c r="W84" i="10"/>
  <c r="V84" i="10"/>
  <c r="B84" i="10"/>
  <c r="AG83" i="10"/>
  <c r="AF83" i="10"/>
  <c r="AE83" i="10"/>
  <c r="AD83" i="10"/>
  <c r="AC83" i="10"/>
  <c r="AB83" i="10"/>
  <c r="AA83" i="10"/>
  <c r="Z83" i="10"/>
  <c r="Y83" i="10"/>
  <c r="X83" i="10"/>
  <c r="W83" i="10"/>
  <c r="V83" i="10"/>
  <c r="T83" i="10"/>
  <c r="B83" i="10"/>
  <c r="A83" i="10"/>
  <c r="AG82" i="10"/>
  <c r="AF82" i="10"/>
  <c r="AE82" i="10"/>
  <c r="AD82" i="10"/>
  <c r="AC82" i="10"/>
  <c r="AB82" i="10"/>
  <c r="AA82" i="10"/>
  <c r="Z82" i="10"/>
  <c r="Y82" i="10"/>
  <c r="X82" i="10"/>
  <c r="W82" i="10"/>
  <c r="V82" i="10"/>
  <c r="T82" i="10"/>
  <c r="T85" i="10" s="1"/>
  <c r="U85" i="10" s="1"/>
  <c r="B82" i="10"/>
  <c r="A82" i="10"/>
  <c r="AG81" i="10"/>
  <c r="AF81" i="10"/>
  <c r="AE81" i="10"/>
  <c r="AD81" i="10"/>
  <c r="AC81" i="10"/>
  <c r="AB81" i="10"/>
  <c r="AA81" i="10"/>
  <c r="Z81" i="10"/>
  <c r="Y81" i="10"/>
  <c r="X81" i="10"/>
  <c r="W81" i="10"/>
  <c r="V81" i="10"/>
  <c r="B81" i="10"/>
  <c r="AG80" i="10"/>
  <c r="AF80" i="10"/>
  <c r="AE80" i="10"/>
  <c r="AD80" i="10"/>
  <c r="AC80" i="10"/>
  <c r="AB80" i="10"/>
  <c r="AA80" i="10"/>
  <c r="Z80" i="10"/>
  <c r="Y80" i="10"/>
  <c r="X80" i="10"/>
  <c r="W80" i="10"/>
  <c r="V80" i="10"/>
  <c r="B80" i="10"/>
  <c r="AG79" i="10"/>
  <c r="AF79" i="10"/>
  <c r="AE79" i="10"/>
  <c r="AD79" i="10"/>
  <c r="AC79" i="10"/>
  <c r="AB79" i="10"/>
  <c r="AA79" i="10"/>
  <c r="Z79" i="10"/>
  <c r="Y79" i="10"/>
  <c r="X79" i="10"/>
  <c r="W79" i="10"/>
  <c r="V79" i="10"/>
  <c r="B79" i="10"/>
  <c r="B78" i="10"/>
  <c r="AG77" i="10"/>
  <c r="AF77" i="10"/>
  <c r="AE77" i="10"/>
  <c r="AD77" i="10"/>
  <c r="AC77" i="10"/>
  <c r="AB77" i="10"/>
  <c r="AA77" i="10"/>
  <c r="Z77" i="10"/>
  <c r="Y77" i="10"/>
  <c r="X77" i="10"/>
  <c r="W77" i="10"/>
  <c r="V77" i="10"/>
  <c r="B77" i="10"/>
  <c r="AG76" i="10"/>
  <c r="AF76" i="10"/>
  <c r="AE76" i="10"/>
  <c r="AD76" i="10"/>
  <c r="AC76" i="10"/>
  <c r="AB76" i="10"/>
  <c r="AA76" i="10"/>
  <c r="Z76" i="10"/>
  <c r="Y76" i="10"/>
  <c r="X76" i="10"/>
  <c r="W76" i="10"/>
  <c r="V76" i="10"/>
  <c r="B75" i="10"/>
  <c r="A75" i="10"/>
  <c r="A74" i="10"/>
  <c r="B73" i="10"/>
  <c r="A73" i="10"/>
  <c r="B72" i="10"/>
  <c r="A72" i="10"/>
  <c r="B71" i="10"/>
  <c r="A71" i="10"/>
  <c r="B70" i="10"/>
  <c r="A70" i="10"/>
  <c r="B69" i="10"/>
  <c r="A69" i="10"/>
  <c r="B68" i="10"/>
  <c r="A68" i="10"/>
  <c r="B67" i="10"/>
  <c r="A67" i="10"/>
  <c r="B66" i="10"/>
  <c r="A66" i="10"/>
  <c r="B65" i="10"/>
  <c r="A65" i="10"/>
  <c r="AG64" i="10"/>
  <c r="AF64" i="10"/>
  <c r="AE64" i="10"/>
  <c r="AD64" i="10"/>
  <c r="AC64" i="10"/>
  <c r="AB64" i="10"/>
  <c r="AA64" i="10"/>
  <c r="Z64" i="10"/>
  <c r="Y64" i="10"/>
  <c r="X64" i="10"/>
  <c r="W64" i="10"/>
  <c r="V64" i="10"/>
  <c r="B64" i="10"/>
  <c r="B61" i="10"/>
  <c r="B60" i="10"/>
  <c r="A60" i="10"/>
  <c r="B59" i="10"/>
  <c r="A59" i="10"/>
  <c r="B58" i="10"/>
  <c r="A58" i="10"/>
  <c r="B57" i="10"/>
  <c r="A57" i="10"/>
  <c r="B56" i="10"/>
  <c r="A56" i="10"/>
  <c r="B55" i="10"/>
  <c r="A55" i="10"/>
  <c r="B54" i="10"/>
  <c r="A54" i="10"/>
  <c r="B53" i="10"/>
  <c r="A53" i="10"/>
  <c r="B52" i="10"/>
  <c r="A52" i="10"/>
  <c r="B51" i="10"/>
  <c r="A51" i="10"/>
  <c r="B50" i="10"/>
  <c r="A50" i="10"/>
  <c r="B49" i="10"/>
  <c r="A49" i="10"/>
  <c r="B48" i="10"/>
  <c r="A48" i="10"/>
  <c r="B47" i="10"/>
  <c r="A47" i="10"/>
  <c r="B46" i="10"/>
  <c r="A46" i="10"/>
  <c r="B45" i="10"/>
  <c r="A45" i="10"/>
  <c r="Y45" i="10" s="1"/>
  <c r="B44" i="10"/>
  <c r="A44" i="10"/>
  <c r="B43" i="10"/>
  <c r="A43" i="10"/>
  <c r="B42" i="10"/>
  <c r="A42" i="10"/>
  <c r="B41" i="10"/>
  <c r="A41" i="10"/>
  <c r="B40" i="10"/>
  <c r="A40" i="10"/>
  <c r="Y39" i="10"/>
  <c r="X39" i="10"/>
  <c r="V39" i="10"/>
  <c r="B39" i="10"/>
  <c r="A39" i="10"/>
  <c r="B38" i="10"/>
  <c r="A38" i="10"/>
  <c r="B37" i="10"/>
  <c r="A37" i="10"/>
  <c r="B36" i="10"/>
  <c r="A36" i="10"/>
  <c r="B35" i="10"/>
  <c r="A35" i="10"/>
  <c r="X34" i="10"/>
  <c r="W34" i="10"/>
  <c r="B34" i="10"/>
  <c r="A34" i="10"/>
  <c r="B33" i="10"/>
  <c r="A33" i="10"/>
  <c r="B32" i="10"/>
  <c r="A32" i="10"/>
  <c r="X31" i="10"/>
  <c r="B31" i="10"/>
  <c r="A31" i="10"/>
  <c r="AD30" i="10"/>
  <c r="Z30" i="10"/>
  <c r="B30" i="10"/>
  <c r="A30" i="10"/>
  <c r="AC30" i="10" s="1"/>
  <c r="Y29" i="10"/>
  <c r="B29" i="10"/>
  <c r="A29" i="10"/>
  <c r="X28" i="10"/>
  <c r="W28" i="10"/>
  <c r="B28" i="10"/>
  <c r="A28" i="10"/>
  <c r="X27" i="10"/>
  <c r="W27" i="10"/>
  <c r="V27" i="10"/>
  <c r="B27" i="10"/>
  <c r="A27" i="10"/>
  <c r="X26" i="10"/>
  <c r="W26" i="10"/>
  <c r="V26" i="10"/>
  <c r="B26" i="10"/>
  <c r="A26" i="10"/>
  <c r="B25" i="10"/>
  <c r="A25" i="10"/>
  <c r="X24" i="10"/>
  <c r="W24" i="10"/>
  <c r="B24" i="10"/>
  <c r="A24" i="10"/>
  <c r="B23" i="10"/>
  <c r="A23" i="10"/>
  <c r="B22" i="10"/>
  <c r="A22" i="10"/>
  <c r="B21" i="10"/>
  <c r="A21" i="10"/>
  <c r="B20" i="10"/>
  <c r="A20" i="10"/>
  <c r="B19" i="10"/>
  <c r="A19" i="10"/>
  <c r="B18" i="10"/>
  <c r="A18" i="10"/>
  <c r="X17" i="10"/>
  <c r="W17" i="10"/>
  <c r="B17" i="10"/>
  <c r="A17" i="10"/>
  <c r="X16" i="10"/>
  <c r="W16" i="10"/>
  <c r="B16" i="10"/>
  <c r="A16" i="10"/>
  <c r="X15" i="10"/>
  <c r="W15" i="10"/>
  <c r="V15" i="10"/>
  <c r="B15" i="10"/>
  <c r="A15" i="10"/>
  <c r="X14" i="10"/>
  <c r="B14" i="10"/>
  <c r="A14" i="10"/>
  <c r="W13" i="10"/>
  <c r="B13" i="10"/>
  <c r="A13" i="10"/>
  <c r="X12" i="10"/>
  <c r="W12" i="10"/>
  <c r="B12" i="10"/>
  <c r="A12" i="10"/>
  <c r="X11" i="10"/>
  <c r="W11" i="10"/>
  <c r="B11" i="10"/>
  <c r="A11" i="10"/>
  <c r="X10" i="10"/>
  <c r="B10" i="10"/>
  <c r="A10" i="10"/>
  <c r="B7" i="10"/>
  <c r="Z4" i="10"/>
  <c r="V4" i="10"/>
  <c r="N4" i="10"/>
  <c r="AB4" i="10" s="1"/>
  <c r="M4" i="10"/>
  <c r="AA4" i="10" s="1"/>
  <c r="I4" i="10"/>
  <c r="W4" i="10" s="1"/>
  <c r="X128" i="10" l="1"/>
  <c r="Y165" i="10"/>
  <c r="AD132" i="10"/>
  <c r="Z143" i="10"/>
  <c r="AC132" i="10"/>
  <c r="X58" i="10"/>
  <c r="X22" i="10"/>
  <c r="X19" i="10"/>
  <c r="W22" i="10"/>
  <c r="J4" i="10"/>
  <c r="O4" i="10"/>
  <c r="AC10" i="10"/>
  <c r="Y14" i="10"/>
  <c r="AC14" i="10"/>
  <c r="AE30" i="10"/>
  <c r="AA32" i="10"/>
  <c r="AF32" i="10"/>
  <c r="V36" i="10"/>
  <c r="X44" i="10"/>
  <c r="X45" i="10"/>
  <c r="W18" i="10"/>
  <c r="AE25" i="10"/>
  <c r="Y25" i="10"/>
  <c r="AC25" i="10"/>
  <c r="AG25" i="10"/>
  <c r="D9" i="6" s="1"/>
  <c r="X21" i="10"/>
  <c r="AD24" i="10"/>
  <c r="Y24" i="10"/>
  <c r="AG24" i="10"/>
  <c r="Z25" i="10"/>
  <c r="AD25" i="10"/>
  <c r="Y28" i="10"/>
  <c r="V31" i="10"/>
  <c r="W32" i="10"/>
  <c r="W93" i="10"/>
  <c r="W112" i="10"/>
  <c r="AB25" i="10"/>
  <c r="V10" i="10"/>
  <c r="AF12" i="10"/>
  <c r="Y12" i="10"/>
  <c r="AC12" i="10"/>
  <c r="AG12" i="10"/>
  <c r="D13" i="6" s="1"/>
  <c r="V14" i="10"/>
  <c r="AF16" i="10"/>
  <c r="Y16" i="10"/>
  <c r="AC16" i="10"/>
  <c r="AG16" i="10"/>
  <c r="D6" i="6" s="1"/>
  <c r="P6" i="6" s="1"/>
  <c r="X18" i="10"/>
  <c r="X20" i="10"/>
  <c r="V29" i="10"/>
  <c r="AB29" i="10"/>
  <c r="AA30" i="10"/>
  <c r="AG30" i="10"/>
  <c r="D19" i="6" s="1"/>
  <c r="W36" i="10"/>
  <c r="W10" i="10"/>
  <c r="AA10" i="10"/>
  <c r="AE11" i="10"/>
  <c r="Y11" i="10"/>
  <c r="V12" i="10"/>
  <c r="Z12" i="10"/>
  <c r="AD13" i="10"/>
  <c r="T13" i="10"/>
  <c r="W14" i="10"/>
  <c r="AA14" i="10"/>
  <c r="AE15" i="10"/>
  <c r="Y15" i="10"/>
  <c r="AC15" i="10"/>
  <c r="V16" i="10"/>
  <c r="Z16" i="10"/>
  <c r="AE17" i="10"/>
  <c r="Y17" i="10"/>
  <c r="AC17" i="10"/>
  <c r="W19" i="10"/>
  <c r="V22" i="10"/>
  <c r="X23" i="10"/>
  <c r="Z24" i="10"/>
  <c r="W25" i="10"/>
  <c r="AA25" i="10"/>
  <c r="AE26" i="10"/>
  <c r="AG27" i="10"/>
  <c r="D11" i="6" s="1"/>
  <c r="Y27" i="10"/>
  <c r="AE28" i="10"/>
  <c r="AA28" i="10"/>
  <c r="X29" i="10"/>
  <c r="W31" i="10"/>
  <c r="X32" i="10"/>
  <c r="Y33" i="10"/>
  <c r="V34" i="10"/>
  <c r="X36" i="10"/>
  <c r="Y37" i="10"/>
  <c r="AC39" i="10"/>
  <c r="Y47" i="10"/>
  <c r="Y68" i="10"/>
  <c r="T11" i="10"/>
  <c r="AA12" i="10"/>
  <c r="V13" i="10"/>
  <c r="AA16" i="10"/>
  <c r="AB23" i="10"/>
  <c r="Y23" i="10"/>
  <c r="AC23" i="10"/>
  <c r="Z27" i="10"/>
  <c r="AD27" i="10"/>
  <c r="Y32" i="10"/>
  <c r="AF33" i="10"/>
  <c r="V38" i="10"/>
  <c r="X46" i="10"/>
  <c r="Y53" i="10"/>
  <c r="V53" i="10"/>
  <c r="Y57" i="10"/>
  <c r="AB66" i="10"/>
  <c r="W58" i="10"/>
  <c r="AF134" i="10"/>
  <c r="X154" i="10"/>
  <c r="Y154" i="10"/>
  <c r="X165" i="10"/>
  <c r="Z136" i="10"/>
  <c r="X40" i="10"/>
  <c r="Y41" i="10"/>
  <c r="W44" i="10"/>
  <c r="Y65" i="10"/>
  <c r="X93" i="10"/>
  <c r="X100" i="10"/>
  <c r="W104" i="10"/>
  <c r="AB136" i="10"/>
  <c r="W106" i="10"/>
  <c r="W120" i="10"/>
  <c r="W122" i="10"/>
  <c r="AF136" i="10"/>
  <c r="AF55" i="10"/>
  <c r="X55" i="10"/>
  <c r="Y55" i="10"/>
  <c r="V118" i="10"/>
  <c r="W118" i="10"/>
  <c r="V119" i="10"/>
  <c r="X118" i="10"/>
  <c r="X119" i="10"/>
  <c r="Y119" i="10"/>
  <c r="P19" i="6"/>
  <c r="X112" i="10"/>
  <c r="W110" i="10"/>
  <c r="Y111" i="10"/>
  <c r="V100" i="10"/>
  <c r="X99" i="10"/>
  <c r="V98" i="10"/>
  <c r="W100" i="10"/>
  <c r="W102" i="10"/>
  <c r="Y97" i="10"/>
  <c r="AE97" i="10"/>
  <c r="AA97" i="10"/>
  <c r="AF97" i="10"/>
  <c r="AB97" i="10"/>
  <c r="AG97" i="10"/>
  <c r="X97" i="10"/>
  <c r="AC97" i="10"/>
  <c r="P13" i="6"/>
  <c r="P9" i="6"/>
  <c r="AF129" i="10"/>
  <c r="AA129" i="10"/>
  <c r="AB130" i="10"/>
  <c r="W128" i="10"/>
  <c r="Z129" i="10"/>
  <c r="AF130" i="10"/>
  <c r="AF132" i="10"/>
  <c r="Y132" i="10"/>
  <c r="X132" i="10"/>
  <c r="AG138" i="10"/>
  <c r="AA138" i="10"/>
  <c r="AA145" i="10"/>
  <c r="X159" i="10"/>
  <c r="W164" i="10"/>
  <c r="V153" i="10"/>
  <c r="W157" i="10"/>
  <c r="W159" i="10"/>
  <c r="X164" i="10"/>
  <c r="W173" i="10"/>
  <c r="AE129" i="10"/>
  <c r="Z130" i="10"/>
  <c r="AA133" i="10"/>
  <c r="AF138" i="10"/>
  <c r="Z133" i="10"/>
  <c r="AF133" i="10"/>
  <c r="X160" i="10"/>
  <c r="V160" i="10"/>
  <c r="Y161" i="10"/>
  <c r="X183" i="10"/>
  <c r="X185" i="10"/>
  <c r="AE192" i="10"/>
  <c r="Y136" i="10"/>
  <c r="X175" i="10"/>
  <c r="V179" i="10"/>
  <c r="V181" i="10"/>
  <c r="V183" i="10"/>
  <c r="X184" i="10"/>
  <c r="V185" i="10"/>
  <c r="Z192" i="10"/>
  <c r="V175" i="10"/>
  <c r="X176" i="10"/>
  <c r="W183" i="10"/>
  <c r="V184" i="10"/>
  <c r="W191" i="10"/>
  <c r="AC192" i="10"/>
  <c r="AC198" i="10"/>
  <c r="X120" i="10"/>
  <c r="X121" i="10"/>
  <c r="V122" i="10"/>
  <c r="V120" i="10"/>
  <c r="X122" i="10"/>
  <c r="W114" i="10"/>
  <c r="W116" i="10"/>
  <c r="V106" i="10"/>
  <c r="Z107" i="10"/>
  <c r="W108" i="10"/>
  <c r="AC66" i="10"/>
  <c r="AE65" i="10"/>
  <c r="Z66" i="10"/>
  <c r="AG66" i="10"/>
  <c r="X68" i="10"/>
  <c r="W69" i="10"/>
  <c r="AC70" i="10"/>
  <c r="W72" i="10"/>
  <c r="V72" i="10"/>
  <c r="V69" i="10"/>
  <c r="V67" i="10"/>
  <c r="W67" i="10"/>
  <c r="X67" i="10"/>
  <c r="AF59" i="10"/>
  <c r="V60" i="10"/>
  <c r="X59" i="10"/>
  <c r="W60" i="10"/>
  <c r="X60" i="10"/>
  <c r="X56" i="10"/>
  <c r="AF57" i="10"/>
  <c r="V58" i="10"/>
  <c r="AG57" i="10"/>
  <c r="V56" i="10"/>
  <c r="W56" i="10"/>
  <c r="AC57" i="10"/>
  <c r="AC49" i="10"/>
  <c r="V40" i="10"/>
  <c r="V41" i="10"/>
  <c r="AG45" i="10"/>
  <c r="W40" i="10"/>
  <c r="X41" i="10"/>
  <c r="AB43" i="10"/>
  <c r="V44" i="10"/>
  <c r="V45" i="10"/>
  <c r="W46" i="10"/>
  <c r="X47" i="10"/>
  <c r="X48" i="10"/>
  <c r="AG51" i="10"/>
  <c r="AB53" i="10"/>
  <c r="W54" i="10"/>
  <c r="V50" i="10"/>
  <c r="V52" i="10"/>
  <c r="X54" i="10"/>
  <c r="AG43" i="10"/>
  <c r="AF41" i="10"/>
  <c r="W42" i="10"/>
  <c r="V48" i="10"/>
  <c r="V49" i="10"/>
  <c r="AB49" i="10"/>
  <c r="AG49" i="10"/>
  <c r="W50" i="10"/>
  <c r="AC51" i="10"/>
  <c r="W52" i="10"/>
  <c r="V42" i="10"/>
  <c r="AC43" i="10"/>
  <c r="V46" i="10"/>
  <c r="V47" i="10"/>
  <c r="AB47" i="10"/>
  <c r="W48" i="10"/>
  <c r="X49" i="10"/>
  <c r="X50" i="10"/>
  <c r="AD51" i="10"/>
  <c r="X52" i="10"/>
  <c r="AD53" i="10"/>
  <c r="V54" i="10"/>
  <c r="Y35" i="10"/>
  <c r="AC35" i="10"/>
  <c r="AD18" i="10"/>
  <c r="Y18" i="10"/>
  <c r="AE19" i="10"/>
  <c r="Y19" i="10"/>
  <c r="Z20" i="10"/>
  <c r="AD20" i="10"/>
  <c r="Y21" i="10"/>
  <c r="AC21" i="10"/>
  <c r="AG21" i="10"/>
  <c r="AF20" i="10"/>
  <c r="Y20" i="10"/>
  <c r="AC20" i="10"/>
  <c r="AG20" i="10"/>
  <c r="AF21" i="10"/>
  <c r="V18" i="10"/>
  <c r="Z18" i="10"/>
  <c r="V19" i="10"/>
  <c r="Z19" i="10"/>
  <c r="W20" i="10"/>
  <c r="AA20" i="10"/>
  <c r="V21" i="10"/>
  <c r="Z21" i="10"/>
  <c r="AB22" i="10"/>
  <c r="Y22" i="10"/>
  <c r="AB15" i="10"/>
  <c r="AF15" i="10"/>
  <c r="T16" i="10"/>
  <c r="V17" i="10"/>
  <c r="AE18" i="10"/>
  <c r="AB19" i="10"/>
  <c r="AF19" i="10"/>
  <c r="AE23" i="10"/>
  <c r="AF24" i="10"/>
  <c r="AA26" i="10"/>
  <c r="AF26" i="10"/>
  <c r="AB28" i="10"/>
  <c r="T12" i="10"/>
  <c r="AB10" i="10"/>
  <c r="AF10" i="10"/>
  <c r="W21" i="10"/>
  <c r="T23" i="10"/>
  <c r="AE24" i="10"/>
  <c r="AB24" i="10"/>
  <c r="AB26" i="10"/>
  <c r="AF28" i="10"/>
  <c r="AE32" i="10"/>
  <c r="AB32" i="10"/>
  <c r="AG33" i="10"/>
  <c r="D28" i="6" s="1"/>
  <c r="AB33" i="10"/>
  <c r="Z33" i="10"/>
  <c r="V35" i="10"/>
  <c r="AC37" i="10"/>
  <c r="AG37" i="10"/>
  <c r="D24" i="6" s="1"/>
  <c r="AB37" i="10"/>
  <c r="AF37" i="10"/>
  <c r="Z37" i="10"/>
  <c r="AB14" i="10"/>
  <c r="AF14" i="10"/>
  <c r="T15" i="10"/>
  <c r="AB18" i="10"/>
  <c r="AF18" i="10"/>
  <c r="AC19" i="10"/>
  <c r="AG19" i="10"/>
  <c r="T10" i="10"/>
  <c r="Y10" i="10"/>
  <c r="AG10" i="10"/>
  <c r="V11" i="10"/>
  <c r="AD11" i="10"/>
  <c r="X13" i="10"/>
  <c r="AF13" i="10"/>
  <c r="T14" i="10"/>
  <c r="X25" i="10"/>
  <c r="AD26" i="10"/>
  <c r="AC27" i="10"/>
  <c r="T27" i="10"/>
  <c r="Z29" i="10"/>
  <c r="AB11" i="10"/>
  <c r="AF11" i="10"/>
  <c r="Z10" i="10"/>
  <c r="AA11" i="10"/>
  <c r="AB12" i="10"/>
  <c r="Z14" i="10"/>
  <c r="AA15" i="10"/>
  <c r="AB16" i="10"/>
  <c r="AA19" i="10"/>
  <c r="AB20" i="10"/>
  <c r="Y26" i="10"/>
  <c r="T26" i="10"/>
  <c r="AC26" i="10"/>
  <c r="AG26" i="10"/>
  <c r="D10" i="6" s="1"/>
  <c r="Z26" i="10"/>
  <c r="AC32" i="10"/>
  <c r="AD29" i="10"/>
  <c r="AD33" i="10"/>
  <c r="X43" i="10"/>
  <c r="AD45" i="10"/>
  <c r="AB45" i="10"/>
  <c r="Z47" i="10"/>
  <c r="Y51" i="10"/>
  <c r="Z45" i="10"/>
  <c r="AC45" i="10"/>
  <c r="Z55" i="10"/>
  <c r="Y59" i="10"/>
  <c r="AG28" i="10"/>
  <c r="AG32" i="10"/>
  <c r="D21" i="6" s="1"/>
  <c r="P21" i="6" s="1"/>
  <c r="AD37" i="10"/>
  <c r="Z39" i="10"/>
  <c r="Z49" i="10"/>
  <c r="V55" i="10"/>
  <c r="AB55" i="10"/>
  <c r="AG55" i="10"/>
  <c r="D30" i="6" s="1"/>
  <c r="Z41" i="10"/>
  <c r="V43" i="10"/>
  <c r="AD47" i="10"/>
  <c r="X51" i="10"/>
  <c r="Z53" i="10"/>
  <c r="AF53" i="10"/>
  <c r="AC65" i="10"/>
  <c r="AA75" i="10"/>
  <c r="AD41" i="10"/>
  <c r="Z43" i="10"/>
  <c r="AD49" i="10"/>
  <c r="Z51" i="10"/>
  <c r="AD57" i="10"/>
  <c r="Z59" i="10"/>
  <c r="W65" i="10"/>
  <c r="Z70" i="10"/>
  <c r="AF75" i="10"/>
  <c r="V51" i="10"/>
  <c r="AD55" i="10"/>
  <c r="Z57" i="10"/>
  <c r="V59" i="10"/>
  <c r="AG222" i="10"/>
  <c r="AC222" i="10"/>
  <c r="AG221" i="10"/>
  <c r="AC221" i="10"/>
  <c r="AG220" i="10"/>
  <c r="AC220" i="10"/>
  <c r="AG219" i="10"/>
  <c r="AC219" i="10"/>
  <c r="AG218" i="10"/>
  <c r="AC218" i="10"/>
  <c r="AG217" i="10"/>
  <c r="AC217" i="10"/>
  <c r="AG216" i="10"/>
  <c r="AC216" i="10"/>
  <c r="AG215" i="10"/>
  <c r="AC215" i="10"/>
  <c r="AG214" i="10"/>
  <c r="AC214" i="10"/>
  <c r="AG213" i="10"/>
  <c r="AC213" i="10"/>
  <c r="AG212" i="10"/>
  <c r="AC212" i="10"/>
  <c r="AG211" i="10"/>
  <c r="AC211" i="10"/>
  <c r="AG210" i="10"/>
  <c r="AC210" i="10"/>
  <c r="AG209" i="10"/>
  <c r="AC209" i="10"/>
  <c r="AG208" i="10"/>
  <c r="AC208" i="10"/>
  <c r="AG207" i="10"/>
  <c r="AC207" i="10"/>
  <c r="AD206" i="10"/>
  <c r="Z206" i="10"/>
  <c r="AD205" i="10"/>
  <c r="Z205" i="10"/>
  <c r="AF222" i="10"/>
  <c r="AB222" i="10"/>
  <c r="AF221" i="10"/>
  <c r="AB221" i="10"/>
  <c r="AF220" i="10"/>
  <c r="AB220" i="10"/>
  <c r="AF219" i="10"/>
  <c r="AB219" i="10"/>
  <c r="AF218" i="10"/>
  <c r="AB218" i="10"/>
  <c r="AF217" i="10"/>
  <c r="AB217" i="10"/>
  <c r="AF216" i="10"/>
  <c r="AB216" i="10"/>
  <c r="AF215" i="10"/>
  <c r="AB215" i="10"/>
  <c r="AF214" i="10"/>
  <c r="AB214" i="10"/>
  <c r="AF213" i="10"/>
  <c r="AB213" i="10"/>
  <c r="AF212" i="10"/>
  <c r="AB212" i="10"/>
  <c r="AF211" i="10"/>
  <c r="AB211" i="10"/>
  <c r="AF210" i="10"/>
  <c r="AB210" i="10"/>
  <c r="AF209" i="10"/>
  <c r="AB209" i="10"/>
  <c r="AF208" i="10"/>
  <c r="AB208" i="10"/>
  <c r="AF207" i="10"/>
  <c r="AB207" i="10"/>
  <c r="AG206" i="10"/>
  <c r="AC206" i="10"/>
  <c r="AG205" i="10"/>
  <c r="AC205" i="10"/>
  <c r="AE222" i="10"/>
  <c r="AA222" i="10"/>
  <c r="AE221" i="10"/>
  <c r="AA221" i="10"/>
  <c r="AE220" i="10"/>
  <c r="AA220" i="10"/>
  <c r="AE219" i="10"/>
  <c r="AA219" i="10"/>
  <c r="AE218" i="10"/>
  <c r="AA218" i="10"/>
  <c r="AE217" i="10"/>
  <c r="AA217" i="10"/>
  <c r="AE216" i="10"/>
  <c r="AA216" i="10"/>
  <c r="AE215" i="10"/>
  <c r="AA215" i="10"/>
  <c r="AE214" i="10"/>
  <c r="AA214" i="10"/>
  <c r="AE213" i="10"/>
  <c r="AA213" i="10"/>
  <c r="AE212" i="10"/>
  <c r="AA212" i="10"/>
  <c r="AE211" i="10"/>
  <c r="AA211" i="10"/>
  <c r="AE210" i="10"/>
  <c r="AA210" i="10"/>
  <c r="AE209" i="10"/>
  <c r="AA209" i="10"/>
  <c r="AE208" i="10"/>
  <c r="AA208" i="10"/>
  <c r="AE207" i="10"/>
  <c r="AA207" i="10"/>
  <c r="AF206" i="10"/>
  <c r="AB206" i="10"/>
  <c r="AF205" i="10"/>
  <c r="AB205" i="10"/>
  <c r="AD222" i="10"/>
  <c r="Z222" i="10"/>
  <c r="AD221" i="10"/>
  <c r="Z221" i="10"/>
  <c r="AD220" i="10"/>
  <c r="Z220" i="10"/>
  <c r="AD219" i="10"/>
  <c r="Z219" i="10"/>
  <c r="AD218" i="10"/>
  <c r="Z218" i="10"/>
  <c r="AD217" i="10"/>
  <c r="Z217" i="10"/>
  <c r="AD216" i="10"/>
  <c r="Z216" i="10"/>
  <c r="AD215" i="10"/>
  <c r="Z215" i="10"/>
  <c r="AD214" i="10"/>
  <c r="Z214" i="10"/>
  <c r="AD213" i="10"/>
  <c r="Z213" i="10"/>
  <c r="AD212" i="10"/>
  <c r="Z212" i="10"/>
  <c r="AD211" i="10"/>
  <c r="Z211" i="10"/>
  <c r="AD210" i="10"/>
  <c r="Z210" i="10"/>
  <c r="AD209" i="10"/>
  <c r="Z209" i="10"/>
  <c r="AD208" i="10"/>
  <c r="Z208" i="10"/>
  <c r="AD207" i="10"/>
  <c r="Z207" i="10"/>
  <c r="AE206" i="10"/>
  <c r="AA206" i="10"/>
  <c r="AE205" i="10"/>
  <c r="AA205" i="10"/>
  <c r="AD28" i="10"/>
  <c r="Z28" i="10"/>
  <c r="AE29" i="10"/>
  <c r="AA29" i="10"/>
  <c r="AF30" i="10"/>
  <c r="AB30" i="10"/>
  <c r="V30" i="10"/>
  <c r="AD32" i="10"/>
  <c r="Z32" i="10"/>
  <c r="AE33" i="10"/>
  <c r="AA33" i="10"/>
  <c r="AE35" i="10"/>
  <c r="AA35" i="10"/>
  <c r="W35" i="10"/>
  <c r="AE37" i="10"/>
  <c r="AA37" i="10"/>
  <c r="AE39" i="10"/>
  <c r="AA39" i="10"/>
  <c r="W39" i="10"/>
  <c r="AE41" i="10"/>
  <c r="AA41" i="10"/>
  <c r="AE43" i="10"/>
  <c r="AA43" i="10"/>
  <c r="AE45" i="10"/>
  <c r="AA45" i="10"/>
  <c r="AE47" i="10"/>
  <c r="AA47" i="10"/>
  <c r="W47" i="10"/>
  <c r="AE49" i="10"/>
  <c r="AA49" i="10"/>
  <c r="W49" i="10"/>
  <c r="AE51" i="10"/>
  <c r="AA51" i="10"/>
  <c r="AE53" i="10"/>
  <c r="AA53" i="10"/>
  <c r="AE55" i="10"/>
  <c r="AA55" i="10"/>
  <c r="W55" i="10"/>
  <c r="AE57" i="10"/>
  <c r="AA57" i="10"/>
  <c r="W57" i="10"/>
  <c r="AE59" i="10"/>
  <c r="AA59" i="10"/>
  <c r="X65" i="10"/>
  <c r="AA65" i="10"/>
  <c r="AB65" i="10"/>
  <c r="AF65" i="10"/>
  <c r="AA66" i="10"/>
  <c r="W66" i="10"/>
  <c r="AD66" i="10"/>
  <c r="X66" i="10"/>
  <c r="V68" i="10"/>
  <c r="AE70" i="10"/>
  <c r="AA70" i="10"/>
  <c r="AD70" i="10"/>
  <c r="X70" i="10"/>
  <c r="AG70" i="10"/>
  <c r="AB70" i="10"/>
  <c r="Y71" i="10"/>
  <c r="AA71" i="10"/>
  <c r="AD75" i="10"/>
  <c r="Z75" i="10"/>
  <c r="AC75" i="10"/>
  <c r="AG75" i="10"/>
  <c r="AB75" i="10"/>
  <c r="AE75" i="10"/>
  <c r="Z91" i="10"/>
  <c r="AF91" i="10"/>
  <c r="X92" i="10"/>
  <c r="Y92" i="10"/>
  <c r="W92" i="10"/>
  <c r="AG92" i="10"/>
  <c r="D38" i="6" s="1"/>
  <c r="V92" i="10"/>
  <c r="V93" i="10"/>
  <c r="AB34" i="10"/>
  <c r="AC34" i="10"/>
  <c r="AB38" i="10"/>
  <c r="AB40" i="10"/>
  <c r="AF42" i="10"/>
  <c r="AB48" i="10"/>
  <c r="AF58" i="10"/>
  <c r="AC58" i="10"/>
  <c r="W68" i="10"/>
  <c r="AD68" i="10"/>
  <c r="V74" i="10"/>
  <c r="Y95" i="10"/>
  <c r="AE96" i="10"/>
  <c r="W98" i="10"/>
  <c r="AE98" i="10"/>
  <c r="W99" i="10"/>
  <c r="AF99" i="10"/>
  <c r="Y103" i="10"/>
  <c r="AD94" i="10"/>
  <c r="AE94" i="10"/>
  <c r="AA94" i="10"/>
  <c r="AA95" i="10"/>
  <c r="W95" i="10"/>
  <c r="AD95" i="10"/>
  <c r="AF95" i="10"/>
  <c r="AF96" i="10"/>
  <c r="AB96" i="10"/>
  <c r="AA96" i="10"/>
  <c r="AG96" i="10"/>
  <c r="D34" i="6" s="1"/>
  <c r="AD99" i="10"/>
  <c r="W101" i="10"/>
  <c r="X101" i="10"/>
  <c r="AF101" i="10"/>
  <c r="AG101" i="10"/>
  <c r="V102" i="10"/>
  <c r="AB107" i="10"/>
  <c r="X69" i="10"/>
  <c r="X73" i="10"/>
  <c r="W74" i="10"/>
  <c r="W94" i="10"/>
  <c r="AB94" i="10"/>
  <c r="AG94" i="10"/>
  <c r="D36" i="6" s="1"/>
  <c r="AG95" i="10"/>
  <c r="D35" i="6" s="1"/>
  <c r="W96" i="10"/>
  <c r="AC96" i="10"/>
  <c r="X98" i="10"/>
  <c r="AD98" i="10"/>
  <c r="Y99" i="10"/>
  <c r="Y101" i="10"/>
  <c r="AG107" i="10"/>
  <c r="AD73" i="10"/>
  <c r="AC73" i="10"/>
  <c r="AA73" i="10"/>
  <c r="Y74" i="10"/>
  <c r="AF74" i="10"/>
  <c r="X74" i="10"/>
  <c r="X94" i="10"/>
  <c r="AC94" i="10"/>
  <c r="X95" i="10"/>
  <c r="AC95" i="10"/>
  <c r="Y96" i="10"/>
  <c r="AD96" i="10"/>
  <c r="Y98" i="10"/>
  <c r="Z99" i="10"/>
  <c r="Z101" i="10"/>
  <c r="AB67" i="10"/>
  <c r="AD69" i="10"/>
  <c r="Y72" i="10"/>
  <c r="AA93" i="10"/>
  <c r="Y93" i="10"/>
  <c r="Z97" i="10"/>
  <c r="X103" i="10"/>
  <c r="X104" i="10"/>
  <c r="V104" i="10"/>
  <c r="X105" i="10"/>
  <c r="X106" i="10"/>
  <c r="V108" i="10"/>
  <c r="V103" i="10"/>
  <c r="W105" i="10"/>
  <c r="AD105" i="10"/>
  <c r="AE107" i="10"/>
  <c r="AA107" i="10"/>
  <c r="AC107" i="10"/>
  <c r="AF107" i="10"/>
  <c r="AD107" i="10"/>
  <c r="V109" i="10"/>
  <c r="X113" i="10"/>
  <c r="V116" i="10"/>
  <c r="AF117" i="10"/>
  <c r="Y121" i="10"/>
  <c r="AE130" i="10"/>
  <c r="AA130" i="10"/>
  <c r="W130" i="10"/>
  <c r="AD130" i="10"/>
  <c r="Y130" i="10"/>
  <c r="AC130" i="10"/>
  <c r="X130" i="10"/>
  <c r="AG130" i="10"/>
  <c r="Z113" i="10"/>
  <c r="V114" i="10"/>
  <c r="AE117" i="10"/>
  <c r="AA117" i="10"/>
  <c r="AD117" i="10"/>
  <c r="AC117" i="10"/>
  <c r="AG117" i="10"/>
  <c r="AG131" i="10"/>
  <c r="AC131" i="10"/>
  <c r="Y131" i="10"/>
  <c r="W131" i="10"/>
  <c r="AF131" i="10"/>
  <c r="AA131" i="10"/>
  <c r="AE131" i="10"/>
  <c r="Z131" i="10"/>
  <c r="V112" i="10"/>
  <c r="AD113" i="10"/>
  <c r="X114" i="10"/>
  <c r="W115" i="10"/>
  <c r="X115" i="10"/>
  <c r="Z115" i="10"/>
  <c r="Z117" i="10"/>
  <c r="V127" i="10"/>
  <c r="AC127" i="10"/>
  <c r="AB131" i="10"/>
  <c r="AG135" i="10"/>
  <c r="AC135" i="10"/>
  <c r="W135" i="10"/>
  <c r="AF135" i="10"/>
  <c r="AA135" i="10"/>
  <c r="AE135" i="10"/>
  <c r="Z135" i="10"/>
  <c r="AD135" i="10"/>
  <c r="AB135" i="10"/>
  <c r="Y113" i="10"/>
  <c r="Y115" i="10"/>
  <c r="AB117" i="10"/>
  <c r="AD123" i="10"/>
  <c r="AD131" i="10"/>
  <c r="AA137" i="10"/>
  <c r="AA141" i="10"/>
  <c r="AC143" i="10"/>
  <c r="AE134" i="10"/>
  <c r="AA134" i="10"/>
  <c r="W134" i="10"/>
  <c r="AB134" i="10"/>
  <c r="AG134" i="10"/>
  <c r="AF137" i="10"/>
  <c r="AB137" i="10"/>
  <c r="AD137" i="10"/>
  <c r="AC137" i="10"/>
  <c r="AD139" i="10"/>
  <c r="AF141" i="10"/>
  <c r="AB141" i="10"/>
  <c r="AD141" i="10"/>
  <c r="AC141" i="10"/>
  <c r="AD143" i="10"/>
  <c r="X144" i="10"/>
  <c r="AE145" i="10"/>
  <c r="W153" i="10"/>
  <c r="V157" i="10"/>
  <c r="W121" i="10"/>
  <c r="AC121" i="10"/>
  <c r="Y128" i="10"/>
  <c r="AC129" i="10"/>
  <c r="V129" i="10"/>
  <c r="AB129" i="10"/>
  <c r="AG133" i="10"/>
  <c r="AC133" i="10"/>
  <c r="Y133" i="10"/>
  <c r="V133" i="10"/>
  <c r="AB133" i="10"/>
  <c r="X134" i="10"/>
  <c r="AC134" i="10"/>
  <c r="W137" i="10"/>
  <c r="AE137" i="10"/>
  <c r="AB138" i="10"/>
  <c r="AE139" i="10"/>
  <c r="X140" i="10"/>
  <c r="AE141" i="10"/>
  <c r="AA142" i="10"/>
  <c r="Y144" i="10"/>
  <c r="AF145" i="10"/>
  <c r="AB145" i="10"/>
  <c r="AD145" i="10"/>
  <c r="Y145" i="10"/>
  <c r="AC145" i="10"/>
  <c r="W145" i="10"/>
  <c r="AG145" i="10"/>
  <c r="X153" i="10"/>
  <c r="V155" i="10"/>
  <c r="Y156" i="10"/>
  <c r="X108" i="10"/>
  <c r="AD111" i="10"/>
  <c r="X116" i="10"/>
  <c r="AE119" i="10"/>
  <c r="AG119" i="10"/>
  <c r="Z119" i="10"/>
  <c r="AE128" i="10"/>
  <c r="X129" i="10"/>
  <c r="AD129" i="10"/>
  <c r="AE132" i="10"/>
  <c r="AA132" i="10"/>
  <c r="W132" i="10"/>
  <c r="AB132" i="10"/>
  <c r="AG132" i="10"/>
  <c r="X133" i="10"/>
  <c r="AD133" i="10"/>
  <c r="Y134" i="10"/>
  <c r="AD134" i="10"/>
  <c r="AE136" i="10"/>
  <c r="AA136" i="10"/>
  <c r="W136" i="10"/>
  <c r="AC136" i="10"/>
  <c r="X136" i="10"/>
  <c r="AD136" i="10"/>
  <c r="Z137" i="10"/>
  <c r="AG137" i="10"/>
  <c r="AD138" i="10"/>
  <c r="Z138" i="10"/>
  <c r="AE138" i="10"/>
  <c r="X138" i="10"/>
  <c r="AC138" i="10"/>
  <c r="W140" i="10"/>
  <c r="AF140" i="10"/>
  <c r="Z141" i="10"/>
  <c r="AG141" i="10"/>
  <c r="AD142" i="10"/>
  <c r="Z142" i="10"/>
  <c r="AE142" i="10"/>
  <c r="X142" i="10"/>
  <c r="AC142" i="10"/>
  <c r="Z145" i="10"/>
  <c r="X155" i="10"/>
  <c r="W156" i="10"/>
  <c r="X156" i="10"/>
  <c r="AD156" i="10"/>
  <c r="AE143" i="10"/>
  <c r="AE144" i="10"/>
  <c r="W154" i="10"/>
  <c r="AC154" i="10"/>
  <c r="V159" i="10"/>
  <c r="W161" i="10"/>
  <c r="AC161" i="10"/>
  <c r="X161" i="10"/>
  <c r="AG161" i="10"/>
  <c r="AF163" i="10"/>
  <c r="W167" i="10"/>
  <c r="AB100" i="10"/>
  <c r="AB102" i="10"/>
  <c r="AC102" i="10"/>
  <c r="AD104" i="10"/>
  <c r="AA108" i="10"/>
  <c r="AG110" i="10"/>
  <c r="Y110" i="10"/>
  <c r="AC110" i="10"/>
  <c r="Y112" i="10"/>
  <c r="AF114" i="10"/>
  <c r="Y114" i="10"/>
  <c r="Y116" i="10"/>
  <c r="AF118" i="10"/>
  <c r="Y118" i="10"/>
  <c r="AF120" i="10"/>
  <c r="Y120" i="10"/>
  <c r="AF139" i="10"/>
  <c r="AB139" i="10"/>
  <c r="W139" i="10"/>
  <c r="AA139" i="10"/>
  <c r="AG139" i="10"/>
  <c r="AF143" i="10"/>
  <c r="AB143" i="10"/>
  <c r="W143" i="10"/>
  <c r="AA143" i="10"/>
  <c r="AG143" i="10"/>
  <c r="W144" i="10"/>
  <c r="AG144" i="10"/>
  <c r="AG154" i="10"/>
  <c r="X157" i="10"/>
  <c r="T160" i="10"/>
  <c r="Y160" i="10"/>
  <c r="W160" i="10"/>
  <c r="Z160" i="10"/>
  <c r="AD161" i="10"/>
  <c r="AE163" i="10"/>
  <c r="AA163" i="10"/>
  <c r="AD163" i="10"/>
  <c r="Y163" i="10"/>
  <c r="AB163" i="10"/>
  <c r="X163" i="10"/>
  <c r="V165" i="10"/>
  <c r="AF161" i="10"/>
  <c r="Z163" i="10"/>
  <c r="V164" i="10"/>
  <c r="Z161" i="10"/>
  <c r="V162" i="10"/>
  <c r="V167" i="10"/>
  <c r="Y166" i="10"/>
  <c r="AB168" i="10"/>
  <c r="AE169" i="10"/>
  <c r="W170" i="10"/>
  <c r="AE171" i="10"/>
  <c r="V172" i="10"/>
  <c r="AB166" i="10"/>
  <c r="AA166" i="10"/>
  <c r="AD168" i="10"/>
  <c r="Z168" i="10"/>
  <c r="AE168" i="10"/>
  <c r="AC168" i="10"/>
  <c r="AD171" i="10"/>
  <c r="Z171" i="10"/>
  <c r="AC171" i="10"/>
  <c r="X171" i="10"/>
  <c r="AG171" i="10"/>
  <c r="AA171" i="10"/>
  <c r="W171" i="10"/>
  <c r="AF171" i="10"/>
  <c r="Y172" i="10"/>
  <c r="AD153" i="10"/>
  <c r="T153" i="10"/>
  <c r="AE155" i="10"/>
  <c r="Y155" i="10"/>
  <c r="AC155" i="10"/>
  <c r="AD157" i="10"/>
  <c r="Y157" i="10"/>
  <c r="AG159" i="10"/>
  <c r="Y159" i="10"/>
  <c r="X162" i="10"/>
  <c r="W165" i="10"/>
  <c r="AB165" i="10"/>
  <c r="X166" i="10"/>
  <c r="AE166" i="10"/>
  <c r="AF168" i="10"/>
  <c r="AG168" i="10"/>
  <c r="AB171" i="10"/>
  <c r="V173" i="10"/>
  <c r="AB174" i="10"/>
  <c r="X178" i="10"/>
  <c r="AD162" i="10"/>
  <c r="Y162" i="10"/>
  <c r="AA164" i="10"/>
  <c r="Y164" i="10"/>
  <c r="AF169" i="10"/>
  <c r="AB169" i="10"/>
  <c r="X169" i="10"/>
  <c r="Y169" i="10"/>
  <c r="AA169" i="10"/>
  <c r="AG169" i="10"/>
  <c r="V170" i="10"/>
  <c r="W172" i="10"/>
  <c r="X172" i="10"/>
  <c r="AG172" i="10"/>
  <c r="AE174" i="10"/>
  <c r="AD174" i="10"/>
  <c r="AC174" i="10"/>
  <c r="Y178" i="10"/>
  <c r="W179" i="10"/>
  <c r="W177" i="10"/>
  <c r="W178" i="10"/>
  <c r="AD178" i="10"/>
  <c r="W185" i="10"/>
  <c r="W192" i="10"/>
  <c r="X170" i="10"/>
  <c r="X173" i="10"/>
  <c r="W176" i="10"/>
  <c r="AG176" i="10"/>
  <c r="X181" i="10"/>
  <c r="W184" i="10"/>
  <c r="AC184" i="10"/>
  <c r="X179" i="10"/>
  <c r="AD182" i="10"/>
  <c r="AD190" i="10"/>
  <c r="P202" i="10"/>
  <c r="AD198" i="10"/>
  <c r="AD170" i="10"/>
  <c r="Y170" i="10"/>
  <c r="AD173" i="10"/>
  <c r="Y173" i="10"/>
  <c r="AG175" i="10"/>
  <c r="Y175" i="10"/>
  <c r="AB177" i="10"/>
  <c r="Y177" i="10"/>
  <c r="Z179" i="10"/>
  <c r="Y179" i="10"/>
  <c r="AD181" i="10"/>
  <c r="Y181" i="10"/>
  <c r="AG183" i="10"/>
  <c r="Y183" i="10"/>
  <c r="AD185" i="10"/>
  <c r="Y185" i="10"/>
  <c r="AG191" i="10"/>
  <c r="Y191" i="10"/>
  <c r="Y192" i="10"/>
  <c r="Y193" i="10"/>
  <c r="V198" i="10"/>
  <c r="W200" i="10"/>
  <c r="AB193" i="10"/>
  <c r="Z198" i="10"/>
  <c r="X200" i="10"/>
  <c r="AF192" i="10"/>
  <c r="AB192" i="10"/>
  <c r="X192" i="10"/>
  <c r="AA192" i="10"/>
  <c r="AG192" i="10"/>
  <c r="X193" i="10"/>
  <c r="AF200" i="10"/>
  <c r="Y200" i="10"/>
  <c r="H202" i="10"/>
  <c r="P11" i="6" l="1"/>
  <c r="AC200" i="10"/>
  <c r="AG178" i="10"/>
  <c r="AC169" i="10"/>
  <c r="W162" i="10"/>
  <c r="AG200" i="10"/>
  <c r="AA200" i="10"/>
  <c r="Z200" i="10"/>
  <c r="AB178" i="10"/>
  <c r="AE172" i="10"/>
  <c r="Y171" i="10"/>
  <c r="AA168" i="10"/>
  <c r="AG163" i="10"/>
  <c r="Y142" i="10"/>
  <c r="Z169" i="10"/>
  <c r="W123" i="10"/>
  <c r="X123" i="10"/>
  <c r="AB115" i="10"/>
  <c r="Y105" i="10"/>
  <c r="AC69" i="10"/>
  <c r="Y70" i="10"/>
  <c r="AG59" i="10"/>
  <c r="AF47" i="10"/>
  <c r="AF49" i="10"/>
  <c r="AE22" i="10"/>
  <c r="AA21" i="10"/>
  <c r="AD180" i="10"/>
  <c r="Z191" i="10"/>
  <c r="Z184" i="10"/>
  <c r="AE184" i="10"/>
  <c r="AC180" i="10"/>
  <c r="W166" i="10"/>
  <c r="Z166" i="10"/>
  <c r="AE160" i="10"/>
  <c r="AE161" i="10"/>
  <c r="Z111" i="10"/>
  <c r="AE111" i="10"/>
  <c r="X145" i="10"/>
  <c r="X158" i="10"/>
  <c r="W158" i="10"/>
  <c r="AB113" i="10"/>
  <c r="Z68" i="10"/>
  <c r="AE68" i="10"/>
  <c r="AC18" i="10"/>
  <c r="AC47" i="10"/>
  <c r="Z139" i="10"/>
  <c r="W97" i="10"/>
  <c r="W181" i="10"/>
  <c r="X102" i="10"/>
  <c r="T24" i="10"/>
  <c r="V24" i="10"/>
  <c r="AC11" i="10"/>
  <c r="Y13" i="10"/>
  <c r="AA13" i="10"/>
  <c r="AE12" i="10"/>
  <c r="AC24" i="10"/>
  <c r="AA23" i="10"/>
  <c r="AF17" i="10"/>
  <c r="V23" i="10"/>
  <c r="X57" i="10"/>
  <c r="V33" i="10"/>
  <c r="AC28" i="10"/>
  <c r="AD14" i="10"/>
  <c r="AF25" i="10"/>
  <c r="AA27" i="10"/>
  <c r="AD16" i="10"/>
  <c r="Z17" i="10"/>
  <c r="AG23" i="10"/>
  <c r="D8" i="6" s="1"/>
  <c r="AD12" i="10"/>
  <c r="AH12" i="10" s="1"/>
  <c r="AD119" i="10"/>
  <c r="AF23" i="10"/>
  <c r="AD39" i="10"/>
  <c r="X37" i="10"/>
  <c r="Z11" i="10"/>
  <c r="W23" i="10"/>
  <c r="Y43" i="10"/>
  <c r="AF29" i="10"/>
  <c r="AG14" i="10"/>
  <c r="D15" i="6" s="1"/>
  <c r="AE13" i="10"/>
  <c r="AD10" i="10"/>
  <c r="AA24" i="10"/>
  <c r="AF39" i="10"/>
  <c r="AB39" i="10"/>
  <c r="AG15" i="10"/>
  <c r="D16" i="6" s="1"/>
  <c r="AE14" i="10"/>
  <c r="AE200" i="10"/>
  <c r="AC185" i="10"/>
  <c r="AC177" i="10"/>
  <c r="Z176" i="10"/>
  <c r="AE176" i="10"/>
  <c r="AF178" i="10"/>
  <c r="AA178" i="10"/>
  <c r="AF166" i="10"/>
  <c r="X143" i="10"/>
  <c r="AE167" i="10"/>
  <c r="AA167" i="10"/>
  <c r="X167" i="10"/>
  <c r="AB161" i="10"/>
  <c r="X137" i="10"/>
  <c r="X135" i="10"/>
  <c r="AC109" i="10"/>
  <c r="AB109" i="10"/>
  <c r="Y73" i="10"/>
  <c r="AC101" i="10"/>
  <c r="AB98" i="10"/>
  <c r="AA99" i="10"/>
  <c r="W73" i="10"/>
  <c r="X71" i="10"/>
  <c r="AH26" i="10"/>
  <c r="AH24" i="10"/>
  <c r="AC139" i="10"/>
  <c r="AB27" i="10"/>
  <c r="AB17" i="10"/>
  <c r="T17" i="10"/>
  <c r="AC33" i="10"/>
  <c r="T25" i="10"/>
  <c r="V25" i="10"/>
  <c r="AD23" i="10"/>
  <c r="V37" i="10"/>
  <c r="AC4" i="10"/>
  <c r="P4" i="10"/>
  <c r="AE16" i="10"/>
  <c r="AH16" i="10" s="1"/>
  <c r="AG17" i="10"/>
  <c r="AE27" i="10"/>
  <c r="AG13" i="10"/>
  <c r="D14" i="6" s="1"/>
  <c r="AG39" i="10"/>
  <c r="D26" i="6" s="1"/>
  <c r="Z13" i="10"/>
  <c r="W193" i="10"/>
  <c r="AC191" i="10"/>
  <c r="AC179" i="10"/>
  <c r="AC170" i="10"/>
  <c r="AF184" i="10"/>
  <c r="AA184" i="10"/>
  <c r="AG180" i="10"/>
  <c r="AF180" i="10"/>
  <c r="AC120" i="10"/>
  <c r="AC112" i="10"/>
  <c r="AC104" i="10"/>
  <c r="AF111" i="10"/>
  <c r="AA111" i="10"/>
  <c r="Y137" i="10"/>
  <c r="AA127" i="10"/>
  <c r="AB123" i="10"/>
  <c r="AB105" i="10"/>
  <c r="AC67" i="10"/>
  <c r="AB99" i="10"/>
  <c r="AE99" i="10"/>
  <c r="AF68" i="10"/>
  <c r="AA68" i="10"/>
  <c r="AC56" i="10"/>
  <c r="AC40" i="10"/>
  <c r="AC31" i="10"/>
  <c r="T92" i="10"/>
  <c r="AE92" i="10"/>
  <c r="AD92" i="10"/>
  <c r="AF92" i="10"/>
  <c r="X30" i="10"/>
  <c r="AH14" i="10"/>
  <c r="T18" i="10"/>
  <c r="T19" i="10"/>
  <c r="AA18" i="10"/>
  <c r="AG18" i="10"/>
  <c r="Z35" i="10"/>
  <c r="X35" i="10"/>
  <c r="AF45" i="10"/>
  <c r="P10" i="6"/>
  <c r="W155" i="10"/>
  <c r="AF66" i="10"/>
  <c r="AC13" i="10"/>
  <c r="X38" i="10"/>
  <c r="AB13" i="10"/>
  <c r="AA17" i="10"/>
  <c r="Z15" i="10"/>
  <c r="X33" i="10"/>
  <c r="AF27" i="10"/>
  <c r="Z23" i="10"/>
  <c r="V57" i="10"/>
  <c r="X53" i="10"/>
  <c r="W38" i="10"/>
  <c r="AG29" i="10"/>
  <c r="D18" i="6" s="1"/>
  <c r="X4" i="10"/>
  <c r="K4" i="10"/>
  <c r="Y4" i="10" s="1"/>
  <c r="AD15" i="10"/>
  <c r="AC29" i="10"/>
  <c r="AD17" i="10"/>
  <c r="AE10" i="10"/>
  <c r="AH10" i="10" s="1"/>
  <c r="AG11" i="10"/>
  <c r="AC55" i="10"/>
  <c r="AC118" i="10"/>
  <c r="AD112" i="10"/>
  <c r="X111" i="10"/>
  <c r="X110" i="10"/>
  <c r="V111" i="10"/>
  <c r="V110" i="10"/>
  <c r="AE105" i="10"/>
  <c r="Z105" i="10"/>
  <c r="AA105" i="10"/>
  <c r="AA101" i="10"/>
  <c r="AD101" i="10"/>
  <c r="AD200" i="10"/>
  <c r="W182" i="10"/>
  <c r="AF176" i="10"/>
  <c r="AA176" i="10"/>
  <c r="AD184" i="10"/>
  <c r="Y174" i="10"/>
  <c r="AC172" i="10"/>
  <c r="AF170" i="10"/>
  <c r="AC178" i="10"/>
  <c r="Z172" i="10"/>
  <c r="AC157" i="10"/>
  <c r="Z167" i="10"/>
  <c r="Y167" i="10"/>
  <c r="AB167" i="10"/>
  <c r="H147" i="10"/>
  <c r="V147" i="10" s="1"/>
  <c r="X191" i="10"/>
  <c r="X177" i="10"/>
  <c r="V191" i="10"/>
  <c r="V176" i="10"/>
  <c r="W175" i="10"/>
  <c r="AF182" i="10"/>
  <c r="AA182" i="10"/>
  <c r="AC182" i="10"/>
  <c r="X174" i="10"/>
  <c r="AB172" i="10"/>
  <c r="AC164" i="10"/>
  <c r="T167" i="10"/>
  <c r="AC167" i="10"/>
  <c r="AG167" i="10"/>
  <c r="AD167" i="10"/>
  <c r="AF167" i="10"/>
  <c r="W138" i="10"/>
  <c r="AF128" i="10"/>
  <c r="Z128" i="10"/>
  <c r="W133" i="10"/>
  <c r="AH133" i="10" s="1"/>
  <c r="T127" i="10"/>
  <c r="AG127" i="10"/>
  <c r="AC193" i="10"/>
  <c r="AD193" i="10"/>
  <c r="T198" i="10"/>
  <c r="AB200" i="10"/>
  <c r="Z182" i="10"/>
  <c r="AE182" i="10"/>
  <c r="AF179" i="10"/>
  <c r="AD176" i="10"/>
  <c r="AB183" i="10"/>
  <c r="W174" i="10"/>
  <c r="Z185" i="10"/>
  <c r="AB170" i="10"/>
  <c r="AB164" i="10"/>
  <c r="N187" i="10"/>
  <c r="AB187" i="10" s="1"/>
  <c r="AA128" i="10"/>
  <c r="AD128" i="10"/>
  <c r="Y140" i="10"/>
  <c r="Y176" i="10"/>
  <c r="Y184" i="10"/>
  <c r="V177" i="10"/>
  <c r="AD169" i="10"/>
  <c r="AE179" i="10"/>
  <c r="H187" i="10"/>
  <c r="V187" i="10" s="1"/>
  <c r="AB157" i="10"/>
  <c r="AB121" i="10"/>
  <c r="AC123" i="10"/>
  <c r="Y117" i="10"/>
  <c r="AF115" i="10"/>
  <c r="AG115" i="10"/>
  <c r="X117" i="10"/>
  <c r="AD115" i="10"/>
  <c r="AA113" i="10"/>
  <c r="W117" i="10"/>
  <c r="AE113" i="10"/>
  <c r="AF113" i="10"/>
  <c r="AC115" i="10"/>
  <c r="Y107" i="10"/>
  <c r="Z109" i="10"/>
  <c r="AD109" i="10"/>
  <c r="X107" i="10"/>
  <c r="Y109" i="10"/>
  <c r="AE109" i="10"/>
  <c r="X72" i="10"/>
  <c r="Z71" i="10"/>
  <c r="AB71" i="10"/>
  <c r="W70" i="10"/>
  <c r="AD74" i="10"/>
  <c r="AC74" i="10"/>
  <c r="AF70" i="10"/>
  <c r="AC71" i="10"/>
  <c r="AD59" i="10"/>
  <c r="AB59" i="10"/>
  <c r="AC59" i="10"/>
  <c r="AB56" i="10"/>
  <c r="AB57" i="10"/>
  <c r="Y49" i="10"/>
  <c r="AG41" i="10"/>
  <c r="AF43" i="10"/>
  <c r="AD43" i="10"/>
  <c r="AB41" i="10"/>
  <c r="AC53" i="10"/>
  <c r="AG53" i="10"/>
  <c r="AB51" i="10"/>
  <c r="AC41" i="10"/>
  <c r="AG47" i="10"/>
  <c r="AF51" i="10"/>
  <c r="AC48" i="10"/>
  <c r="AC50" i="10"/>
  <c r="AC42" i="10"/>
  <c r="X42" i="10"/>
  <c r="AG35" i="10"/>
  <c r="AB35" i="10"/>
  <c r="AD35" i="10"/>
  <c r="AF35" i="10"/>
  <c r="AE21" i="10"/>
  <c r="T20" i="10"/>
  <c r="V20" i="10"/>
  <c r="AD21" i="10"/>
  <c r="AF22" i="10"/>
  <c r="AC22" i="10"/>
  <c r="Z22" i="10"/>
  <c r="AD22" i="10"/>
  <c r="I61" i="10"/>
  <c r="W61" i="10" s="1"/>
  <c r="AA22" i="10"/>
  <c r="T22" i="10"/>
  <c r="AG22" i="10"/>
  <c r="S61" i="10"/>
  <c r="T21" i="10"/>
  <c r="AB21" i="10"/>
  <c r="AE20" i="10"/>
  <c r="AD19" i="10"/>
  <c r="AH19" i="10" s="1"/>
  <c r="O202" i="10"/>
  <c r="L202" i="10"/>
  <c r="Z193" i="10"/>
  <c r="AE193" i="10"/>
  <c r="AC183" i="10"/>
  <c r="AC175" i="10"/>
  <c r="T191" i="10"/>
  <c r="AF183" i="10"/>
  <c r="Y180" i="10"/>
  <c r="AE191" i="10"/>
  <c r="AF185" i="10"/>
  <c r="AB179" i="10"/>
  <c r="AF177" i="10"/>
  <c r="T181" i="10"/>
  <c r="T183" i="10"/>
  <c r="AG170" i="10"/>
  <c r="AB184" i="10"/>
  <c r="AG181" i="10"/>
  <c r="Z181" i="10"/>
  <c r="AB176" i="10"/>
  <c r="AE173" i="10"/>
  <c r="AD179" i="10"/>
  <c r="AF175" i="10"/>
  <c r="AF174" i="10"/>
  <c r="X168" i="10"/>
  <c r="Z165" i="10"/>
  <c r="AE165" i="10"/>
  <c r="W168" i="10"/>
  <c r="AF172" i="10"/>
  <c r="AF162" i="10"/>
  <c r="T164" i="10"/>
  <c r="AA160" i="10"/>
  <c r="AB155" i="10"/>
  <c r="AF153" i="10"/>
  <c r="S187" i="10"/>
  <c r="AG187" i="10" s="1"/>
  <c r="Z122" i="10"/>
  <c r="AE122" i="10"/>
  <c r="Y108" i="10"/>
  <c r="T108" i="10"/>
  <c r="AD106" i="10"/>
  <c r="AG106" i="10"/>
  <c r="AF106" i="10"/>
  <c r="Z106" i="10"/>
  <c r="AA106" i="10"/>
  <c r="Y100" i="10"/>
  <c r="T100" i="10"/>
  <c r="T157" i="10"/>
  <c r="Z154" i="10"/>
  <c r="AE154" i="10"/>
  <c r="AA144" i="10"/>
  <c r="AD144" i="10"/>
  <c r="AF156" i="10"/>
  <c r="AG156" i="10"/>
  <c r="AA156" i="10"/>
  <c r="AC140" i="10"/>
  <c r="AG140" i="10"/>
  <c r="AG121" i="10"/>
  <c r="AF119" i="10"/>
  <c r="AA119" i="10"/>
  <c r="AF112" i="10"/>
  <c r="W111" i="10"/>
  <c r="T111" i="10"/>
  <c r="AE162" i="10"/>
  <c r="AD154" i="10"/>
  <c r="J187" i="10"/>
  <c r="X187" i="10" s="1"/>
  <c r="Y143" i="10"/>
  <c r="T133" i="10"/>
  <c r="W129" i="10"/>
  <c r="AG129" i="10"/>
  <c r="S147" i="10"/>
  <c r="AG147" i="10" s="1"/>
  <c r="Z121" i="10"/>
  <c r="AE121" i="10"/>
  <c r="AF158" i="10"/>
  <c r="Z156" i="10"/>
  <c r="AB153" i="10"/>
  <c r="AG142" i="10"/>
  <c r="AD160" i="10"/>
  <c r="Z158" i="10"/>
  <c r="Y158" i="10"/>
  <c r="AG158" i="10"/>
  <c r="AE157" i="10"/>
  <c r="Z155" i="10"/>
  <c r="AE140" i="10"/>
  <c r="AC128" i="10"/>
  <c r="AE123" i="10"/>
  <c r="AB118" i="10"/>
  <c r="AB108" i="10"/>
  <c r="Y135" i="10"/>
  <c r="AD121" i="10"/>
  <c r="AA118" i="10"/>
  <c r="AE115" i="10"/>
  <c r="AA140" i="10"/>
  <c r="AG128" i="10"/>
  <c r="Z123" i="10"/>
  <c r="AB110" i="10"/>
  <c r="AC119" i="10"/>
  <c r="AF104" i="10"/>
  <c r="T112" i="10"/>
  <c r="AE108" i="10"/>
  <c r="AE112" i="10"/>
  <c r="AB181" i="10"/>
  <c r="AF181" i="10"/>
  <c r="W180" i="10"/>
  <c r="AB173" i="10"/>
  <c r="AA183" i="10"/>
  <c r="T179" i="10"/>
  <c r="AF173" i="10"/>
  <c r="AG173" i="10"/>
  <c r="T175" i="10"/>
  <c r="Z173" i="10"/>
  <c r="AA175" i="10"/>
  <c r="T172" i="10"/>
  <c r="AA162" i="10"/>
  <c r="AC165" i="10"/>
  <c r="AC160" i="10"/>
  <c r="R187" i="10"/>
  <c r="AF187" i="10" s="1"/>
  <c r="AD116" i="10"/>
  <c r="AG116" i="10"/>
  <c r="AF116" i="10"/>
  <c r="Y102" i="10"/>
  <c r="T102" i="10"/>
  <c r="AA100" i="10"/>
  <c r="AD100" i="10"/>
  <c r="Z100" i="10"/>
  <c r="AF100" i="10"/>
  <c r="AE100" i="10"/>
  <c r="AG100" i="10"/>
  <c r="AB162" i="10"/>
  <c r="AF160" i="10"/>
  <c r="Q187" i="10"/>
  <c r="AE187" i="10" s="1"/>
  <c r="AE156" i="10"/>
  <c r="AC144" i="10"/>
  <c r="Z162" i="10"/>
  <c r="AA157" i="10"/>
  <c r="T155" i="10"/>
  <c r="AA159" i="10"/>
  <c r="AD158" i="10"/>
  <c r="Z157" i="10"/>
  <c r="M147" i="10"/>
  <c r="AA147" i="10" s="1"/>
  <c r="AD122" i="10"/>
  <c r="AE114" i="10"/>
  <c r="AF142" i="10"/>
  <c r="T129" i="10"/>
  <c r="AD120" i="10"/>
  <c r="AG118" i="10"/>
  <c r="AD114" i="10"/>
  <c r="T120" i="10"/>
  <c r="T114" i="10"/>
  <c r="AF108" i="10"/>
  <c r="AE106" i="10"/>
  <c r="AG193" i="10"/>
  <c r="AG182" i="10"/>
  <c r="AA180" i="10"/>
  <c r="T185" i="10"/>
  <c r="T177" i="10"/>
  <c r="AA170" i="10"/>
  <c r="AD191" i="10"/>
  <c r="AA173" i="10"/>
  <c r="AG184" i="10"/>
  <c r="AB175" i="10"/>
  <c r="AA191" i="10"/>
  <c r="AD177" i="10"/>
  <c r="W169" i="10"/>
  <c r="AC159" i="10"/>
  <c r="Z174" i="10"/>
  <c r="Z170" i="10"/>
  <c r="Y168" i="10"/>
  <c r="AD166" i="10"/>
  <c r="AB159" i="10"/>
  <c r="AF164" i="10"/>
  <c r="AG164" i="10"/>
  <c r="AF159" i="10"/>
  <c r="T165" i="10"/>
  <c r="AG160" i="10"/>
  <c r="AB154" i="10"/>
  <c r="M187" i="10"/>
  <c r="AA187" i="10" s="1"/>
  <c r="AB144" i="10"/>
  <c r="AC122" i="10"/>
  <c r="AC114" i="10"/>
  <c r="AF110" i="10"/>
  <c r="AD110" i="10"/>
  <c r="AC106" i="10"/>
  <c r="Y104" i="10"/>
  <c r="T104" i="10"/>
  <c r="AG102" i="10"/>
  <c r="AA102" i="10"/>
  <c r="AF102" i="10"/>
  <c r="AD102" i="10"/>
  <c r="AF155" i="10"/>
  <c r="L187" i="10"/>
  <c r="Z187" i="10" s="1"/>
  <c r="T162" i="10"/>
  <c r="AC156" i="10"/>
  <c r="AD155" i="10"/>
  <c r="Z140" i="10"/>
  <c r="P187" i="10"/>
  <c r="AD187" i="10" s="1"/>
  <c r="Y139" i="10"/>
  <c r="Y129" i="10"/>
  <c r="AF122" i="10"/>
  <c r="AB116" i="10"/>
  <c r="X141" i="10"/>
  <c r="AC163" i="10"/>
  <c r="T159" i="10"/>
  <c r="AC158" i="10"/>
  <c r="AA158" i="10"/>
  <c r="AB119" i="10"/>
  <c r="AE116" i="10"/>
  <c r="Z114" i="10"/>
  <c r="AB120" i="10"/>
  <c r="Y123" i="10"/>
  <c r="AA116" i="10"/>
  <c r="O147" i="10"/>
  <c r="AC147" i="10" s="1"/>
  <c r="X109" i="10"/>
  <c r="T109" i="10"/>
  <c r="L124" i="10"/>
  <c r="Z124" i="10" s="1"/>
  <c r="AF193" i="10"/>
  <c r="AA193" i="10"/>
  <c r="AC181" i="10"/>
  <c r="AC173" i="10"/>
  <c r="AF191" i="10"/>
  <c r="AB185" i="10"/>
  <c r="Y182" i="10"/>
  <c r="X180" i="10"/>
  <c r="X182" i="10"/>
  <c r="AB180" i="10"/>
  <c r="Z178" i="10"/>
  <c r="AE178" i="10"/>
  <c r="AB191" i="10"/>
  <c r="T184" i="10"/>
  <c r="AB182" i="10"/>
  <c r="Z180" i="10"/>
  <c r="AE180" i="10"/>
  <c r="AG174" i="10"/>
  <c r="AA174" i="10"/>
  <c r="AA172" i="10"/>
  <c r="AC162" i="10"/>
  <c r="AG185" i="10"/>
  <c r="AA181" i="10"/>
  <c r="AC176" i="10"/>
  <c r="T173" i="10"/>
  <c r="P194" i="10"/>
  <c r="AD194" i="10" s="1"/>
  <c r="AE181" i="10"/>
  <c r="T176" i="10"/>
  <c r="AD172" i="10"/>
  <c r="AF165" i="10"/>
  <c r="AA165" i="10"/>
  <c r="AC166" i="10"/>
  <c r="AG166" i="10"/>
  <c r="AD165" i="10"/>
  <c r="T170" i="10"/>
  <c r="AG165" i="10"/>
  <c r="AG162" i="10"/>
  <c r="AF157" i="10"/>
  <c r="AE170" i="10"/>
  <c r="W163" i="10"/>
  <c r="AB160" i="10"/>
  <c r="X139" i="10"/>
  <c r="Y122" i="10"/>
  <c r="T122" i="10"/>
  <c r="AC116" i="10"/>
  <c r="Z112" i="10"/>
  <c r="AB112" i="10"/>
  <c r="AC108" i="10"/>
  <c r="Y106" i="10"/>
  <c r="T106" i="10"/>
  <c r="AB104" i="10"/>
  <c r="AE104" i="10"/>
  <c r="AC100" i="10"/>
  <c r="AA161" i="10"/>
  <c r="AF154" i="10"/>
  <c r="AA154" i="10"/>
  <c r="AF144" i="10"/>
  <c r="Z144" i="10"/>
  <c r="AB156" i="10"/>
  <c r="W142" i="10"/>
  <c r="AB140" i="10"/>
  <c r="AD140" i="10"/>
  <c r="Y138" i="10"/>
  <c r="AB122" i="10"/>
  <c r="AB114" i="10"/>
  <c r="AG111" i="10"/>
  <c r="AB111" i="10"/>
  <c r="AC111" i="10"/>
  <c r="W141" i="10"/>
  <c r="AF121" i="10"/>
  <c r="AA121" i="10"/>
  <c r="AG157" i="10"/>
  <c r="I187" i="10"/>
  <c r="W187" i="10" s="1"/>
  <c r="Y141" i="10"/>
  <c r="AB158" i="10"/>
  <c r="AE158" i="10"/>
  <c r="AF123" i="10"/>
  <c r="AG123" i="10"/>
  <c r="AA123" i="10"/>
  <c r="T118" i="10"/>
  <c r="Z116" i="10"/>
  <c r="AB128" i="10"/>
  <c r="AB142" i="10"/>
  <c r="T110" i="10"/>
  <c r="T116" i="10"/>
  <c r="AB106" i="10"/>
  <c r="AG103" i="10"/>
  <c r="D33" i="6" s="1"/>
  <c r="AC103" i="10"/>
  <c r="AB103" i="10"/>
  <c r="AD103" i="10"/>
  <c r="AG108" i="10"/>
  <c r="AG72" i="10"/>
  <c r="AA72" i="10"/>
  <c r="AC98" i="10"/>
  <c r="AE74" i="10"/>
  <c r="AB73" i="10"/>
  <c r="AE60" i="10"/>
  <c r="Z60" i="10"/>
  <c r="AD60" i="10"/>
  <c r="AG60" i="10"/>
  <c r="AA60" i="10"/>
  <c r="T54" i="10"/>
  <c r="Y54" i="10"/>
  <c r="AE52" i="10"/>
  <c r="Z52" i="10"/>
  <c r="AD52" i="10"/>
  <c r="AG52" i="10"/>
  <c r="AA52" i="10"/>
  <c r="T46" i="10"/>
  <c r="Y46" i="10"/>
  <c r="AD44" i="10"/>
  <c r="AE44" i="10"/>
  <c r="AA44" i="10"/>
  <c r="AG44" i="10"/>
  <c r="Z44" i="10"/>
  <c r="Y38" i="10"/>
  <c r="T38" i="10"/>
  <c r="AG36" i="10"/>
  <c r="D23" i="6" s="1"/>
  <c r="AA36" i="10"/>
  <c r="AE36" i="10"/>
  <c r="Z36" i="10"/>
  <c r="AD36" i="10"/>
  <c r="Z92" i="10"/>
  <c r="AB92" i="10"/>
  <c r="J124" i="10"/>
  <c r="X124" i="10" s="1"/>
  <c r="X91" i="10"/>
  <c r="W75" i="10"/>
  <c r="T74" i="10"/>
  <c r="T68" i="10"/>
  <c r="R78" i="10"/>
  <c r="T65" i="10"/>
  <c r="T59" i="10"/>
  <c r="W59" i="10"/>
  <c r="T51" i="10"/>
  <c r="W51" i="10"/>
  <c r="W43" i="10"/>
  <c r="T43" i="10"/>
  <c r="T28" i="10"/>
  <c r="V28" i="10"/>
  <c r="AH28" i="10" s="1"/>
  <c r="AG93" i="10"/>
  <c r="D39" i="6" s="1"/>
  <c r="AE73" i="10"/>
  <c r="AC68" i="10"/>
  <c r="AB60" i="10"/>
  <c r="AE72" i="10"/>
  <c r="AF67" i="10"/>
  <c r="AB58" i="10"/>
  <c r="W30" i="10"/>
  <c r="AB42" i="10"/>
  <c r="T30" i="10"/>
  <c r="T67" i="10"/>
  <c r="Y67" i="10"/>
  <c r="AF105" i="10"/>
  <c r="AG98" i="10"/>
  <c r="Z74" i="10"/>
  <c r="Y56" i="10"/>
  <c r="T56" i="10"/>
  <c r="AG54" i="10"/>
  <c r="AA54" i="10"/>
  <c r="AE54" i="10"/>
  <c r="Z54" i="10"/>
  <c r="AD54" i="10"/>
  <c r="T48" i="10"/>
  <c r="Y48" i="10"/>
  <c r="AE46" i="10"/>
  <c r="Z46" i="10"/>
  <c r="AG46" i="10"/>
  <c r="AD46" i="10"/>
  <c r="AA46" i="10"/>
  <c r="T40" i="10"/>
  <c r="Y40" i="10"/>
  <c r="AD38" i="10"/>
  <c r="AG38" i="10"/>
  <c r="D25" i="6" s="1"/>
  <c r="AA38" i="10"/>
  <c r="AE38" i="10"/>
  <c r="Z38" i="10"/>
  <c r="T31" i="10"/>
  <c r="Y31" i="10"/>
  <c r="O124" i="10"/>
  <c r="AC124" i="10" s="1"/>
  <c r="AC91" i="10"/>
  <c r="M78" i="10"/>
  <c r="L78" i="10"/>
  <c r="Z65" i="10"/>
  <c r="T53" i="10"/>
  <c r="W53" i="10"/>
  <c r="T45" i="10"/>
  <c r="W45" i="10"/>
  <c r="W37" i="10"/>
  <c r="T37" i="10"/>
  <c r="W29" i="10"/>
  <c r="AH29" i="10" s="1"/>
  <c r="T29" i="10"/>
  <c r="AA92" i="10"/>
  <c r="AF72" i="10"/>
  <c r="AB52" i="10"/>
  <c r="Z72" i="10"/>
  <c r="AA74" i="10"/>
  <c r="V66" i="10"/>
  <c r="AF56" i="10"/>
  <c r="T55" i="10"/>
  <c r="I78" i="10"/>
  <c r="AB36" i="10"/>
  <c r="AF36" i="10"/>
  <c r="N61" i="10"/>
  <c r="AB61" i="10" s="1"/>
  <c r="AH11" i="10"/>
  <c r="J61" i="10"/>
  <c r="X61" i="10" s="1"/>
  <c r="T35" i="10"/>
  <c r="Y30" i="10"/>
  <c r="AA115" i="10"/>
  <c r="X131" i="10"/>
  <c r="AC113" i="10"/>
  <c r="AG113" i="10"/>
  <c r="AF103" i="10"/>
  <c r="AA103" i="10"/>
  <c r="AC105" i="10"/>
  <c r="AG105" i="10"/>
  <c r="AG109" i="10"/>
  <c r="AF109" i="10"/>
  <c r="W109" i="10"/>
  <c r="AC72" i="10"/>
  <c r="AC78" i="10" s="1"/>
  <c r="Y69" i="10"/>
  <c r="T69" i="10"/>
  <c r="AA67" i="10"/>
  <c r="AG67" i="10"/>
  <c r="Z67" i="10"/>
  <c r="AE67" i="10"/>
  <c r="AD67" i="10"/>
  <c r="AG74" i="10"/>
  <c r="T73" i="10"/>
  <c r="V73" i="10"/>
  <c r="AB95" i="10"/>
  <c r="AB101" i="10"/>
  <c r="AE101" i="10"/>
  <c r="X96" i="10"/>
  <c r="Z95" i="10"/>
  <c r="AE95" i="10"/>
  <c r="AC99" i="10"/>
  <c r="AG99" i="10"/>
  <c r="T98" i="10"/>
  <c r="AA98" i="10"/>
  <c r="Z96" i="10"/>
  <c r="Y94" i="10"/>
  <c r="AB72" i="10"/>
  <c r="AG68" i="10"/>
  <c r="AB68" i="10"/>
  <c r="AC60" i="10"/>
  <c r="Y58" i="10"/>
  <c r="T58" i="10"/>
  <c r="AG56" i="10"/>
  <c r="AA56" i="10"/>
  <c r="AE56" i="10"/>
  <c r="AD56" i="10"/>
  <c r="Z56" i="10"/>
  <c r="AC52" i="10"/>
  <c r="Y50" i="10"/>
  <c r="T50" i="10"/>
  <c r="AG48" i="10"/>
  <c r="AA48" i="10"/>
  <c r="Z48" i="10"/>
  <c r="AE48" i="10"/>
  <c r="AD48" i="10"/>
  <c r="AC44" i="10"/>
  <c r="T42" i="10"/>
  <c r="Y42" i="10"/>
  <c r="AG40" i="10"/>
  <c r="AA40" i="10"/>
  <c r="Z40" i="10"/>
  <c r="AE40" i="10"/>
  <c r="AD40" i="10"/>
  <c r="AC36" i="10"/>
  <c r="T34" i="10"/>
  <c r="Y34" i="10"/>
  <c r="AE31" i="10"/>
  <c r="Z31" i="10"/>
  <c r="AD31" i="10"/>
  <c r="AA31" i="10"/>
  <c r="AG31" i="10"/>
  <c r="D20" i="6" s="1"/>
  <c r="Y75" i="10"/>
  <c r="W71" i="10"/>
  <c r="W78" i="10" s="1"/>
  <c r="AE71" i="10"/>
  <c r="AF71" i="10"/>
  <c r="N78" i="10"/>
  <c r="J78" i="10"/>
  <c r="P78" i="10"/>
  <c r="AD65" i="10"/>
  <c r="T32" i="10"/>
  <c r="V32" i="10"/>
  <c r="AH32" i="10" s="1"/>
  <c r="AF93" i="10"/>
  <c r="AB74" i="10"/>
  <c r="T72" i="10"/>
  <c r="T66" i="10"/>
  <c r="V71" i="10"/>
  <c r="O78" i="10"/>
  <c r="AB54" i="10"/>
  <c r="AB46" i="10"/>
  <c r="AD72" i="10"/>
  <c r="AD71" i="10"/>
  <c r="AF54" i="10"/>
  <c r="AF38" i="10"/>
  <c r="AF40" i="10"/>
  <c r="AF48" i="10"/>
  <c r="AG71" i="10"/>
  <c r="AF46" i="10"/>
  <c r="Q61" i="10"/>
  <c r="AE61" i="10" s="1"/>
  <c r="L61" i="10"/>
  <c r="Z61" i="10" s="1"/>
  <c r="H61" i="10"/>
  <c r="V61" i="10" s="1"/>
  <c r="R61" i="10"/>
  <c r="AF61" i="10" s="1"/>
  <c r="AH21" i="10"/>
  <c r="W113" i="10"/>
  <c r="Z103" i="10"/>
  <c r="AE103" i="10"/>
  <c r="W107" i="10"/>
  <c r="AA109" i="10"/>
  <c r="AC93" i="10"/>
  <c r="Z69" i="10"/>
  <c r="AE69" i="10"/>
  <c r="AF73" i="10"/>
  <c r="Z73" i="10"/>
  <c r="AB93" i="10"/>
  <c r="AF94" i="10"/>
  <c r="Z94" i="10"/>
  <c r="Z98" i="10"/>
  <c r="AF98" i="10"/>
  <c r="AG73" i="10"/>
  <c r="AF69" i="10"/>
  <c r="T60" i="10"/>
  <c r="Y60" i="10"/>
  <c r="AD58" i="10"/>
  <c r="AA58" i="10"/>
  <c r="Z58" i="10"/>
  <c r="AG58" i="10"/>
  <c r="AE58" i="10"/>
  <c r="AC54" i="10"/>
  <c r="T52" i="10"/>
  <c r="Y52" i="10"/>
  <c r="AD50" i="10"/>
  <c r="AE50" i="10"/>
  <c r="AA50" i="10"/>
  <c r="Z50" i="10"/>
  <c r="AG50" i="10"/>
  <c r="AC46" i="10"/>
  <c r="Y44" i="10"/>
  <c r="T44" i="10"/>
  <c r="AD42" i="10"/>
  <c r="AA42" i="10"/>
  <c r="AG42" i="10"/>
  <c r="Z42" i="10"/>
  <c r="AE42" i="10"/>
  <c r="AC38" i="10"/>
  <c r="T36" i="10"/>
  <c r="Y36" i="10"/>
  <c r="AE34" i="10"/>
  <c r="Z34" i="10"/>
  <c r="AG34" i="10"/>
  <c r="D27" i="6" s="1"/>
  <c r="AD34" i="10"/>
  <c r="AA34" i="10"/>
  <c r="T93" i="10"/>
  <c r="AC92" i="10"/>
  <c r="R124" i="10"/>
  <c r="AF124" i="10" s="1"/>
  <c r="X75" i="10"/>
  <c r="V70" i="10"/>
  <c r="AH70" i="10" s="1"/>
  <c r="T70" i="10"/>
  <c r="K78" i="10"/>
  <c r="Y66" i="10"/>
  <c r="Q78" i="10"/>
  <c r="AE66" i="10"/>
  <c r="X78" i="10"/>
  <c r="W41" i="10"/>
  <c r="T41" i="10"/>
  <c r="W33" i="10"/>
  <c r="T33" i="10"/>
  <c r="AF50" i="10"/>
  <c r="AF60" i="10"/>
  <c r="AF52" i="10"/>
  <c r="AF44" i="10"/>
  <c r="T71" i="10"/>
  <c r="AB69" i="10"/>
  <c r="AB50" i="10"/>
  <c r="AB31" i="10"/>
  <c r="T57" i="10"/>
  <c r="T47" i="10"/>
  <c r="AB44" i="10"/>
  <c r="T49" i="10"/>
  <c r="T39" i="10"/>
  <c r="M61" i="10"/>
  <c r="AA61" i="10" s="1"/>
  <c r="O61" i="10"/>
  <c r="AC61" i="10" s="1"/>
  <c r="AF31" i="10"/>
  <c r="K61" i="10"/>
  <c r="Y61" i="10" s="1"/>
  <c r="AF34" i="10"/>
  <c r="P61" i="10"/>
  <c r="AD61" i="10" s="1"/>
  <c r="V200" i="10"/>
  <c r="T200" i="10"/>
  <c r="T202" i="10" s="1"/>
  <c r="AC202" i="10"/>
  <c r="V192" i="10"/>
  <c r="T192" i="10"/>
  <c r="Z202" i="10"/>
  <c r="V193" i="10"/>
  <c r="T193" i="10"/>
  <c r="S202" i="10"/>
  <c r="AG198" i="10"/>
  <c r="K202" i="10"/>
  <c r="Y198" i="10"/>
  <c r="I202" i="10"/>
  <c r="W198" i="10"/>
  <c r="M202" i="10"/>
  <c r="AA198" i="10"/>
  <c r="Q202" i="10"/>
  <c r="AE198" i="10"/>
  <c r="J202" i="10"/>
  <c r="X198" i="10"/>
  <c r="N202" i="10"/>
  <c r="AB198" i="10"/>
  <c r="R202" i="10"/>
  <c r="AF198" i="10"/>
  <c r="AE185" i="10"/>
  <c r="AA185" i="10"/>
  <c r="AD183" i="10"/>
  <c r="AE183" i="10"/>
  <c r="Z183" i="10"/>
  <c r="AG179" i="10"/>
  <c r="AA179" i="10"/>
  <c r="AE177" i="10"/>
  <c r="Z177" i="10"/>
  <c r="AG177" i="10"/>
  <c r="AA177" i="10"/>
  <c r="Z175" i="10"/>
  <c r="AE175" i="10"/>
  <c r="AD175" i="10"/>
  <c r="AD202" i="10"/>
  <c r="V202" i="10"/>
  <c r="R194" i="10"/>
  <c r="AF194" i="10" s="1"/>
  <c r="AF190" i="10"/>
  <c r="L194" i="10"/>
  <c r="Z194" i="10" s="1"/>
  <c r="Z190" i="10"/>
  <c r="I194" i="10"/>
  <c r="W194" i="10" s="1"/>
  <c r="W190" i="10"/>
  <c r="M194" i="10"/>
  <c r="AA194" i="10" s="1"/>
  <c r="AA190" i="10"/>
  <c r="Q194" i="10"/>
  <c r="AE194" i="10" s="1"/>
  <c r="AE190" i="10"/>
  <c r="K194" i="10"/>
  <c r="Y194" i="10" s="1"/>
  <c r="Y190" i="10"/>
  <c r="V178" i="10"/>
  <c r="T178" i="10"/>
  <c r="O194" i="10"/>
  <c r="AC194" i="10" s="1"/>
  <c r="AC190" i="10"/>
  <c r="J194" i="10"/>
  <c r="X194" i="10" s="1"/>
  <c r="X190" i="10"/>
  <c r="V180" i="10"/>
  <c r="T180" i="10"/>
  <c r="S194" i="10"/>
  <c r="AG194" i="10" s="1"/>
  <c r="AG190" i="10"/>
  <c r="N194" i="10"/>
  <c r="AB194" i="10" s="1"/>
  <c r="AB190" i="10"/>
  <c r="V190" i="10"/>
  <c r="H194" i="10"/>
  <c r="V194" i="10" s="1"/>
  <c r="T190" i="10"/>
  <c r="T194" i="10" s="1"/>
  <c r="V182" i="10"/>
  <c r="T182" i="10"/>
  <c r="V174" i="10"/>
  <c r="T174" i="10"/>
  <c r="V169" i="10"/>
  <c r="AH169" i="10" s="1"/>
  <c r="T169" i="10"/>
  <c r="AE164" i="10"/>
  <c r="Z164" i="10"/>
  <c r="AD164" i="10"/>
  <c r="AE159" i="10"/>
  <c r="Z159" i="10"/>
  <c r="AD159" i="10"/>
  <c r="AG155" i="10"/>
  <c r="AA155" i="10"/>
  <c r="O187" i="10"/>
  <c r="AC187" i="10" s="1"/>
  <c r="AC153" i="10"/>
  <c r="K187" i="10"/>
  <c r="Y187" i="10" s="1"/>
  <c r="Y153" i="10"/>
  <c r="Z153" i="10"/>
  <c r="AG153" i="10"/>
  <c r="AE153" i="10"/>
  <c r="AA153" i="10"/>
  <c r="T171" i="10"/>
  <c r="V171" i="10"/>
  <c r="AH171" i="10" s="1"/>
  <c r="T168" i="10"/>
  <c r="V168" i="10"/>
  <c r="T166" i="10"/>
  <c r="V166" i="10"/>
  <c r="V163" i="10"/>
  <c r="T163" i="10"/>
  <c r="V161" i="10"/>
  <c r="T161" i="10"/>
  <c r="V154" i="10"/>
  <c r="T154" i="10"/>
  <c r="T143" i="10"/>
  <c r="V143" i="10"/>
  <c r="T139" i="10"/>
  <c r="V139" i="10"/>
  <c r="AG122" i="10"/>
  <c r="AA122" i="10"/>
  <c r="Z120" i="10"/>
  <c r="AG120" i="10"/>
  <c r="AE120" i="10"/>
  <c r="AA120" i="10"/>
  <c r="AE118" i="10"/>
  <c r="AD118" i="10"/>
  <c r="Z118" i="10"/>
  <c r="AA114" i="10"/>
  <c r="AG114" i="10"/>
  <c r="AA112" i="10"/>
  <c r="AG112" i="10"/>
  <c r="AE110" i="10"/>
  <c r="AA110" i="10"/>
  <c r="Z110" i="10"/>
  <c r="AD108" i="10"/>
  <c r="Z108" i="10"/>
  <c r="AA104" i="10"/>
  <c r="AG104" i="10"/>
  <c r="Z104" i="10"/>
  <c r="Z102" i="10"/>
  <c r="AE102" i="10"/>
  <c r="T144" i="10"/>
  <c r="V144" i="10"/>
  <c r="V156" i="10"/>
  <c r="T156" i="10"/>
  <c r="T142" i="10"/>
  <c r="V142" i="10"/>
  <c r="T140" i="10"/>
  <c r="V140" i="10"/>
  <c r="T138" i="10"/>
  <c r="V138" i="10"/>
  <c r="V136" i="10"/>
  <c r="AH136" i="10" s="1"/>
  <c r="T136" i="10"/>
  <c r="V132" i="10"/>
  <c r="AH132" i="10" s="1"/>
  <c r="T132" i="10"/>
  <c r="T128" i="10"/>
  <c r="V128" i="10"/>
  <c r="V121" i="10"/>
  <c r="T121" i="10"/>
  <c r="W119" i="10"/>
  <c r="T119" i="10"/>
  <c r="V145" i="10"/>
  <c r="T145" i="10"/>
  <c r="V141" i="10"/>
  <c r="T141" i="10"/>
  <c r="V137" i="10"/>
  <c r="T137" i="10"/>
  <c r="V134" i="10"/>
  <c r="AH134" i="10" s="1"/>
  <c r="T134" i="10"/>
  <c r="V158" i="10"/>
  <c r="T158" i="10"/>
  <c r="V123" i="10"/>
  <c r="T123" i="10"/>
  <c r="V135" i="10"/>
  <c r="AH135" i="10" s="1"/>
  <c r="T135" i="10"/>
  <c r="I147" i="10"/>
  <c r="W147" i="10" s="1"/>
  <c r="W127" i="10"/>
  <c r="K147" i="10"/>
  <c r="Y147" i="10" s="1"/>
  <c r="Y127" i="10"/>
  <c r="P147" i="10"/>
  <c r="AD147" i="10" s="1"/>
  <c r="AD127" i="10"/>
  <c r="L147" i="10"/>
  <c r="Z147" i="10" s="1"/>
  <c r="Z127" i="10"/>
  <c r="AE127" i="10"/>
  <c r="Q147" i="10"/>
  <c r="AE147" i="10" s="1"/>
  <c r="X127" i="10"/>
  <c r="J147" i="10"/>
  <c r="X147" i="10" s="1"/>
  <c r="N147" i="10"/>
  <c r="AB147" i="10" s="1"/>
  <c r="AB127" i="10"/>
  <c r="R147" i="10"/>
  <c r="AF147" i="10" s="1"/>
  <c r="AF127" i="10"/>
  <c r="V115" i="10"/>
  <c r="T115" i="10"/>
  <c r="V131" i="10"/>
  <c r="AH131" i="10" s="1"/>
  <c r="T131" i="10"/>
  <c r="V117" i="10"/>
  <c r="T117" i="10"/>
  <c r="V113" i="10"/>
  <c r="T113" i="10"/>
  <c r="V130" i="10"/>
  <c r="AH130" i="10" s="1"/>
  <c r="T130" i="10"/>
  <c r="W103" i="10"/>
  <c r="T103" i="10"/>
  <c r="V107" i="10"/>
  <c r="T107" i="10"/>
  <c r="V105" i="10"/>
  <c r="T105" i="10"/>
  <c r="T97" i="10"/>
  <c r="V97" i="10"/>
  <c r="AH97" i="10" s="1"/>
  <c r="AE93" i="10"/>
  <c r="Z93" i="10"/>
  <c r="AD93" i="10"/>
  <c r="AG69" i="10"/>
  <c r="AA69" i="10"/>
  <c r="V95" i="10"/>
  <c r="AH95" i="10" s="1"/>
  <c r="T95" i="10"/>
  <c r="V101" i="10"/>
  <c r="T101" i="10"/>
  <c r="V96" i="10"/>
  <c r="AH96" i="10" s="1"/>
  <c r="T96" i="10"/>
  <c r="T94" i="10"/>
  <c r="V94" i="10"/>
  <c r="AH94" i="10" s="1"/>
  <c r="V99" i="10"/>
  <c r="T99" i="10"/>
  <c r="K124" i="10"/>
  <c r="Y124" i="10" s="1"/>
  <c r="Y91" i="10"/>
  <c r="P124" i="10"/>
  <c r="AD124" i="10" s="1"/>
  <c r="AD91" i="10"/>
  <c r="H124" i="10"/>
  <c r="V124" i="10" s="1"/>
  <c r="V91" i="10"/>
  <c r="T91" i="10"/>
  <c r="N124" i="10"/>
  <c r="AB124" i="10" s="1"/>
  <c r="AB91" i="10"/>
  <c r="S124" i="10"/>
  <c r="AG91" i="10"/>
  <c r="D37" i="6" s="1"/>
  <c r="I124" i="10"/>
  <c r="W124" i="10" s="1"/>
  <c r="W91" i="10"/>
  <c r="M124" i="10"/>
  <c r="AA124" i="10" s="1"/>
  <c r="AA91" i="10"/>
  <c r="Q124" i="10"/>
  <c r="AE124" i="10" s="1"/>
  <c r="AE91" i="10"/>
  <c r="T75" i="10"/>
  <c r="V75" i="10"/>
  <c r="H78" i="10"/>
  <c r="V65" i="10"/>
  <c r="S78" i="10"/>
  <c r="AG65" i="10"/>
  <c r="AH27" i="10" l="1"/>
  <c r="AH17" i="10"/>
  <c r="AH93" i="10"/>
  <c r="AH15" i="10"/>
  <c r="AH13" i="10"/>
  <c r="AH25" i="10"/>
  <c r="Y78" i="10"/>
  <c r="AB78" i="10"/>
  <c r="AH20" i="10"/>
  <c r="AH18" i="10"/>
  <c r="P8" i="6"/>
  <c r="P20" i="6"/>
  <c r="P14" i="6"/>
  <c r="Q4" i="10"/>
  <c r="AD4" i="10"/>
  <c r="P16" i="6"/>
  <c r="AH23" i="10"/>
  <c r="AH71" i="10"/>
  <c r="AH22" i="10"/>
  <c r="P18" i="6"/>
  <c r="AH91" i="10"/>
  <c r="V78" i="10"/>
  <c r="AH92" i="10"/>
  <c r="AH30" i="10"/>
  <c r="AH170" i="10"/>
  <c r="P15" i="6"/>
  <c r="T187" i="10"/>
  <c r="U187" i="10" s="1"/>
  <c r="T147" i="10"/>
  <c r="U147" i="10" s="1"/>
  <c r="AH129" i="10"/>
  <c r="AA78" i="10"/>
  <c r="AH72" i="10"/>
  <c r="AH74" i="10"/>
  <c r="AH75" i="10"/>
  <c r="AF78" i="10"/>
  <c r="T61" i="10"/>
  <c r="P204" i="10"/>
  <c r="AD204" i="10" s="1"/>
  <c r="U194" i="10"/>
  <c r="H204" i="10"/>
  <c r="V204" i="10" s="1"/>
  <c r="L204" i="10"/>
  <c r="Z204" i="10" s="1"/>
  <c r="O204" i="10"/>
  <c r="AC204" i="10" s="1"/>
  <c r="AE78" i="10"/>
  <c r="Z78" i="10"/>
  <c r="AG78" i="10"/>
  <c r="T124" i="10"/>
  <c r="U124" i="10" s="1"/>
  <c r="AD78" i="10"/>
  <c r="AH73" i="10"/>
  <c r="AH31" i="10"/>
  <c r="T78" i="10"/>
  <c r="U78" i="10" s="1"/>
  <c r="R204" i="10"/>
  <c r="AF204" i="10" s="1"/>
  <c r="AF202" i="10"/>
  <c r="N204" i="10"/>
  <c r="AB204" i="10" s="1"/>
  <c r="AB202" i="10"/>
  <c r="J204" i="10"/>
  <c r="X204" i="10" s="1"/>
  <c r="X202" i="10"/>
  <c r="Q204" i="10"/>
  <c r="AE204" i="10" s="1"/>
  <c r="AE202" i="10"/>
  <c r="M204" i="10"/>
  <c r="AA204" i="10" s="1"/>
  <c r="AA202" i="10"/>
  <c r="I204" i="10"/>
  <c r="W204" i="10" s="1"/>
  <c r="W202" i="10"/>
  <c r="K204" i="10"/>
  <c r="Y204" i="10" s="1"/>
  <c r="Y202" i="10"/>
  <c r="S204" i="10"/>
  <c r="AG204" i="10" s="1"/>
  <c r="AG202" i="10"/>
  <c r="AE4" i="10" l="1"/>
  <c r="R4" i="10"/>
  <c r="T204" i="10"/>
  <c r="T207" i="10" s="1"/>
  <c r="S4" i="10" l="1"/>
  <c r="AG4" i="10" s="1"/>
  <c r="AF4" i="10"/>
  <c r="A1" i="9" l="1"/>
  <c r="A1" i="6" l="1"/>
  <c r="C73" i="6" l="1"/>
  <c r="C74" i="6" s="1"/>
  <c r="M67" i="6"/>
  <c r="G67" i="6"/>
  <c r="M66" i="6"/>
  <c r="G66" i="6"/>
  <c r="M65" i="6"/>
  <c r="G65" i="6"/>
  <c r="M64" i="6"/>
  <c r="G64" i="6"/>
  <c r="M63" i="6"/>
  <c r="G63" i="6"/>
  <c r="M62" i="6"/>
  <c r="G62" i="6"/>
  <c r="M61" i="6"/>
  <c r="G61" i="6"/>
  <c r="M60" i="6"/>
  <c r="G60" i="6"/>
  <c r="M59" i="6"/>
  <c r="G59" i="6"/>
  <c r="M58" i="6"/>
  <c r="G58" i="6"/>
  <c r="M57" i="6"/>
  <c r="G57" i="6"/>
  <c r="M56" i="6"/>
  <c r="G56" i="6"/>
  <c r="M55" i="6"/>
  <c r="G55" i="6"/>
  <c r="M54" i="6"/>
  <c r="G54" i="6"/>
  <c r="M53" i="6"/>
  <c r="G53" i="6"/>
  <c r="M52" i="6"/>
  <c r="G52" i="6"/>
  <c r="M51" i="6"/>
  <c r="G51" i="6"/>
  <c r="M49" i="6"/>
  <c r="G49" i="6"/>
  <c r="M48" i="6"/>
  <c r="G48" i="6"/>
  <c r="M47" i="6"/>
  <c r="G47" i="6"/>
  <c r="M46" i="6"/>
  <c r="G46" i="6"/>
  <c r="M39" i="6"/>
  <c r="G39" i="6"/>
  <c r="M38" i="6"/>
  <c r="G38" i="6"/>
  <c r="M37" i="6"/>
  <c r="G37" i="6"/>
  <c r="M36" i="6"/>
  <c r="G36" i="6"/>
  <c r="D41" i="6"/>
  <c r="M35" i="6"/>
  <c r="G35" i="6"/>
  <c r="M34" i="6"/>
  <c r="G34" i="6"/>
  <c r="M33" i="6"/>
  <c r="G33" i="6"/>
  <c r="D32" i="6"/>
  <c r="B53" i="5"/>
  <c r="C52" i="5"/>
  <c r="G54" i="5"/>
  <c r="G56" i="5" s="1"/>
  <c r="C51" i="5"/>
  <c r="B12" i="5"/>
  <c r="E11" i="5"/>
  <c r="B11" i="5"/>
  <c r="E10" i="5"/>
  <c r="D10" i="5"/>
  <c r="B10" i="5"/>
  <c r="H10" i="5" s="1"/>
  <c r="B9" i="5"/>
  <c r="F9" i="5" s="1"/>
  <c r="B8" i="5"/>
  <c r="E8" i="5" s="1"/>
  <c r="E7" i="5"/>
  <c r="B7" i="5"/>
  <c r="H7" i="5" s="1"/>
  <c r="H6" i="5"/>
  <c r="E6" i="5"/>
  <c r="D6" i="5"/>
  <c r="B6" i="5"/>
  <c r="G6" i="5" s="1"/>
  <c r="C9" i="5" l="1"/>
  <c r="H9" i="5"/>
  <c r="G9" i="5"/>
  <c r="D9" i="5"/>
  <c r="E65" i="6"/>
  <c r="F65" i="6" s="1"/>
  <c r="E9" i="6"/>
  <c r="F9" i="6" s="1"/>
  <c r="H9" i="6" s="1"/>
  <c r="E8" i="6"/>
  <c r="F8" i="6" s="1"/>
  <c r="H8" i="6" s="1"/>
  <c r="E11" i="6"/>
  <c r="F11" i="6" s="1"/>
  <c r="H11" i="6" s="1"/>
  <c r="E6" i="6"/>
  <c r="F6" i="6" s="1"/>
  <c r="H6" i="6" s="1"/>
  <c r="E10" i="6"/>
  <c r="F10" i="6" s="1"/>
  <c r="H10" i="6" s="1"/>
  <c r="E38" i="6"/>
  <c r="F38" i="6" s="1"/>
  <c r="E14" i="6"/>
  <c r="F14" i="6" s="1"/>
  <c r="H14" i="6" s="1"/>
  <c r="E13" i="6"/>
  <c r="F13" i="6" s="1"/>
  <c r="H13" i="6" s="1"/>
  <c r="E16" i="6"/>
  <c r="F16" i="6" s="1"/>
  <c r="H16" i="6" s="1"/>
  <c r="E15" i="6"/>
  <c r="F15" i="6" s="1"/>
  <c r="H15" i="6" s="1"/>
  <c r="E57" i="6"/>
  <c r="F57" i="6" s="1"/>
  <c r="E19" i="6"/>
  <c r="F19" i="6" s="1"/>
  <c r="H19" i="6" s="1"/>
  <c r="E24" i="6"/>
  <c r="F24" i="6" s="1"/>
  <c r="E28" i="6"/>
  <c r="F28" i="6" s="1"/>
  <c r="E18" i="6"/>
  <c r="F18" i="6" s="1"/>
  <c r="H18" i="6" s="1"/>
  <c r="E23" i="6"/>
  <c r="F23" i="6" s="1"/>
  <c r="E27" i="6"/>
  <c r="F27" i="6" s="1"/>
  <c r="E30" i="6"/>
  <c r="F30" i="6" s="1"/>
  <c r="E21" i="6"/>
  <c r="F21" i="6" s="1"/>
  <c r="H21" i="6" s="1"/>
  <c r="E26" i="6"/>
  <c r="F26" i="6" s="1"/>
  <c r="E20" i="6"/>
  <c r="F20" i="6" s="1"/>
  <c r="H20" i="6" s="1"/>
  <c r="E25" i="6"/>
  <c r="F25" i="6" s="1"/>
  <c r="E9" i="5"/>
  <c r="D42" i="6"/>
  <c r="R51" i="6"/>
  <c r="C44" i="9"/>
  <c r="D44" i="9" s="1"/>
  <c r="B54" i="5"/>
  <c r="C53" i="5"/>
  <c r="B57" i="5"/>
  <c r="B58" i="5" s="1"/>
  <c r="B60" i="5" s="1"/>
  <c r="E37" i="6"/>
  <c r="F37" i="6" s="1"/>
  <c r="P37" i="6" s="1"/>
  <c r="E54" i="6"/>
  <c r="F54" i="6" s="1"/>
  <c r="H54" i="6" s="1"/>
  <c r="E56" i="6"/>
  <c r="F56" i="6" s="1"/>
  <c r="H56" i="6" s="1"/>
  <c r="E60" i="6"/>
  <c r="F60" i="6" s="1"/>
  <c r="H60" i="6" s="1"/>
  <c r="E64" i="6"/>
  <c r="F64" i="6" s="1"/>
  <c r="H64" i="6" s="1"/>
  <c r="F8" i="5"/>
  <c r="C8" i="5"/>
  <c r="F11" i="5"/>
  <c r="C12" i="5"/>
  <c r="G12" i="5"/>
  <c r="E35" i="6"/>
  <c r="F35" i="6" s="1"/>
  <c r="P35" i="6" s="1"/>
  <c r="E36" i="6"/>
  <c r="F36" i="6" s="1"/>
  <c r="P36" i="6" s="1"/>
  <c r="E49" i="6"/>
  <c r="F49" i="6" s="1"/>
  <c r="H49" i="6" s="1"/>
  <c r="E53" i="6"/>
  <c r="F53" i="6" s="1"/>
  <c r="H53" i="6" s="1"/>
  <c r="E55" i="6"/>
  <c r="F55" i="6" s="1"/>
  <c r="H55" i="6" s="1"/>
  <c r="E59" i="6"/>
  <c r="F59" i="6" s="1"/>
  <c r="H59" i="6" s="1"/>
  <c r="E63" i="6"/>
  <c r="F63" i="6" s="1"/>
  <c r="H63" i="6" s="1"/>
  <c r="E67" i="6"/>
  <c r="F67" i="6" s="1"/>
  <c r="H67" i="6" s="1"/>
  <c r="F12" i="5"/>
  <c r="G8" i="5"/>
  <c r="F6" i="5"/>
  <c r="D8" i="5"/>
  <c r="C11" i="5"/>
  <c r="D12" i="5"/>
  <c r="E34" i="6"/>
  <c r="F34" i="6" s="1"/>
  <c r="P34" i="6" s="1"/>
  <c r="E39" i="6"/>
  <c r="F39" i="6" s="1"/>
  <c r="P39" i="6" s="1"/>
  <c r="E46" i="6"/>
  <c r="F46" i="6" s="1"/>
  <c r="H46" i="6" s="1"/>
  <c r="E48" i="6"/>
  <c r="F48" i="6" s="1"/>
  <c r="H48" i="6" s="1"/>
  <c r="E52" i="6"/>
  <c r="F52" i="6" s="1"/>
  <c r="H52" i="6" s="1"/>
  <c r="E58" i="6"/>
  <c r="F58" i="6" s="1"/>
  <c r="H58" i="6" s="1"/>
  <c r="E62" i="6"/>
  <c r="F62" i="6" s="1"/>
  <c r="H62" i="6" s="1"/>
  <c r="E66" i="6"/>
  <c r="F66" i="6" s="1"/>
  <c r="H66" i="6" s="1"/>
  <c r="F7" i="5"/>
  <c r="C7" i="5"/>
  <c r="G7" i="5"/>
  <c r="H8" i="5"/>
  <c r="F10" i="5"/>
  <c r="G11" i="5"/>
  <c r="H12" i="5"/>
  <c r="C6" i="5"/>
  <c r="D7" i="5"/>
  <c r="C10" i="5"/>
  <c r="G10" i="5"/>
  <c r="D11" i="5"/>
  <c r="H11" i="5"/>
  <c r="E12" i="5"/>
  <c r="E33" i="6"/>
  <c r="F33" i="6" s="1"/>
  <c r="H33" i="6" s="1"/>
  <c r="E47" i="6"/>
  <c r="F47" i="6" s="1"/>
  <c r="H47" i="6" s="1"/>
  <c r="E51" i="6"/>
  <c r="F51" i="6" s="1"/>
  <c r="H51" i="6" s="1"/>
  <c r="E61" i="6"/>
  <c r="F61" i="6" s="1"/>
  <c r="H61" i="6" s="1"/>
  <c r="H65" i="6"/>
  <c r="H57" i="6"/>
  <c r="P38" i="6"/>
  <c r="H38" i="6"/>
  <c r="P25" i="6" l="1"/>
  <c r="H25" i="6"/>
  <c r="P30" i="6"/>
  <c r="H30" i="6"/>
  <c r="P28" i="6"/>
  <c r="H28" i="6"/>
  <c r="P27" i="6"/>
  <c r="H27" i="6"/>
  <c r="P24" i="6"/>
  <c r="H24" i="6"/>
  <c r="H32" i="6" s="1"/>
  <c r="P26" i="6"/>
  <c r="H26" i="6"/>
  <c r="H23" i="6"/>
  <c r="P23" i="6"/>
  <c r="H36" i="6"/>
  <c r="H37" i="6"/>
  <c r="H39" i="6"/>
  <c r="F41" i="6"/>
  <c r="P33" i="6"/>
  <c r="P41" i="6" s="1"/>
  <c r="H35" i="6"/>
  <c r="H34" i="6"/>
  <c r="F32" i="6"/>
  <c r="F42" i="6" s="1"/>
  <c r="C75" i="6" s="1"/>
  <c r="S51" i="6"/>
  <c r="P32" i="6"/>
  <c r="H41" i="6" l="1"/>
  <c r="H42" i="6" s="1"/>
  <c r="C76" i="6" s="1"/>
  <c r="P42" i="6"/>
  <c r="I30" i="6" l="1"/>
  <c r="J30" i="6" s="1"/>
  <c r="K30" i="6" s="1"/>
  <c r="L30" i="6" s="1"/>
  <c r="T30" i="6" s="1"/>
  <c r="I61" i="6"/>
  <c r="J61" i="6" s="1"/>
  <c r="K61" i="6" s="1"/>
  <c r="L61" i="6" s="1"/>
  <c r="C65" i="9" s="1"/>
  <c r="D65" i="9" s="1"/>
  <c r="I65" i="6"/>
  <c r="J65" i="6" s="1"/>
  <c r="K65" i="6" s="1"/>
  <c r="L65" i="6" s="1"/>
  <c r="C70" i="9" s="1"/>
  <c r="D70" i="9" s="1"/>
  <c r="I36" i="6"/>
  <c r="J36" i="6" s="1"/>
  <c r="K36" i="6" s="1"/>
  <c r="L36" i="6" s="1"/>
  <c r="I49" i="6"/>
  <c r="J49" i="6" s="1"/>
  <c r="K49" i="6" s="1"/>
  <c r="L49" i="6" s="1"/>
  <c r="C37" i="9" s="1"/>
  <c r="D37" i="9" s="1"/>
  <c r="I48" i="6"/>
  <c r="J48" i="6" s="1"/>
  <c r="K48" i="6" s="1"/>
  <c r="L48" i="6" s="1"/>
  <c r="C36" i="9" s="1"/>
  <c r="D36" i="9" s="1"/>
  <c r="I47" i="6"/>
  <c r="J47" i="6" s="1"/>
  <c r="K47" i="6" s="1"/>
  <c r="L47" i="6" s="1"/>
  <c r="C35" i="9" s="1"/>
  <c r="D35" i="9" s="1"/>
  <c r="I55" i="6"/>
  <c r="J55" i="6" s="1"/>
  <c r="K55" i="6" s="1"/>
  <c r="L55" i="6" s="1"/>
  <c r="C59" i="9" s="1"/>
  <c r="D59" i="9" s="1"/>
  <c r="I33" i="6"/>
  <c r="I64" i="6"/>
  <c r="J64" i="6" s="1"/>
  <c r="K64" i="6" s="1"/>
  <c r="L64" i="6" s="1"/>
  <c r="C69" i="9" s="1"/>
  <c r="D69" i="9" s="1"/>
  <c r="I34" i="6"/>
  <c r="J34" i="6" s="1"/>
  <c r="K34" i="6" s="1"/>
  <c r="L34" i="6" s="1"/>
  <c r="I59" i="6"/>
  <c r="J59" i="6" s="1"/>
  <c r="K59" i="6" s="1"/>
  <c r="L59" i="6" s="1"/>
  <c r="C50" i="9" s="1"/>
  <c r="D50" i="9" s="1"/>
  <c r="I58" i="6"/>
  <c r="J58" i="6" s="1"/>
  <c r="K58" i="6" s="1"/>
  <c r="L58" i="6" s="1"/>
  <c r="C62" i="9" s="1"/>
  <c r="D62" i="9" s="1"/>
  <c r="I39" i="6"/>
  <c r="J39" i="6" s="1"/>
  <c r="K39" i="6" s="1"/>
  <c r="L39" i="6" s="1"/>
  <c r="I52" i="6"/>
  <c r="J52" i="6" s="1"/>
  <c r="K52" i="6" s="1"/>
  <c r="L52" i="6" s="1"/>
  <c r="C54" i="9" s="1"/>
  <c r="D54" i="9" s="1"/>
  <c r="I53" i="6"/>
  <c r="J53" i="6" s="1"/>
  <c r="K53" i="6" s="1"/>
  <c r="L53" i="6" s="1"/>
  <c r="C55" i="9" s="1"/>
  <c r="D55" i="9" s="1"/>
  <c r="I62" i="6"/>
  <c r="J62" i="6" s="1"/>
  <c r="K62" i="6" s="1"/>
  <c r="L62" i="6" s="1"/>
  <c r="C66" i="9" s="1"/>
  <c r="D66" i="9" s="1"/>
  <c r="I38" i="6"/>
  <c r="J38" i="6" s="1"/>
  <c r="K38" i="6" s="1"/>
  <c r="L38" i="6" s="1"/>
  <c r="I54" i="6"/>
  <c r="J54" i="6" s="1"/>
  <c r="K54" i="6" s="1"/>
  <c r="L54" i="6" s="1"/>
  <c r="C56" i="9" s="1"/>
  <c r="D56" i="9" s="1"/>
  <c r="I51" i="6"/>
  <c r="J51" i="6" s="1"/>
  <c r="K51" i="6" s="1"/>
  <c r="L51" i="6" s="1"/>
  <c r="C53" i="9" s="1"/>
  <c r="D53" i="9" s="1"/>
  <c r="I56" i="6"/>
  <c r="J56" i="6" s="1"/>
  <c r="K56" i="6" s="1"/>
  <c r="L56" i="6" s="1"/>
  <c r="C60" i="9" s="1"/>
  <c r="D60" i="9" s="1"/>
  <c r="I63" i="6"/>
  <c r="J63" i="6" s="1"/>
  <c r="K63" i="6" s="1"/>
  <c r="L63" i="6" s="1"/>
  <c r="C67" i="9" s="1"/>
  <c r="D67" i="9" s="1"/>
  <c r="I57" i="6"/>
  <c r="J57" i="6" s="1"/>
  <c r="K57" i="6" s="1"/>
  <c r="L57" i="6" s="1"/>
  <c r="C61" i="9" s="1"/>
  <c r="D61" i="9" s="1"/>
  <c r="I35" i="6"/>
  <c r="J35" i="6" s="1"/>
  <c r="K35" i="6" s="1"/>
  <c r="L35" i="6" s="1"/>
  <c r="I46" i="6"/>
  <c r="J46" i="6" s="1"/>
  <c r="K46" i="6" s="1"/>
  <c r="L46" i="6" s="1"/>
  <c r="C34" i="9" s="1"/>
  <c r="D34" i="9" s="1"/>
  <c r="I37" i="6"/>
  <c r="J37" i="6" s="1"/>
  <c r="K37" i="6" s="1"/>
  <c r="L37" i="6" s="1"/>
  <c r="I60" i="6"/>
  <c r="J60" i="6" s="1"/>
  <c r="K60" i="6" s="1"/>
  <c r="L60" i="6" s="1"/>
  <c r="C64" i="9" s="1"/>
  <c r="D64" i="9" s="1"/>
  <c r="I67" i="6"/>
  <c r="J67" i="6" s="1"/>
  <c r="K67" i="6" s="1"/>
  <c r="L67" i="6" s="1"/>
  <c r="C72" i="9" s="1"/>
  <c r="D72" i="9" s="1"/>
  <c r="I66" i="6"/>
  <c r="J66" i="6" s="1"/>
  <c r="K66" i="6" s="1"/>
  <c r="L66" i="6" s="1"/>
  <c r="C71" i="9" s="1"/>
  <c r="D71" i="9" s="1"/>
  <c r="I11" i="6"/>
  <c r="J11" i="6" s="1"/>
  <c r="K11" i="6" s="1"/>
  <c r="L11" i="6" s="1"/>
  <c r="T11" i="6" s="1"/>
  <c r="I14" i="6"/>
  <c r="J14" i="6" s="1"/>
  <c r="K14" i="6" s="1"/>
  <c r="L14" i="6" s="1"/>
  <c r="T14" i="6" s="1"/>
  <c r="I18" i="6"/>
  <c r="J18" i="6" s="1"/>
  <c r="K18" i="6" s="1"/>
  <c r="L18" i="6" s="1"/>
  <c r="I26" i="6"/>
  <c r="J26" i="6" s="1"/>
  <c r="K26" i="6" s="1"/>
  <c r="L26" i="6" s="1"/>
  <c r="I6" i="6"/>
  <c r="J6" i="6" s="1"/>
  <c r="K6" i="6" s="1"/>
  <c r="L6" i="6" s="1"/>
  <c r="T6" i="6" s="1"/>
  <c r="I10" i="6"/>
  <c r="J10" i="6" s="1"/>
  <c r="K10" i="6" s="1"/>
  <c r="L10" i="6" s="1"/>
  <c r="T10" i="6" s="1"/>
  <c r="I13" i="6"/>
  <c r="J13" i="6" s="1"/>
  <c r="K13" i="6" s="1"/>
  <c r="L13" i="6" s="1"/>
  <c r="T13" i="6" s="1"/>
  <c r="I21" i="6"/>
  <c r="J21" i="6" s="1"/>
  <c r="K21" i="6" s="1"/>
  <c r="L21" i="6" s="1"/>
  <c r="I25" i="6"/>
  <c r="J25" i="6" s="1"/>
  <c r="K25" i="6" s="1"/>
  <c r="L25" i="6" s="1"/>
  <c r="I9" i="6"/>
  <c r="J9" i="6" s="1"/>
  <c r="K9" i="6" s="1"/>
  <c r="L9" i="6" s="1"/>
  <c r="T9" i="6" s="1"/>
  <c r="I16" i="6"/>
  <c r="J16" i="6" s="1"/>
  <c r="K16" i="6" s="1"/>
  <c r="L16" i="6" s="1"/>
  <c r="T16" i="6" s="1"/>
  <c r="I20" i="6"/>
  <c r="J20" i="6" s="1"/>
  <c r="K20" i="6" s="1"/>
  <c r="L20" i="6" s="1"/>
  <c r="I24" i="6"/>
  <c r="J24" i="6" s="1"/>
  <c r="K24" i="6" s="1"/>
  <c r="L24" i="6" s="1"/>
  <c r="I28" i="6"/>
  <c r="J28" i="6" s="1"/>
  <c r="K28" i="6" s="1"/>
  <c r="L28" i="6" s="1"/>
  <c r="I8" i="6"/>
  <c r="J8" i="6" s="1"/>
  <c r="K8" i="6" s="1"/>
  <c r="L8" i="6" s="1"/>
  <c r="T8" i="6" s="1"/>
  <c r="I15" i="6"/>
  <c r="J15" i="6" s="1"/>
  <c r="K15" i="6" s="1"/>
  <c r="L15" i="6" s="1"/>
  <c r="T15" i="6" s="1"/>
  <c r="I19" i="6"/>
  <c r="J19" i="6" s="1"/>
  <c r="K19" i="6" s="1"/>
  <c r="L19" i="6" s="1"/>
  <c r="I23" i="6"/>
  <c r="J23" i="6" s="1"/>
  <c r="K23" i="6" s="1"/>
  <c r="L23" i="6" s="1"/>
  <c r="I27" i="6"/>
  <c r="J27" i="6" s="1"/>
  <c r="K27" i="6" s="1"/>
  <c r="L27" i="6" s="1"/>
  <c r="T27" i="6" s="1"/>
  <c r="N61" i="6"/>
  <c r="N65" i="6"/>
  <c r="N48" i="6" l="1"/>
  <c r="N18" i="6"/>
  <c r="S18" i="6" s="1"/>
  <c r="T18" i="6"/>
  <c r="N23" i="6"/>
  <c r="S23" i="6" s="1"/>
  <c r="T23" i="6"/>
  <c r="C47" i="9"/>
  <c r="D47" i="9" s="1"/>
  <c r="O34" i="6" s="1"/>
  <c r="Q34" i="6" s="1"/>
  <c r="R34" i="6" s="1"/>
  <c r="T34" i="6"/>
  <c r="N59" i="6"/>
  <c r="N39" i="6"/>
  <c r="S39" i="6" s="1"/>
  <c r="T39" i="6"/>
  <c r="C48" i="9"/>
  <c r="D48" i="9" s="1"/>
  <c r="O38" i="6" s="1"/>
  <c r="Q38" i="6" s="1"/>
  <c r="R38" i="6" s="1"/>
  <c r="T35" i="6"/>
  <c r="C49" i="9"/>
  <c r="D49" i="9" s="1"/>
  <c r="O39" i="6" s="1"/>
  <c r="Q39" i="6" s="1"/>
  <c r="R39" i="6" s="1"/>
  <c r="T36" i="6"/>
  <c r="N28" i="6"/>
  <c r="S28" i="6" s="1"/>
  <c r="T28" i="6"/>
  <c r="N19" i="6"/>
  <c r="S19" i="6" s="1"/>
  <c r="T19" i="6"/>
  <c r="N24" i="6"/>
  <c r="S24" i="6" s="1"/>
  <c r="T24" i="6"/>
  <c r="N25" i="6"/>
  <c r="S25" i="6" s="1"/>
  <c r="T25" i="6"/>
  <c r="N37" i="6"/>
  <c r="S37" i="6" s="1"/>
  <c r="T37" i="6"/>
  <c r="N38" i="6"/>
  <c r="S38" i="6" s="1"/>
  <c r="T38" i="6"/>
  <c r="N20" i="6"/>
  <c r="S20" i="6" s="1"/>
  <c r="T20" i="6"/>
  <c r="N21" i="6"/>
  <c r="S21" i="6" s="1"/>
  <c r="T21" i="6"/>
  <c r="N26" i="6"/>
  <c r="S26" i="6" s="1"/>
  <c r="T26" i="6"/>
  <c r="N30" i="6"/>
  <c r="S30" i="6" s="1"/>
  <c r="C7" i="9"/>
  <c r="D7" i="9" s="1"/>
  <c r="O30" i="6" s="1"/>
  <c r="Q30" i="6" s="1"/>
  <c r="R30" i="6" s="1"/>
  <c r="N62" i="6"/>
  <c r="N49" i="6"/>
  <c r="N51" i="6"/>
  <c r="N56" i="6"/>
  <c r="N6" i="6"/>
  <c r="S6" i="6" s="1"/>
  <c r="C11" i="9"/>
  <c r="D11" i="9" s="1"/>
  <c r="O6" i="6" s="1"/>
  <c r="Q6" i="6" s="1"/>
  <c r="R6" i="6" s="1"/>
  <c r="N55" i="6"/>
  <c r="N52" i="6"/>
  <c r="N34" i="6"/>
  <c r="S34" i="6" s="1"/>
  <c r="N36" i="6"/>
  <c r="S36" i="6" s="1"/>
  <c r="N66" i="6"/>
  <c r="N35" i="6"/>
  <c r="S35" i="6" s="1"/>
  <c r="I41" i="6"/>
  <c r="N63" i="6"/>
  <c r="N53" i="6"/>
  <c r="C40" i="9"/>
  <c r="D40" i="9" s="1"/>
  <c r="J33" i="6"/>
  <c r="K33" i="6" s="1"/>
  <c r="L33" i="6" s="1"/>
  <c r="N58" i="6"/>
  <c r="N60" i="6"/>
  <c r="N47" i="6"/>
  <c r="N64" i="6"/>
  <c r="N57" i="6"/>
  <c r="N54" i="6"/>
  <c r="C21" i="9"/>
  <c r="D21" i="9" s="1"/>
  <c r="O19" i="6" s="1"/>
  <c r="Q19" i="6" s="1"/>
  <c r="R19" i="6" s="1"/>
  <c r="C30" i="9"/>
  <c r="D30" i="9" s="1"/>
  <c r="O25" i="6" s="1"/>
  <c r="Q25" i="6" s="1"/>
  <c r="R25" i="6" s="1"/>
  <c r="N67" i="6"/>
  <c r="N46" i="6"/>
  <c r="C29" i="9"/>
  <c r="D29" i="9" s="1"/>
  <c r="O24" i="6" s="1"/>
  <c r="Q24" i="6" s="1"/>
  <c r="R24" i="6" s="1"/>
  <c r="C23" i="9"/>
  <c r="D23" i="9" s="1"/>
  <c r="O21" i="6" s="1"/>
  <c r="Q21" i="6" s="1"/>
  <c r="R21" i="6" s="1"/>
  <c r="C22" i="9"/>
  <c r="D22" i="9" s="1"/>
  <c r="O20" i="6" s="1"/>
  <c r="Q20" i="6" s="1"/>
  <c r="R20" i="6" s="1"/>
  <c r="C20" i="9"/>
  <c r="D20" i="9" s="1"/>
  <c r="O18" i="6" s="1"/>
  <c r="Q18" i="6" s="1"/>
  <c r="R18" i="6" s="1"/>
  <c r="C28" i="9"/>
  <c r="D28" i="9" s="1"/>
  <c r="O23" i="6" s="1"/>
  <c r="Q23" i="6" s="1"/>
  <c r="R23" i="6" s="1"/>
  <c r="N14" i="6"/>
  <c r="S14" i="6" s="1"/>
  <c r="C17" i="9"/>
  <c r="D17" i="9" s="1"/>
  <c r="O14" i="6" s="1"/>
  <c r="Q14" i="6" s="1"/>
  <c r="R14" i="6" s="1"/>
  <c r="N15" i="6"/>
  <c r="S15" i="6" s="1"/>
  <c r="C18" i="9"/>
  <c r="D18" i="9" s="1"/>
  <c r="O15" i="6" s="1"/>
  <c r="Q15" i="6" s="1"/>
  <c r="R15" i="6" s="1"/>
  <c r="N9" i="6"/>
  <c r="S9" i="6" s="1"/>
  <c r="C13" i="9"/>
  <c r="D13" i="9" s="1"/>
  <c r="O9" i="6" s="1"/>
  <c r="Q9" i="6" s="1"/>
  <c r="R9" i="6" s="1"/>
  <c r="N13" i="6"/>
  <c r="C16" i="9"/>
  <c r="D16" i="9" s="1"/>
  <c r="O13" i="6" s="1"/>
  <c r="N11" i="6"/>
  <c r="S11" i="6" s="1"/>
  <c r="C15" i="9"/>
  <c r="D15" i="9" s="1"/>
  <c r="O11" i="6" s="1"/>
  <c r="Q11" i="6" s="1"/>
  <c r="R11" i="6" s="1"/>
  <c r="N27" i="6"/>
  <c r="S27" i="6" s="1"/>
  <c r="C26" i="9"/>
  <c r="D26" i="9" s="1"/>
  <c r="N10" i="6"/>
  <c r="S10" i="6" s="1"/>
  <c r="C14" i="9"/>
  <c r="D14" i="9" s="1"/>
  <c r="O10" i="6" s="1"/>
  <c r="Q10" i="6" s="1"/>
  <c r="R10" i="6" s="1"/>
  <c r="I32" i="6"/>
  <c r="C31" i="9"/>
  <c r="D31" i="9" s="1"/>
  <c r="O26" i="6" s="1"/>
  <c r="Q26" i="6" s="1"/>
  <c r="R26" i="6" s="1"/>
  <c r="N8" i="6"/>
  <c r="S8" i="6" s="1"/>
  <c r="C12" i="9"/>
  <c r="D12" i="9" s="1"/>
  <c r="O8" i="6" s="1"/>
  <c r="Q8" i="6" s="1"/>
  <c r="R8" i="6" s="1"/>
  <c r="N16" i="6"/>
  <c r="S16" i="6" s="1"/>
  <c r="C19" i="9"/>
  <c r="D19" i="9" s="1"/>
  <c r="O16" i="6" s="1"/>
  <c r="Q16" i="6" s="1"/>
  <c r="R16" i="6" s="1"/>
  <c r="O65" i="6"/>
  <c r="O66" i="6"/>
  <c r="O67" i="6"/>
  <c r="O64" i="6"/>
  <c r="O62" i="6"/>
  <c r="O63" i="6"/>
  <c r="O61" i="6"/>
  <c r="O56" i="6"/>
  <c r="O58" i="6"/>
  <c r="O55" i="6"/>
  <c r="O57" i="6"/>
  <c r="O54" i="6"/>
  <c r="O52" i="6"/>
  <c r="O51" i="6"/>
  <c r="O53" i="6"/>
  <c r="O48" i="6"/>
  <c r="O47" i="6"/>
  <c r="O46" i="6"/>
  <c r="O49" i="6"/>
  <c r="O35" i="6"/>
  <c r="Q35" i="6" s="1"/>
  <c r="R35" i="6" s="1"/>
  <c r="O59" i="6"/>
  <c r="O60" i="6"/>
  <c r="O33" i="6"/>
  <c r="Q33" i="6" s="1"/>
  <c r="O36" i="6" l="1"/>
  <c r="Q36" i="6" s="1"/>
  <c r="R36" i="6" s="1"/>
  <c r="O37" i="6"/>
  <c r="Q37" i="6" s="1"/>
  <c r="R37" i="6" s="1"/>
  <c r="N33" i="6"/>
  <c r="S33" i="6" s="1"/>
  <c r="T33" i="6"/>
  <c r="I42" i="6"/>
  <c r="C41" i="9"/>
  <c r="D41" i="9" s="1"/>
  <c r="O28" i="6"/>
  <c r="Q28" i="6" s="1"/>
  <c r="R28" i="6" s="1"/>
  <c r="O27" i="6"/>
  <c r="Q27" i="6" s="1"/>
  <c r="R27" i="6" s="1"/>
  <c r="Q13" i="6"/>
  <c r="R13" i="6" s="1"/>
  <c r="S13" i="6"/>
  <c r="R33" i="6"/>
  <c r="R41" i="6" s="1"/>
  <c r="Q41" i="6"/>
  <c r="R32" i="6" l="1"/>
  <c r="R42" i="6" s="1"/>
  <c r="B64" i="5" s="1"/>
  <c r="B65" i="5" s="1"/>
  <c r="Q32" i="6"/>
  <c r="Q42" i="6" s="1"/>
  <c r="R46" i="6"/>
  <c r="S46" i="6"/>
  <c r="R45" i="6" l="1"/>
  <c r="R47" i="6" s="1"/>
  <c r="S45" i="6"/>
</calcChain>
</file>

<file path=xl/comments1.xml><?xml version="1.0" encoding="utf-8"?>
<comments xmlns="http://schemas.openxmlformats.org/spreadsheetml/2006/main">
  <authors>
    <author>WCNX</author>
    <author>Bryan Coming</author>
  </authors>
  <commentList>
    <comment ref="D1" authorId="0" shapeId="0">
      <text>
        <r>
          <rPr>
            <b/>
            <sz val="8"/>
            <color indexed="81"/>
            <rFont val="Tahoma"/>
            <family val="2"/>
          </rPr>
          <t>WCNX:</t>
        </r>
        <r>
          <rPr>
            <sz val="8"/>
            <color indexed="81"/>
            <rFont val="Tahoma"/>
            <family val="2"/>
          </rPr>
          <t xml:space="preserve">
Include bill areas: Butlers Cove, Lacey, Olympia, Summit Lake, Tumwater, and Contract. Contract is the Nisqually Tribe, which is non-regulated but because it's so small we include it in the Pacific regulated revenue.  Billed at Pacific Tariff rates.</t>
        </r>
      </text>
    </comment>
    <comment ref="F4" authorId="0" shapeId="0">
      <text>
        <r>
          <rPr>
            <b/>
            <sz val="8"/>
            <color indexed="81"/>
            <rFont val="Tahoma"/>
            <family val="2"/>
          </rPr>
          <t>WCNX:</t>
        </r>
        <r>
          <rPr>
            <sz val="8"/>
            <color indexed="81"/>
            <rFont val="Tahoma"/>
            <family val="2"/>
          </rPr>
          <t xml:space="preserve">
Populate from the "Rate Audit" tool.  Remember to divide the rates by two if they are a bi-monthly rate in the billing system.</t>
        </r>
      </text>
    </comment>
    <comment ref="C137" authorId="1" shapeId="0">
      <text>
        <r>
          <rPr>
            <b/>
            <sz val="9"/>
            <color indexed="81"/>
            <rFont val="Tahoma"/>
            <family val="2"/>
          </rPr>
          <t>Bryan Coming:</t>
        </r>
        <r>
          <rPr>
            <sz val="9"/>
            <color indexed="81"/>
            <rFont val="Tahoma"/>
            <family val="2"/>
          </rPr>
          <t xml:space="preserve">
Recyle unregulated
</t>
        </r>
      </text>
    </comment>
  </commentList>
</comments>
</file>

<file path=xl/sharedStrings.xml><?xml version="1.0" encoding="utf-8"?>
<sst xmlns="http://schemas.openxmlformats.org/spreadsheetml/2006/main" count="607" uniqueCount="531">
  <si>
    <t>1-20 gal Mini Can Wkly</t>
  </si>
  <si>
    <t>1-35 gal Cart Wkly</t>
  </si>
  <si>
    <t>1-48 gal Cart Wkly</t>
  </si>
  <si>
    <t>1-64 gal Cart Wkly</t>
  </si>
  <si>
    <t>1-96 gal Cart Wkly</t>
  </si>
  <si>
    <t>1-35 gal Cart EOW</t>
  </si>
  <si>
    <t>1-48 gal Cart EOW</t>
  </si>
  <si>
    <t>1-64 gal Cart EOW</t>
  </si>
  <si>
    <t>1-96 gal Cart EOW</t>
  </si>
  <si>
    <t>1-35 gal Cart Monthly</t>
  </si>
  <si>
    <t>1-48 gal Cart Monthly</t>
  </si>
  <si>
    <t>1-64 gal Cart Monthly</t>
  </si>
  <si>
    <t>1-96 gal Cart Monthly</t>
  </si>
  <si>
    <t>1-35 gal Cart On Call Svc</t>
  </si>
  <si>
    <t>1-48 gal Cart On Call Svc</t>
  </si>
  <si>
    <t>1-64 gal Cart On Call Svc</t>
  </si>
  <si>
    <t>1-96 gal Cart On Call Svc</t>
  </si>
  <si>
    <t>Extra Can, Bag, Box etc</t>
  </si>
  <si>
    <t>Extra Pickup</t>
  </si>
  <si>
    <t>Total</t>
  </si>
  <si>
    <t>Extra Can</t>
  </si>
  <si>
    <t>1 Yard Wkly</t>
  </si>
  <si>
    <t>1.50 Yard Wkly</t>
  </si>
  <si>
    <t>2 Yard Wkly</t>
  </si>
  <si>
    <t>1 Yard EOW</t>
  </si>
  <si>
    <t>1.50 Yard EOW</t>
  </si>
  <si>
    <t>2 Yard EOW</t>
  </si>
  <si>
    <t>Extra Yardage</t>
  </si>
  <si>
    <t>Monthly Factor</t>
  </si>
  <si>
    <t>Pickups:</t>
  </si>
  <si>
    <t>1 unit</t>
  </si>
  <si>
    <t>2 units</t>
  </si>
  <si>
    <t>3 units</t>
  </si>
  <si>
    <t>4 units</t>
  </si>
  <si>
    <t>5 units</t>
  </si>
  <si>
    <t>6 units</t>
  </si>
  <si>
    <t>7 unit</t>
  </si>
  <si>
    <t>5 Times per Week</t>
  </si>
  <si>
    <t>4 Times per Week</t>
  </si>
  <si>
    <t>3 Times per Week</t>
  </si>
  <si>
    <t>2 Times per Week</t>
  </si>
  <si>
    <t>Weekly Pickup (WG)</t>
  </si>
  <si>
    <t>Every Other Week (EOWG)</t>
  </si>
  <si>
    <t>Monthly (MG)</t>
  </si>
  <si>
    <t>Meeks Weights</t>
  </si>
  <si>
    <t>Res'l</t>
  </si>
  <si>
    <t>Pounds per Pickup</t>
  </si>
  <si>
    <t>20 gal minican</t>
  </si>
  <si>
    <t>1 can</t>
  </si>
  <si>
    <t>2 cans</t>
  </si>
  <si>
    <t>3 cans</t>
  </si>
  <si>
    <t>Lbs. per ton</t>
  </si>
  <si>
    <t>4 cans</t>
  </si>
  <si>
    <t>Yds. Per ton</t>
  </si>
  <si>
    <t>n/a</t>
  </si>
  <si>
    <t>5 cans</t>
  </si>
  <si>
    <t>6 cans</t>
  </si>
  <si>
    <t>Once a month</t>
  </si>
  <si>
    <t>Extras</t>
  </si>
  <si>
    <t>Com'l</t>
  </si>
  <si>
    <t>Cans</t>
  </si>
  <si>
    <t>1 yd container</t>
  </si>
  <si>
    <t>1.5 yd container</t>
  </si>
  <si>
    <t>*</t>
  </si>
  <si>
    <t>2 yd container</t>
  </si>
  <si>
    <t>3 yd container</t>
  </si>
  <si>
    <t>4 yd container</t>
  </si>
  <si>
    <t>6 yd container</t>
  </si>
  <si>
    <t>8 yd container</t>
  </si>
  <si>
    <t>1 yd packer/compactor</t>
  </si>
  <si>
    <t>1.5 yd packer/compactor</t>
  </si>
  <si>
    <t>2 yd packer/compactor</t>
  </si>
  <si>
    <t>3 yd packer/compactor</t>
  </si>
  <si>
    <t>4 yd packer/compactor</t>
  </si>
  <si>
    <t>5 yd packer/compactor</t>
  </si>
  <si>
    <t>6 yd packer/compactor</t>
  </si>
  <si>
    <t>8 yd packer/compactor</t>
  </si>
  <si>
    <t>Yards</t>
  </si>
  <si>
    <t>* not on meeks - calculated by staff</t>
  </si>
  <si>
    <t>Per Ton</t>
  </si>
  <si>
    <t>Per Pound</t>
  </si>
  <si>
    <t>Gross Up Factors</t>
  </si>
  <si>
    <t xml:space="preserve">Current Rate </t>
  </si>
  <si>
    <t>B&amp;O tax</t>
  </si>
  <si>
    <t>New Rate per ton</t>
  </si>
  <si>
    <t>WUTC fees</t>
  </si>
  <si>
    <t>Bad Debts</t>
  </si>
  <si>
    <t>Increase per ton</t>
  </si>
  <si>
    <t>Factor</t>
  </si>
  <si>
    <t>Grossed Up Increase per ton</t>
  </si>
  <si>
    <t>Tons Collected</t>
  </si>
  <si>
    <t>Mason County</t>
  </si>
  <si>
    <t>Tariff Rate Increase</t>
  </si>
  <si>
    <t>Over-weight cans</t>
  </si>
  <si>
    <t>Item 100, pg 21</t>
  </si>
  <si>
    <t>Automated Service:</t>
  </si>
  <si>
    <t>Item 100, pg 22</t>
  </si>
  <si>
    <t>Special PU</t>
  </si>
  <si>
    <t>Item 150, pg 28</t>
  </si>
  <si>
    <t>Bulky</t>
  </si>
  <si>
    <t>Loose</t>
  </si>
  <si>
    <t>Additional yard</t>
  </si>
  <si>
    <t>Minimum</t>
  </si>
  <si>
    <t>Item 207, pg 32</t>
  </si>
  <si>
    <t>All container per yard</t>
  </si>
  <si>
    <t>All Drop boxes per yard</t>
  </si>
  <si>
    <t>Item 240, pg 35</t>
  </si>
  <si>
    <t>Item 245, pg 36</t>
  </si>
  <si>
    <t xml:space="preserve"> 35-gal cart </t>
  </si>
  <si>
    <t xml:space="preserve"> 48-gal cart </t>
  </si>
  <si>
    <t xml:space="preserve"> 64-gal cart</t>
  </si>
  <si>
    <t xml:space="preserve"> 96-gal cart</t>
  </si>
  <si>
    <t>Oversized Can</t>
  </si>
  <si>
    <t>Item 55, page 16</t>
  </si>
  <si>
    <t>Note 2 - Each Addn'l Unit</t>
  </si>
  <si>
    <t>Note 4 - Grouped Cans</t>
  </si>
  <si>
    <t>Note 4 - Non-Grouped Cans</t>
  </si>
  <si>
    <t>Note 5 - 35 Gal Mo. Min</t>
  </si>
  <si>
    <t>Note 5 - 48 Gal Mo. Min</t>
  </si>
  <si>
    <t>Note 5 - 64 Gal Mo. Min</t>
  </si>
  <si>
    <t>Note 5 - 96 Gal Mo. Min</t>
  </si>
  <si>
    <t>Note 3 - Monthly Min.</t>
  </si>
  <si>
    <t>Residential</t>
  </si>
  <si>
    <t>Commercial</t>
  </si>
  <si>
    <t>Increase/(Decrease)</t>
  </si>
  <si>
    <t>Disposal Fee Revenue Increase/(Decrease)</t>
  </si>
  <si>
    <t>Company Proposed Rates</t>
  </si>
  <si>
    <t>Res'l &amp; Com'l</t>
  </si>
  <si>
    <t>Revenue Inc from Co Proposed Rates</t>
  </si>
  <si>
    <t>Collected Revenue Excess/(Deficiency)</t>
  </si>
  <si>
    <t>Tariff Page</t>
  </si>
  <si>
    <t>Scheduled Service</t>
  </si>
  <si>
    <t>Monthly Frequency</t>
  </si>
  <si>
    <t>Annual PU's</t>
  </si>
  <si>
    <t>Calculated Annual Pounds</t>
  </si>
  <si>
    <t>Adjusted Annual Pounds</t>
  </si>
  <si>
    <t>Increase/
(Decrease)</t>
  </si>
  <si>
    <t>Gross Up</t>
  </si>
  <si>
    <t>Company Current Tariff</t>
  </si>
  <si>
    <t>Company Proposed Tariff</t>
  </si>
  <si>
    <t>Company Current Revenue</t>
  </si>
  <si>
    <t>Company Proposed Revenue</t>
  </si>
  <si>
    <t>Company Increased/(Decreased) Revenue</t>
  </si>
  <si>
    <t>Revised Tariff Rate</t>
  </si>
  <si>
    <t>Totals</t>
  </si>
  <si>
    <t>No Current Customers</t>
  </si>
  <si>
    <t>Adjustment Factor Calculation</t>
  </si>
  <si>
    <t>Total Tonnage</t>
  </si>
  <si>
    <t>Total Pounds</t>
  </si>
  <si>
    <t>Total Pick Ups</t>
  </si>
  <si>
    <t>Adjustment factor</t>
  </si>
  <si>
    <t>48 gallon cart</t>
  </si>
  <si>
    <t>35 gallon cart</t>
  </si>
  <si>
    <t>Note 4 (extras)</t>
  </si>
  <si>
    <t>Note 2 (Addn'l can)</t>
  </si>
  <si>
    <t>Note 3 (Monthly Min.)</t>
  </si>
  <si>
    <t>Note 4 (extra recepticles)</t>
  </si>
  <si>
    <t>Note 4 (recepticles not placed together)</t>
  </si>
  <si>
    <t>Note 5 (Automated Carts Monthly Min.)</t>
  </si>
  <si>
    <t>35-gal cart Special PU</t>
  </si>
  <si>
    <t>48-gal cart Special PU</t>
  </si>
  <si>
    <t>64-gal cart Special PU</t>
  </si>
  <si>
    <t>96-gal cart Special PU</t>
  </si>
  <si>
    <t>Annual</t>
  </si>
  <si>
    <t xml:space="preserve"> Calculated Rate</t>
  </si>
  <si>
    <t>Supercan 64</t>
  </si>
  <si>
    <t>Supercan 94</t>
  </si>
  <si>
    <t>Equal to 1.5 cans</t>
  </si>
  <si>
    <t>Equal to 2 cans</t>
  </si>
  <si>
    <t>Equal to 3 cans</t>
  </si>
  <si>
    <t>Increase</t>
  </si>
  <si>
    <t>Rate</t>
  </si>
  <si>
    <t>Pass Thru  Tons</t>
  </si>
  <si>
    <t>Pass Thru Increase</t>
  </si>
  <si>
    <t>Additional yard (Bulky/Loose)</t>
  </si>
  <si>
    <t>Minimum (Bulky/Loose)</t>
  </si>
  <si>
    <t>1 yard pickup (first, additional, temp)</t>
  </si>
  <si>
    <t>1.5 yard (first, additional, temp)</t>
  </si>
  <si>
    <t>2 yard (first, additional, temp)</t>
  </si>
  <si>
    <t>Solid Waste (per ton)</t>
  </si>
  <si>
    <t>Item 230, pg 34</t>
  </si>
  <si>
    <t>Mason County Garbage Co., Inc. G-88</t>
  </si>
  <si>
    <t>Dump Fee Calculation References</t>
  </si>
  <si>
    <t>Current</t>
  </si>
  <si>
    <t>Proposed</t>
  </si>
  <si>
    <t>Rates</t>
  </si>
  <si>
    <t>Occasional extra unit (All Sizes)</t>
  </si>
  <si>
    <t>Mini</t>
  </si>
  <si>
    <t>35-gallon tote</t>
  </si>
  <si>
    <t>48-gallon tote</t>
  </si>
  <si>
    <t>64-gallon tote</t>
  </si>
  <si>
    <t>96-gallon tote</t>
  </si>
  <si>
    <t>35-gal tote every-other-week</t>
  </si>
  <si>
    <t>48-gal tote every-other-week</t>
  </si>
  <si>
    <t>64-gal tote every-other-week</t>
  </si>
  <si>
    <t>96-gal tote every-other-week</t>
  </si>
  <si>
    <t>35-gal tote once-per-month</t>
  </si>
  <si>
    <t>48-gal tote once-per-month</t>
  </si>
  <si>
    <t>64-gal tote once-per-month</t>
  </si>
  <si>
    <t>96-gal tote once-per-month</t>
  </si>
  <si>
    <t>35-gal tote on call</t>
  </si>
  <si>
    <t>48-gal tote on call</t>
  </si>
  <si>
    <t>64-gal tote on call</t>
  </si>
  <si>
    <t>96-gal tote on call</t>
  </si>
  <si>
    <t xml:space="preserve">35-gal cart </t>
  </si>
  <si>
    <t xml:space="preserve">48-gal cart </t>
  </si>
  <si>
    <t>64-gal cart</t>
  </si>
  <si>
    <t>96-gal cart</t>
  </si>
  <si>
    <t>Mason County - Dump Fee Calculation</t>
  </si>
  <si>
    <t>MASON CO-REGULATED</t>
  </si>
  <si>
    <t>Mason Co. Regulated - Price Out</t>
  </si>
  <si>
    <t>September 1, 2018 - August 31, 2019</t>
  </si>
  <si>
    <t>Tariff Rate</t>
  </si>
  <si>
    <t>Service Code</t>
  </si>
  <si>
    <t>Service Code Description</t>
  </si>
  <si>
    <t>Revenue</t>
  </si>
  <si>
    <t>Customers</t>
  </si>
  <si>
    <t>RESIDENTIAL SERVICES</t>
  </si>
  <si>
    <t>Concatenate (Area &amp;LOB &amp; Service Code)</t>
  </si>
  <si>
    <t>Count (ensures no duplicates)</t>
  </si>
  <si>
    <t>RESIDENTIAL GARBAGE</t>
  </si>
  <si>
    <t>32RE1</t>
  </si>
  <si>
    <t>32RE2</t>
  </si>
  <si>
    <t>35RE1</t>
  </si>
  <si>
    <t>48RE1</t>
  </si>
  <si>
    <t>64RE1</t>
  </si>
  <si>
    <t>96RE1</t>
  </si>
  <si>
    <t>20RW1</t>
  </si>
  <si>
    <t>32RW1</t>
  </si>
  <si>
    <t>32RW2</t>
  </si>
  <si>
    <t>32RW3</t>
  </si>
  <si>
    <t>32RW4</t>
  </si>
  <si>
    <t>32RW5</t>
  </si>
  <si>
    <t>32RW6</t>
  </si>
  <si>
    <t>35RW1</t>
  </si>
  <si>
    <t>45RW1</t>
  </si>
  <si>
    <t>48RW1</t>
  </si>
  <si>
    <t>64RW1</t>
  </si>
  <si>
    <t>96RW1</t>
  </si>
  <si>
    <t>32RM1</t>
  </si>
  <si>
    <t>35RM1</t>
  </si>
  <si>
    <t>48RM1</t>
  </si>
  <si>
    <t>64RM1</t>
  </si>
  <si>
    <t>96RM1</t>
  </si>
  <si>
    <t>EXPUR</t>
  </si>
  <si>
    <t>EXTRAR</t>
  </si>
  <si>
    <t>32ROCPU</t>
  </si>
  <si>
    <t>35ROCC1</t>
  </si>
  <si>
    <t>48ROCC1</t>
  </si>
  <si>
    <t>64ROCC1</t>
  </si>
  <si>
    <t>96ROCC1</t>
  </si>
  <si>
    <t>DRVNRE1</t>
  </si>
  <si>
    <t>DRVNRW1</t>
  </si>
  <si>
    <t>DRVNRM2</t>
  </si>
  <si>
    <t>DRVNRW2</t>
  </si>
  <si>
    <t>DRVNRM1</t>
  </si>
  <si>
    <t>DRVNRE2</t>
  </si>
  <si>
    <t>DRVNROC1</t>
  </si>
  <si>
    <t>WLKNRE1</t>
  </si>
  <si>
    <t>WLKNRM1</t>
  </si>
  <si>
    <t>WLKNRW1</t>
  </si>
  <si>
    <t>WLKNRW2</t>
  </si>
  <si>
    <t>REDELIVER</t>
  </si>
  <si>
    <t>RESTART</t>
  </si>
  <si>
    <t>TRIPRCARTS</t>
  </si>
  <si>
    <t>STAIR-RES</t>
  </si>
  <si>
    <t>OFOWR</t>
  </si>
  <si>
    <t>STMCLNREF</t>
  </si>
  <si>
    <t>TRIPRCANS</t>
  </si>
  <si>
    <t>SUNKENR</t>
  </si>
  <si>
    <t>ADJOTHR</t>
  </si>
  <si>
    <t>ADJRES</t>
  </si>
  <si>
    <t>TOTAL RESIDENTIAL GARBAGE</t>
  </si>
  <si>
    <t>RESIDENTIAL RECYCLING</t>
  </si>
  <si>
    <t>DRVNRE1RECY</t>
  </si>
  <si>
    <t>DRVNRE1RECYMA</t>
  </si>
  <si>
    <t>DRVNRE2RECY</t>
  </si>
  <si>
    <t>DRVNRE2RECYMA</t>
  </si>
  <si>
    <t>DRVNRM1RECYMA</t>
  </si>
  <si>
    <t>RECYR</t>
  </si>
  <si>
    <t>RECYONLY</t>
  </si>
  <si>
    <t>RECYCRMA</t>
  </si>
  <si>
    <t>RECYRNB</t>
  </si>
  <si>
    <t>RECYRNBMA</t>
  </si>
  <si>
    <t>RECYCLE NO BIN MONTHLY AR</t>
  </si>
  <si>
    <t>RECYONLYMA</t>
  </si>
  <si>
    <t>TOTAL RESIDENTIAL RECYCLING</t>
  </si>
  <si>
    <t>RESIDENTIAL YARD WASTE</t>
  </si>
  <si>
    <t>TOTAL RESIDENTIAL YARD WASTE</t>
  </si>
  <si>
    <t xml:space="preserve">COMMERCIAL SERVICES </t>
  </si>
  <si>
    <t>COMMERCIAL GARBAGE</t>
  </si>
  <si>
    <t>R1YDEM</t>
  </si>
  <si>
    <t>R1.5YDEM</t>
  </si>
  <si>
    <t>R2YDEM</t>
  </si>
  <si>
    <t>R2YDWM</t>
  </si>
  <si>
    <t>R1.5YDWM</t>
  </si>
  <si>
    <t>R1YDWM</t>
  </si>
  <si>
    <t>R2YDEK</t>
  </si>
  <si>
    <t>R1YDRENTM</t>
  </si>
  <si>
    <t>R1.5YDRENTM</t>
  </si>
  <si>
    <t>R2YDRENTM</t>
  </si>
  <si>
    <t>R2YDRENTT</t>
  </si>
  <si>
    <t>CDELC</t>
  </si>
  <si>
    <t>COMCAN</t>
  </si>
  <si>
    <t>R2YDRENTTM</t>
  </si>
  <si>
    <t>R1.5YDRENTT</t>
  </si>
  <si>
    <t>ROLLOUTOC</t>
  </si>
  <si>
    <t>FUEL-COM MASON</t>
  </si>
  <si>
    <t>FUEL-RES MASON</t>
  </si>
  <si>
    <t>FUEL-RECY MASON</t>
  </si>
  <si>
    <t>R1YDPU</t>
  </si>
  <si>
    <t>R1.5YDPU</t>
  </si>
  <si>
    <t>R2YDPU</t>
  </si>
  <si>
    <t>R1.5YDRENTTM</t>
  </si>
  <si>
    <t>DAMAGE</t>
  </si>
  <si>
    <t>CTRIPCAN</t>
  </si>
  <si>
    <t>CTRIP</t>
  </si>
  <si>
    <t>CEXYD</t>
  </si>
  <si>
    <t>CLSECOL</t>
  </si>
  <si>
    <t>CLSE1COL</t>
  </si>
  <si>
    <t>UNLOCKREF</t>
  </si>
  <si>
    <t>WASHREF</t>
  </si>
  <si>
    <t>FUEL-ACCTG MASON</t>
  </si>
  <si>
    <t>TARPREF</t>
  </si>
  <si>
    <t>TOTAL COMMERCIAL GARBAGE</t>
  </si>
  <si>
    <t>RECYLOCK</t>
  </si>
  <si>
    <t>ROLLOUTOCC</t>
  </si>
  <si>
    <t>96CRCOGE1</t>
  </si>
  <si>
    <t>96CRCOGW1</t>
  </si>
  <si>
    <t>96CRCONGE1</t>
  </si>
  <si>
    <t>96CRCONGM1</t>
  </si>
  <si>
    <t>96CRCONGW1</t>
  </si>
  <si>
    <t xml:space="preserve">R2YDOCCE </t>
  </si>
  <si>
    <t>R2YDOCCM</t>
  </si>
  <si>
    <t>R2YDOCCW</t>
  </si>
  <si>
    <t>DEL-REC</t>
  </si>
  <si>
    <t>CDELOCC</t>
  </si>
  <si>
    <t>UNLOCKRECY</t>
  </si>
  <si>
    <t>WLKNRECY</t>
  </si>
  <si>
    <t>WLKNRE1RECYMA</t>
  </si>
  <si>
    <t>WLKNRW2RECYMA</t>
  </si>
  <si>
    <t>WLKNRM1RECYMA</t>
  </si>
  <si>
    <t>WLKNRW2RECY</t>
  </si>
  <si>
    <t>WLKNRE1RECY</t>
  </si>
  <si>
    <t>COMMERCIAL RECYCLING</t>
  </si>
  <si>
    <t>DROP BOX SERVICES</t>
  </si>
  <si>
    <t>DROP BOX HAULS/RENTAL</t>
  </si>
  <si>
    <t>ROHAUL10</t>
  </si>
  <si>
    <t>ROHAUL20</t>
  </si>
  <si>
    <t>ROHAUL30</t>
  </si>
  <si>
    <t>ROHAUL40</t>
  </si>
  <si>
    <t>ROHAUL10T</t>
  </si>
  <si>
    <t>ROHAUL20T</t>
  </si>
  <si>
    <t>ROHAUL40T</t>
  </si>
  <si>
    <t>CPHAUL10</t>
  </si>
  <si>
    <t>CPHAUL15</t>
  </si>
  <si>
    <t>CPHAUL20</t>
  </si>
  <si>
    <t>CPHAUL25</t>
  </si>
  <si>
    <t>CPHAUL30</t>
  </si>
  <si>
    <t>CPHAUL35</t>
  </si>
  <si>
    <t>RORENT10D</t>
  </si>
  <si>
    <t>RORENT20D</t>
  </si>
  <si>
    <t>RORENT40D</t>
  </si>
  <si>
    <t>RORENT10M</t>
  </si>
  <si>
    <t>RORENT20M</t>
  </si>
  <si>
    <t>RORENT40M</t>
  </si>
  <si>
    <t>ROLID</t>
  </si>
  <si>
    <t>RODEL</t>
  </si>
  <si>
    <t>ROMILE</t>
  </si>
  <si>
    <t>WASHOUT</t>
  </si>
  <si>
    <t>SP</t>
  </si>
  <si>
    <t>STORENT22</t>
  </si>
  <si>
    <t>STODEL</t>
  </si>
  <si>
    <t>STO22</t>
  </si>
  <si>
    <t>FUEL-RO MASON</t>
  </si>
  <si>
    <t>ROWAIT</t>
  </si>
  <si>
    <t>ROHOUR</t>
  </si>
  <si>
    <t>RORELOCATE</t>
  </si>
  <si>
    <t>ADJOTHRO</t>
  </si>
  <si>
    <t>FUEL</t>
  </si>
  <si>
    <t>TOTAL DROP BOX HAULS/RENTAL</t>
  </si>
  <si>
    <t>PASSTHROUGH DISPOSAL</t>
  </si>
  <si>
    <t>DISPMC-TON</t>
  </si>
  <si>
    <t>DISPOLY-TON</t>
  </si>
  <si>
    <t>DISPMCMISC</t>
  </si>
  <si>
    <t>DISPOLYMISC</t>
  </si>
  <si>
    <t>TOTAL PASSTHROUGH DISPOSAL</t>
  </si>
  <si>
    <t>Service Charges</t>
  </si>
  <si>
    <t>FINCHG</t>
  </si>
  <si>
    <t>FINANCE CHARGE</t>
  </si>
  <si>
    <t>NSF FEES</t>
  </si>
  <si>
    <t>COLLECTION AGENCY FEE</t>
  </si>
  <si>
    <t>TOTAL SERVICE CHARGES</t>
  </si>
  <si>
    <t>TOTAL REVENUE</t>
  </si>
  <si>
    <t>Regulated</t>
  </si>
  <si>
    <t>Packer</t>
  </si>
  <si>
    <t>2019 Mason Tons</t>
  </si>
  <si>
    <t>Total Packer Tons</t>
  </si>
  <si>
    <t>Rolloff</t>
  </si>
  <si>
    <t>Total RO Tons</t>
  </si>
  <si>
    <t>From November 2018 - October 2019 data</t>
  </si>
  <si>
    <t>Mason County Garbage</t>
  </si>
  <si>
    <t>November 15, 2019</t>
  </si>
  <si>
    <t>Mason County Tons by Month</t>
  </si>
  <si>
    <r>
      <t xml:space="preserve">Note:  </t>
    </r>
    <r>
      <rPr>
        <sz val="11"/>
        <color theme="1"/>
        <rFont val="Calibri"/>
        <family val="2"/>
        <scheme val="minor"/>
      </rPr>
      <t>The route and roll off tons in rows 8 and 12 were provided by the district.  We will use the Route Tons below in our dump fee calculation due to the significant change in tons since the General Filing for Mason.  This significant change is related to the district now being fully carted.</t>
    </r>
  </si>
  <si>
    <t xml:space="preserve"> Monthly Customers</t>
  </si>
  <si>
    <t>1-32 GAL CAN-EOW SVC</t>
  </si>
  <si>
    <t>2-32 GAL CAN-EOW SVC</t>
  </si>
  <si>
    <t>1-35 GAL CART EOW SVC</t>
  </si>
  <si>
    <t>1-48 GAL EOW</t>
  </si>
  <si>
    <t>1-64 GAL EOW</t>
  </si>
  <si>
    <t>1-96 GAL EOW</t>
  </si>
  <si>
    <t>1-20 GAL CAN WEEKLY SVC</t>
  </si>
  <si>
    <t>1-32 GAL CAN-WEEKLY SVC</t>
  </si>
  <si>
    <t>1-35 GAL CART WEEKLY SVC</t>
  </si>
  <si>
    <t>1-45 GAL CAN-WEEKLY SVC</t>
  </si>
  <si>
    <t>1-48 GAL WEEKLY</t>
  </si>
  <si>
    <t>1-64 GAL CART WEEKLY SVC</t>
  </si>
  <si>
    <t>1-96 GAL CART WEEKLY SVC</t>
  </si>
  <si>
    <t>1-32 GAL CAN-MONTHLY SVC</t>
  </si>
  <si>
    <t>1-35 GAL CART MONTHLY SVC</t>
  </si>
  <si>
    <t>1-48 GAL MONTHLY</t>
  </si>
  <si>
    <t>1-64 GAL MONTHLY</t>
  </si>
  <si>
    <t>1-96 GAL MONTHLY</t>
  </si>
  <si>
    <t>EXTRA PICKUP</t>
  </si>
  <si>
    <t>EXTRA CAN/BAGS</t>
  </si>
  <si>
    <t>1-35 GAL ON CALL PICKUP</t>
  </si>
  <si>
    <t>1-48 GAL ON CALL PICKUP</t>
  </si>
  <si>
    <t>1-64 GAL ON CALL PICKUP</t>
  </si>
  <si>
    <t>1-96 GAL ON CALL PICKUP</t>
  </si>
  <si>
    <t>DRIVE IN UP TO 250'-EOW</t>
  </si>
  <si>
    <t>DRIVE IN UP TO 250'</t>
  </si>
  <si>
    <t>DRIVE IN OVER 250'-MTHLY</t>
  </si>
  <si>
    <t>DRIVE IN OVER 250'</t>
  </si>
  <si>
    <t>DRIVE IN UP TO 250'-MTHLY</t>
  </si>
  <si>
    <t>DRIVE IN OVER 250'-EOW</t>
  </si>
  <si>
    <t>WALK IN 5'-25'-EOW</t>
  </si>
  <si>
    <t>WALK IN 5'-25'-MTHLY</t>
  </si>
  <si>
    <t>WALK IN 5'-25'</t>
  </si>
  <si>
    <t>WALK IN OVER 25'</t>
  </si>
  <si>
    <t>DELIVERY CHARGE</t>
  </si>
  <si>
    <t>SERVICE RESTART FEE</t>
  </si>
  <si>
    <t>RESI TRIP CHARGE - CARTS</t>
  </si>
  <si>
    <t>PER STAIR - RES</t>
  </si>
  <si>
    <t>OVERFILL/OVERWEIGHT CHG</t>
  </si>
  <si>
    <t>ADJUSTMENT</t>
  </si>
  <si>
    <t>DRIVE IN UP TO 250 EOW-RE</t>
  </si>
  <si>
    <t>DRIVE IN OVER 250 EOW-REC</t>
  </si>
  <si>
    <t>DRIVE IN UP TO 125 MONTHL</t>
  </si>
  <si>
    <t>RESIDENTIAL RECYCLE</t>
  </si>
  <si>
    <t>RECYCLE SERVICE ONLY</t>
  </si>
  <si>
    <t>RECYCLE MONTHLY ARREARS</t>
  </si>
  <si>
    <t>RECYCLE PROGRAM W/O BINS</t>
  </si>
  <si>
    <t>1 YD 1X EOW</t>
  </si>
  <si>
    <t>1.5 YD 1X EOW</t>
  </si>
  <si>
    <t>2 YD 1X EOW</t>
  </si>
  <si>
    <t>2 YD 1X WEEKLY</t>
  </si>
  <si>
    <t>1.5 YD 1X WEEKLY</t>
  </si>
  <si>
    <t>1 YD 1X WEEKLY</t>
  </si>
  <si>
    <t>1YD CONTAINER RENT-MTHLY</t>
  </si>
  <si>
    <t>1.5YD CONTAINER RENT-MTH</t>
  </si>
  <si>
    <t>2YD CONTAINER RENT-MTHLY</t>
  </si>
  <si>
    <t>2YD TEMP CONTAINER RENT</t>
  </si>
  <si>
    <t>CONTAINER DELIVERY CHARGE</t>
  </si>
  <si>
    <t>COMMERCIAL CAN EXTRA</t>
  </si>
  <si>
    <t>2 YD TEMP CONT RENT MONTH</t>
  </si>
  <si>
    <t>1.5YD TEMP CONTAINER RENT</t>
  </si>
  <si>
    <t>ROLL OUT</t>
  </si>
  <si>
    <t>FUEL &amp; MATERIAL SURCHARGE</t>
  </si>
  <si>
    <t>1YD CONTAINER PICKUP</t>
  </si>
  <si>
    <t>1.5YD CONTAINER PICKUP</t>
  </si>
  <si>
    <t>2YD CONTAINER PICKUP</t>
  </si>
  <si>
    <t>1.5 YD TEMP CONT RENT MON</t>
  </si>
  <si>
    <t>CHARGE FOR DAMAGE</t>
  </si>
  <si>
    <t>RETURN TRIP CHARGE - CONT</t>
  </si>
  <si>
    <t>CMML EXTRA YARDAGE</t>
  </si>
  <si>
    <t>LOOSE MATERIAL-COLLECTOR</t>
  </si>
  <si>
    <t>ADDT'L LOOSE-COLLECTOR</t>
  </si>
  <si>
    <t>UNLOCK / UNLATCH REFUSE</t>
  </si>
  <si>
    <t>TARPING FEE REFUSE</t>
  </si>
  <si>
    <t>LOCK/UNLOCK RECYCLING</t>
  </si>
  <si>
    <t>ROLL OUT FEE - RECYCLE</t>
  </si>
  <si>
    <t>96 COMMINGLE WG-EOW</t>
  </si>
  <si>
    <t>96 COMMINGLE WG-WEEKLY</t>
  </si>
  <si>
    <t>96 COMMINGLE NG-EOW</t>
  </si>
  <si>
    <t>96 COMMINGLE NG-MNTHLY</t>
  </si>
  <si>
    <t>96 COMMINGLE NG-WEEKLY</t>
  </si>
  <si>
    <t>2YD OCC-EOW</t>
  </si>
  <si>
    <t>2YD OCC-MNTHLY</t>
  </si>
  <si>
    <t>2YD OCC-WEEKLY</t>
  </si>
  <si>
    <t>DELIVER RECYCLE BIN</t>
  </si>
  <si>
    <t>CARDBOARD DELIVERY</t>
  </si>
  <si>
    <t>UNLOCK / UNLATCH RECY</t>
  </si>
  <si>
    <t>WALK IN RECYCLE</t>
  </si>
  <si>
    <t>WALK IN 5-25FT EOW-RECYCL</t>
  </si>
  <si>
    <t>WALK IN OVER 25 ADDITIONA</t>
  </si>
  <si>
    <t>WALK IN 5-25FT MONTHLY-RE</t>
  </si>
  <si>
    <t>10YD ROLL OFF HAUL</t>
  </si>
  <si>
    <t>20YD ROLL OFF-HAUL</t>
  </si>
  <si>
    <t>30YD ROLL OFF-HAUL</t>
  </si>
  <si>
    <t>40YD ROLL OFF-HAUL</t>
  </si>
  <si>
    <t>20YD ROLL OFF TEMP HAUL</t>
  </si>
  <si>
    <t>40YD ROLL OFF TEMP HAUL</t>
  </si>
  <si>
    <t>10YD COMPACTOR-HAUL</t>
  </si>
  <si>
    <t>15YD COMPACTOR-HAUL</t>
  </si>
  <si>
    <t>20YD COMPACTOR-HAUL</t>
  </si>
  <si>
    <t>25YD COMPACTOR-HAUL</t>
  </si>
  <si>
    <t>30YD COMPACTOR-HAUL</t>
  </si>
  <si>
    <t>35YD COMPACTOR-HAUL</t>
  </si>
  <si>
    <t>10YD ROLL OFF DAILY RENT</t>
  </si>
  <si>
    <t>20YD ROLL OFF-DAILY RENT</t>
  </si>
  <si>
    <t>40YD ROLL OFF-DAILY RENT</t>
  </si>
  <si>
    <t>10YD ROLL OFF MTHLY RENT</t>
  </si>
  <si>
    <t>20YD ROLL OFF-MNTHLY RENT</t>
  </si>
  <si>
    <t>40YD ROLL OFF-MNTHLY RENT</t>
  </si>
  <si>
    <t>ROLL OFF-LID</t>
  </si>
  <si>
    <t>ROLL OFF-DELIVERY</t>
  </si>
  <si>
    <t>ROLL OFF-MILEAGE</t>
  </si>
  <si>
    <t>WASHING FEE</t>
  </si>
  <si>
    <t>SPECIAL PICKUP</t>
  </si>
  <si>
    <t>PORTABLE STORAGE RENT 22</t>
  </si>
  <si>
    <t>STORAGE CONT DELIVERY</t>
  </si>
  <si>
    <t>22FT STORAGE CONT PU</t>
  </si>
  <si>
    <t>TIME/STANDBY CHARGE</t>
  </si>
  <si>
    <t>ROLL OFF PER HOUR</t>
  </si>
  <si>
    <t>ROLL OFF RELOCATE</t>
  </si>
  <si>
    <t>MC LANDFILL PER TON</t>
  </si>
  <si>
    <t>OLYMPIC LANDFILL PER TON</t>
  </si>
  <si>
    <t>DISPOSAL MISCELLANOUS</t>
  </si>
  <si>
    <t>Proposed Effective January 1, 2021</t>
  </si>
  <si>
    <t>Note: Customer count and disposal/weight related figures below were used and approved as part of TG-190968 and remain unchanged for this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</si>
</sst>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000_);_(&quot;$&quot;* \(#,##0.000\);_(&quot;$&quot;* &quot;-&quot;??_);_(@_)"/>
    <numFmt numFmtId="167" formatCode="_(* #,##0.000000_);_(* \(#,##0.000000\);_(* &quot;-&quot;??_);_(@_)"/>
    <numFmt numFmtId="168" formatCode="_(&quot;$&quot;* #,##0.000000_);_(&quot;$&quot;* \(#,##0.000000\);_(&quot;$&quot;* &quot;-&quot;??_);_(@_)"/>
    <numFmt numFmtId="169" formatCode="0.0000%"/>
    <numFmt numFmtId="170" formatCode="_(&quot;$&quot;* #,##0_);_(&quot;$&quot;* \(#,##0\);_(&quot;$&quot;* &quot;-&quot;??_);_(@_)"/>
    <numFmt numFmtId="171" formatCode="_(* #,##0.000_);_(* \(#,##0.000\);_(* &quot;-&quot;??_);_(@_)"/>
    <numFmt numFmtId="172" formatCode="&quot;$&quot;#,##0\ ;\(&quot;$&quot;#,##0\)"/>
    <numFmt numFmtId="173" formatCode="General_)"/>
    <numFmt numFmtId="174" formatCode="mm\-yy;\-0;;@"/>
    <numFmt numFmtId="175" formatCode=".00#####;\-.00####;;@"/>
    <numFmt numFmtId="176" formatCode="_-&quot;$&quot;* #,##0.00_-;\-&quot;$&quot;* #,##0.00_-;_-&quot;$&quot;* &quot;-&quot;??_-;_-@_-"/>
    <numFmt numFmtId="177" formatCode="_([$€-2]* #,##0.00_);_([$€-2]* \(#,##0.00\);_([$€-2]* &quot;-&quot;??_)"/>
  </numFmts>
  <fonts count="11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name val="Arial"/>
      <family val="2"/>
    </font>
    <font>
      <sz val="11"/>
      <color indexed="8"/>
      <name val="Calibri"/>
      <family val="2"/>
    </font>
    <font>
      <b/>
      <sz val="12"/>
      <name val="Arial"/>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2"/>
      <name val="Courier"/>
      <family val="3"/>
    </font>
    <font>
      <sz val="9"/>
      <color indexed="8"/>
      <name val="Arial"/>
      <family val="2"/>
    </font>
    <font>
      <sz val="10"/>
      <name val="Times New Roman"/>
      <family val="1"/>
    </font>
    <font>
      <sz val="11"/>
      <color indexed="8"/>
      <name val="Arial"/>
      <family val="2"/>
    </font>
    <font>
      <b/>
      <sz val="10"/>
      <color indexed="12"/>
      <name val="Arial"/>
      <family val="2"/>
    </font>
    <font>
      <i/>
      <sz val="11"/>
      <color indexed="23"/>
      <name val="Calibri"/>
      <family val="2"/>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indexed="12"/>
      <name val="Arial"/>
      <family val="2"/>
    </font>
    <font>
      <u/>
      <sz val="11"/>
      <color indexed="12"/>
      <name val="Calibri"/>
      <family val="2"/>
    </font>
    <font>
      <sz val="11"/>
      <color indexed="6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b/>
      <sz val="11"/>
      <color indexed="63"/>
      <name val="Calibri"/>
      <family val="2"/>
    </font>
    <font>
      <sz val="10"/>
      <name val="MS Sans Serif"/>
      <family val="2"/>
    </font>
    <font>
      <b/>
      <sz val="10"/>
      <name val="MS Sans Serif"/>
      <family val="2"/>
    </font>
    <font>
      <sz val="12"/>
      <name val="Arial MT"/>
    </font>
    <font>
      <b/>
      <u/>
      <sz val="11"/>
      <name val="Arial"/>
      <family val="2"/>
    </font>
    <font>
      <b/>
      <sz val="11"/>
      <color indexed="8"/>
      <name val="Calibri"/>
      <family val="2"/>
    </font>
    <font>
      <sz val="11"/>
      <color indexed="10"/>
      <name val="Calibri"/>
      <family val="2"/>
    </font>
    <font>
      <sz val="11"/>
      <name val="Calibri"/>
      <family val="2"/>
      <scheme val="minor"/>
    </font>
    <font>
      <b/>
      <sz val="11"/>
      <name val="Calibri"/>
      <family val="2"/>
      <scheme val="minor"/>
    </font>
    <font>
      <sz val="11"/>
      <color theme="3" tint="0.39997558519241921"/>
      <name val="Calibri"/>
      <family val="2"/>
      <scheme val="minor"/>
    </font>
    <font>
      <b/>
      <sz val="12"/>
      <color theme="1"/>
      <name val="Calibri"/>
      <family val="2"/>
      <scheme val="minor"/>
    </font>
    <font>
      <sz val="11"/>
      <color rgb="FF006100"/>
      <name val="Calibri"/>
      <family val="2"/>
      <scheme val="minor"/>
    </font>
    <font>
      <sz val="12"/>
      <name val="Arial"/>
      <family val="2"/>
    </font>
    <font>
      <sz val="8"/>
      <color indexed="56"/>
      <name val="Arial"/>
      <family val="2"/>
    </font>
    <font>
      <b/>
      <sz val="11"/>
      <color indexed="10"/>
      <name val="Calibri"/>
      <family val="2"/>
    </font>
    <font>
      <sz val="11"/>
      <color indexed="19"/>
      <name val="Calibri"/>
      <family val="2"/>
    </font>
    <font>
      <b/>
      <sz val="18"/>
      <color indexed="62"/>
      <name val="Cambria"/>
      <family val="2"/>
    </font>
    <font>
      <b/>
      <sz val="11"/>
      <color indexed="51"/>
      <name val="Calibri"/>
      <family val="2"/>
    </font>
    <font>
      <b/>
      <sz val="15"/>
      <color indexed="61"/>
      <name val="Calibri"/>
      <family val="2"/>
    </font>
    <font>
      <b/>
      <sz val="13"/>
      <color indexed="61"/>
      <name val="Calibri"/>
      <family val="2"/>
    </font>
    <font>
      <b/>
      <sz val="11"/>
      <color indexed="61"/>
      <name val="Calibri"/>
      <family val="2"/>
    </font>
    <font>
      <sz val="11"/>
      <color indexed="61"/>
      <name val="Calibri"/>
      <family val="2"/>
    </font>
    <font>
      <sz val="11"/>
      <color indexed="51"/>
      <name val="Calibri"/>
      <family val="2"/>
    </font>
    <font>
      <sz val="11"/>
      <color indexed="59"/>
      <name val="Calibri"/>
      <family val="2"/>
    </font>
    <font>
      <b/>
      <sz val="18"/>
      <color indexed="61"/>
      <name val="Cambria"/>
      <family val="2"/>
    </font>
    <font>
      <u/>
      <sz val="11"/>
      <color theme="10"/>
      <name val="Calibri"/>
      <family val="2"/>
    </font>
    <font>
      <b/>
      <sz val="11"/>
      <color indexed="8"/>
      <name val="Calibri"/>
      <family val="2"/>
      <scheme val="minor"/>
    </font>
    <font>
      <sz val="11"/>
      <color indexed="8"/>
      <name val="Calibri"/>
      <family val="2"/>
      <scheme val="minor"/>
    </font>
    <font>
      <sz val="10"/>
      <name val="Calibri"/>
      <family val="2"/>
      <scheme val="minor"/>
    </font>
    <font>
      <b/>
      <sz val="10"/>
      <color indexed="10"/>
      <name val="Arial"/>
      <family val="2"/>
    </font>
    <font>
      <b/>
      <sz val="12"/>
      <color indexed="12"/>
      <name val="Times New Roman"/>
      <family val="1"/>
    </font>
    <font>
      <b/>
      <sz val="11"/>
      <color indexed="18"/>
      <name val="Britannic Bold"/>
      <family val="2"/>
    </font>
    <font>
      <sz val="12"/>
      <name val="CG Omega"/>
    </font>
    <font>
      <sz val="12"/>
      <color theme="1"/>
      <name val="Calibri"/>
      <family val="2"/>
      <scheme val="minor"/>
    </font>
    <font>
      <sz val="11"/>
      <color theme="1"/>
      <name val="Arial"/>
      <family val="2"/>
    </font>
    <font>
      <b/>
      <sz val="10"/>
      <name val="Times New Roman"/>
      <family val="1"/>
    </font>
    <font>
      <sz val="10"/>
      <color indexed="10"/>
      <name val="Arial"/>
      <family val="2"/>
    </font>
    <font>
      <b/>
      <sz val="10"/>
      <name val="Calibri"/>
      <family val="2"/>
      <scheme val="minor"/>
    </font>
    <font>
      <b/>
      <sz val="9"/>
      <color indexed="8"/>
      <name val="Calibri"/>
      <family val="2"/>
    </font>
    <font>
      <sz val="9"/>
      <color indexed="8"/>
      <name val="Calibri"/>
      <family val="2"/>
    </font>
    <font>
      <b/>
      <u/>
      <sz val="9"/>
      <color indexed="8"/>
      <name val="Calibri"/>
      <family val="2"/>
    </font>
    <font>
      <b/>
      <sz val="9"/>
      <color indexed="50"/>
      <name val="Calibri"/>
      <family val="2"/>
    </font>
    <font>
      <b/>
      <sz val="9"/>
      <name val="Calibri"/>
      <family val="2"/>
    </font>
    <font>
      <sz val="9"/>
      <name val="Calibri"/>
      <family val="2"/>
    </font>
    <font>
      <b/>
      <sz val="8"/>
      <color indexed="81"/>
      <name val="Tahoma"/>
      <family val="2"/>
    </font>
    <font>
      <sz val="8"/>
      <color indexed="81"/>
      <name val="Tahoma"/>
      <family val="2"/>
    </font>
    <font>
      <b/>
      <sz val="9"/>
      <color indexed="81"/>
      <name val="Tahoma"/>
      <family val="2"/>
    </font>
    <font>
      <sz val="9"/>
      <color indexed="81"/>
      <name val="Tahoma"/>
      <family val="2"/>
    </font>
    <font>
      <sz val="11"/>
      <color rgb="FF000000"/>
      <name val="Calibri"/>
      <family val="2"/>
      <scheme val="minor"/>
    </font>
    <font>
      <u/>
      <sz val="7.5"/>
      <color indexed="12"/>
      <name val="Arial"/>
      <family val="2"/>
    </font>
    <font>
      <sz val="12"/>
      <color indexed="8"/>
      <name val="Arial"/>
      <family val="2"/>
    </font>
    <font>
      <b/>
      <sz val="11"/>
      <color theme="1" tint="0.14996795556505021"/>
      <name val="Calibri"/>
      <family val="2"/>
      <scheme val="minor"/>
    </font>
    <font>
      <b/>
      <sz val="11"/>
      <name val="Century Gothic"/>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Calibri"/>
      <family val="2"/>
      <scheme val="minor"/>
    </font>
    <font>
      <b/>
      <sz val="10"/>
      <name val="Arial"/>
      <family val="2"/>
    </font>
    <font>
      <sz val="10"/>
      <name val="Tahoma"/>
      <family val="2"/>
    </font>
    <font>
      <u/>
      <sz val="10"/>
      <color theme="10"/>
      <name val="Arial"/>
      <family val="2"/>
    </font>
    <font>
      <u/>
      <sz val="11"/>
      <color indexed="12"/>
      <name val="Arial"/>
      <family val="2"/>
    </font>
    <font>
      <u/>
      <sz val="11"/>
      <color theme="10"/>
      <name val="Century Gothic"/>
      <family val="2"/>
    </font>
    <font>
      <u/>
      <sz val="9"/>
      <color indexed="12"/>
      <name val="Arial"/>
      <family val="2"/>
    </font>
    <font>
      <b/>
      <sz val="14"/>
      <name val="Helv"/>
    </font>
    <font>
      <sz val="10"/>
      <color theme="1"/>
      <name val="Times New Roman"/>
      <family val="2"/>
    </font>
    <font>
      <sz val="11"/>
      <color theme="1"/>
      <name val="Century Gothic"/>
      <family val="2"/>
    </font>
    <font>
      <sz val="12"/>
      <color indexed="8"/>
      <name val="Calibri"/>
      <family val="2"/>
    </font>
    <font>
      <sz val="18"/>
      <color indexed="13"/>
      <name val="Helv"/>
    </font>
    <font>
      <sz val="12"/>
      <color indexed="13"/>
      <name val="Helv"/>
    </font>
    <font>
      <b/>
      <sz val="18"/>
      <color indexed="56"/>
      <name val="Cambria"/>
      <family val="2"/>
    </font>
    <font>
      <b/>
      <u/>
      <sz val="9"/>
      <name val="Calibri"/>
      <family val="2"/>
    </font>
    <font>
      <b/>
      <sz val="10"/>
      <color rgb="FFFF0000"/>
      <name val="Calibri"/>
      <family val="2"/>
      <scheme val="minor"/>
    </font>
  </fonts>
  <fills count="8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65"/>
        <bgColor indexed="10"/>
      </patternFill>
    </fill>
    <fill>
      <patternFill patternType="gray125">
        <fgColor indexed="10"/>
      </patternFill>
    </fill>
    <fill>
      <patternFill patternType="solid">
        <fgColor indexed="22"/>
        <bgColor indexed="64"/>
      </patternFill>
    </fill>
    <fill>
      <patternFill patternType="solid">
        <fgColor indexed="26"/>
      </patternFill>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C6EFCE"/>
      </patternFill>
    </fill>
    <fill>
      <patternFill patternType="mediumGray">
        <fgColor indexed="22"/>
      </patternFill>
    </fill>
    <fill>
      <patternFill patternType="solid">
        <fgColor indexed="43"/>
        <bgColor indexed="64"/>
      </patternFill>
    </fill>
    <fill>
      <patternFill patternType="solid">
        <fgColor indexed="48"/>
      </patternFill>
    </fill>
    <fill>
      <patternFill patternType="solid">
        <fgColor indexed="56"/>
      </patternFill>
    </fill>
    <fill>
      <patternFill patternType="solid">
        <fgColor indexed="54"/>
      </patternFill>
    </fill>
    <fill>
      <patternFill patternType="solid">
        <fgColor indexed="63"/>
      </patternFill>
    </fill>
    <fill>
      <patternFill patternType="solid">
        <fgColor indexed="42"/>
        <bgColor indexed="29"/>
      </patternFill>
    </fill>
    <fill>
      <patternFill patternType="solid">
        <fgColor theme="6" tint="0.59999389629810485"/>
        <bgColor indexed="64"/>
      </patternFill>
    </fill>
    <fill>
      <patternFill patternType="solid">
        <fgColor theme="4" tint="0.79998168889431442"/>
        <bgColor indexed="65"/>
      </patternFill>
    </fill>
    <fill>
      <patternFill patternType="solid">
        <fgColor theme="8" tint="0.79998168889431442"/>
        <bgColor indexed="64"/>
      </patternFill>
    </fill>
    <fill>
      <patternFill patternType="solid">
        <fgColor theme="3" tint="0.79998168889431442"/>
        <bgColor indexed="64"/>
      </patternFill>
    </fill>
    <fill>
      <patternFill patternType="solid">
        <fgColor indexed="9"/>
        <bgColor indexed="8"/>
      </patternFill>
    </fill>
    <fill>
      <patternFill patternType="solid">
        <fgColor theme="6" tint="0.39994506668294322"/>
        <bgColor indexed="64"/>
      </patternFill>
    </fill>
    <fill>
      <patternFill patternType="solid">
        <fgColor theme="4" tint="0.3999450666829432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patternFill>
    </fill>
    <fill>
      <patternFill patternType="solid">
        <fgColor indexed="12"/>
      </patternFill>
    </fill>
    <fill>
      <patternFill patternType="solid">
        <fgColor theme="0" tint="-4.9989318521683403E-2"/>
        <bgColor indexed="64"/>
      </patternFill>
    </fill>
  </fills>
  <borders count="52">
    <border>
      <left/>
      <right/>
      <top/>
      <bottom/>
      <diagonal/>
    </border>
    <border>
      <left/>
      <right/>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double">
        <color indexed="62"/>
      </left>
      <right style="double">
        <color indexed="62"/>
      </right>
      <top style="double">
        <color indexed="62"/>
      </top>
      <bottom style="double">
        <color indexed="62"/>
      </bottom>
      <diagonal/>
    </border>
    <border>
      <left/>
      <right/>
      <top/>
      <bottom style="thick">
        <color indexed="56"/>
      </bottom>
      <diagonal/>
    </border>
    <border>
      <left/>
      <right/>
      <top/>
      <bottom style="thick">
        <color indexed="48"/>
      </bottom>
      <diagonal/>
    </border>
    <border>
      <left/>
      <right/>
      <top/>
      <bottom style="thick">
        <color indexed="27"/>
      </bottom>
      <diagonal/>
    </border>
    <border>
      <left/>
      <right/>
      <top/>
      <bottom style="medium">
        <color indexed="27"/>
      </bottom>
      <diagonal/>
    </border>
    <border>
      <left/>
      <right/>
      <top/>
      <bottom style="medium">
        <color indexed="48"/>
      </bottom>
      <diagonal/>
    </border>
    <border>
      <left/>
      <right/>
      <top/>
      <bottom style="double">
        <color indexed="10"/>
      </bottom>
      <diagonal/>
    </border>
    <border>
      <left/>
      <right/>
      <top/>
      <bottom style="double">
        <color indexed="51"/>
      </bottom>
      <diagonal/>
    </border>
    <border>
      <left style="thin">
        <color indexed="62"/>
      </left>
      <right style="thin">
        <color indexed="62"/>
      </right>
      <top style="thin">
        <color indexed="62"/>
      </top>
      <bottom style="thin">
        <color indexed="62"/>
      </bottom>
      <diagonal/>
    </border>
    <border>
      <left/>
      <right/>
      <top style="thin">
        <color indexed="56"/>
      </top>
      <bottom style="double">
        <color indexed="56"/>
      </bottom>
      <diagonal/>
    </border>
    <border>
      <left/>
      <right/>
      <top style="thin">
        <color indexed="48"/>
      </top>
      <bottom style="double">
        <color indexed="48"/>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indexed="8"/>
      </left>
      <right style="double">
        <color indexed="8"/>
      </right>
      <top style="double">
        <color indexed="8"/>
      </top>
      <bottom style="double">
        <color indexed="8"/>
      </bottom>
      <diagonal/>
    </border>
    <border>
      <left style="thin">
        <color indexed="8"/>
      </left>
      <right style="thin">
        <color indexed="8"/>
      </right>
      <top style="thin">
        <color indexed="8"/>
      </top>
      <bottom style="thin">
        <color indexed="8"/>
      </bottom>
      <diagonal/>
    </border>
    <border>
      <left/>
      <right/>
      <top/>
      <bottom style="medium">
        <color indexed="54"/>
      </bottom>
      <diagonal/>
    </border>
    <border>
      <left style="thin">
        <color indexed="55"/>
      </left>
      <right style="thin">
        <color indexed="55"/>
      </right>
      <top style="thin">
        <color indexed="55"/>
      </top>
      <bottom style="thin">
        <color indexed="55"/>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right style="medium">
        <color indexed="64"/>
      </right>
      <top style="medium">
        <color indexed="64"/>
      </top>
      <bottom/>
      <diagonal/>
    </border>
  </borders>
  <cellStyleXfs count="4630">
    <xf numFmtId="0" fontId="0" fillId="0" borderId="0"/>
    <xf numFmtId="43"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7" fillId="0" borderId="0"/>
    <xf numFmtId="43" fontId="7" fillId="0" borderId="0" applyFont="0" applyFill="0" applyBorder="0" applyAlignment="0" applyProtection="0"/>
    <xf numFmtId="0" fontId="5"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4" borderId="0" applyNumberFormat="0" applyBorder="0" applyAlignment="0" applyProtection="0"/>
    <xf numFmtId="0" fontId="8" fillId="18"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8" borderId="0" applyNumberFormat="0" applyBorder="0" applyAlignment="0" applyProtection="0"/>
    <xf numFmtId="0" fontId="8" fillId="16" borderId="0" applyNumberFormat="0" applyBorder="0" applyAlignment="0" applyProtection="0"/>
    <xf numFmtId="0" fontId="8" fillId="23" borderId="0" applyNumberFormat="0" applyBorder="0" applyAlignment="0" applyProtection="0"/>
    <xf numFmtId="41" fontId="7" fillId="0" borderId="0"/>
    <xf numFmtId="0" fontId="9" fillId="6" borderId="0" applyNumberFormat="0" applyBorder="0" applyAlignment="0" applyProtection="0"/>
    <xf numFmtId="3" fontId="7" fillId="0" borderId="0"/>
    <xf numFmtId="0" fontId="10" fillId="24" borderId="3" applyNumberFormat="0" applyAlignment="0" applyProtection="0"/>
    <xf numFmtId="0" fontId="10" fillId="4" borderId="3" applyNumberFormat="0" applyAlignment="0" applyProtection="0"/>
    <xf numFmtId="0" fontId="11" fillId="25" borderId="4" applyNumberFormat="0" applyAlignment="0" applyProtection="0"/>
    <xf numFmtId="0" fontId="7" fillId="3" borderId="0">
      <alignment horizontal="center"/>
    </xf>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12" fillId="0" borderId="0"/>
    <xf numFmtId="0" fontId="13" fillId="0" borderId="0"/>
    <xf numFmtId="0" fontId="13" fillId="0" borderId="0"/>
    <xf numFmtId="0" fontId="14" fillId="26" borderId="1" applyAlignment="0">
      <alignment horizontal="right"/>
      <protection locked="0"/>
    </xf>
    <xf numFmtId="44" fontId="15"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16"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0" fontId="17" fillId="27" borderId="0">
      <alignment horizontal="right"/>
      <protection locked="0"/>
    </xf>
    <xf numFmtId="14" fontId="7" fillId="0" borderId="0"/>
    <xf numFmtId="0" fontId="18" fillId="0" borderId="0" applyNumberFormat="0" applyFill="0" applyBorder="0" applyAlignment="0" applyProtection="0"/>
    <xf numFmtId="2" fontId="17" fillId="27" borderId="0">
      <alignment horizontal="right"/>
      <protection locked="0"/>
    </xf>
    <xf numFmtId="1" fontId="7" fillId="0" borderId="0">
      <alignment horizontal="center"/>
    </xf>
    <xf numFmtId="0" fontId="19" fillId="7"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10" borderId="3" applyNumberFormat="0" applyAlignment="0" applyProtection="0"/>
    <xf numFmtId="3" fontId="29" fillId="28" borderId="0">
      <protection locked="0"/>
    </xf>
    <xf numFmtId="4" fontId="29" fillId="28" borderId="0">
      <protection locked="0"/>
    </xf>
    <xf numFmtId="0" fontId="30" fillId="0" borderId="10" applyNumberFormat="0" applyFill="0" applyAlignment="0" applyProtection="0"/>
    <xf numFmtId="0" fontId="31" fillId="14" borderId="0" applyNumberFormat="0" applyBorder="0" applyAlignment="0" applyProtection="0"/>
    <xf numFmtId="43" fontId="7" fillId="0" borderId="0"/>
    <xf numFmtId="0" fontId="32" fillId="0" borderId="0"/>
    <xf numFmtId="0" fontId="32" fillId="0" borderId="0"/>
    <xf numFmtId="0" fontId="32" fillId="0" borderId="0"/>
    <xf numFmtId="0" fontId="32" fillId="0" borderId="0"/>
    <xf numFmtId="0" fontId="32" fillId="0" borderId="0"/>
    <xf numFmtId="0" fontId="7" fillId="0" borderId="0"/>
    <xf numFmtId="0" fontId="1"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29" borderId="11" applyNumberFormat="0" applyFont="0" applyAlignment="0" applyProtection="0"/>
    <xf numFmtId="0" fontId="4" fillId="29" borderId="11" applyNumberFormat="0" applyFont="0" applyAlignment="0" applyProtection="0"/>
    <xf numFmtId="165" fontId="33" fillId="0" borderId="0" applyNumberFormat="0"/>
    <xf numFmtId="0" fontId="34" fillId="4" borderId="12"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165" fontId="7" fillId="0" borderId="0" applyFont="0" applyFill="0" applyBorder="0" applyAlignment="0" applyProtection="0"/>
    <xf numFmtId="10" fontId="7" fillId="0" borderId="0" applyFont="0" applyFill="0" applyBorder="0" applyAlignment="0" applyProtection="0"/>
    <xf numFmtId="0" fontId="7" fillId="0" borderId="0"/>
    <xf numFmtId="0" fontId="35" fillId="0" borderId="0" applyNumberFormat="0" applyFont="0" applyFill="0" applyBorder="0" applyAlignment="0" applyProtection="0">
      <alignment horizontal="left"/>
    </xf>
    <xf numFmtId="0" fontId="36" fillId="0" borderId="2">
      <alignment horizontal="center"/>
    </xf>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2" fillId="0" borderId="0">
      <alignment vertical="top"/>
    </xf>
    <xf numFmtId="0" fontId="12" fillId="0" borderId="0" applyNumberFormat="0" applyBorder="0" applyAlignment="0"/>
    <xf numFmtId="37" fontId="38" fillId="0" borderId="0"/>
    <xf numFmtId="37" fontId="6" fillId="0" borderId="0"/>
    <xf numFmtId="0" fontId="39" fillId="0" borderId="13" applyNumberFormat="0" applyFill="0" applyAlignment="0" applyProtection="0"/>
    <xf numFmtId="0" fontId="39" fillId="0" borderId="14" applyNumberFormat="0" applyFill="0" applyAlignment="0" applyProtection="0"/>
    <xf numFmtId="0" fontId="40" fillId="0" borderId="0" applyNumberFormat="0" applyFill="0" applyBorder="0" applyAlignment="0" applyProtection="0"/>
    <xf numFmtId="0" fontId="7" fillId="0" borderId="0"/>
    <xf numFmtId="0" fontId="7" fillId="0" borderId="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38" fontId="47" fillId="0" borderId="0" applyNumberFormat="0" applyFont="0" applyFill="0" applyBorder="0">
      <alignment horizontal="left" indent="4"/>
      <protection locked="0"/>
    </xf>
    <xf numFmtId="15" fontId="35" fillId="0" borderId="0" applyFont="0" applyFill="0" applyBorder="0" applyAlignment="0" applyProtection="0"/>
    <xf numFmtId="4" fontId="35" fillId="0" borderId="0" applyFont="0" applyFill="0" applyBorder="0" applyAlignment="0" applyProtection="0"/>
    <xf numFmtId="3" fontId="35" fillId="0" borderId="0" applyFont="0" applyFill="0" applyBorder="0" applyAlignment="0" applyProtection="0"/>
    <xf numFmtId="0" fontId="35" fillId="35" borderId="0" applyNumberFormat="0" applyFont="0" applyBorder="0" applyAlignment="0" applyProtection="0"/>
    <xf numFmtId="164" fontId="46" fillId="36" borderId="0" applyFont="0" applyFill="0" applyBorder="0" applyAlignment="0" applyProtection="0">
      <alignment wrapText="1"/>
    </xf>
    <xf numFmtId="0" fontId="7" fillId="0" borderId="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29" borderId="0" applyNumberFormat="0" applyBorder="0" applyAlignment="0" applyProtection="0"/>
    <xf numFmtId="0" fontId="8" fillId="9" borderId="0" applyNumberFormat="0" applyBorder="0" applyAlignment="0" applyProtection="0"/>
    <xf numFmtId="0" fontId="8" fillId="37" borderId="0" applyNumberFormat="0" applyBorder="0" applyAlignment="0" applyProtection="0"/>
    <xf numFmtId="0" fontId="8" fillId="23" borderId="0" applyNumberFormat="0" applyBorder="0" applyAlignment="0" applyProtection="0"/>
    <xf numFmtId="0" fontId="8" fillId="15"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3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38" borderId="0" applyNumberFormat="0" applyBorder="0" applyAlignment="0" applyProtection="0"/>
    <xf numFmtId="0" fontId="8" fillId="37" borderId="0" applyNumberFormat="0" applyBorder="0" applyAlignment="0" applyProtection="0"/>
    <xf numFmtId="0" fontId="8" fillId="23" borderId="0" applyNumberFormat="0" applyBorder="0" applyAlignment="0" applyProtection="0"/>
    <xf numFmtId="0" fontId="8" fillId="15"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8" fillId="23" borderId="0" applyNumberFormat="0" applyBorder="0" applyAlignment="0" applyProtection="0"/>
    <xf numFmtId="0" fontId="8" fillId="16" borderId="0" applyNumberFormat="0" applyBorder="0" applyAlignment="0" applyProtection="0"/>
    <xf numFmtId="0" fontId="8" fillId="37" borderId="0" applyNumberFormat="0" applyBorder="0" applyAlignment="0" applyProtection="0"/>
    <xf numFmtId="0" fontId="8" fillId="21" borderId="0" applyNumberFormat="0" applyBorder="0" applyAlignment="0" applyProtection="0"/>
    <xf numFmtId="0" fontId="8" fillId="19" borderId="0" applyNumberFormat="0" applyBorder="0" applyAlignment="0" applyProtection="0"/>
    <xf numFmtId="41" fontId="7" fillId="0" borderId="0"/>
    <xf numFmtId="41" fontId="7" fillId="0" borderId="0"/>
    <xf numFmtId="41" fontId="7" fillId="0" borderId="0"/>
    <xf numFmtId="0" fontId="9" fillId="8" borderId="0" applyNumberFormat="0" applyBorder="0" applyAlignment="0" applyProtection="0"/>
    <xf numFmtId="3" fontId="7" fillId="0" borderId="0"/>
    <xf numFmtId="3" fontId="7" fillId="0" borderId="0"/>
    <xf numFmtId="3" fontId="7" fillId="0" borderId="0"/>
    <xf numFmtId="0" fontId="48" fillId="24" borderId="3" applyNumberFormat="0" applyAlignment="0" applyProtection="0"/>
    <xf numFmtId="0" fontId="51" fillId="24" borderId="3" applyNumberFormat="0" applyAlignment="0" applyProtection="0"/>
    <xf numFmtId="0" fontId="11" fillId="25" borderId="4" applyNumberFormat="0" applyAlignment="0" applyProtection="0"/>
    <xf numFmtId="0" fontId="11" fillId="40" borderId="23" applyNumberFormat="0" applyAlignment="0" applyProtection="0"/>
    <xf numFmtId="43" fontId="7" fillId="0" borderId="0" applyFont="0" applyFill="0" applyBorder="0" applyAlignment="0" applyProtection="0"/>
    <xf numFmtId="44" fontId="7"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8" fillId="0" borderId="0" applyNumberFormat="0" applyFill="0" applyBorder="0" applyAlignment="0" applyProtection="0"/>
    <xf numFmtId="0" fontId="19" fillId="9" borderId="0" applyNumberFormat="0" applyBorder="0" applyAlignment="0" applyProtection="0"/>
    <xf numFmtId="0" fontId="20" fillId="0" borderId="24" applyNumberFormat="0" applyFill="0" applyAlignment="0" applyProtection="0"/>
    <xf numFmtId="0" fontId="52" fillId="0" borderId="25" applyNumberFormat="0" applyFill="0" applyAlignment="0" applyProtection="0"/>
    <xf numFmtId="0" fontId="22" fillId="0" borderId="26" applyNumberFormat="0" applyFill="0" applyAlignment="0" applyProtection="0"/>
    <xf numFmtId="0" fontId="53" fillId="0" borderId="7" applyNumberFormat="0" applyFill="0" applyAlignment="0" applyProtection="0"/>
    <xf numFmtId="0" fontId="24" fillId="0" borderId="27" applyNumberFormat="0" applyFill="0" applyAlignment="0" applyProtection="0"/>
    <xf numFmtId="0" fontId="54" fillId="0" borderId="28" applyNumberFormat="0" applyFill="0" applyAlignment="0" applyProtection="0"/>
    <xf numFmtId="0" fontId="24" fillId="0" borderId="0" applyNumberFormat="0" applyFill="0" applyBorder="0" applyAlignment="0" applyProtection="0"/>
    <xf numFmtId="0" fontId="54" fillId="0" borderId="0" applyNumberFormat="0" applyFill="0" applyBorder="0" applyAlignment="0" applyProtection="0"/>
    <xf numFmtId="0" fontId="28" fillId="14" borderId="3" applyNumberFormat="0" applyAlignment="0" applyProtection="0"/>
    <xf numFmtId="0" fontId="55" fillId="14" borderId="3" applyNumberFormat="0" applyAlignment="0" applyProtection="0"/>
    <xf numFmtId="0" fontId="40" fillId="0" borderId="29" applyNumberFormat="0" applyFill="0" applyAlignment="0" applyProtection="0"/>
    <xf numFmtId="0" fontId="56" fillId="0" borderId="30" applyNumberFormat="0" applyFill="0" applyAlignment="0" applyProtection="0"/>
    <xf numFmtId="0" fontId="49" fillId="14" borderId="0" applyNumberFormat="0" applyBorder="0" applyAlignment="0" applyProtection="0"/>
    <xf numFmtId="0" fontId="57" fillId="14"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12" fillId="0" borderId="0">
      <alignment vertical="top"/>
    </xf>
    <xf numFmtId="0" fontId="12" fillId="0" borderId="0">
      <alignment vertical="top"/>
    </xf>
    <xf numFmtId="0" fontId="12" fillId="0" borderId="0">
      <alignment vertical="top"/>
    </xf>
    <xf numFmtId="0" fontId="32" fillId="29" borderId="11" applyNumberFormat="0" applyFont="0" applyAlignment="0" applyProtection="0"/>
    <xf numFmtId="0" fontId="12" fillId="29" borderId="11" applyNumberFormat="0" applyFont="0" applyAlignment="0" applyProtection="0"/>
    <xf numFmtId="0" fontId="34" fillId="24" borderId="12" applyNumberFormat="0" applyAlignment="0" applyProtection="0"/>
    <xf numFmtId="0" fontId="24" fillId="24" borderId="31"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12" fillId="0" borderId="0">
      <alignment vertical="top"/>
    </xf>
    <xf numFmtId="0" fontId="50" fillId="0" borderId="0" applyNumberFormat="0" applyFill="0" applyBorder="0" applyAlignment="0" applyProtection="0"/>
    <xf numFmtId="0" fontId="58" fillId="0" borderId="0" applyNumberFormat="0" applyFill="0" applyBorder="0" applyAlignment="0" applyProtection="0"/>
    <xf numFmtId="0" fontId="39" fillId="0" borderId="32" applyNumberFormat="0" applyFill="0" applyAlignment="0" applyProtection="0"/>
    <xf numFmtId="0" fontId="39" fillId="0" borderId="33" applyNumberFormat="0" applyFill="0" applyAlignment="0" applyProtection="0"/>
    <xf numFmtId="0" fontId="40" fillId="0" borderId="0" applyNumberForma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7" fillId="0" borderId="0"/>
    <xf numFmtId="43" fontId="1"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6" fillId="0" borderId="0" applyFont="0" applyFill="0" applyBorder="0" applyAlignment="0" applyProtection="0"/>
    <xf numFmtId="44" fontId="5" fillId="0" borderId="0" applyFont="0" applyFill="0" applyBorder="0" applyAlignment="0" applyProtection="0"/>
    <xf numFmtId="0" fontId="59" fillId="0" borderId="0" applyNumberFormat="0" applyFill="0" applyBorder="0" applyAlignment="0" applyProtection="0">
      <alignment vertical="top"/>
      <protection locked="0"/>
    </xf>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35"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172" fontId="35" fillId="0" borderId="0" applyFont="0" applyFill="0" applyBorder="0" applyAlignment="0" applyProtection="0"/>
    <xf numFmtId="0" fontId="7" fillId="0" borderId="0"/>
    <xf numFmtId="0" fontId="45" fillId="3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9" fontId="1" fillId="0" borderId="0" applyFont="0" applyFill="0" applyBorder="0" applyAlignment="0" applyProtection="0"/>
    <xf numFmtId="0" fontId="7" fillId="0" borderId="0"/>
    <xf numFmtId="43" fontId="1" fillId="0" borderId="0" applyFon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18"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10" fillId="24" borderId="3" applyNumberFormat="0" applyAlignment="0" applyProtection="0"/>
    <xf numFmtId="0" fontId="10" fillId="4" borderId="3" applyNumberFormat="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30" fillId="0" borderId="10" applyNumberFormat="0" applyFill="0" applyAlignment="0" applyProtection="0"/>
    <xf numFmtId="0" fontId="31"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9" borderId="11" applyNumberFormat="0" applyFont="0" applyAlignment="0" applyProtection="0"/>
    <xf numFmtId="0" fontId="4" fillId="29" borderId="11" applyNumberFormat="0" applyFont="0" applyAlignment="0" applyProtection="0"/>
    <xf numFmtId="9" fontId="5" fillId="0" borderId="0" applyFont="0" applyFill="0" applyBorder="0" applyAlignment="0" applyProtection="0"/>
    <xf numFmtId="0" fontId="39" fillId="0" borderId="13" applyNumberFormat="0" applyFill="0" applyAlignment="0" applyProtection="0"/>
    <xf numFmtId="0" fontId="39" fillId="0" borderId="14" applyNumberFormat="0" applyFill="0" applyAlignment="0" applyProtection="0"/>
    <xf numFmtId="0" fontId="7" fillId="0" borderId="0"/>
    <xf numFmtId="0" fontId="7" fillId="0" borderId="0"/>
    <xf numFmtId="0" fontId="5" fillId="11" borderId="0" applyNumberFormat="0" applyBorder="0" applyAlignment="0" applyProtection="0"/>
    <xf numFmtId="0" fontId="5" fillId="12" borderId="0" applyNumberFormat="0" applyBorder="0" applyAlignment="0" applyProtection="0"/>
    <xf numFmtId="0" fontId="5" fillId="29" borderId="0" applyNumberFormat="0" applyBorder="0" applyAlignment="0" applyProtection="0"/>
    <xf numFmtId="0" fontId="5" fillId="10" borderId="0" applyNumberFormat="0" applyBorder="0" applyAlignment="0" applyProtection="0"/>
    <xf numFmtId="0" fontId="5" fillId="29"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2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2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38" borderId="0" applyNumberFormat="0" applyBorder="0" applyAlignment="0" applyProtection="0"/>
    <xf numFmtId="0" fontId="8" fillId="21" borderId="0" applyNumberFormat="0" applyBorder="0" applyAlignment="0" applyProtection="0"/>
    <xf numFmtId="0" fontId="8" fillId="23" borderId="0" applyNumberFormat="0" applyBorder="0" applyAlignment="0" applyProtection="0"/>
    <xf numFmtId="0" fontId="8" fillId="15" borderId="0" applyNumberFormat="0" applyBorder="0" applyAlignment="0" applyProtection="0"/>
    <xf numFmtId="0" fontId="8" fillId="39" borderId="0" applyNumberFormat="0" applyBorder="0" applyAlignment="0" applyProtection="0"/>
    <xf numFmtId="0" fontId="8" fillId="21" borderId="0" applyNumberFormat="0" applyBorder="0" applyAlignment="0" applyProtection="0"/>
    <xf numFmtId="49" fontId="63" fillId="0" borderId="0" applyFill="0" applyBorder="0" applyAlignment="0" applyProtection="0"/>
    <xf numFmtId="0" fontId="64" fillId="0" borderId="34" applyBorder="0">
      <alignment horizontal="center" vertical="center" wrapText="1"/>
    </xf>
    <xf numFmtId="0" fontId="9" fillId="6" borderId="0" applyNumberFormat="0" applyBorder="0" applyAlignment="0" applyProtection="0"/>
    <xf numFmtId="0" fontId="9" fillId="8" borderId="0" applyNumberFormat="0" applyBorder="0" applyAlignment="0" applyProtection="0"/>
    <xf numFmtId="0" fontId="48" fillId="24" borderId="3" applyNumberFormat="0" applyAlignment="0" applyProtection="0"/>
    <xf numFmtId="0" fontId="65" fillId="41" borderId="0" applyNumberFormat="0" applyBorder="0" applyAlignment="0" applyProtection="0">
      <alignment horizontal="center"/>
      <protection hidden="1"/>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66"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3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0" fontId="19" fillId="7" borderId="0" applyNumberFormat="0" applyBorder="0" applyAlignment="0" applyProtection="0"/>
    <xf numFmtId="0" fontId="19" fillId="9" borderId="0" applyNumberFormat="0" applyBorder="0" applyAlignment="0" applyProtection="0"/>
    <xf numFmtId="0" fontId="20" fillId="0" borderId="24" applyNumberFormat="0" applyFill="0" applyAlignment="0" applyProtection="0"/>
    <xf numFmtId="0" fontId="22" fillId="0" borderId="26" applyNumberFormat="0" applyFill="0" applyAlignment="0" applyProtection="0"/>
    <xf numFmtId="0" fontId="24" fillId="0" borderId="27" applyNumberFormat="0" applyFill="0" applyAlignment="0" applyProtection="0"/>
    <xf numFmtId="0" fontId="24" fillId="0" borderId="0" applyNumberFormat="0" applyFill="0" applyBorder="0" applyAlignment="0" applyProtection="0"/>
    <xf numFmtId="0" fontId="28" fillId="14" borderId="3" applyNumberFormat="0" applyAlignment="0" applyProtection="0"/>
    <xf numFmtId="0" fontId="64" fillId="0" borderId="34" applyBorder="0">
      <alignment horizontal="center" vertical="center" wrapText="1"/>
    </xf>
    <xf numFmtId="0" fontId="40" fillId="0" borderId="29" applyNumberFormat="0" applyFill="0" applyAlignment="0" applyProtection="0"/>
    <xf numFmtId="0" fontId="49" fillId="14" borderId="0" applyNumberFormat="0" applyBorder="0" applyAlignment="0" applyProtection="0"/>
    <xf numFmtId="0" fontId="5" fillId="0" borderId="0"/>
    <xf numFmtId="0" fontId="7" fillId="0" borderId="0"/>
    <xf numFmtId="0" fontId="7" fillId="0" borderId="0">
      <alignmen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68" fillId="0" borderId="0"/>
    <xf numFmtId="0" fontId="7" fillId="0" borderId="0"/>
    <xf numFmtId="0" fontId="1" fillId="0" borderId="0"/>
    <xf numFmtId="0" fontId="1" fillId="0" borderId="0"/>
    <xf numFmtId="0" fontId="1" fillId="0" borderId="0"/>
    <xf numFmtId="0" fontId="66" fillId="0" borderId="0"/>
    <xf numFmtId="0" fontId="7"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7" fillId="0" borderId="0"/>
    <xf numFmtId="0" fontId="7" fillId="0" borderId="0"/>
    <xf numFmtId="0" fontId="7" fillId="0" borderId="0"/>
    <xf numFmtId="173" fontId="32" fillId="0" borderId="0"/>
    <xf numFmtId="0" fontId="7" fillId="0" borderId="0"/>
    <xf numFmtId="0" fontId="5" fillId="0" borderId="0"/>
    <xf numFmtId="0" fontId="7" fillId="0" borderId="0"/>
    <xf numFmtId="0" fontId="7" fillId="0" borderId="0">
      <alignment wrapText="1"/>
    </xf>
    <xf numFmtId="0" fontId="12" fillId="0" borderId="0">
      <alignment vertical="top"/>
    </xf>
    <xf numFmtId="0" fontId="12" fillId="0" borderId="0">
      <alignment vertical="top"/>
    </xf>
    <xf numFmtId="0" fontId="12" fillId="0" borderId="0">
      <alignment vertical="top"/>
    </xf>
    <xf numFmtId="0" fontId="7" fillId="0" borderId="0"/>
    <xf numFmtId="0" fontId="12" fillId="0" borderId="0">
      <alignment vertical="top"/>
    </xf>
    <xf numFmtId="0" fontId="5" fillId="0" borderId="0"/>
    <xf numFmtId="0" fontId="7" fillId="0" borderId="0"/>
    <xf numFmtId="0" fontId="12" fillId="0" borderId="0">
      <alignment vertical="top"/>
    </xf>
    <xf numFmtId="0" fontId="12" fillId="0" borderId="0">
      <alignment vertical="top"/>
    </xf>
    <xf numFmtId="0" fontId="7" fillId="0" borderId="0">
      <alignment wrapText="1"/>
    </xf>
    <xf numFmtId="0" fontId="1" fillId="0" borderId="0"/>
    <xf numFmtId="0" fontId="7" fillId="0" borderId="0"/>
    <xf numFmtId="0" fontId="1" fillId="0" borderId="0"/>
    <xf numFmtId="0" fontId="35" fillId="0" borderId="0"/>
    <xf numFmtId="0" fontId="32" fillId="0" borderId="0"/>
    <xf numFmtId="0" fontId="12" fillId="0" borderId="0">
      <alignment vertical="top"/>
    </xf>
    <xf numFmtId="0" fontId="7" fillId="0" borderId="0">
      <alignment wrapText="1"/>
    </xf>
    <xf numFmtId="0" fontId="1" fillId="0" borderId="0"/>
    <xf numFmtId="0" fontId="5" fillId="0" borderId="0"/>
    <xf numFmtId="0" fontId="32" fillId="0" borderId="0"/>
    <xf numFmtId="0" fontId="1" fillId="0" borderId="0"/>
    <xf numFmtId="0" fontId="1" fillId="0" borderId="0"/>
    <xf numFmtId="0" fontId="7" fillId="0" borderId="0"/>
    <xf numFmtId="0" fontId="35" fillId="0" borderId="0"/>
    <xf numFmtId="0" fontId="1" fillId="0" borderId="0"/>
    <xf numFmtId="0" fontId="5" fillId="0" borderId="0"/>
    <xf numFmtId="0" fontId="7" fillId="0" borderId="0"/>
    <xf numFmtId="0" fontId="1" fillId="0" borderId="0"/>
    <xf numFmtId="0" fontId="1" fillId="0" borderId="0"/>
    <xf numFmtId="0" fontId="7" fillId="0" borderId="0"/>
    <xf numFmtId="0" fontId="7" fillId="0" borderId="0"/>
    <xf numFmtId="0" fontId="7" fillId="0" borderId="0"/>
    <xf numFmtId="0" fontId="1" fillId="0" borderId="0"/>
    <xf numFmtId="0" fontId="7" fillId="0" borderId="0"/>
    <xf numFmtId="0" fontId="1" fillId="0" borderId="0"/>
    <xf numFmtId="0" fontId="7" fillId="0" borderId="0"/>
    <xf numFmtId="0" fontId="5" fillId="0" borderId="0"/>
    <xf numFmtId="0" fontId="7" fillId="0" borderId="0"/>
    <xf numFmtId="0" fontId="5" fillId="0" borderId="0"/>
    <xf numFmtId="0" fontId="1" fillId="0" borderId="0"/>
    <xf numFmtId="0" fontId="7" fillId="0" borderId="0"/>
    <xf numFmtId="0" fontId="1" fillId="0" borderId="0"/>
    <xf numFmtId="0" fontId="1" fillId="0" borderId="0"/>
    <xf numFmtId="0" fontId="15" fillId="0" borderId="0"/>
    <xf numFmtId="0" fontId="5" fillId="0" borderId="0"/>
    <xf numFmtId="0" fontId="7" fillId="0" borderId="0"/>
    <xf numFmtId="0" fontId="7" fillId="0" borderId="0"/>
    <xf numFmtId="0" fontId="68" fillId="0" borderId="0"/>
    <xf numFmtId="0" fontId="7" fillId="0" borderId="0"/>
    <xf numFmtId="0" fontId="5" fillId="0" borderId="0"/>
    <xf numFmtId="0" fontId="7" fillId="0" borderId="0"/>
    <xf numFmtId="0" fontId="68" fillId="0" borderId="0"/>
    <xf numFmtId="0" fontId="12" fillId="0" borderId="0">
      <alignment vertical="top"/>
    </xf>
    <xf numFmtId="0" fontId="7" fillId="0" borderId="0"/>
    <xf numFmtId="0" fontId="12" fillId="0" borderId="0">
      <alignment vertical="top"/>
    </xf>
    <xf numFmtId="0" fontId="7" fillId="0" borderId="0"/>
    <xf numFmtId="0" fontId="7" fillId="0" borderId="0">
      <alignment wrapText="1"/>
    </xf>
    <xf numFmtId="0" fontId="7" fillId="0" borderId="0"/>
    <xf numFmtId="0" fontId="7" fillId="0" borderId="0"/>
    <xf numFmtId="0" fontId="7" fillId="0" borderId="0"/>
    <xf numFmtId="0" fontId="7" fillId="0" borderId="0"/>
    <xf numFmtId="0" fontId="32" fillId="29" borderId="11" applyNumberFormat="0" applyFont="0" applyAlignment="0" applyProtection="0"/>
    <xf numFmtId="0" fontId="34" fillId="24" borderId="12" applyNumberFormat="0" applyAlignment="0" applyProtection="0"/>
    <xf numFmtId="9" fontId="1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74" fontId="15" fillId="0" borderId="0">
      <alignment horizontal="center"/>
    </xf>
    <xf numFmtId="0" fontId="12" fillId="0" borderId="0" applyNumberFormat="0" applyBorder="0" applyAlignment="0"/>
    <xf numFmtId="175" fontId="69" fillId="2" borderId="0" applyFill="0" applyBorder="0" applyProtection="0">
      <alignment horizontal="center"/>
      <protection hidden="1"/>
    </xf>
    <xf numFmtId="0" fontId="50" fillId="0" borderId="0" applyNumberFormat="0" applyFill="0" applyBorder="0" applyAlignment="0" applyProtection="0"/>
    <xf numFmtId="0" fontId="39" fillId="0" borderId="32" applyNumberFormat="0" applyFill="0" applyAlignment="0" applyProtection="0"/>
    <xf numFmtId="0" fontId="70" fillId="0" borderId="0">
      <alignment horizontal="center"/>
    </xf>
    <xf numFmtId="173" fontId="32" fillId="0" borderId="0"/>
    <xf numFmtId="0" fontId="16"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83" fillId="0" borderId="0" applyNumberFormat="0" applyFill="0" applyBorder="0" applyAlignment="0" applyProtection="0">
      <alignment vertical="top"/>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4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47" borderId="36" applyBorder="0">
      <alignment horizontal="centerContinuous"/>
    </xf>
    <xf numFmtId="0" fontId="86" fillId="48" borderId="34" applyBorder="0">
      <alignment horizontal="centerContinuous"/>
    </xf>
    <xf numFmtId="0" fontId="1" fillId="0" borderId="0"/>
    <xf numFmtId="43" fontId="1" fillId="0" borderId="0" applyFont="0" applyFill="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0" borderId="0" applyNumberFormat="0" applyBorder="0" applyAlignment="0" applyProtection="0"/>
    <xf numFmtId="0" fontId="5" fillId="5"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5" fillId="1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5" fillId="29" borderId="0" applyNumberFormat="0" applyBorder="0" applyAlignment="0" applyProtection="0"/>
    <xf numFmtId="0" fontId="5" fillId="7" borderId="0" applyNumberFormat="0" applyBorder="0" applyAlignment="0" applyProtection="0"/>
    <xf numFmtId="0" fontId="5" fillId="29"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5" fillId="40" borderId="0" applyNumberFormat="0" applyBorder="0" applyAlignment="0" applyProtection="0"/>
    <xf numFmtId="0" fontId="5" fillId="8"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5" fillId="29"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1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8" fillId="37" borderId="0" applyNumberFormat="0" applyBorder="0" applyAlignment="0" applyProtection="0"/>
    <xf numFmtId="0" fontId="8" fillId="16" borderId="0" applyNumberFormat="0" applyBorder="0" applyAlignment="0" applyProtection="0"/>
    <xf numFmtId="0" fontId="8" fillId="39" borderId="0" applyNumberFormat="0" applyBorder="0" applyAlignment="0" applyProtection="0"/>
    <xf numFmtId="0" fontId="8" fillId="17" borderId="0" applyNumberFormat="0" applyBorder="0" applyAlignment="0" applyProtection="0"/>
    <xf numFmtId="0" fontId="99" fillId="56" borderId="0" applyNumberFormat="0" applyBorder="0" applyAlignment="0" applyProtection="0"/>
    <xf numFmtId="0" fontId="99" fillId="60"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13" borderId="0" applyNumberFormat="0" applyBorder="0" applyAlignment="0" applyProtection="0"/>
    <xf numFmtId="0" fontId="99" fillId="64" borderId="0" applyNumberFormat="0" applyBorder="0" applyAlignment="0" applyProtection="0"/>
    <xf numFmtId="0" fontId="8" fillId="4" borderId="0" applyNumberFormat="0" applyBorder="0" applyAlignment="0" applyProtection="0"/>
    <xf numFmtId="0" fontId="8" fillId="18"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18" borderId="0" applyNumberFormat="0" applyBorder="0" applyAlignment="0" applyProtection="0"/>
    <xf numFmtId="0" fontId="99" fillId="68" borderId="0" applyNumberFormat="0" applyBorder="0" applyAlignment="0" applyProtection="0"/>
    <xf numFmtId="0" fontId="8" fillId="37" borderId="0" applyNumberFormat="0" applyBorder="0" applyAlignment="0" applyProtection="0"/>
    <xf numFmtId="0" fontId="8" fillId="11" borderId="0" applyNumberFormat="0" applyBorder="0" applyAlignment="0" applyProtection="0"/>
    <xf numFmtId="0" fontId="8" fillId="16" borderId="0" applyNumberFormat="0" applyBorder="0" applyAlignment="0" applyProtection="0"/>
    <xf numFmtId="0" fontId="8" fillId="11" borderId="0" applyNumberFormat="0" applyBorder="0" applyAlignment="0" applyProtection="0"/>
    <xf numFmtId="0" fontId="99" fillId="72" borderId="0" applyNumberFormat="0" applyBorder="0" applyAlignment="0" applyProtection="0"/>
    <xf numFmtId="0" fontId="8" fillId="12"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99" fillId="76" borderId="0" applyNumberFormat="0" applyBorder="0" applyAlignment="0" applyProtection="0"/>
    <xf numFmtId="0" fontId="8" fillId="3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99" fillId="65" borderId="0" applyNumberFormat="0" applyBorder="0" applyAlignment="0" applyProtection="0"/>
    <xf numFmtId="0" fontId="8" fillId="37"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41" fontId="7" fillId="0" borderId="0"/>
    <xf numFmtId="41" fontId="7" fillId="0" borderId="0"/>
    <xf numFmtId="41" fontId="7" fillId="0" borderId="0"/>
    <xf numFmtId="41" fontId="7" fillId="0" borderId="0"/>
    <xf numFmtId="41" fontId="7" fillId="0" borderId="0"/>
    <xf numFmtId="41" fontId="7" fillId="0" borderId="0"/>
    <xf numFmtId="41" fontId="7" fillId="0" borderId="0"/>
    <xf numFmtId="0" fontId="91" fillId="49" borderId="0" applyNumberFormat="0" applyBorder="0" applyAlignment="0" applyProtection="0"/>
    <xf numFmtId="3" fontId="7" fillId="0" borderId="0"/>
    <xf numFmtId="0" fontId="51" fillId="24" borderId="3" applyNumberFormat="0" applyAlignment="0" applyProtection="0"/>
    <xf numFmtId="0" fontId="10" fillId="24" borderId="3" applyNumberFormat="0" applyAlignment="0" applyProtection="0"/>
    <xf numFmtId="0" fontId="10" fillId="40" borderId="3" applyNumberFormat="0" applyAlignment="0" applyProtection="0"/>
    <xf numFmtId="0" fontId="10" fillId="4" borderId="3" applyNumberFormat="0" applyAlignment="0" applyProtection="0"/>
    <xf numFmtId="0" fontId="95" fillId="52" borderId="35" applyNumberFormat="0" applyAlignment="0" applyProtection="0"/>
    <xf numFmtId="0" fontId="11" fillId="40" borderId="23" applyNumberFormat="0" applyAlignment="0" applyProtection="0"/>
    <xf numFmtId="0" fontId="11" fillId="25" borderId="4" applyNumberFormat="0" applyAlignment="0" applyProtection="0"/>
    <xf numFmtId="0" fontId="11" fillId="25" borderId="4" applyNumberFormat="0" applyAlignment="0" applyProtection="0"/>
    <xf numFmtId="0" fontId="11" fillId="25" borderId="4" applyNumberFormat="0" applyAlignment="0" applyProtection="0"/>
    <xf numFmtId="0" fontId="11" fillId="25" borderId="45" applyNumberFormat="0" applyAlignment="0" applyProtection="0"/>
    <xf numFmtId="0" fontId="11" fillId="25" borderId="45" applyNumberFormat="0" applyAlignment="0" applyProtection="0"/>
    <xf numFmtId="0" fontId="97" fillId="53" borderId="4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alignment vertical="top"/>
    </xf>
    <xf numFmtId="43" fontId="12" fillId="0" borderId="0" applyFont="0" applyFill="0" applyBorder="0" applyAlignment="0" applyProtection="0">
      <alignment vertical="top"/>
    </xf>
    <xf numFmtId="43"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35" fillId="0" borderId="0" applyFont="0" applyFill="0" applyBorder="0" applyAlignment="0" applyProtection="0"/>
    <xf numFmtId="40"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alignment vertical="top"/>
    </xf>
    <xf numFmtId="43" fontId="12"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7" fillId="0" borderId="0" applyFont="0" applyFill="0" applyBorder="0" applyAlignment="0" applyProtection="0"/>
    <xf numFmtId="43" fontId="7" fillId="0" borderId="0" applyFont="0" applyFill="0" applyBorder="0" applyAlignment="0" applyProtection="0"/>
    <xf numFmtId="43" fontId="6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1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176" fontId="7"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8" fontId="35"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02"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2"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0" fontId="32" fillId="0" borderId="0"/>
    <xf numFmtId="0" fontId="32" fillId="0" borderId="0"/>
    <xf numFmtId="0" fontId="32" fillId="0" borderId="46"/>
    <xf numFmtId="177"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98" fillId="0" borderId="0" applyNumberFormat="0" applyFill="0" applyBorder="0" applyAlignment="0" applyProtection="0"/>
    <xf numFmtId="0" fontId="19" fillId="9" borderId="0" applyNumberFormat="0" applyBorder="0" applyAlignment="0" applyProtection="0"/>
    <xf numFmtId="0" fontId="19" fillId="9" borderId="0" applyNumberFormat="0" applyBorder="0" applyAlignment="0" applyProtection="0"/>
    <xf numFmtId="0" fontId="52" fillId="0" borderId="25" applyNumberFormat="0" applyFill="0" applyAlignment="0" applyProtection="0"/>
    <xf numFmtId="0" fontId="20" fillId="0" borderId="5" applyNumberFormat="0" applyFill="0" applyAlignment="0" applyProtection="0"/>
    <xf numFmtId="0" fontId="20" fillId="0" borderId="6" applyNumberFormat="0" applyFill="0" applyAlignment="0" applyProtection="0"/>
    <xf numFmtId="0" fontId="21" fillId="0" borderId="6" applyNumberFormat="0" applyFill="0" applyAlignment="0" applyProtection="0"/>
    <xf numFmtId="0" fontId="88" fillId="0" borderId="38" applyNumberFormat="0" applyFill="0" applyAlignment="0" applyProtection="0"/>
    <xf numFmtId="0" fontId="53" fillId="0" borderId="7" applyNumberFormat="0" applyFill="0" applyAlignment="0" applyProtection="0"/>
    <xf numFmtId="0" fontId="23" fillId="0" borderId="7" applyNumberFormat="0" applyFill="0" applyAlignment="0" applyProtection="0"/>
    <xf numFmtId="0" fontId="89" fillId="0" borderId="39" applyNumberFormat="0" applyFill="0" applyAlignment="0" applyProtection="0"/>
    <xf numFmtId="0" fontId="54" fillId="0" borderId="28" applyNumberFormat="0" applyFill="0" applyAlignment="0" applyProtection="0"/>
    <xf numFmtId="0" fontId="24" fillId="0" borderId="8" applyNumberFormat="0" applyFill="0" applyAlignment="0" applyProtection="0"/>
    <xf numFmtId="0" fontId="24" fillId="0" borderId="47" applyNumberFormat="0" applyFill="0" applyAlignment="0" applyProtection="0"/>
    <xf numFmtId="0" fontId="25" fillId="0" borderId="9" applyNumberFormat="0" applyFill="0" applyAlignment="0" applyProtection="0"/>
    <xf numFmtId="0" fontId="90" fillId="0" borderId="40" applyNumberFormat="0" applyFill="0" applyAlignment="0" applyProtection="0"/>
    <xf numFmtId="0" fontId="5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0" fillId="0" borderId="0" applyNumberFormat="0" applyFill="0" applyBorder="0" applyAlignment="0" applyProtection="0"/>
    <xf numFmtId="0" fontId="103"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93" fillId="51" borderId="35" applyNumberFormat="0" applyAlignment="0" applyProtection="0"/>
    <xf numFmtId="3" fontId="29" fillId="28" borderId="0">
      <protection locked="0"/>
    </xf>
    <xf numFmtId="3" fontId="29" fillId="28" borderId="0">
      <protection locked="0"/>
    </xf>
    <xf numFmtId="3" fontId="29" fillId="28" borderId="0">
      <protection locked="0"/>
    </xf>
    <xf numFmtId="3" fontId="29" fillId="28" borderId="0">
      <protection locked="0"/>
    </xf>
    <xf numFmtId="3" fontId="29" fillId="28" borderId="0">
      <protection locked="0"/>
    </xf>
    <xf numFmtId="0" fontId="93" fillId="51" borderId="35" applyNumberFormat="0" applyAlignment="0" applyProtection="0"/>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 fillId="43" borderId="35" applyNumberFormat="0" applyProtection="0">
      <alignment horizontal="centerContinuous" vertical="center"/>
      <protection locked="0"/>
    </xf>
    <xf numFmtId="0" fontId="107" fillId="77" borderId="46"/>
    <xf numFmtId="0" fontId="96" fillId="0" borderId="42" applyNumberFormat="0" applyFill="0" applyAlignment="0" applyProtection="0"/>
    <xf numFmtId="0" fontId="57" fillId="14"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0" borderId="0" applyNumberFormat="0" applyBorder="0" applyAlignment="0" applyProtection="0"/>
    <xf numFmtId="0" fontId="92" fillId="50" borderId="0" applyNumberFormat="0" applyBorder="0" applyAlignment="0" applyProtection="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1" fillId="0" borderId="0"/>
    <xf numFmtId="0" fontId="1" fillId="0" borderId="0"/>
    <xf numFmtId="0" fontId="1" fillId="0" borderId="0"/>
    <xf numFmtId="0" fontId="1" fillId="0" borderId="0"/>
    <xf numFmtId="0" fontId="1" fillId="0" borderId="0"/>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82" fillId="0" borderId="0"/>
    <xf numFmtId="0" fontId="12" fillId="0" borderId="0">
      <alignment vertical="top"/>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 fillId="0" borderId="0"/>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 fillId="0" borderId="0"/>
    <xf numFmtId="0" fontId="7"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xf numFmtId="0" fontId="82" fillId="0" borderId="0"/>
    <xf numFmtId="0" fontId="82"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 fillId="0" borderId="0"/>
    <xf numFmtId="0" fontId="7"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xf numFmtId="0" fontId="82" fillId="0" borderId="0"/>
    <xf numFmtId="0" fontId="82"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 fillId="0" borderId="0"/>
    <xf numFmtId="0" fontId="7"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xf numFmtId="0" fontId="82" fillId="0" borderId="0"/>
    <xf numFmtId="0" fontId="82"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xf numFmtId="0" fontId="7" fillId="0" borderId="0">
      <alignment vertical="top"/>
    </xf>
    <xf numFmtId="0" fontId="7" fillId="0" borderId="0">
      <alignment vertical="top"/>
    </xf>
    <xf numFmtId="0" fontId="7" fillId="0" borderId="0"/>
    <xf numFmtId="0" fontId="7" fillId="0" borderId="0">
      <alignment vertical="top"/>
    </xf>
    <xf numFmtId="0" fontId="1" fillId="0" borderId="0"/>
    <xf numFmtId="0" fontId="1" fillId="0" borderId="0"/>
    <xf numFmtId="0" fontId="7" fillId="0" borderId="0"/>
    <xf numFmtId="0" fontId="12" fillId="0" borderId="0"/>
    <xf numFmtId="0" fontId="46" fillId="0" borderId="0"/>
    <xf numFmtId="0" fontId="12" fillId="0" borderId="0">
      <alignment vertical="top"/>
    </xf>
    <xf numFmtId="0" fontId="68"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46" fillId="2" borderId="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35" fillId="0" borderId="0">
      <alignment vertical="top"/>
    </xf>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7" fillId="0" borderId="0"/>
    <xf numFmtId="0" fontId="12" fillId="0" borderId="0"/>
    <xf numFmtId="0" fontId="7" fillId="0" borderId="0"/>
    <xf numFmtId="0" fontId="12" fillId="0" borderId="0"/>
    <xf numFmtId="0" fontId="7" fillId="0" borderId="0"/>
    <xf numFmtId="0" fontId="12" fillId="0" borderId="0"/>
    <xf numFmtId="0" fontId="7"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2"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7" fillId="0" borderId="0"/>
    <xf numFmtId="0" fontId="1" fillId="0" borderId="0"/>
    <xf numFmtId="0" fontId="1" fillId="0" borderId="0"/>
    <xf numFmtId="0" fontId="1" fillId="0" borderId="0"/>
    <xf numFmtId="0" fontId="7" fillId="0" borderId="0"/>
    <xf numFmtId="0" fontId="7" fillId="0" borderId="0"/>
    <xf numFmtId="0" fontId="1" fillId="0" borderId="0"/>
    <xf numFmtId="0" fontId="7" fillId="0" borderId="0">
      <alignment wrapText="1"/>
    </xf>
    <xf numFmtId="0" fontId="7" fillId="0" borderId="0">
      <alignment wrapText="1"/>
    </xf>
    <xf numFmtId="0" fontId="1" fillId="0" borderId="0"/>
    <xf numFmtId="0" fontId="12" fillId="0" borderId="0"/>
    <xf numFmtId="0" fontId="7" fillId="0" borderId="0"/>
    <xf numFmtId="0" fontId="1"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2" fillId="0" borderId="0">
      <alignment vertical="top"/>
    </xf>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7" fillId="0" borderId="0"/>
    <xf numFmtId="0" fontId="1" fillId="0" borderId="0"/>
    <xf numFmtId="0" fontId="12" fillId="0" borderId="0">
      <alignment vertical="top"/>
    </xf>
    <xf numFmtId="0" fontId="6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9" fontId="3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7"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7"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0" fontId="7" fillId="0" borderId="0"/>
    <xf numFmtId="0" fontId="1" fillId="0" borderId="0"/>
    <xf numFmtId="0" fontId="82"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82" fillId="0" borderId="0"/>
    <xf numFmtId="0" fontId="7" fillId="0" borderId="0"/>
    <xf numFmtId="0" fontId="82" fillId="0" borderId="0"/>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7" fillId="0" borderId="0"/>
    <xf numFmtId="0" fontId="7" fillId="0" borderId="0"/>
    <xf numFmtId="0" fontId="1" fillId="0" borderId="0"/>
    <xf numFmtId="0" fontId="5" fillId="0" borderId="0"/>
    <xf numFmtId="0" fontId="5" fillId="0" borderId="0"/>
    <xf numFmtId="0" fontId="1" fillId="0" borderId="0"/>
    <xf numFmtId="0" fontId="82" fillId="0" borderId="0"/>
    <xf numFmtId="0" fontId="1" fillId="0" borderId="0"/>
    <xf numFmtId="0" fontId="82"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7" fillId="0" borderId="0">
      <alignment vertical="top"/>
    </xf>
    <xf numFmtId="0" fontId="67" fillId="0" borderId="0"/>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8" fillId="0" borderId="0"/>
    <xf numFmtId="0" fontId="1" fillId="0" borderId="0"/>
    <xf numFmtId="0" fontId="1" fillId="0" borderId="0"/>
    <xf numFmtId="0" fontId="1" fillId="0" borderId="0"/>
    <xf numFmtId="0" fontId="1" fillId="0" borderId="0"/>
    <xf numFmtId="0" fontId="82"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xf numFmtId="0" fontId="102"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09" fillId="0" borderId="0"/>
    <xf numFmtId="0" fontId="12" fillId="0" borderId="0">
      <alignment vertical="top"/>
    </xf>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7" fillId="0" borderId="0"/>
    <xf numFmtId="0" fontId="1"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2" fillId="0" borderId="0">
      <alignment vertical="top"/>
    </xf>
    <xf numFmtId="0" fontId="12" fillId="0" borderId="0">
      <alignment vertical="top"/>
    </xf>
    <xf numFmtId="0" fontId="12" fillId="0" borderId="0">
      <alignment vertical="top"/>
    </xf>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9" borderId="48" applyNumberFormat="0" applyFont="0" applyAlignment="0" applyProtection="0"/>
    <xf numFmtId="0" fontId="5" fillId="29" borderId="11" applyNumberFormat="0" applyFont="0" applyAlignment="0" applyProtection="0"/>
    <xf numFmtId="0" fontId="12" fillId="29" borderId="11" applyNumberFormat="0" applyFont="0" applyAlignment="0" applyProtection="0"/>
    <xf numFmtId="0" fontId="1" fillId="54" borderId="44" applyNumberFormat="0" applyFont="0" applyAlignment="0" applyProtection="0"/>
    <xf numFmtId="0" fontId="1" fillId="54" borderId="44" applyNumberFormat="0" applyFont="0" applyAlignment="0" applyProtection="0"/>
    <xf numFmtId="0" fontId="1" fillId="54" borderId="44" applyNumberFormat="0" applyFont="0" applyAlignment="0" applyProtection="0"/>
    <xf numFmtId="0" fontId="1" fillId="54" borderId="44" applyNumberFormat="0" applyFont="0" applyAlignment="0" applyProtection="0"/>
    <xf numFmtId="0" fontId="1" fillId="54" borderId="44" applyNumberFormat="0" applyFont="0" applyAlignment="0" applyProtection="0"/>
    <xf numFmtId="0" fontId="1" fillId="54" borderId="44" applyNumberFormat="0" applyFont="0" applyAlignment="0" applyProtection="0"/>
    <xf numFmtId="0" fontId="5" fillId="29" borderId="11" applyNumberFormat="0" applyFont="0" applyAlignment="0" applyProtection="0"/>
    <xf numFmtId="0" fontId="5" fillId="29" borderId="11" applyNumberFormat="0" applyFont="0" applyAlignment="0" applyProtection="0"/>
    <xf numFmtId="0" fontId="7" fillId="29" borderId="48" applyNumberFormat="0" applyFont="0" applyAlignment="0" applyProtection="0"/>
    <xf numFmtId="0" fontId="7" fillId="29" borderId="11" applyNumberFormat="0" applyFont="0" applyAlignment="0" applyProtection="0"/>
    <xf numFmtId="0" fontId="12" fillId="29" borderId="11" applyNumberFormat="0" applyFont="0" applyAlignment="0" applyProtection="0"/>
    <xf numFmtId="0" fontId="1" fillId="54" borderId="44" applyNumberFormat="0" applyFont="0" applyAlignment="0" applyProtection="0"/>
    <xf numFmtId="0" fontId="1" fillId="54" borderId="44" applyNumberFormat="0" applyFont="0" applyAlignment="0" applyProtection="0"/>
    <xf numFmtId="0" fontId="1" fillId="54" borderId="44" applyNumberFormat="0" applyFont="0" applyAlignment="0" applyProtection="0"/>
    <xf numFmtId="0" fontId="7" fillId="29" borderId="48" applyNumberFormat="0" applyFont="0" applyAlignment="0" applyProtection="0"/>
    <xf numFmtId="0" fontId="24" fillId="24" borderId="31" applyNumberFormat="0" applyAlignment="0" applyProtection="0"/>
    <xf numFmtId="0" fontId="34" fillId="4" borderId="12" applyNumberFormat="0" applyAlignment="0" applyProtection="0"/>
    <xf numFmtId="0" fontId="34" fillId="4" borderId="12" applyNumberFormat="0" applyAlignment="0" applyProtection="0"/>
    <xf numFmtId="0" fontId="39" fillId="40" borderId="46" applyNumberFormat="0" applyAlignment="0" applyProtection="0"/>
    <xf numFmtId="0" fontId="39" fillId="40" borderId="46" applyNumberFormat="0" applyAlignment="0" applyProtection="0"/>
    <xf numFmtId="0" fontId="94" fillId="52" borderId="41" applyNumberFormat="0" applyAlignment="0" applyProtection="0"/>
    <xf numFmtId="9" fontId="7" fillId="0" borderId="0" applyFont="0" applyFill="0" applyBorder="0" applyAlignment="0" applyProtection="0"/>
    <xf numFmtId="9" fontId="1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8"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3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alignment vertical="top"/>
    </xf>
    <xf numFmtId="0" fontId="7"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1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7" fillId="0" borderId="0" applyFont="0" applyFill="0" applyBorder="0" applyAlignment="0" applyProtection="0"/>
    <xf numFmtId="9" fontId="1" fillId="0" borderId="0" applyFont="0" applyFill="0" applyBorder="0" applyAlignment="0" applyProtection="0"/>
    <xf numFmtId="0" fontId="7"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02"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110" fillId="0" borderId="0" applyFont="0" applyFill="0" applyBorder="0" applyAlignment="0" applyProtection="0"/>
    <xf numFmtId="165" fontId="7" fillId="0" borderId="0" applyFont="0" applyFill="0" applyBorder="0" applyAlignment="0" applyProtection="0"/>
    <xf numFmtId="10" fontId="7" fillId="0" borderId="0" applyFont="0" applyFill="0" applyBorder="0" applyAlignment="0" applyProtection="0"/>
    <xf numFmtId="0" fontId="7" fillId="0" borderId="0"/>
    <xf numFmtId="0" fontId="32" fillId="0" borderId="0"/>
    <xf numFmtId="0" fontId="32" fillId="0" borderId="0"/>
    <xf numFmtId="0" fontId="12" fillId="0" borderId="0">
      <alignment vertical="top"/>
    </xf>
    <xf numFmtId="0" fontId="12" fillId="0" borderId="0">
      <alignment vertical="top"/>
    </xf>
    <xf numFmtId="0" fontId="12" fillId="0" borderId="0">
      <alignment vertical="top"/>
    </xf>
    <xf numFmtId="0" fontId="12" fillId="0" borderId="0" applyNumberFormat="0" applyBorder="0" applyAlignment="0"/>
    <xf numFmtId="0" fontId="32" fillId="0" borderId="46"/>
    <xf numFmtId="0" fontId="32" fillId="0" borderId="46"/>
    <xf numFmtId="0" fontId="111" fillId="78" borderId="0"/>
    <xf numFmtId="0" fontId="112" fillId="78" borderId="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8"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9" fillId="0" borderId="33" applyNumberFormat="0" applyFill="0" applyAlignment="0" applyProtection="0"/>
    <xf numFmtId="0" fontId="107" fillId="0" borderId="49"/>
    <xf numFmtId="0" fontId="107" fillId="0" borderId="49"/>
    <xf numFmtId="0" fontId="107" fillId="0" borderId="46"/>
    <xf numFmtId="0" fontId="107" fillId="0" borderId="46"/>
    <xf numFmtId="0" fontId="40" fillId="0" borderId="0" applyNumberFormat="0" applyFill="0" applyBorder="0" applyAlignment="0" applyProtection="0"/>
    <xf numFmtId="0" fontId="40" fillId="0" borderId="0" applyNumberFormat="0" applyFill="0" applyBorder="0" applyAlignment="0" applyProtection="0"/>
    <xf numFmtId="0" fontId="2" fillId="0" borderId="0" applyNumberFormat="0" applyFill="0" applyBorder="0" applyAlignment="0" applyProtection="0"/>
  </cellStyleXfs>
  <cellXfs count="265">
    <xf numFmtId="0" fontId="0" fillId="0" borderId="0" xfId="0"/>
    <xf numFmtId="0" fontId="0" fillId="0" borderId="1" xfId="0" applyFont="1" applyBorder="1" applyAlignment="1">
      <alignment horizontal="center"/>
    </xf>
    <xf numFmtId="0" fontId="0" fillId="0" borderId="1" xfId="0" applyFont="1" applyFill="1" applyBorder="1" applyAlignment="1">
      <alignment horizontal="center"/>
    </xf>
    <xf numFmtId="43" fontId="0" fillId="0" borderId="0" xfId="1" applyFont="1"/>
    <xf numFmtId="43" fontId="0" fillId="0" borderId="0" xfId="0" applyNumberFormat="1" applyFont="1" applyBorder="1" applyAlignment="1">
      <alignment horizontal="center"/>
    </xf>
    <xf numFmtId="0" fontId="0" fillId="0" borderId="0" xfId="0" applyFont="1" applyAlignment="1">
      <alignment horizontal="left" indent="1"/>
    </xf>
    <xf numFmtId="0" fontId="2" fillId="0" borderId="0" xfId="0" applyFont="1" applyFill="1" applyAlignment="1">
      <alignment horizontal="center"/>
    </xf>
    <xf numFmtId="44" fontId="1" fillId="0" borderId="0" xfId="2" applyFont="1" applyBorder="1"/>
    <xf numFmtId="0" fontId="0" fillId="0" borderId="0" xfId="0" applyFont="1" applyBorder="1" applyAlignment="1">
      <alignment horizontal="left"/>
    </xf>
    <xf numFmtId="0" fontId="0" fillId="0" borderId="0" xfId="0" applyFont="1" applyAlignment="1">
      <alignment horizontal="left"/>
    </xf>
    <xf numFmtId="0" fontId="0" fillId="0" borderId="0" xfId="0" applyAlignment="1"/>
    <xf numFmtId="0" fontId="0" fillId="0" borderId="0" xfId="0" applyFont="1" applyAlignment="1"/>
    <xf numFmtId="43" fontId="1" fillId="0" borderId="0" xfId="1" applyFont="1" applyAlignment="1"/>
    <xf numFmtId="43" fontId="0" fillId="0" borderId="0" xfId="0" applyNumberFormat="1" applyFont="1" applyAlignment="1"/>
    <xf numFmtId="0" fontId="3" fillId="0" borderId="0" xfId="0" applyFont="1" applyAlignment="1"/>
    <xf numFmtId="43" fontId="1" fillId="0" borderId="0" xfId="1" applyFont="1" applyAlignment="1">
      <alignment horizontal="center"/>
    </xf>
    <xf numFmtId="164" fontId="1" fillId="0" borderId="0" xfId="1" applyNumberFormat="1" applyFont="1" applyAlignment="1"/>
    <xf numFmtId="0" fontId="2" fillId="0" borderId="0" xfId="0" applyFont="1" applyFill="1" applyAlignment="1"/>
    <xf numFmtId="44" fontId="1" fillId="0" borderId="0" xfId="2" applyFont="1" applyFill="1"/>
    <xf numFmtId="166" fontId="1" fillId="0" borderId="0" xfId="2" applyNumberFormat="1" applyFont="1" applyFill="1"/>
    <xf numFmtId="167" fontId="1" fillId="0" borderId="0" xfId="1" applyNumberFormat="1" applyFont="1" applyAlignment="1"/>
    <xf numFmtId="166" fontId="1" fillId="0" borderId="1" xfId="2" applyNumberFormat="1" applyFont="1" applyFill="1" applyBorder="1"/>
    <xf numFmtId="167" fontId="1" fillId="0" borderId="0" xfId="1" applyNumberFormat="1" applyFont="1" applyBorder="1" applyAlignment="1"/>
    <xf numFmtId="168" fontId="1" fillId="0" borderId="0" xfId="2" applyNumberFormat="1" applyFont="1" applyFill="1"/>
    <xf numFmtId="167" fontId="1" fillId="0" borderId="1" xfId="1" applyNumberFormat="1" applyFont="1" applyBorder="1" applyAlignment="1"/>
    <xf numFmtId="169" fontId="0" fillId="0" borderId="0" xfId="0" applyNumberFormat="1" applyFont="1" applyAlignment="1"/>
    <xf numFmtId="0" fontId="3" fillId="0" borderId="0" xfId="0" applyFont="1" applyFill="1" applyBorder="1" applyAlignment="1"/>
    <xf numFmtId="0" fontId="0" fillId="0" borderId="0" xfId="0" applyFont="1" applyFill="1" applyBorder="1" applyAlignment="1">
      <alignment horizontal="center"/>
    </xf>
    <xf numFmtId="0" fontId="0" fillId="0" borderId="0" xfId="0" applyFont="1" applyFill="1" applyBorder="1" applyAlignment="1"/>
    <xf numFmtId="166" fontId="1" fillId="0" borderId="0" xfId="2" applyNumberFormat="1" applyFont="1" applyFill="1" applyBorder="1"/>
    <xf numFmtId="10" fontId="0" fillId="0" borderId="0" xfId="3" applyNumberFormat="1" applyFont="1" applyAlignment="1"/>
    <xf numFmtId="44" fontId="0" fillId="0" borderId="0" xfId="0" applyNumberFormat="1" applyAlignment="1"/>
    <xf numFmtId="44" fontId="0" fillId="0" borderId="0" xfId="0" applyNumberFormat="1" applyFont="1" applyAlignment="1"/>
    <xf numFmtId="168" fontId="1" fillId="0" borderId="0" xfId="2" applyNumberFormat="1" applyFont="1" applyFill="1" applyBorder="1"/>
    <xf numFmtId="44" fontId="0" fillId="0" borderId="0" xfId="2" applyFont="1" applyAlignment="1"/>
    <xf numFmtId="0" fontId="0" fillId="0" borderId="0" xfId="0" applyFill="1" applyBorder="1" applyAlignment="1"/>
    <xf numFmtId="0" fontId="3" fillId="0" borderId="16" xfId="0" applyFont="1" applyBorder="1" applyAlignment="1"/>
    <xf numFmtId="0" fontId="0" fillId="0" borderId="18" xfId="0" applyFont="1" applyBorder="1" applyAlignment="1"/>
    <xf numFmtId="44" fontId="1" fillId="0" borderId="19" xfId="2" applyFont="1" applyBorder="1"/>
    <xf numFmtId="0" fontId="0" fillId="0" borderId="0" xfId="0" applyFont="1" applyBorder="1" applyAlignment="1"/>
    <xf numFmtId="43" fontId="41" fillId="0" borderId="0" xfId="1" applyNumberFormat="1" applyFont="1" applyFill="1" applyBorder="1" applyAlignment="1"/>
    <xf numFmtId="0" fontId="0" fillId="0" borderId="0" xfId="0" applyFont="1" applyFill="1" applyBorder="1" applyAlignment="1">
      <alignment horizontal="center" vertical="center"/>
    </xf>
    <xf numFmtId="164" fontId="41" fillId="0" borderId="0" xfId="1" applyNumberFormat="1" applyFont="1" applyFill="1" applyBorder="1" applyAlignment="1"/>
    <xf numFmtId="0" fontId="0" fillId="0" borderId="0" xfId="0" applyFont="1" applyBorder="1" applyAlignment="1">
      <alignment horizontal="center"/>
    </xf>
    <xf numFmtId="0" fontId="42" fillId="0" borderId="0" xfId="9" applyFont="1" applyFill="1" applyBorder="1" applyAlignment="1">
      <alignment horizontal="left"/>
    </xf>
    <xf numFmtId="164" fontId="3" fillId="0" borderId="0" xfId="1" applyNumberFormat="1" applyFont="1" applyBorder="1" applyAlignment="1">
      <alignment horizontal="right"/>
    </xf>
    <xf numFmtId="44" fontId="3" fillId="0" borderId="0" xfId="2" applyFont="1" applyBorder="1" applyAlignment="1">
      <alignment horizontal="right"/>
    </xf>
    <xf numFmtId="0" fontId="0" fillId="0" borderId="0" xfId="0" applyFont="1" applyBorder="1" applyAlignment="1">
      <alignment horizontal="right"/>
    </xf>
    <xf numFmtId="43" fontId="0" fillId="0" borderId="0" xfId="1" applyFont="1" applyFill="1" applyAlignment="1">
      <alignment vertical="top"/>
    </xf>
    <xf numFmtId="0" fontId="41" fillId="0" borderId="1" xfId="188" applyFont="1" applyBorder="1"/>
    <xf numFmtId="0" fontId="41" fillId="0" borderId="1" xfId="189" applyFont="1" applyBorder="1" applyAlignment="1">
      <alignment horizontal="left"/>
    </xf>
    <xf numFmtId="44" fontId="0" fillId="0" borderId="0" xfId="0" applyNumberFormat="1" applyFont="1" applyBorder="1" applyAlignment="1"/>
    <xf numFmtId="0" fontId="0" fillId="0" borderId="0" xfId="0" applyFont="1" applyFill="1" applyBorder="1" applyAlignment="1">
      <alignment horizontal="right"/>
    </xf>
    <xf numFmtId="0" fontId="0" fillId="0" borderId="0" xfId="0" applyFont="1" applyFill="1" applyBorder="1" applyAlignment="1">
      <alignment vertical="center" textRotation="90"/>
    </xf>
    <xf numFmtId="0" fontId="2" fillId="0" borderId="0" xfId="189" applyFont="1" applyBorder="1" applyAlignment="1">
      <alignment horizontal="left"/>
    </xf>
    <xf numFmtId="170" fontId="0" fillId="0" borderId="0" xfId="0" applyNumberFormat="1" applyFont="1" applyBorder="1" applyAlignment="1"/>
    <xf numFmtId="164" fontId="3" fillId="0" borderId="1" xfId="1" applyNumberFormat="1" applyFont="1" applyBorder="1" applyAlignment="1">
      <alignment horizontal="center"/>
    </xf>
    <xf numFmtId="0" fontId="3" fillId="0" borderId="0" xfId="0" applyFont="1" applyBorder="1" applyAlignment="1">
      <alignment horizontal="center"/>
    </xf>
    <xf numFmtId="43" fontId="0" fillId="0" borderId="0" xfId="0" applyNumberFormat="1" applyFont="1" applyBorder="1" applyAlignment="1"/>
    <xf numFmtId="164" fontId="41" fillId="0" borderId="0" xfId="1" applyNumberFormat="1" applyFont="1" applyFill="1" applyBorder="1" applyAlignment="1">
      <alignment horizontal="left"/>
    </xf>
    <xf numFmtId="0" fontId="43" fillId="0" borderId="0" xfId="1" applyNumberFormat="1" applyFont="1" applyBorder="1" applyAlignment="1">
      <alignment horizontal="left"/>
    </xf>
    <xf numFmtId="0" fontId="0" fillId="0" borderId="0" xfId="0" applyFont="1" applyBorder="1" applyAlignment="1">
      <alignment horizontal="right" wrapText="1"/>
    </xf>
    <xf numFmtId="0" fontId="0" fillId="0" borderId="0" xfId="0" applyFont="1" applyBorder="1" applyAlignment="1">
      <alignment horizontal="center" wrapText="1"/>
    </xf>
    <xf numFmtId="0" fontId="41" fillId="0" borderId="0" xfId="9" applyFont="1" applyFill="1" applyBorder="1" applyAlignment="1">
      <alignment horizontal="left"/>
    </xf>
    <xf numFmtId="43" fontId="0" fillId="0" borderId="0" xfId="1" applyFont="1" applyFill="1" applyBorder="1" applyAlignment="1">
      <alignment horizontal="right"/>
    </xf>
    <xf numFmtId="10" fontId="0" fillId="0" borderId="0" xfId="3" applyNumberFormat="1" applyFont="1" applyFill="1" applyBorder="1" applyAlignment="1"/>
    <xf numFmtId="171" fontId="0" fillId="0" borderId="0" xfId="0" applyNumberFormat="1" applyFont="1" applyFill="1" applyBorder="1" applyAlignment="1">
      <alignment horizontal="right"/>
    </xf>
    <xf numFmtId="0" fontId="41" fillId="0" borderId="0" xfId="11" applyFont="1" applyFill="1" applyBorder="1"/>
    <xf numFmtId="0" fontId="0" fillId="0" borderId="0" xfId="0" applyFont="1" applyFill="1" applyAlignment="1">
      <alignment vertical="top"/>
    </xf>
    <xf numFmtId="0" fontId="0" fillId="0" borderId="0" xfId="0" applyBorder="1"/>
    <xf numFmtId="2" fontId="0" fillId="0" borderId="0" xfId="0" applyNumberFormat="1"/>
    <xf numFmtId="0" fontId="3" fillId="32" borderId="1" xfId="0" applyFont="1" applyFill="1" applyBorder="1" applyAlignment="1"/>
    <xf numFmtId="0" fontId="0" fillId="32" borderId="1" xfId="0" applyFont="1" applyFill="1" applyBorder="1" applyAlignment="1">
      <alignment horizontal="center"/>
    </xf>
    <xf numFmtId="0" fontId="0" fillId="32" borderId="1" xfId="0" applyFill="1" applyBorder="1" applyAlignment="1">
      <alignment horizontal="center"/>
    </xf>
    <xf numFmtId="0" fontId="0" fillId="32" borderId="17" xfId="0" applyFont="1" applyFill="1" applyBorder="1" applyAlignment="1">
      <alignment horizontal="center"/>
    </xf>
    <xf numFmtId="2" fontId="0" fillId="0" borderId="0" xfId="0" applyNumberFormat="1" applyFill="1"/>
    <xf numFmtId="164" fontId="0" fillId="0" borderId="0" xfId="1" applyNumberFormat="1" applyFont="1" applyFill="1" applyAlignment="1">
      <alignment vertical="top"/>
    </xf>
    <xf numFmtId="0" fontId="0" fillId="0" borderId="0" xfId="0" applyFont="1" applyFill="1" applyAlignment="1">
      <alignment horizontal="center"/>
    </xf>
    <xf numFmtId="43" fontId="0" fillId="0" borderId="0" xfId="1" applyFont="1" applyFill="1"/>
    <xf numFmtId="9" fontId="0" fillId="0" borderId="0" xfId="3" applyFont="1" applyBorder="1" applyAlignment="1"/>
    <xf numFmtId="0" fontId="0" fillId="32" borderId="0" xfId="0" applyFill="1"/>
    <xf numFmtId="2" fontId="0" fillId="32" borderId="0" xfId="0" applyNumberFormat="1" applyFill="1"/>
    <xf numFmtId="43" fontId="0" fillId="32" borderId="0" xfId="1" applyFont="1" applyFill="1"/>
    <xf numFmtId="0" fontId="3" fillId="32" borderId="1" xfId="0" applyFont="1" applyFill="1" applyBorder="1" applyAlignment="1">
      <alignment horizontal="center" wrapText="1"/>
    </xf>
    <xf numFmtId="0" fontId="3" fillId="32" borderId="1" xfId="0" applyFont="1" applyFill="1" applyBorder="1" applyAlignment="1">
      <alignment horizontal="center" vertical="center"/>
    </xf>
    <xf numFmtId="164" fontId="3" fillId="32" borderId="1" xfId="1" applyNumberFormat="1" applyFont="1" applyFill="1" applyBorder="1" applyAlignment="1">
      <alignment horizontal="center" wrapText="1"/>
    </xf>
    <xf numFmtId="0" fontId="0" fillId="32" borderId="1" xfId="0" applyFont="1" applyFill="1" applyBorder="1" applyAlignment="1">
      <alignment vertical="center" textRotation="90"/>
    </xf>
    <xf numFmtId="0" fontId="0" fillId="32" borderId="1" xfId="0" applyFont="1" applyFill="1" applyBorder="1" applyAlignment="1">
      <alignment horizontal="center" vertical="center"/>
    </xf>
    <xf numFmtId="0" fontId="42" fillId="32" borderId="1" xfId="9" applyFont="1" applyFill="1" applyBorder="1" applyAlignment="1">
      <alignment horizontal="left"/>
    </xf>
    <xf numFmtId="3" fontId="3" fillId="32" borderId="1" xfId="0" applyNumberFormat="1" applyFont="1" applyFill="1" applyBorder="1" applyAlignment="1">
      <alignment horizontal="right"/>
    </xf>
    <xf numFmtId="164" fontId="3" fillId="32" borderId="1" xfId="0" applyNumberFormat="1" applyFont="1" applyFill="1" applyBorder="1" applyAlignment="1"/>
    <xf numFmtId="43" fontId="0" fillId="32" borderId="1" xfId="0" applyNumberFormat="1" applyFont="1" applyFill="1" applyBorder="1" applyAlignment="1"/>
    <xf numFmtId="3" fontId="3" fillId="32" borderId="1" xfId="0" applyNumberFormat="1" applyFont="1" applyFill="1" applyBorder="1" applyAlignment="1"/>
    <xf numFmtId="164" fontId="3" fillId="32" borderId="1" xfId="1" applyNumberFormat="1" applyFont="1" applyFill="1" applyBorder="1" applyAlignment="1"/>
    <xf numFmtId="44" fontId="3" fillId="32" borderId="1" xfId="2" applyFont="1" applyFill="1" applyBorder="1"/>
    <xf numFmtId="0" fontId="0" fillId="32" borderId="0" xfId="0" applyFont="1" applyFill="1" applyBorder="1" applyAlignment="1"/>
    <xf numFmtId="0" fontId="0" fillId="32" borderId="0" xfId="0" applyFont="1" applyFill="1" applyBorder="1" applyAlignment="1">
      <alignment horizontal="center"/>
    </xf>
    <xf numFmtId="0" fontId="3" fillId="32" borderId="0" xfId="0" applyFont="1" applyFill="1" applyBorder="1" applyAlignment="1"/>
    <xf numFmtId="0" fontId="0" fillId="32" borderId="0" xfId="0" applyFont="1" applyFill="1" applyBorder="1" applyAlignment="1">
      <alignment horizontal="right"/>
    </xf>
    <xf numFmtId="43" fontId="0" fillId="0" borderId="0" xfId="0" applyNumberFormat="1" applyFont="1" applyFill="1" applyAlignment="1"/>
    <xf numFmtId="10" fontId="0" fillId="0" borderId="0" xfId="3" applyNumberFormat="1" applyFont="1" applyBorder="1" applyAlignment="1"/>
    <xf numFmtId="3" fontId="0" fillId="0" borderId="0" xfId="0" applyNumberFormat="1" applyFont="1" applyBorder="1" applyAlignment="1"/>
    <xf numFmtId="0" fontId="41" fillId="0" borderId="0" xfId="0" applyFont="1" applyFill="1" applyAlignment="1"/>
    <xf numFmtId="0" fontId="41" fillId="0" borderId="0" xfId="0" applyFont="1" applyFill="1" applyAlignment="1">
      <alignment horizontal="right"/>
    </xf>
    <xf numFmtId="44" fontId="41" fillId="0" borderId="0" xfId="2" applyFont="1" applyBorder="1"/>
    <xf numFmtId="44" fontId="3" fillId="0" borderId="0" xfId="0" applyNumberFormat="1" applyFont="1" applyBorder="1" applyAlignment="1"/>
    <xf numFmtId="0" fontId="0" fillId="0" borderId="20" xfId="0" applyFont="1" applyBorder="1" applyAlignment="1"/>
    <xf numFmtId="0" fontId="0" fillId="0" borderId="21" xfId="0" applyFont="1" applyBorder="1" applyAlignment="1"/>
    <xf numFmtId="44" fontId="41" fillId="0" borderId="1" xfId="2" applyFont="1" applyFill="1" applyBorder="1"/>
    <xf numFmtId="164" fontId="1" fillId="0" borderId="0" xfId="1" applyNumberFormat="1" applyFont="1" applyFill="1" applyAlignment="1"/>
    <xf numFmtId="44" fontId="0" fillId="0" borderId="0" xfId="0" applyNumberFormat="1" applyFont="1" applyFill="1" applyBorder="1" applyAlignment="1"/>
    <xf numFmtId="44" fontId="41" fillId="0" borderId="0" xfId="2" applyFont="1" applyFill="1" applyBorder="1"/>
    <xf numFmtId="44" fontId="0" fillId="0" borderId="0" xfId="3" applyNumberFormat="1" applyFont="1" applyBorder="1" applyAlignment="1"/>
    <xf numFmtId="44" fontId="41" fillId="0" borderId="22" xfId="2" applyFont="1" applyFill="1" applyBorder="1"/>
    <xf numFmtId="10" fontId="0" fillId="0" borderId="0" xfId="0" applyNumberFormat="1" applyFont="1" applyAlignment="1"/>
    <xf numFmtId="43" fontId="0" fillId="0" borderId="0" xfId="1" applyFont="1" applyAlignment="1">
      <alignment horizontal="left"/>
    </xf>
    <xf numFmtId="0" fontId="44" fillId="0" borderId="0" xfId="0" applyFont="1" applyFill="1" applyBorder="1" applyAlignment="1">
      <alignment horizontal="center" vertical="center"/>
    </xf>
    <xf numFmtId="0" fontId="44" fillId="0" borderId="0" xfId="0" applyFont="1" applyBorder="1" applyAlignment="1">
      <alignment horizontal="center" vertical="center" wrapText="1"/>
    </xf>
    <xf numFmtId="10" fontId="0" fillId="0" borderId="0" xfId="0" applyNumberFormat="1" applyFont="1" applyBorder="1" applyAlignment="1"/>
    <xf numFmtId="42" fontId="0" fillId="0" borderId="0" xfId="0" applyNumberFormat="1" applyFont="1" applyBorder="1" applyAlignment="1"/>
    <xf numFmtId="0" fontId="3" fillId="0" borderId="0" xfId="0" applyFont="1" applyBorder="1"/>
    <xf numFmtId="0" fontId="3" fillId="0" borderId="0" xfId="0" applyFont="1" applyFill="1" applyBorder="1"/>
    <xf numFmtId="43" fontId="0" fillId="0" borderId="0" xfId="1" applyNumberFormat="1" applyFont="1"/>
    <xf numFmtId="0" fontId="0" fillId="0" borderId="0" xfId="0" applyFont="1" applyFill="1" applyBorder="1" applyAlignment="1">
      <alignment horizontal="center"/>
    </xf>
    <xf numFmtId="164" fontId="0" fillId="0" borderId="0" xfId="1" applyNumberFormat="1" applyFont="1" applyBorder="1" applyAlignment="1"/>
    <xf numFmtId="0" fontId="0" fillId="0" borderId="0" xfId="0" applyFont="1" applyBorder="1" applyAlignment="1">
      <alignment vertical="top"/>
    </xf>
    <xf numFmtId="164" fontId="0" fillId="0" borderId="0" xfId="1" applyNumberFormat="1" applyFont="1" applyFill="1" applyBorder="1" applyAlignment="1"/>
    <xf numFmtId="164" fontId="0" fillId="0" borderId="0" xfId="1" applyNumberFormat="1" applyFont="1" applyFill="1" applyBorder="1" applyAlignment="1">
      <alignment horizontal="center" wrapText="1"/>
    </xf>
    <xf numFmtId="44" fontId="0" fillId="0" borderId="0" xfId="2" applyFont="1" applyFill="1" applyBorder="1"/>
    <xf numFmtId="44" fontId="0" fillId="33" borderId="0" xfId="2" applyFont="1" applyFill="1" applyBorder="1"/>
    <xf numFmtId="44" fontId="0" fillId="0" borderId="0" xfId="2" applyNumberFormat="1" applyFont="1" applyFill="1" applyBorder="1"/>
    <xf numFmtId="0" fontId="0" fillId="0" borderId="0" xfId="0" applyFont="1" applyFill="1" applyBorder="1" applyAlignment="1">
      <alignment vertical="top"/>
    </xf>
    <xf numFmtId="43" fontId="0" fillId="32" borderId="1" xfId="1" applyFont="1" applyFill="1" applyBorder="1" applyAlignment="1"/>
    <xf numFmtId="44" fontId="0" fillId="32" borderId="1" xfId="2" applyFont="1" applyFill="1" applyBorder="1"/>
    <xf numFmtId="43" fontId="0" fillId="0" borderId="0" xfId="2" applyNumberFormat="1" applyFont="1" applyFill="1" applyBorder="1"/>
    <xf numFmtId="0" fontId="0" fillId="0" borderId="0" xfId="0" applyFont="1" applyFill="1" applyAlignment="1"/>
    <xf numFmtId="43" fontId="0" fillId="0" borderId="0" xfId="1" applyNumberFormat="1" applyFont="1" applyFill="1" applyBorder="1" applyAlignment="1"/>
    <xf numFmtId="44" fontId="0" fillId="0" borderId="0" xfId="1" applyNumberFormat="1" applyFont="1" applyFill="1" applyBorder="1" applyAlignment="1"/>
    <xf numFmtId="164" fontId="0" fillId="32" borderId="0" xfId="1" applyNumberFormat="1" applyFont="1" applyFill="1" applyBorder="1" applyAlignment="1"/>
    <xf numFmtId="44" fontId="0" fillId="32" borderId="0" xfId="1" applyNumberFormat="1" applyFont="1" applyFill="1" applyBorder="1" applyAlignment="1"/>
    <xf numFmtId="43" fontId="0" fillId="0" borderId="1" xfId="1" applyFont="1" applyBorder="1" applyAlignment="1">
      <alignment horizontal="right"/>
    </xf>
    <xf numFmtId="43" fontId="0" fillId="0" borderId="1" xfId="1" applyNumberFormat="1" applyFont="1" applyFill="1" applyBorder="1" applyAlignment="1"/>
    <xf numFmtId="164" fontId="0" fillId="0" borderId="1" xfId="1" applyNumberFormat="1" applyFont="1" applyFill="1" applyBorder="1" applyAlignment="1"/>
    <xf numFmtId="164" fontId="0" fillId="0" borderId="1" xfId="1" applyNumberFormat="1" applyFont="1" applyBorder="1" applyAlignment="1"/>
    <xf numFmtId="44" fontId="0" fillId="0" borderId="1" xfId="2" applyFont="1" applyFill="1" applyBorder="1"/>
    <xf numFmtId="43" fontId="0" fillId="0" borderId="1" xfId="2" applyNumberFormat="1" applyFont="1" applyFill="1" applyBorder="1"/>
    <xf numFmtId="0" fontId="0" fillId="0" borderId="0" xfId="0" applyFont="1" applyFill="1" applyAlignment="1">
      <alignment horizontal="left" vertical="top"/>
    </xf>
    <xf numFmtId="44" fontId="0" fillId="0" borderId="0" xfId="2" applyFont="1" applyBorder="1"/>
    <xf numFmtId="0" fontId="0" fillId="0" borderId="0" xfId="0" applyFont="1"/>
    <xf numFmtId="43" fontId="0" fillId="0" borderId="1" xfId="1" applyFont="1" applyFill="1" applyBorder="1" applyAlignment="1"/>
    <xf numFmtId="44" fontId="0" fillId="0" borderId="1" xfId="2" applyFont="1" applyBorder="1"/>
    <xf numFmtId="43" fontId="60" fillId="0" borderId="15" xfId="190" applyNumberFormat="1" applyFont="1" applyFill="1" applyBorder="1"/>
    <xf numFmtId="164" fontId="0" fillId="0" borderId="0" xfId="1" applyNumberFormat="1" applyFont="1" applyBorder="1" applyAlignment="1">
      <alignment horizontal="right"/>
    </xf>
    <xf numFmtId="10" fontId="0" fillId="0" borderId="0" xfId="3" applyNumberFormat="1" applyFont="1" applyBorder="1" applyAlignment="1">
      <alignment horizontal="right"/>
    </xf>
    <xf numFmtId="43" fontId="0" fillId="0" borderId="0" xfId="1" applyFont="1" applyBorder="1" applyAlignment="1"/>
    <xf numFmtId="170" fontId="0" fillId="0" borderId="0" xfId="2" applyNumberFormat="1" applyFont="1" applyBorder="1"/>
    <xf numFmtId="44" fontId="0" fillId="0" borderId="0" xfId="2" applyFont="1" applyBorder="1" applyAlignment="1">
      <alignment horizontal="right"/>
    </xf>
    <xf numFmtId="166" fontId="0" fillId="0" borderId="0" xfId="2" applyNumberFormat="1" applyFont="1" applyBorder="1"/>
    <xf numFmtId="43" fontId="41" fillId="0" borderId="0" xfId="52" applyFont="1"/>
    <xf numFmtId="44" fontId="41" fillId="0" borderId="0" xfId="84" applyFont="1"/>
    <xf numFmtId="43" fontId="41" fillId="0" borderId="0" xfId="52" applyFont="1" applyFill="1"/>
    <xf numFmtId="44" fontId="41" fillId="0" borderId="0" xfId="84" applyFont="1" applyFill="1"/>
    <xf numFmtId="0" fontId="61" fillId="0" borderId="0" xfId="0" applyFont="1" applyFill="1" applyBorder="1" applyAlignment="1">
      <alignment vertical="top"/>
    </xf>
    <xf numFmtId="164" fontId="41" fillId="0" borderId="0" xfId="1" applyNumberFormat="1" applyFont="1" applyFill="1" applyAlignment="1"/>
    <xf numFmtId="165" fontId="0" fillId="0" borderId="0" xfId="3" applyNumberFormat="1" applyFont="1" applyAlignment="1"/>
    <xf numFmtId="2" fontId="41" fillId="0" borderId="0" xfId="0" applyNumberFormat="1" applyFont="1"/>
    <xf numFmtId="43" fontId="0" fillId="0" borderId="0" xfId="1" applyFont="1" applyAlignment="1">
      <alignment horizontal="left" indent="1"/>
    </xf>
    <xf numFmtId="43" fontId="3" fillId="0" borderId="0" xfId="1" applyFont="1"/>
    <xf numFmtId="43" fontId="3" fillId="32" borderId="0" xfId="1" applyFont="1" applyFill="1"/>
    <xf numFmtId="43" fontId="71" fillId="30" borderId="0" xfId="1" applyFont="1" applyFill="1" applyBorder="1"/>
    <xf numFmtId="43" fontId="62" fillId="30" borderId="0" xfId="1" applyFont="1" applyFill="1" applyBorder="1" applyAlignment="1">
      <alignment horizontal="center"/>
    </xf>
    <xf numFmtId="43" fontId="3" fillId="0" borderId="0" xfId="1" applyFont="1" applyFill="1" applyBorder="1"/>
    <xf numFmtId="43" fontId="3" fillId="0" borderId="0" xfId="1" applyFont="1" applyBorder="1"/>
    <xf numFmtId="14" fontId="71" fillId="30" borderId="0" xfId="699" applyNumberFormat="1" applyFont="1" applyFill="1" applyBorder="1" applyAlignment="1">
      <alignment horizontal="center"/>
    </xf>
    <xf numFmtId="2" fontId="71" fillId="30" borderId="0" xfId="699" applyNumberFormat="1" applyFont="1" applyFill="1" applyBorder="1" applyAlignment="1">
      <alignment horizontal="center"/>
    </xf>
    <xf numFmtId="4" fontId="71" fillId="30" borderId="0" xfId="699" applyNumberFormat="1" applyFont="1" applyFill="1" applyBorder="1" applyAlignment="1">
      <alignment horizontal="center"/>
    </xf>
    <xf numFmtId="0" fontId="0" fillId="0" borderId="0" xfId="0"/>
    <xf numFmtId="0" fontId="72" fillId="31" borderId="0" xfId="700" applyFont="1" applyFill="1"/>
    <xf numFmtId="0" fontId="72" fillId="0" borderId="0" xfId="700" applyFont="1" applyFill="1"/>
    <xf numFmtId="0" fontId="73" fillId="0" borderId="0" xfId="700" applyFont="1" applyFill="1"/>
    <xf numFmtId="0" fontId="73" fillId="0" borderId="0" xfId="700" applyFont="1" applyFill="1" applyAlignment="1">
      <alignment horizontal="center"/>
    </xf>
    <xf numFmtId="0" fontId="73" fillId="0" borderId="0" xfId="700" applyFont="1"/>
    <xf numFmtId="2" fontId="73" fillId="0" borderId="0" xfId="700" applyNumberFormat="1" applyFont="1"/>
    <xf numFmtId="0" fontId="72" fillId="0" borderId="0" xfId="700" applyFont="1" applyFill="1" applyAlignment="1">
      <alignment horizontal="center" wrapText="1"/>
    </xf>
    <xf numFmtId="0" fontId="72" fillId="44" borderId="0" xfId="700" applyFont="1" applyFill="1" applyAlignment="1">
      <alignment horizontal="center"/>
    </xf>
    <xf numFmtId="17" fontId="72" fillId="45" borderId="0" xfId="700" applyNumberFormat="1" applyFont="1" applyFill="1" applyAlignment="1">
      <alignment horizontal="center"/>
    </xf>
    <xf numFmtId="17" fontId="72" fillId="42" borderId="0" xfId="700" applyNumberFormat="1" applyFont="1" applyFill="1" applyAlignment="1">
      <alignment horizontal="center"/>
    </xf>
    <xf numFmtId="0" fontId="72" fillId="0" borderId="0" xfId="700" applyFont="1" applyFill="1" applyAlignment="1">
      <alignment horizontal="center"/>
    </xf>
    <xf numFmtId="14" fontId="72" fillId="44" borderId="0" xfId="700" applyNumberFormat="1" applyFont="1" applyFill="1" applyAlignment="1">
      <alignment horizontal="center" wrapText="1"/>
    </xf>
    <xf numFmtId="0" fontId="72" fillId="45" borderId="0" xfId="700" applyFont="1" applyFill="1" applyAlignment="1">
      <alignment horizontal="center" wrapText="1"/>
    </xf>
    <xf numFmtId="0" fontId="72" fillId="42" borderId="0" xfId="700" applyFont="1" applyFill="1" applyAlignment="1">
      <alignment horizontal="center" wrapText="1"/>
    </xf>
    <xf numFmtId="0" fontId="74" fillId="0" borderId="0" xfId="700" applyFont="1" applyFill="1" applyAlignment="1">
      <alignment horizontal="left"/>
    </xf>
    <xf numFmtId="0" fontId="75" fillId="0" borderId="0" xfId="700" applyFont="1" applyFill="1" applyAlignment="1">
      <alignment horizontal="center"/>
    </xf>
    <xf numFmtId="0" fontId="74" fillId="0" borderId="0" xfId="700" applyFont="1" applyFill="1" applyAlignment="1">
      <alignment horizontal="center"/>
    </xf>
    <xf numFmtId="0" fontId="72" fillId="0" borderId="0" xfId="700" applyFont="1"/>
    <xf numFmtId="0" fontId="72" fillId="0" borderId="0" xfId="700" applyFont="1" applyFill="1" applyAlignment="1">
      <alignment horizontal="left"/>
    </xf>
    <xf numFmtId="44" fontId="76" fillId="0" borderId="36" xfId="554" applyFont="1" applyFill="1" applyBorder="1"/>
    <xf numFmtId="44" fontId="76" fillId="0" borderId="0" xfId="554" applyFont="1" applyFill="1" applyBorder="1"/>
    <xf numFmtId="44" fontId="77" fillId="0" borderId="0" xfId="554" applyFont="1" applyFill="1" applyBorder="1"/>
    <xf numFmtId="43" fontId="77" fillId="0" borderId="0" xfId="52" applyFont="1" applyFill="1" applyBorder="1"/>
    <xf numFmtId="164" fontId="0" fillId="42" borderId="0" xfId="1" applyNumberFormat="1" applyFont="1" applyFill="1" applyBorder="1" applyAlignment="1"/>
    <xf numFmtId="164" fontId="41" fillId="42" borderId="0" xfId="5" applyNumberFormat="1" applyFont="1" applyFill="1" applyAlignment="1">
      <alignment vertical="center"/>
    </xf>
    <xf numFmtId="43" fontId="0" fillId="42" borderId="0" xfId="1" applyNumberFormat="1" applyFont="1" applyFill="1" applyBorder="1" applyAlignment="1"/>
    <xf numFmtId="0" fontId="100" fillId="0" borderId="0" xfId="0" applyFont="1"/>
    <xf numFmtId="0" fontId="3" fillId="0" borderId="0" xfId="0" applyFont="1"/>
    <xf numFmtId="17" fontId="0" fillId="0" borderId="0" xfId="0" applyNumberFormat="1"/>
    <xf numFmtId="0" fontId="1" fillId="0" borderId="18" xfId="1291" applyFont="1" applyBorder="1"/>
    <xf numFmtId="0" fontId="1" fillId="0" borderId="0" xfId="1291" applyFont="1" applyBorder="1"/>
    <xf numFmtId="164" fontId="0" fillId="45" borderId="0" xfId="1292" applyNumberFormat="1" applyFont="1" applyFill="1" applyBorder="1"/>
    <xf numFmtId="164" fontId="0" fillId="0" borderId="0" xfId="0" applyNumberFormat="1"/>
    <xf numFmtId="164" fontId="101" fillId="45" borderId="0" xfId="1292" applyNumberFormat="1" applyFont="1" applyFill="1" applyBorder="1"/>
    <xf numFmtId="164" fontId="0" fillId="0" borderId="0" xfId="1292" applyNumberFormat="1" applyFont="1" applyBorder="1"/>
    <xf numFmtId="0" fontId="42" fillId="0" borderId="18" xfId="1291" applyFont="1" applyBorder="1"/>
    <xf numFmtId="164" fontId="0" fillId="42" borderId="1" xfId="1" applyNumberFormat="1" applyFont="1" applyFill="1" applyBorder="1"/>
    <xf numFmtId="0" fontId="77" fillId="0" borderId="0" xfId="700" applyFont="1" applyFill="1"/>
    <xf numFmtId="0" fontId="77" fillId="0" borderId="0" xfId="701" applyFont="1" applyFill="1"/>
    <xf numFmtId="43" fontId="77" fillId="0" borderId="0" xfId="52" applyFont="1" applyFill="1"/>
    <xf numFmtId="43" fontId="77" fillId="0" borderId="0" xfId="52" applyFont="1" applyFill="1" applyAlignment="1">
      <alignment horizontal="center"/>
    </xf>
    <xf numFmtId="164" fontId="77" fillId="0" borderId="0" xfId="52" applyNumberFormat="1" applyFont="1" applyFill="1"/>
    <xf numFmtId="164" fontId="77" fillId="0" borderId="0" xfId="700" applyNumberFormat="1" applyFont="1" applyFill="1"/>
    <xf numFmtId="0" fontId="41" fillId="0" borderId="0" xfId="0" applyFont="1" applyFill="1"/>
    <xf numFmtId="0" fontId="77" fillId="0" borderId="0" xfId="700" applyFont="1" applyFill="1" applyBorder="1"/>
    <xf numFmtId="0" fontId="76" fillId="0" borderId="0" xfId="700" applyFont="1" applyFill="1" applyBorder="1" applyAlignment="1">
      <alignment horizontal="right"/>
    </xf>
    <xf numFmtId="4" fontId="77" fillId="0" borderId="0" xfId="52" applyNumberFormat="1" applyFont="1" applyFill="1"/>
    <xf numFmtId="0" fontId="76" fillId="0" borderId="0" xfId="700" applyFont="1" applyFill="1" applyBorder="1"/>
    <xf numFmtId="0" fontId="7" fillId="0" borderId="0" xfId="327" applyFont="1" applyFill="1"/>
    <xf numFmtId="0" fontId="7" fillId="0" borderId="0" xfId="328" applyFont="1" applyFill="1"/>
    <xf numFmtId="44" fontId="77" fillId="0" borderId="0" xfId="700" applyNumberFormat="1" applyFont="1" applyFill="1"/>
    <xf numFmtId="0" fontId="114" fillId="0" borderId="0" xfId="700" applyFont="1" applyFill="1" applyAlignment="1">
      <alignment horizontal="left"/>
    </xf>
    <xf numFmtId="43" fontId="76" fillId="0" borderId="0" xfId="52" applyFont="1" applyFill="1" applyAlignment="1">
      <alignment horizontal="center"/>
    </xf>
    <xf numFmtId="0" fontId="76" fillId="0" borderId="0" xfId="700" applyFont="1" applyFill="1" applyAlignment="1">
      <alignment horizontal="center"/>
    </xf>
    <xf numFmtId="43" fontId="76" fillId="0" borderId="0" xfId="700" applyNumberFormat="1" applyFont="1" applyFill="1" applyAlignment="1">
      <alignment horizontal="center"/>
    </xf>
    <xf numFmtId="43" fontId="77" fillId="0" borderId="0" xfId="700" applyNumberFormat="1" applyFont="1" applyFill="1"/>
    <xf numFmtId="0" fontId="76" fillId="0" borderId="0" xfId="700" applyFont="1" applyFill="1" applyAlignment="1">
      <alignment horizontal="left"/>
    </xf>
    <xf numFmtId="164" fontId="77" fillId="0" borderId="0" xfId="52" applyNumberFormat="1" applyFont="1" applyFill="1" applyBorder="1"/>
    <xf numFmtId="44" fontId="77" fillId="0" borderId="0" xfId="700" applyNumberFormat="1" applyFont="1" applyFill="1" applyBorder="1"/>
    <xf numFmtId="0" fontId="114" fillId="0" borderId="0" xfId="700" applyFont="1" applyFill="1" applyAlignment="1">
      <alignment horizontal="center"/>
    </xf>
    <xf numFmtId="44" fontId="77" fillId="0" borderId="0" xfId="554" applyFont="1" applyFill="1"/>
    <xf numFmtId="43" fontId="77" fillId="0" borderId="0" xfId="700" applyNumberFormat="1" applyFont="1" applyFill="1" applyAlignment="1">
      <alignment horizontal="center"/>
    </xf>
    <xf numFmtId="0" fontId="76" fillId="0" borderId="0" xfId="700" applyFont="1" applyFill="1" applyAlignment="1">
      <alignment horizontal="right"/>
    </xf>
    <xf numFmtId="0" fontId="77" fillId="0" borderId="0" xfId="700" applyFont="1" applyFill="1" applyAlignment="1">
      <alignment horizontal="center"/>
    </xf>
    <xf numFmtId="0" fontId="76" fillId="0" borderId="0" xfId="700" applyFont="1" applyFill="1"/>
    <xf numFmtId="44" fontId="76" fillId="0" borderId="37" xfId="700" applyNumberFormat="1" applyFont="1" applyFill="1" applyBorder="1"/>
    <xf numFmtId="43" fontId="76" fillId="0" borderId="0" xfId="52" applyFont="1" applyFill="1" applyAlignment="1">
      <alignment horizontal="right"/>
    </xf>
    <xf numFmtId="43" fontId="76" fillId="0" borderId="0" xfId="52" applyFont="1" applyFill="1"/>
    <xf numFmtId="43" fontId="76" fillId="0" borderId="0" xfId="700" applyNumberFormat="1" applyFont="1" applyFill="1"/>
    <xf numFmtId="44" fontId="77" fillId="0" borderId="0" xfId="700" applyNumberFormat="1" applyFont="1" applyFill="1" applyAlignment="1">
      <alignment horizontal="center"/>
    </xf>
    <xf numFmtId="15" fontId="3" fillId="0" borderId="0" xfId="0" quotePrefix="1" applyNumberFormat="1" applyFont="1"/>
    <xf numFmtId="43" fontId="0" fillId="0" borderId="0" xfId="0" applyNumberFormat="1" applyFont="1" applyFill="1" applyBorder="1" applyAlignment="1"/>
    <xf numFmtId="10" fontId="0" fillId="0" borderId="1" xfId="0" applyNumberFormat="1" applyFont="1" applyBorder="1" applyAlignment="1"/>
    <xf numFmtId="0" fontId="0" fillId="30" borderId="0" xfId="0" applyFont="1" applyFill="1" applyAlignment="1">
      <alignment horizontal="center"/>
    </xf>
    <xf numFmtId="0" fontId="0" fillId="0" borderId="0" xfId="0" applyFont="1" applyAlignment="1">
      <alignment horizontal="left"/>
    </xf>
    <xf numFmtId="0" fontId="3" fillId="30" borderId="1" xfId="0" applyFont="1" applyFill="1" applyBorder="1" applyAlignment="1">
      <alignment horizontal="center"/>
    </xf>
    <xf numFmtId="0" fontId="115" fillId="79" borderId="16" xfId="700" applyFont="1" applyFill="1" applyBorder="1" applyAlignment="1">
      <alignment horizontal="left" vertical="center" wrapText="1"/>
    </xf>
    <xf numFmtId="0" fontId="115" fillId="79" borderId="50" xfId="700" applyFont="1" applyFill="1" applyBorder="1" applyAlignment="1">
      <alignment horizontal="left" vertical="center" wrapText="1"/>
    </xf>
    <xf numFmtId="0" fontId="115" fillId="79" borderId="51" xfId="700" applyFont="1" applyFill="1" applyBorder="1" applyAlignment="1">
      <alignment horizontal="left" vertical="center" wrapText="1"/>
    </xf>
    <xf numFmtId="0" fontId="115" fillId="79" borderId="20" xfId="700" applyFont="1" applyFill="1" applyBorder="1" applyAlignment="1">
      <alignment horizontal="left" vertical="center" wrapText="1"/>
    </xf>
    <xf numFmtId="0" fontId="115" fillId="79" borderId="2" xfId="700" applyFont="1" applyFill="1" applyBorder="1" applyAlignment="1">
      <alignment horizontal="left" vertical="center" wrapText="1"/>
    </xf>
    <xf numFmtId="0" fontId="115" fillId="79" borderId="21" xfId="700" applyFont="1" applyFill="1" applyBorder="1" applyAlignment="1">
      <alignment horizontal="left" vertical="center" wrapText="1"/>
    </xf>
    <xf numFmtId="0" fontId="0" fillId="0" borderId="22" xfId="0" applyFont="1" applyFill="1" applyBorder="1" applyAlignment="1">
      <alignment horizontal="center" vertical="center" textRotation="90"/>
    </xf>
    <xf numFmtId="0" fontId="0" fillId="0" borderId="0" xfId="0" applyFont="1" applyFill="1" applyBorder="1" applyAlignment="1">
      <alignment horizontal="center" vertical="center" textRotation="90"/>
    </xf>
    <xf numFmtId="0" fontId="0" fillId="0" borderId="0" xfId="0" applyFont="1" applyFill="1" applyBorder="1" applyAlignment="1">
      <alignment horizontal="center"/>
    </xf>
    <xf numFmtId="0" fontId="0" fillId="0" borderId="1" xfId="0" applyFont="1" applyFill="1" applyBorder="1" applyAlignment="1">
      <alignment horizontal="center" vertical="center" textRotation="90"/>
    </xf>
    <xf numFmtId="0" fontId="0" fillId="30" borderId="0" xfId="0" applyFont="1" applyFill="1" applyBorder="1" applyAlignment="1">
      <alignment horizontal="center"/>
    </xf>
    <xf numFmtId="0" fontId="3" fillId="0" borderId="0" xfId="0" applyFont="1" applyAlignment="1">
      <alignment horizontal="left" wrapText="1"/>
    </xf>
  </cellXfs>
  <cellStyles count="4630">
    <cellStyle name="20% - Accent1 2" xfId="12"/>
    <cellStyle name="20% - Accent1 2 2" xfId="437"/>
    <cellStyle name="20% - Accent1 2 2 2" xfId="1293"/>
    <cellStyle name="20% - Accent1 2 2 3" xfId="1294"/>
    <cellStyle name="20% - Accent1 2 3" xfId="217"/>
    <cellStyle name="20% - Accent1 2 3 2" xfId="1295"/>
    <cellStyle name="20% - Accent1 2 4" xfId="1296"/>
    <cellStyle name="20% - Accent1 2 5" xfId="1297"/>
    <cellStyle name="20% - Accent1 3" xfId="13"/>
    <cellStyle name="20% - Accent1 3 2" xfId="438"/>
    <cellStyle name="20% - Accent1 3 3" xfId="216"/>
    <cellStyle name="20% - Accent1 4" xfId="482"/>
    <cellStyle name="20% - Accent1 5" xfId="1298"/>
    <cellStyle name="20% - Accent1 5 2" xfId="1299"/>
    <cellStyle name="20% - Accent2 2" xfId="14"/>
    <cellStyle name="20% - Accent2 2 2" xfId="219"/>
    <cellStyle name="20% - Accent2 2 2 2" xfId="1300"/>
    <cellStyle name="20% - Accent2 2 3" xfId="1301"/>
    <cellStyle name="20% - Accent2 2 3 2" xfId="1302"/>
    <cellStyle name="20% - Accent2 2 4" xfId="1303"/>
    <cellStyle name="20% - Accent2 2 4 2" xfId="1304"/>
    <cellStyle name="20% - Accent2 3" xfId="218"/>
    <cellStyle name="20% - Accent2 3 2" xfId="483"/>
    <cellStyle name="20% - Accent2 4" xfId="1305"/>
    <cellStyle name="20% - Accent2 5" xfId="1306"/>
    <cellStyle name="20% - Accent2 5 2" xfId="1307"/>
    <cellStyle name="20% - Accent3 2" xfId="15"/>
    <cellStyle name="20% - Accent3 2 2" xfId="221"/>
    <cellStyle name="20% - Accent3 2 3" xfId="1308"/>
    <cellStyle name="20% - Accent3 2 4" xfId="1309"/>
    <cellStyle name="20% - Accent3 3" xfId="220"/>
    <cellStyle name="20% - Accent3 3 2" xfId="484"/>
    <cellStyle name="20% - Accent3 4" xfId="1310"/>
    <cellStyle name="20% - Accent3 5" xfId="1311"/>
    <cellStyle name="20% - Accent3 5 2" xfId="1312"/>
    <cellStyle name="20% - Accent4 2" xfId="16"/>
    <cellStyle name="20% - Accent4 2 2" xfId="439"/>
    <cellStyle name="20% - Accent4 2 2 2" xfId="1313"/>
    <cellStyle name="20% - Accent4 2 2 3" xfId="1314"/>
    <cellStyle name="20% - Accent4 2 3" xfId="223"/>
    <cellStyle name="20% - Accent4 2 3 2" xfId="1315"/>
    <cellStyle name="20% - Accent4 2 4" xfId="1316"/>
    <cellStyle name="20% - Accent4 2 5" xfId="1317"/>
    <cellStyle name="20% - Accent4 3" xfId="17"/>
    <cellStyle name="20% - Accent4 3 2" xfId="440"/>
    <cellStyle name="20% - Accent4 3 3" xfId="222"/>
    <cellStyle name="20% - Accent4 4" xfId="485"/>
    <cellStyle name="20% - Accent4 5" xfId="1318"/>
    <cellStyle name="20% - Accent4 5 2" xfId="1319"/>
    <cellStyle name="20% - Accent5 2" xfId="18"/>
    <cellStyle name="20% - Accent5 2 2" xfId="1320"/>
    <cellStyle name="20% - Accent5 3" xfId="224"/>
    <cellStyle name="20% - Accent5 3 2" xfId="1321"/>
    <cellStyle name="20% - Accent5 4" xfId="1322"/>
    <cellStyle name="20% - Accent5 4 2" xfId="1323"/>
    <cellStyle name="20% - Accent6 2" xfId="19"/>
    <cellStyle name="20% - Accent6 2 2" xfId="226"/>
    <cellStyle name="20% - Accent6 2 2 2" xfId="1324"/>
    <cellStyle name="20% - Accent6 3" xfId="225"/>
    <cellStyle name="20% - Accent6 3 2" xfId="486"/>
    <cellStyle name="20% - Accent6 4" xfId="1325"/>
    <cellStyle name="20% - Accent6 4 2" xfId="1326"/>
    <cellStyle name="40% - Accent1 2" xfId="20"/>
    <cellStyle name="40% - Accent1 2 2" xfId="487"/>
    <cellStyle name="40% - Accent1 2 2 2" xfId="1327"/>
    <cellStyle name="40% - Accent1 2 3" xfId="1328"/>
    <cellStyle name="40% - Accent1 2 4" xfId="1329"/>
    <cellStyle name="40% - Accent1 3" xfId="21"/>
    <cellStyle name="40% - Accent1 3 2" xfId="441"/>
    <cellStyle name="40% - Accent1 3 3" xfId="227"/>
    <cellStyle name="40% - Accent1 4" xfId="488"/>
    <cellStyle name="40% - Accent1 5" xfId="1330"/>
    <cellStyle name="40% - Accent1 5 2" xfId="1331"/>
    <cellStyle name="40% - Accent2 2" xfId="22"/>
    <cellStyle name="40% - Accent2 2 2" xfId="1332"/>
    <cellStyle name="40% - Accent2 3" xfId="228"/>
    <cellStyle name="40% - Accent2 3 2" xfId="1333"/>
    <cellStyle name="40% - Accent2 4" xfId="1334"/>
    <cellStyle name="40% - Accent2 4 2" xfId="1335"/>
    <cellStyle name="40% - Accent3 2" xfId="23"/>
    <cellStyle name="40% - Accent3 2 2" xfId="230"/>
    <cellStyle name="40% - Accent3 2 2 2" xfId="1336"/>
    <cellStyle name="40% - Accent3 2 3" xfId="1337"/>
    <cellStyle name="40% - Accent3 2 3 2" xfId="1338"/>
    <cellStyle name="40% - Accent3 2 4" xfId="1339"/>
    <cellStyle name="40% - Accent3 2 4 2" xfId="1340"/>
    <cellStyle name="40% - Accent3 3" xfId="229"/>
    <cellStyle name="40% - Accent3 3 2" xfId="489"/>
    <cellStyle name="40% - Accent3 4" xfId="1341"/>
    <cellStyle name="40% - Accent3 5" xfId="1342"/>
    <cellStyle name="40% - Accent3 5 2" xfId="1343"/>
    <cellStyle name="40% - Accent4 2" xfId="24"/>
    <cellStyle name="40% - Accent4 2 2" xfId="490"/>
    <cellStyle name="40% - Accent4 2 2 2" xfId="1344"/>
    <cellStyle name="40% - Accent4 2 3" xfId="1345"/>
    <cellStyle name="40% - Accent4 2 4" xfId="1346"/>
    <cellStyle name="40% - Accent4 3" xfId="25"/>
    <cellStyle name="40% - Accent4 3 2" xfId="442"/>
    <cellStyle name="40% - Accent4 3 3" xfId="231"/>
    <cellStyle name="40% - Accent4 4" xfId="491"/>
    <cellStyle name="40% - Accent4 5" xfId="1347"/>
    <cellStyle name="40% - Accent4 5 2" xfId="1348"/>
    <cellStyle name="40% - Accent5 2" xfId="26"/>
    <cellStyle name="40% - Accent5 2 2" xfId="492"/>
    <cellStyle name="40% - Accent5 3" xfId="232"/>
    <cellStyle name="40% - Accent5 3 2" xfId="493"/>
    <cellStyle name="40% - Accent5 4" xfId="1349"/>
    <cellStyle name="40% - Accent5 4 2" xfId="1350"/>
    <cellStyle name="40% - Accent6 2" xfId="27"/>
    <cellStyle name="40% - Accent6 2 2" xfId="494"/>
    <cellStyle name="40% - Accent6 2 2 2" xfId="1351"/>
    <cellStyle name="40% - Accent6 2 3" xfId="1352"/>
    <cellStyle name="40% - Accent6 2 3 2" xfId="1353"/>
    <cellStyle name="40% - Accent6 2 4" xfId="1354"/>
    <cellStyle name="40% - Accent6 2 5" xfId="1355"/>
    <cellStyle name="40% - Accent6 3" xfId="28"/>
    <cellStyle name="40% - Accent6 3 2" xfId="443"/>
    <cellStyle name="40% - Accent6 3 3" xfId="233"/>
    <cellStyle name="40% - Accent6 4" xfId="495"/>
    <cellStyle name="40% - Accent6 5" xfId="1356"/>
    <cellStyle name="40% - Accent6 5 2" xfId="1357"/>
    <cellStyle name="60% - Accent1 2" xfId="29"/>
    <cellStyle name="60% - Accent1 2 2" xfId="444"/>
    <cellStyle name="60% - Accent1 2 2 2" xfId="1358"/>
    <cellStyle name="60% - Accent1 2 3" xfId="235"/>
    <cellStyle name="60% - Accent1 2 3 2" xfId="1359"/>
    <cellStyle name="60% - Accent1 2 4" xfId="1360"/>
    <cellStyle name="60% - Accent1 2 5" xfId="1361"/>
    <cellStyle name="60% - Accent1 3" xfId="30"/>
    <cellStyle name="60% - Accent1 3 2" xfId="445"/>
    <cellStyle name="60% - Accent1 3 3" xfId="234"/>
    <cellStyle name="60% - Accent1 4" xfId="496"/>
    <cellStyle name="60% - Accent1 5" xfId="1362"/>
    <cellStyle name="60% - Accent2 2" xfId="31"/>
    <cellStyle name="60% - Accent2 2 2" xfId="497"/>
    <cellStyle name="60% - Accent2 3" xfId="236"/>
    <cellStyle name="60% - Accent2 3 2" xfId="498"/>
    <cellStyle name="60% - Accent2 4" xfId="1363"/>
    <cellStyle name="60% - Accent3 2" xfId="32"/>
    <cellStyle name="60% - Accent3 2 2" xfId="499"/>
    <cellStyle name="60% - Accent3 2 2 2" xfId="1364"/>
    <cellStyle name="60% - Accent3 2 3" xfId="1365"/>
    <cellStyle name="60% - Accent3 2 3 2" xfId="1366"/>
    <cellStyle name="60% - Accent3 2 4" xfId="1367"/>
    <cellStyle name="60% - Accent3 2 5" xfId="1368"/>
    <cellStyle name="60% - Accent3 3" xfId="33"/>
    <cellStyle name="60% - Accent3 3 2" xfId="446"/>
    <cellStyle name="60% - Accent3 3 3" xfId="237"/>
    <cellStyle name="60% - Accent3 4" xfId="500"/>
    <cellStyle name="60% - Accent3 5" xfId="1369"/>
    <cellStyle name="60% - Accent4 2" xfId="34"/>
    <cellStyle name="60% - Accent4 2 2" xfId="501"/>
    <cellStyle name="60% - Accent4 2 2 2" xfId="1370"/>
    <cellStyle name="60% - Accent4 2 3" xfId="1371"/>
    <cellStyle name="60% - Accent4 2 3 2" xfId="1372"/>
    <cellStyle name="60% - Accent4 2 4" xfId="1373"/>
    <cellStyle name="60% - Accent4 2 5" xfId="1374"/>
    <cellStyle name="60% - Accent4 3" xfId="35"/>
    <cellStyle name="60% - Accent4 3 2" xfId="447"/>
    <cellStyle name="60% - Accent4 3 3" xfId="238"/>
    <cellStyle name="60% - Accent4 4" xfId="502"/>
    <cellStyle name="60% - Accent4 5" xfId="1375"/>
    <cellStyle name="60% - Accent5 2" xfId="36"/>
    <cellStyle name="60% - Accent5 2 2" xfId="448"/>
    <cellStyle name="60% - Accent5 2 2 2" xfId="1376"/>
    <cellStyle name="60% - Accent5 2 3" xfId="240"/>
    <cellStyle name="60% - Accent5 2 4" xfId="1377"/>
    <cellStyle name="60% - Accent5 2 5" xfId="1378"/>
    <cellStyle name="60% - Accent5 3" xfId="239"/>
    <cellStyle name="60% - Accent5 3 2" xfId="503"/>
    <cellStyle name="60% - Accent5 4" xfId="1379"/>
    <cellStyle name="60% - Accent5 5" xfId="1380"/>
    <cellStyle name="60% - Accent6 2" xfId="37"/>
    <cellStyle name="60% - Accent6 2 2" xfId="242"/>
    <cellStyle name="60% - Accent6 2 2 2" xfId="1381"/>
    <cellStyle name="60% - Accent6 2 3" xfId="1382"/>
    <cellStyle name="60% - Accent6 2 3 2" xfId="1383"/>
    <cellStyle name="60% - Accent6 2 4" xfId="1384"/>
    <cellStyle name="60% - Accent6 2 4 2" xfId="1385"/>
    <cellStyle name="60% - Accent6 3" xfId="241"/>
    <cellStyle name="60% - Accent6 3 2" xfId="504"/>
    <cellStyle name="60% - Accent6 4" xfId="1386"/>
    <cellStyle name="60% - Accent6 5" xfId="1387"/>
    <cellStyle name="Accent1 2" xfId="38"/>
    <cellStyle name="Accent1 2 2" xfId="449"/>
    <cellStyle name="Accent1 2 2 2" xfId="1388"/>
    <cellStyle name="Accent1 2 3" xfId="244"/>
    <cellStyle name="Accent1 3" xfId="39"/>
    <cellStyle name="Accent1 3 2" xfId="450"/>
    <cellStyle name="Accent1 3 3" xfId="243"/>
    <cellStyle name="Accent1 4" xfId="505"/>
    <cellStyle name="Accent2 2" xfId="40"/>
    <cellStyle name="Accent2 2 2" xfId="506"/>
    <cellStyle name="Accent2 3" xfId="245"/>
    <cellStyle name="Accent2 3 2" xfId="507"/>
    <cellStyle name="Accent2 4" xfId="1389"/>
    <cellStyle name="Accent3 2" xfId="41"/>
    <cellStyle name="Accent3 2 2" xfId="451"/>
    <cellStyle name="Accent3 2 3" xfId="247"/>
    <cellStyle name="Accent3 3" xfId="246"/>
    <cellStyle name="Accent3 3 2" xfId="508"/>
    <cellStyle name="Accent3 4" xfId="1390"/>
    <cellStyle name="Accent4 2" xfId="42"/>
    <cellStyle name="Accent4 2 2" xfId="249"/>
    <cellStyle name="Accent4 2 2 2" xfId="1391"/>
    <cellStyle name="Accent4 2 3" xfId="1392"/>
    <cellStyle name="Accent4 2 3 2" xfId="1393"/>
    <cellStyle name="Accent4 2 4" xfId="1394"/>
    <cellStyle name="Accent4 2 4 2" xfId="1395"/>
    <cellStyle name="Accent4 3" xfId="248"/>
    <cellStyle name="Accent4 3 2" xfId="509"/>
    <cellStyle name="Accent4 4" xfId="1396"/>
    <cellStyle name="Accent4 5" xfId="1397"/>
    <cellStyle name="Accent5 2" xfId="43"/>
    <cellStyle name="Accent5 2 2" xfId="251"/>
    <cellStyle name="Accent5 2 2 2" xfId="1398"/>
    <cellStyle name="Accent5 2 3" xfId="1399"/>
    <cellStyle name="Accent5 2 3 2" xfId="1400"/>
    <cellStyle name="Accent5 2 4" xfId="1401"/>
    <cellStyle name="Accent5 2 4 2" xfId="1402"/>
    <cellStyle name="Accent5 3" xfId="250"/>
    <cellStyle name="Accent5 4" xfId="1403"/>
    <cellStyle name="Accent5 5" xfId="1404"/>
    <cellStyle name="Accent6 2" xfId="44"/>
    <cellStyle name="Accent6 2 2" xfId="452"/>
    <cellStyle name="Accent6 2 3" xfId="253"/>
    <cellStyle name="Accent6 3" xfId="252"/>
    <cellStyle name="Accent6 3 2" xfId="510"/>
    <cellStyle name="Accent6 4" xfId="1405"/>
    <cellStyle name="Accounting" xfId="45"/>
    <cellStyle name="Accounting 2" xfId="254"/>
    <cellStyle name="Accounting 2 2" xfId="1406"/>
    <cellStyle name="Accounting 3" xfId="255"/>
    <cellStyle name="Accounting 3 2" xfId="1407"/>
    <cellStyle name="Accounting 4" xfId="1408"/>
    <cellStyle name="Accounting 5" xfId="1409"/>
    <cellStyle name="Accounting 5 2" xfId="1410"/>
    <cellStyle name="Accounting 6" xfId="1411"/>
    <cellStyle name="Accounting 7" xfId="1412"/>
    <cellStyle name="Accounting_2011-11" xfId="256"/>
    <cellStyle name="APS" xfId="511"/>
    <cellStyle name="APSLabels" xfId="512"/>
    <cellStyle name="Bad 2" xfId="46"/>
    <cellStyle name="Bad 2 2" xfId="513"/>
    <cellStyle name="Bad 3" xfId="257"/>
    <cellStyle name="Bad 3 2" xfId="514"/>
    <cellStyle name="Bad 4" xfId="1413"/>
    <cellStyle name="Budget" xfId="47"/>
    <cellStyle name="Budget 2" xfId="258"/>
    <cellStyle name="Budget 3" xfId="259"/>
    <cellStyle name="Budget 4" xfId="1414"/>
    <cellStyle name="Budget_2011-11" xfId="260"/>
    <cellStyle name="Calculation 2" xfId="48"/>
    <cellStyle name="Calculation 2 2" xfId="453"/>
    <cellStyle name="Calculation 2 2 2" xfId="1415"/>
    <cellStyle name="Calculation 2 3" xfId="262"/>
    <cellStyle name="Calculation 2 3 2" xfId="1416"/>
    <cellStyle name="Calculation 2 4" xfId="1417"/>
    <cellStyle name="Calculation 2 5" xfId="1418"/>
    <cellStyle name="Calculation 3" xfId="49"/>
    <cellStyle name="Calculation 3 2" xfId="454"/>
    <cellStyle name="Calculation 3 3" xfId="261"/>
    <cellStyle name="Calculation 4" xfId="515"/>
    <cellStyle name="Calculation 5" xfId="1419"/>
    <cellStyle name="Check Cell 2" xfId="50"/>
    <cellStyle name="Check Cell 2 2" xfId="264"/>
    <cellStyle name="Check Cell 2 2 2" xfId="1420"/>
    <cellStyle name="Check Cell 2 3" xfId="1421"/>
    <cellStyle name="Check Cell 2 3 2" xfId="1422"/>
    <cellStyle name="Check Cell 2 4" xfId="1423"/>
    <cellStyle name="Check Cell 2 4 2" xfId="1424"/>
    <cellStyle name="Check Cell 3" xfId="263"/>
    <cellStyle name="Check Cell 4" xfId="1425"/>
    <cellStyle name="Check Cell 5" xfId="1426"/>
    <cellStyle name="Color" xfId="516"/>
    <cellStyle name="combo" xfId="51"/>
    <cellStyle name="Comma" xfId="1" builtinId="3"/>
    <cellStyle name="Comma 10" xfId="52"/>
    <cellStyle name="Comma 10 2" xfId="517"/>
    <cellStyle name="Comma 10 3" xfId="1427"/>
    <cellStyle name="Comma 11" xfId="53"/>
    <cellStyle name="Comma 11 2" xfId="518"/>
    <cellStyle name="Comma 11 2 2" xfId="1428"/>
    <cellStyle name="Comma 11 2 2 2" xfId="1429"/>
    <cellStyle name="Comma 11 2 2 3" xfId="1430"/>
    <cellStyle name="Comma 11 2 3" xfId="1431"/>
    <cellStyle name="Comma 11 2 4" xfId="1432"/>
    <cellStyle name="Comma 11 3" xfId="1433"/>
    <cellStyle name="Comma 11 3 2" xfId="1434"/>
    <cellStyle name="Comma 11 3 3" xfId="1435"/>
    <cellStyle name="Comma 11 4" xfId="1436"/>
    <cellStyle name="Comma 11 4 2" xfId="1437"/>
    <cellStyle name="Comma 11 4 3" xfId="1438"/>
    <cellStyle name="Comma 11 5" xfId="1439"/>
    <cellStyle name="Comma 11 5 2" xfId="1440"/>
    <cellStyle name="Comma 11 5 3" xfId="1441"/>
    <cellStyle name="Comma 11 6" xfId="1442"/>
    <cellStyle name="Comma 11 7" xfId="1443"/>
    <cellStyle name="Comma 12" xfId="54"/>
    <cellStyle name="Comma 12 2" xfId="386"/>
    <cellStyle name="Comma 12 2 2" xfId="519"/>
    <cellStyle name="Comma 12 3" xfId="390"/>
    <cellStyle name="Comma 12 3 2" xfId="1444"/>
    <cellStyle name="Comma 12 3 3" xfId="1445"/>
    <cellStyle name="Comma 12 4" xfId="265"/>
    <cellStyle name="Comma 12 4 2" xfId="520"/>
    <cellStyle name="Comma 12 5" xfId="521"/>
    <cellStyle name="Comma 13" xfId="55"/>
    <cellStyle name="Comma 13 2" xfId="522"/>
    <cellStyle name="Comma 13 3" xfId="523"/>
    <cellStyle name="Comma 13 3 2" xfId="1446"/>
    <cellStyle name="Comma 13 3 3" xfId="1447"/>
    <cellStyle name="Comma 13 4" xfId="1448"/>
    <cellStyle name="Comma 13 5" xfId="1449"/>
    <cellStyle name="Comma 14" xfId="56"/>
    <cellStyle name="Comma 14 2" xfId="1450"/>
    <cellStyle name="Comma 14 3" xfId="1451"/>
    <cellStyle name="Comma 14 3 2" xfId="1452"/>
    <cellStyle name="Comma 14 3 3" xfId="1453"/>
    <cellStyle name="Comma 14 4" xfId="1454"/>
    <cellStyle name="Comma 14 5" xfId="1455"/>
    <cellStyle name="Comma 15" xfId="57"/>
    <cellStyle name="Comma 15 2" xfId="524"/>
    <cellStyle name="Comma 15 3" xfId="525"/>
    <cellStyle name="Comma 16" xfId="58"/>
    <cellStyle name="Comma 16 2" xfId="1456"/>
    <cellStyle name="Comma 17" xfId="59"/>
    <cellStyle name="Comma 17 2" xfId="455"/>
    <cellStyle name="Comma 17 2 2" xfId="1457"/>
    <cellStyle name="Comma 17 2 2 2" xfId="1458"/>
    <cellStyle name="Comma 17 2 3" xfId="1459"/>
    <cellStyle name="Comma 17 3" xfId="399"/>
    <cellStyle name="Comma 17 3 2" xfId="526"/>
    <cellStyle name="Comma 17 3 2 2" xfId="1460"/>
    <cellStyle name="Comma 17 3 3" xfId="1461"/>
    <cellStyle name="Comma 17 3 4" xfId="1462"/>
    <cellStyle name="Comma 17 3 5" xfId="1463"/>
    <cellStyle name="Comma 17 4" xfId="527"/>
    <cellStyle name="Comma 17 5" xfId="1464"/>
    <cellStyle name="Comma 18" xfId="60"/>
    <cellStyle name="Comma 18 2" xfId="401"/>
    <cellStyle name="Comma 18 2 2" xfId="1465"/>
    <cellStyle name="Comma 18 2 2 2" xfId="1466"/>
    <cellStyle name="Comma 18 2 2 3" xfId="1467"/>
    <cellStyle name="Comma 18 2 3" xfId="1468"/>
    <cellStyle name="Comma 18 2 4" xfId="1469"/>
    <cellStyle name="Comma 18 2 5" xfId="1470"/>
    <cellStyle name="Comma 18 3" xfId="456"/>
    <cellStyle name="Comma 18 3 2" xfId="1471"/>
    <cellStyle name="Comma 18 4" xfId="400"/>
    <cellStyle name="Comma 19" xfId="397"/>
    <cellStyle name="Comma 19 2" xfId="1472"/>
    <cellStyle name="Comma 19 2 2" xfId="1473"/>
    <cellStyle name="Comma 19 2 2 2" xfId="1474"/>
    <cellStyle name="Comma 19 2 3" xfId="1475"/>
    <cellStyle name="Comma 19 3" xfId="1476"/>
    <cellStyle name="Comma 19 3 2" xfId="1477"/>
    <cellStyle name="Comma 19 4" xfId="1478"/>
    <cellStyle name="Comma 19 5" xfId="1479"/>
    <cellStyle name="Comma 2" xfId="61"/>
    <cellStyle name="Comma 2 2" xfId="5"/>
    <cellStyle name="Comma 2 2 2" xfId="62"/>
    <cellStyle name="Comma 2 2 2 2" xfId="528"/>
    <cellStyle name="Comma 2 2 2 2 2" xfId="1480"/>
    <cellStyle name="Comma 2 2 2 2 2 2" xfId="1481"/>
    <cellStyle name="Comma 2 2 2 2 2 3" xfId="1482"/>
    <cellStyle name="Comma 2 2 2 2 3" xfId="1483"/>
    <cellStyle name="Comma 2 2 2 2 4" xfId="1484"/>
    <cellStyle name="Comma 2 2 2 3" xfId="1485"/>
    <cellStyle name="Comma 2 2 3" xfId="529"/>
    <cellStyle name="Comma 2 2 3 2" xfId="1486"/>
    <cellStyle name="Comma 2 2 3 2 2" xfId="1487"/>
    <cellStyle name="Comma 2 2 3 2 2 2" xfId="1488"/>
    <cellStyle name="Comma 2 2 3 2 3" xfId="1489"/>
    <cellStyle name="Comma 2 2 3 3" xfId="1490"/>
    <cellStyle name="Comma 2 2 3 3 2" xfId="1491"/>
    <cellStyle name="Comma 2 2 3 4" xfId="1492"/>
    <cellStyle name="Comma 2 2 4" xfId="1493"/>
    <cellStyle name="Comma 2 2 4 2" xfId="1494"/>
    <cellStyle name="Comma 2 2 4 2 2" xfId="1495"/>
    <cellStyle name="Comma 2 2 4 2 3" xfId="1496"/>
    <cellStyle name="Comma 2 2 4 3" xfId="1497"/>
    <cellStyle name="Comma 2 2 4 4" xfId="1498"/>
    <cellStyle name="Comma 2 2 5" xfId="1499"/>
    <cellStyle name="Comma 2 3" xfId="63"/>
    <cellStyle name="Comma 2 3 2" xfId="1500"/>
    <cellStyle name="Comma 2 3 2 2" xfId="1501"/>
    <cellStyle name="Comma 2 3 3" xfId="1502"/>
    <cellStyle name="Comma 2 4" xfId="64"/>
    <cellStyle name="Comma 2 4 2" xfId="457"/>
    <cellStyle name="Comma 2 4 3" xfId="402"/>
    <cellStyle name="Comma 2 4 3 2" xfId="530"/>
    <cellStyle name="Comma 2 4 4" xfId="531"/>
    <cellStyle name="Comma 2 5" xfId="436"/>
    <cellStyle name="Comma 2 5 2" xfId="1503"/>
    <cellStyle name="Comma 2 5 2 2" xfId="1504"/>
    <cellStyle name="Comma 2 5 2 3" xfId="1505"/>
    <cellStyle name="Comma 2 6" xfId="192"/>
    <cellStyle name="Comma 2 6 2" xfId="193"/>
    <cellStyle name="Comma 2 6 3" xfId="1506"/>
    <cellStyle name="Comma 2 6 3 2" xfId="1507"/>
    <cellStyle name="Comma 2 6 3 3" xfId="1508"/>
    <cellStyle name="Comma 2 6 4" xfId="1509"/>
    <cellStyle name="Comma 2 6 5" xfId="1510"/>
    <cellStyle name="Comma 2 7" xfId="532"/>
    <cellStyle name="Comma 2 7 2" xfId="1511"/>
    <cellStyle name="Comma 2 7 2 2" xfId="1512"/>
    <cellStyle name="Comma 2 7 2 3" xfId="1513"/>
    <cellStyle name="Comma 2 7 3" xfId="1514"/>
    <cellStyle name="Comma 2 7 4" xfId="1515"/>
    <cellStyle name="Comma 2 8" xfId="533"/>
    <cellStyle name="Comma 2 8 2" xfId="1516"/>
    <cellStyle name="Comma 2 8 3" xfId="1517"/>
    <cellStyle name="Comma 20" xfId="190"/>
    <cellStyle name="Comma 20 2" xfId="1518"/>
    <cellStyle name="Comma 20 2 2" xfId="1519"/>
    <cellStyle name="Comma 20 2 3" xfId="1520"/>
    <cellStyle name="Comma 20 3" xfId="1521"/>
    <cellStyle name="Comma 20 3 2" xfId="1522"/>
    <cellStyle name="Comma 20 4" xfId="1523"/>
    <cellStyle name="Comma 20 5" xfId="1524"/>
    <cellStyle name="Comma 21" xfId="191"/>
    <cellStyle name="Comma 21 2" xfId="535"/>
    <cellStyle name="Comma 21 2 2" xfId="1525"/>
    <cellStyle name="Comma 21 2 3" xfId="1526"/>
    <cellStyle name="Comma 21 3" xfId="534"/>
    <cellStyle name="Comma 21 4" xfId="1527"/>
    <cellStyle name="Comma 22" xfId="536"/>
    <cellStyle name="Comma 22 2" xfId="1292"/>
    <cellStyle name="Comma 22 3" xfId="1528"/>
    <cellStyle name="Comma 23" xfId="537"/>
    <cellStyle name="Comma 24" xfId="1529"/>
    <cellStyle name="Comma 24 2" xfId="1530"/>
    <cellStyle name="Comma 25" xfId="1531"/>
    <cellStyle name="Comma 3" xfId="65"/>
    <cellStyle name="Comma 3 2" xfId="66"/>
    <cellStyle name="Comma 3 2 2" xfId="67"/>
    <cellStyle name="Comma 3 2 2 2" xfId="1532"/>
    <cellStyle name="Comma 3 2 3" xfId="1533"/>
    <cellStyle name="Comma 3 2 4" xfId="1534"/>
    <cellStyle name="Comma 3 3" xfId="68"/>
    <cellStyle name="Comma 3 3 2" xfId="1535"/>
    <cellStyle name="Comma 3 3 2 2" xfId="1536"/>
    <cellStyle name="Comma 3 3 2 3" xfId="1537"/>
    <cellStyle name="Comma 3 4" xfId="69"/>
    <cellStyle name="Comma 3 4 2" xfId="1538"/>
    <cellStyle name="Comma 3_2149 Ops template" xfId="1539"/>
    <cellStyle name="Comma 4" xfId="70"/>
    <cellStyle name="Comma 4 10" xfId="1540"/>
    <cellStyle name="Comma 4 10 2" xfId="1541"/>
    <cellStyle name="Comma 4 10 2 2" xfId="1542"/>
    <cellStyle name="Comma 4 10 3" xfId="1543"/>
    <cellStyle name="Comma 4 11" xfId="1544"/>
    <cellStyle name="Comma 4 11 2" xfId="1545"/>
    <cellStyle name="Comma 4 11 2 2" xfId="1546"/>
    <cellStyle name="Comma 4 11 3" xfId="1547"/>
    <cellStyle name="Comma 4 12" xfId="1548"/>
    <cellStyle name="Comma 4 12 2" xfId="1549"/>
    <cellStyle name="Comma 4 13" xfId="1550"/>
    <cellStyle name="Comma 4 14" xfId="1551"/>
    <cellStyle name="Comma 4 15" xfId="1552"/>
    <cellStyle name="Comma 4 16" xfId="1553"/>
    <cellStyle name="Comma 4 2" xfId="71"/>
    <cellStyle name="Comma 4 2 10" xfId="1554"/>
    <cellStyle name="Comma 4 2 11" xfId="1555"/>
    <cellStyle name="Comma 4 2 12" xfId="1556"/>
    <cellStyle name="Comma 4 2 13" xfId="1557"/>
    <cellStyle name="Comma 4 2 14" xfId="1558"/>
    <cellStyle name="Comma 4 2 2" xfId="391"/>
    <cellStyle name="Comma 4 2 2 10" xfId="1559"/>
    <cellStyle name="Comma 4 2 2 2" xfId="702"/>
    <cellStyle name="Comma 4 2 2 2 2" xfId="703"/>
    <cellStyle name="Comma 4 2 2 2 2 2" xfId="1560"/>
    <cellStyle name="Comma 4 2 2 2 2 2 2" xfId="1561"/>
    <cellStyle name="Comma 4 2 2 2 2 2 2 2" xfId="1562"/>
    <cellStyle name="Comma 4 2 2 2 2 2 3" xfId="1563"/>
    <cellStyle name="Comma 4 2 2 2 2 3" xfId="1564"/>
    <cellStyle name="Comma 4 2 2 2 2 3 2" xfId="1565"/>
    <cellStyle name="Comma 4 2 2 2 2 4" xfId="1566"/>
    <cellStyle name="Comma 4 2 2 2 2 5" xfId="1567"/>
    <cellStyle name="Comma 4 2 2 2 3" xfId="704"/>
    <cellStyle name="Comma 4 2 2 2 3 2" xfId="1568"/>
    <cellStyle name="Comma 4 2 2 2 3 3" xfId="1569"/>
    <cellStyle name="Comma 4 2 2 2 4" xfId="1570"/>
    <cellStyle name="Comma 4 2 2 2 4 2" xfId="1571"/>
    <cellStyle name="Comma 4 2 2 2 4 3" xfId="1572"/>
    <cellStyle name="Comma 4 2 2 2 5" xfId="1573"/>
    <cellStyle name="Comma 4 2 2 2 5 2" xfId="1574"/>
    <cellStyle name="Comma 4 2 2 2 6" xfId="1575"/>
    <cellStyle name="Comma 4 2 2 2 7" xfId="1576"/>
    <cellStyle name="Comma 4 2 2 3" xfId="705"/>
    <cellStyle name="Comma 4 2 2 3 2" xfId="1577"/>
    <cellStyle name="Comma 4 2 2 3 2 2" xfId="1578"/>
    <cellStyle name="Comma 4 2 2 3 2 2 2" xfId="1579"/>
    <cellStyle name="Comma 4 2 2 3 2 2 3" xfId="1580"/>
    <cellStyle name="Comma 4 2 2 3 2 3" xfId="1581"/>
    <cellStyle name="Comma 4 2 2 3 2 3 2" xfId="1582"/>
    <cellStyle name="Comma 4 2 2 3 2 4" xfId="1583"/>
    <cellStyle name="Comma 4 2 2 3 3" xfId="1584"/>
    <cellStyle name="Comma 4 2 2 3 3 2" xfId="1585"/>
    <cellStyle name="Comma 4 2 2 3 3 3" xfId="1586"/>
    <cellStyle name="Comma 4 2 2 3 4" xfId="1587"/>
    <cellStyle name="Comma 4 2 2 3 4 2" xfId="1588"/>
    <cellStyle name="Comma 4 2 2 3 4 3" xfId="1589"/>
    <cellStyle name="Comma 4 2 2 3 5" xfId="1590"/>
    <cellStyle name="Comma 4 2 2 3 5 2" xfId="1591"/>
    <cellStyle name="Comma 4 2 2 3 6" xfId="1592"/>
    <cellStyle name="Comma 4 2 2 3 7" xfId="1593"/>
    <cellStyle name="Comma 4 2 2 4" xfId="1594"/>
    <cellStyle name="Comma 4 2 2 4 2" xfId="1595"/>
    <cellStyle name="Comma 4 2 2 4 2 2" xfId="1596"/>
    <cellStyle name="Comma 4 2 2 4 2 2 2" xfId="1597"/>
    <cellStyle name="Comma 4 2 2 4 2 3" xfId="1598"/>
    <cellStyle name="Comma 4 2 2 4 3" xfId="1599"/>
    <cellStyle name="Comma 4 2 2 4 3 2" xfId="1600"/>
    <cellStyle name="Comma 4 2 2 4 4" xfId="1601"/>
    <cellStyle name="Comma 4 2 2 4 5" xfId="1602"/>
    <cellStyle name="Comma 4 2 2 4 6" xfId="1603"/>
    <cellStyle name="Comma 4 2 2 5" xfId="1604"/>
    <cellStyle name="Comma 4 2 2 5 2" xfId="1605"/>
    <cellStyle name="Comma 4 2 2 5 2 2" xfId="1606"/>
    <cellStyle name="Comma 4 2 2 5 2 3" xfId="1607"/>
    <cellStyle name="Comma 4 2 2 5 3" xfId="1608"/>
    <cellStyle name="Comma 4 2 2 5 3 2" xfId="1609"/>
    <cellStyle name="Comma 4 2 2 5 4" xfId="1610"/>
    <cellStyle name="Comma 4 2 2 6" xfId="1611"/>
    <cellStyle name="Comma 4 2 2 6 2" xfId="1612"/>
    <cellStyle name="Comma 4 2 2 6 3" xfId="1613"/>
    <cellStyle name="Comma 4 2 2 7" xfId="1614"/>
    <cellStyle name="Comma 4 2 2 7 2" xfId="1615"/>
    <cellStyle name="Comma 4 2 2 7 3" xfId="1616"/>
    <cellStyle name="Comma 4 2 2 8" xfId="1617"/>
    <cellStyle name="Comma 4 2 2 8 2" xfId="1618"/>
    <cellStyle name="Comma 4 2 2 9" xfId="1619"/>
    <cellStyle name="Comma 4 2 3" xfId="403"/>
    <cellStyle name="Comma 4 2 3 10" xfId="1620"/>
    <cellStyle name="Comma 4 2 3 2" xfId="706"/>
    <cellStyle name="Comma 4 2 3 2 2" xfId="1621"/>
    <cellStyle name="Comma 4 2 3 3" xfId="1622"/>
    <cellStyle name="Comma 4 2 3 3 2" xfId="1623"/>
    <cellStyle name="Comma 4 2 3 3 2 2" xfId="1624"/>
    <cellStyle name="Comma 4 2 3 3 2 2 2" xfId="1625"/>
    <cellStyle name="Comma 4 2 3 3 2 3" xfId="1626"/>
    <cellStyle name="Comma 4 2 3 3 3" xfId="1627"/>
    <cellStyle name="Comma 4 2 3 3 3 2" xfId="1628"/>
    <cellStyle name="Comma 4 2 3 3 4" xfId="1629"/>
    <cellStyle name="Comma 4 2 3 3 5" xfId="1630"/>
    <cellStyle name="Comma 4 2 3 4" xfId="1631"/>
    <cellStyle name="Comma 4 2 3 4 2" xfId="1632"/>
    <cellStyle name="Comma 4 2 3 4 2 2" xfId="1633"/>
    <cellStyle name="Comma 4 2 3 4 2 3" xfId="1634"/>
    <cellStyle name="Comma 4 2 3 4 3" xfId="1635"/>
    <cellStyle name="Comma 4 2 3 4 3 2" xfId="1636"/>
    <cellStyle name="Comma 4 2 3 4 4" xfId="1637"/>
    <cellStyle name="Comma 4 2 3 5" xfId="1638"/>
    <cellStyle name="Comma 4 2 3 5 2" xfId="1639"/>
    <cellStyle name="Comma 4 2 3 5 2 2" xfId="1640"/>
    <cellStyle name="Comma 4 2 3 5 2 3" xfId="1641"/>
    <cellStyle name="Comma 4 2 3 5 3" xfId="1642"/>
    <cellStyle name="Comma 4 2 3 5 4" xfId="1643"/>
    <cellStyle name="Comma 4 2 3 6" xfId="1644"/>
    <cellStyle name="Comma 4 2 3 6 2" xfId="1645"/>
    <cellStyle name="Comma 4 2 3 6 3" xfId="1646"/>
    <cellStyle name="Comma 4 2 3 7" xfId="1647"/>
    <cellStyle name="Comma 4 2 3 7 2" xfId="1648"/>
    <cellStyle name="Comma 4 2 3 7 3" xfId="1649"/>
    <cellStyle name="Comma 4 2 3 8" xfId="1650"/>
    <cellStyle name="Comma 4 2 3 8 2" xfId="1651"/>
    <cellStyle name="Comma 4 2 3 9" xfId="1652"/>
    <cellStyle name="Comma 4 2 4" xfId="538"/>
    <cellStyle name="Comma 4 2 4 2" xfId="1653"/>
    <cellStyle name="Comma 4 2 4 2 2" xfId="1654"/>
    <cellStyle name="Comma 4 2 4 3" xfId="1655"/>
    <cellStyle name="Comma 4 2 4 4" xfId="1656"/>
    <cellStyle name="Comma 4 2 4 4 2" xfId="1657"/>
    <cellStyle name="Comma 4 2 4 4 3" xfId="1658"/>
    <cellStyle name="Comma 4 2 4 5" xfId="1659"/>
    <cellStyle name="Comma 4 2 4 5 2" xfId="1660"/>
    <cellStyle name="Comma 4 2 4 6" xfId="1661"/>
    <cellStyle name="Comma 4 2 4 7" xfId="1662"/>
    <cellStyle name="Comma 4 2 4 8" xfId="1663"/>
    <cellStyle name="Comma 4 2 5" xfId="1664"/>
    <cellStyle name="Comma 4 2 5 2" xfId="1665"/>
    <cellStyle name="Comma 4 2 5 2 2" xfId="1666"/>
    <cellStyle name="Comma 4 2 5 2 2 2" xfId="1667"/>
    <cellStyle name="Comma 4 2 5 2 3" xfId="1668"/>
    <cellStyle name="Comma 4 2 5 3" xfId="1669"/>
    <cellStyle name="Comma 4 2 5 3 2" xfId="1670"/>
    <cellStyle name="Comma 4 2 5 4" xfId="1671"/>
    <cellStyle name="Comma 4 2 5 5" xfId="1672"/>
    <cellStyle name="Comma 4 2 5 6" xfId="1673"/>
    <cellStyle name="Comma 4 2 5 7" xfId="1674"/>
    <cellStyle name="Comma 4 2 5 8" xfId="1675"/>
    <cellStyle name="Comma 4 2 6" xfId="1676"/>
    <cellStyle name="Comma 4 2 6 2" xfId="1677"/>
    <cellStyle name="Comma 4 2 6 2 2" xfId="1678"/>
    <cellStyle name="Comma 4 2 6 2 2 2" xfId="1679"/>
    <cellStyle name="Comma 4 2 6 2 3" xfId="1680"/>
    <cellStyle name="Comma 4 2 6 3" xfId="1681"/>
    <cellStyle name="Comma 4 2 6 3 2" xfId="1682"/>
    <cellStyle name="Comma 4 2 6 4" xfId="1683"/>
    <cellStyle name="Comma 4 2 6 5" xfId="1684"/>
    <cellStyle name="Comma 4 2 6 6" xfId="1685"/>
    <cellStyle name="Comma 4 2 6 7" xfId="1686"/>
    <cellStyle name="Comma 4 2 6 8" xfId="1687"/>
    <cellStyle name="Comma 4 2 7" xfId="1688"/>
    <cellStyle name="Comma 4 2 7 2" xfId="1689"/>
    <cellStyle name="Comma 4 2 7 2 2" xfId="1690"/>
    <cellStyle name="Comma 4 2 7 2 3" xfId="1691"/>
    <cellStyle name="Comma 4 2 7 3" xfId="1692"/>
    <cellStyle name="Comma 4 2 7 4" xfId="1693"/>
    <cellStyle name="Comma 4 2 7 5" xfId="1694"/>
    <cellStyle name="Comma 4 2 7 6" xfId="1695"/>
    <cellStyle name="Comma 4 2 7 7" xfId="1696"/>
    <cellStyle name="Comma 4 2 8" xfId="1697"/>
    <cellStyle name="Comma 4 2 8 2" xfId="1698"/>
    <cellStyle name="Comma 4 2 8 2 2" xfId="1699"/>
    <cellStyle name="Comma 4 2 8 3" xfId="1700"/>
    <cellStyle name="Comma 4 2 9" xfId="1701"/>
    <cellStyle name="Comma 4 2 9 2" xfId="1702"/>
    <cellStyle name="Comma 4 2 9 3" xfId="1703"/>
    <cellStyle name="Comma 4 3" xfId="72"/>
    <cellStyle name="Comma 4 3 10" xfId="1704"/>
    <cellStyle name="Comma 4 3 11" xfId="1705"/>
    <cellStyle name="Comma 4 3 2" xfId="392"/>
    <cellStyle name="Comma 4 3 2 2" xfId="707"/>
    <cellStyle name="Comma 4 3 2 2 2" xfId="708"/>
    <cellStyle name="Comma 4 3 2 2 2 2" xfId="709"/>
    <cellStyle name="Comma 4 3 2 2 2 2 2" xfId="1706"/>
    <cellStyle name="Comma 4 3 2 2 2 3" xfId="1707"/>
    <cellStyle name="Comma 4 3 2 2 3" xfId="710"/>
    <cellStyle name="Comma 4 3 2 2 3 2" xfId="1708"/>
    <cellStyle name="Comma 4 3 2 2 4" xfId="711"/>
    <cellStyle name="Comma 4 3 2 2 5" xfId="1709"/>
    <cellStyle name="Comma 4 3 2 3" xfId="712"/>
    <cellStyle name="Comma 4 3 2 3 2" xfId="713"/>
    <cellStyle name="Comma 4 3 2 3 2 2" xfId="1710"/>
    <cellStyle name="Comma 4 3 2 3 2 2 2" xfId="1711"/>
    <cellStyle name="Comma 4 3 2 3 2 3" xfId="1712"/>
    <cellStyle name="Comma 4 3 2 3 3" xfId="714"/>
    <cellStyle name="Comma 4 3 2 3 3 2" xfId="1713"/>
    <cellStyle name="Comma 4 3 2 3 4" xfId="1714"/>
    <cellStyle name="Comma 4 3 2 4" xfId="715"/>
    <cellStyle name="Comma 4 3 2 4 2" xfId="716"/>
    <cellStyle name="Comma 4 3 2 4 2 2" xfId="1715"/>
    <cellStyle name="Comma 4 3 2 4 2 3" xfId="1716"/>
    <cellStyle name="Comma 4 3 2 4 3" xfId="717"/>
    <cellStyle name="Comma 4 3 2 4 4" xfId="1717"/>
    <cellStyle name="Comma 4 3 2 5" xfId="718"/>
    <cellStyle name="Comma 4 3 2 5 2" xfId="719"/>
    <cellStyle name="Comma 4 3 2 5 3" xfId="1718"/>
    <cellStyle name="Comma 4 3 2 6" xfId="720"/>
    <cellStyle name="Comma 4 3 2 6 2" xfId="1719"/>
    <cellStyle name="Comma 4 3 2 6 3" xfId="1720"/>
    <cellStyle name="Comma 4 3 2 7" xfId="721"/>
    <cellStyle name="Comma 4 3 2 7 2" xfId="1721"/>
    <cellStyle name="Comma 4 3 2 8" xfId="1722"/>
    <cellStyle name="Comma 4 3 2 9" xfId="1723"/>
    <cellStyle name="Comma 4 3 3" xfId="404"/>
    <cellStyle name="Comma 4 3 3 2" xfId="722"/>
    <cellStyle name="Comma 4 3 3 2 2" xfId="723"/>
    <cellStyle name="Comma 4 3 3 2 2 2" xfId="1724"/>
    <cellStyle name="Comma 4 3 3 2 2 2 2" xfId="1725"/>
    <cellStyle name="Comma 4 3 3 2 2 3" xfId="1726"/>
    <cellStyle name="Comma 4 3 3 2 3" xfId="1727"/>
    <cellStyle name="Comma 4 3 3 2 3 2" xfId="1728"/>
    <cellStyle name="Comma 4 3 3 2 4" xfId="1729"/>
    <cellStyle name="Comma 4 3 3 3" xfId="724"/>
    <cellStyle name="Comma 4 3 3 3 2" xfId="1730"/>
    <cellStyle name="Comma 4 3 3 3 2 2" xfId="1731"/>
    <cellStyle name="Comma 4 3 3 3 2 2 2" xfId="1732"/>
    <cellStyle name="Comma 4 3 3 3 2 3" xfId="1733"/>
    <cellStyle name="Comma 4 3 3 3 3" xfId="1734"/>
    <cellStyle name="Comma 4 3 3 3 3 2" xfId="1735"/>
    <cellStyle name="Comma 4 3 3 3 4" xfId="1736"/>
    <cellStyle name="Comma 4 3 3 4" xfId="725"/>
    <cellStyle name="Comma 4 3 3 4 2" xfId="1737"/>
    <cellStyle name="Comma 4 3 3 4 2 2" xfId="1738"/>
    <cellStyle name="Comma 4 3 3 4 3" xfId="1739"/>
    <cellStyle name="Comma 4 3 3 5" xfId="1740"/>
    <cellStyle name="Comma 4 3 3 5 2" xfId="1741"/>
    <cellStyle name="Comma 4 3 3 5 3" xfId="1742"/>
    <cellStyle name="Comma 4 3 3 6" xfId="1743"/>
    <cellStyle name="Comma 4 3 3 6 2" xfId="1744"/>
    <cellStyle name="Comma 4 3 3 7" xfId="1745"/>
    <cellStyle name="Comma 4 3 3 8" xfId="1746"/>
    <cellStyle name="Comma 4 3 4" xfId="726"/>
    <cellStyle name="Comma 4 3 4 2" xfId="727"/>
    <cellStyle name="Comma 4 3 4 2 2" xfId="1747"/>
    <cellStyle name="Comma 4 3 4 2 2 2" xfId="1748"/>
    <cellStyle name="Comma 4 3 4 2 2 3" xfId="1749"/>
    <cellStyle name="Comma 4 3 4 2 3" xfId="1750"/>
    <cellStyle name="Comma 4 3 4 2 3 2" xfId="1751"/>
    <cellStyle name="Comma 4 3 4 2 4" xfId="1752"/>
    <cellStyle name="Comma 4 3 4 3" xfId="728"/>
    <cellStyle name="Comma 4 3 4 4" xfId="1753"/>
    <cellStyle name="Comma 4 3 4 4 2" xfId="1754"/>
    <cellStyle name="Comma 4 3 4 4 3" xfId="1755"/>
    <cellStyle name="Comma 4 3 4 5" xfId="1756"/>
    <cellStyle name="Comma 4 3 4 5 2" xfId="1757"/>
    <cellStyle name="Comma 4 3 4 6" xfId="1758"/>
    <cellStyle name="Comma 4 3 4 7" xfId="1759"/>
    <cellStyle name="Comma 4 3 5" xfId="729"/>
    <cellStyle name="Comma 4 3 5 2" xfId="730"/>
    <cellStyle name="Comma 4 3 5 2 2" xfId="1760"/>
    <cellStyle name="Comma 4 3 5 2 2 2" xfId="1761"/>
    <cellStyle name="Comma 4 3 5 2 3" xfId="1762"/>
    <cellStyle name="Comma 4 3 5 3" xfId="731"/>
    <cellStyle name="Comma 4 3 5 3 2" xfId="1763"/>
    <cellStyle name="Comma 4 3 5 4" xfId="1764"/>
    <cellStyle name="Comma 4 3 5 5" xfId="1765"/>
    <cellStyle name="Comma 4 3 6" xfId="732"/>
    <cellStyle name="Comma 4 3 6 2" xfId="733"/>
    <cellStyle name="Comma 4 3 6 2 2" xfId="1766"/>
    <cellStyle name="Comma 4 3 6 2 2 2" xfId="1767"/>
    <cellStyle name="Comma 4 3 6 2 3" xfId="1768"/>
    <cellStyle name="Comma 4 3 6 3" xfId="1769"/>
    <cellStyle name="Comma 4 3 6 3 2" xfId="1770"/>
    <cellStyle name="Comma 4 3 6 4" xfId="1771"/>
    <cellStyle name="Comma 4 3 6 5" xfId="1772"/>
    <cellStyle name="Comma 4 3 7" xfId="734"/>
    <cellStyle name="Comma 4 3 7 2" xfId="1773"/>
    <cellStyle name="Comma 4 3 7 2 2" xfId="1774"/>
    <cellStyle name="Comma 4 3 7 3" xfId="1775"/>
    <cellStyle name="Comma 4 3 8" xfId="735"/>
    <cellStyle name="Comma 4 3 8 2" xfId="1776"/>
    <cellStyle name="Comma 4 3 8 3" xfId="1777"/>
    <cellStyle name="Comma 4 3 9" xfId="1778"/>
    <cellStyle name="Comma 4 3 9 2" xfId="1779"/>
    <cellStyle name="Comma 4 4" xfId="73"/>
    <cellStyle name="Comma 4 4 10" xfId="1780"/>
    <cellStyle name="Comma 4 4 11" xfId="1781"/>
    <cellStyle name="Comma 4 4 2" xfId="405"/>
    <cellStyle name="Comma 4 4 2 2" xfId="736"/>
    <cellStyle name="Comma 4 4 2 2 2" xfId="737"/>
    <cellStyle name="Comma 4 4 2 2 2 2" xfId="738"/>
    <cellStyle name="Comma 4 4 2 2 2 2 2" xfId="1782"/>
    <cellStyle name="Comma 4 4 2 2 2 3" xfId="1783"/>
    <cellStyle name="Comma 4 4 2 2 3" xfId="739"/>
    <cellStyle name="Comma 4 4 2 2 3 2" xfId="1784"/>
    <cellStyle name="Comma 4 4 2 2 4" xfId="740"/>
    <cellStyle name="Comma 4 4 2 2 5" xfId="1785"/>
    <cellStyle name="Comma 4 4 2 3" xfId="741"/>
    <cellStyle name="Comma 4 4 2 3 2" xfId="742"/>
    <cellStyle name="Comma 4 4 2 3 2 2" xfId="1786"/>
    <cellStyle name="Comma 4 4 2 3 2 2 2" xfId="1787"/>
    <cellStyle name="Comma 4 4 2 3 2 3" xfId="1788"/>
    <cellStyle name="Comma 4 4 2 3 3" xfId="743"/>
    <cellStyle name="Comma 4 4 2 3 3 2" xfId="1789"/>
    <cellStyle name="Comma 4 4 2 3 4" xfId="1790"/>
    <cellStyle name="Comma 4 4 2 4" xfId="744"/>
    <cellStyle name="Comma 4 4 2 4 2" xfId="745"/>
    <cellStyle name="Comma 4 4 2 4 2 2" xfId="1791"/>
    <cellStyle name="Comma 4 4 2 4 2 3" xfId="1792"/>
    <cellStyle name="Comma 4 4 2 4 3" xfId="746"/>
    <cellStyle name="Comma 4 4 2 4 4" xfId="1793"/>
    <cellStyle name="Comma 4 4 2 5" xfId="747"/>
    <cellStyle name="Comma 4 4 2 5 2" xfId="748"/>
    <cellStyle name="Comma 4 4 2 5 3" xfId="1794"/>
    <cellStyle name="Comma 4 4 2 6" xfId="749"/>
    <cellStyle name="Comma 4 4 2 6 2" xfId="1795"/>
    <cellStyle name="Comma 4 4 2 6 3" xfId="1796"/>
    <cellStyle name="Comma 4 4 2 7" xfId="750"/>
    <cellStyle name="Comma 4 4 2 7 2" xfId="1797"/>
    <cellStyle name="Comma 4 4 2 8" xfId="1798"/>
    <cellStyle name="Comma 4 4 2 9" xfId="1799"/>
    <cellStyle name="Comma 4 4 3" xfId="406"/>
    <cellStyle name="Comma 4 4 3 2" xfId="751"/>
    <cellStyle name="Comma 4 4 3 2 2" xfId="752"/>
    <cellStyle name="Comma 4 4 3 2 2 2" xfId="1800"/>
    <cellStyle name="Comma 4 4 3 2 2 2 2" xfId="1801"/>
    <cellStyle name="Comma 4 4 3 2 2 3" xfId="1802"/>
    <cellStyle name="Comma 4 4 3 2 3" xfId="1803"/>
    <cellStyle name="Comma 4 4 3 2 3 2" xfId="1804"/>
    <cellStyle name="Comma 4 4 3 2 4" xfId="1805"/>
    <cellStyle name="Comma 4 4 3 3" xfId="753"/>
    <cellStyle name="Comma 4 4 3 3 2" xfId="1806"/>
    <cellStyle name="Comma 4 4 3 3 2 2" xfId="1807"/>
    <cellStyle name="Comma 4 4 3 3 2 2 2" xfId="1808"/>
    <cellStyle name="Comma 4 4 3 3 2 3" xfId="1809"/>
    <cellStyle name="Comma 4 4 3 3 3" xfId="1810"/>
    <cellStyle name="Comma 4 4 3 3 3 2" xfId="1811"/>
    <cellStyle name="Comma 4 4 3 3 4" xfId="1812"/>
    <cellStyle name="Comma 4 4 3 4" xfId="754"/>
    <cellStyle name="Comma 4 4 3 4 2" xfId="1813"/>
    <cellStyle name="Comma 4 4 3 4 2 2" xfId="1814"/>
    <cellStyle name="Comma 4 4 3 4 3" xfId="1815"/>
    <cellStyle name="Comma 4 4 3 5" xfId="1816"/>
    <cellStyle name="Comma 4 4 3 5 2" xfId="1817"/>
    <cellStyle name="Comma 4 4 3 5 3" xfId="1818"/>
    <cellStyle name="Comma 4 4 3 6" xfId="1819"/>
    <cellStyle name="Comma 4 4 3 6 2" xfId="1820"/>
    <cellStyle name="Comma 4 4 3 7" xfId="1821"/>
    <cellStyle name="Comma 4 4 3 8" xfId="1822"/>
    <cellStyle name="Comma 4 4 4" xfId="755"/>
    <cellStyle name="Comma 4 4 4 2" xfId="756"/>
    <cellStyle name="Comma 4 4 4 2 2" xfId="1823"/>
    <cellStyle name="Comma 4 4 4 2 2 2" xfId="1824"/>
    <cellStyle name="Comma 4 4 4 2 2 3" xfId="1825"/>
    <cellStyle name="Comma 4 4 4 2 3" xfId="1826"/>
    <cellStyle name="Comma 4 4 4 2 3 2" xfId="1827"/>
    <cellStyle name="Comma 4 4 4 2 4" xfId="1828"/>
    <cellStyle name="Comma 4 4 4 3" xfId="757"/>
    <cellStyle name="Comma 4 4 4 4" xfId="1829"/>
    <cellStyle name="Comma 4 4 4 4 2" xfId="1830"/>
    <cellStyle name="Comma 4 4 4 4 3" xfId="1831"/>
    <cellStyle name="Comma 4 4 4 5" xfId="1832"/>
    <cellStyle name="Comma 4 4 4 5 2" xfId="1833"/>
    <cellStyle name="Comma 4 4 4 6" xfId="1834"/>
    <cellStyle name="Comma 4 4 4 7" xfId="1835"/>
    <cellStyle name="Comma 4 4 5" xfId="758"/>
    <cellStyle name="Comma 4 4 5 2" xfId="759"/>
    <cellStyle name="Comma 4 4 5 2 2" xfId="1836"/>
    <cellStyle name="Comma 4 4 5 2 2 2" xfId="1837"/>
    <cellStyle name="Comma 4 4 5 2 3" xfId="1838"/>
    <cellStyle name="Comma 4 4 5 3" xfId="760"/>
    <cellStyle name="Comma 4 4 5 3 2" xfId="1839"/>
    <cellStyle name="Comma 4 4 5 4" xfId="1840"/>
    <cellStyle name="Comma 4 4 5 5" xfId="1841"/>
    <cellStyle name="Comma 4 4 6" xfId="761"/>
    <cellStyle name="Comma 4 4 6 2" xfId="762"/>
    <cellStyle name="Comma 4 4 6 2 2" xfId="1842"/>
    <cellStyle name="Comma 4 4 6 2 2 2" xfId="1843"/>
    <cellStyle name="Comma 4 4 6 2 3" xfId="1844"/>
    <cellStyle name="Comma 4 4 6 3" xfId="1845"/>
    <cellStyle name="Comma 4 4 6 3 2" xfId="1846"/>
    <cellStyle name="Comma 4 4 6 4" xfId="1847"/>
    <cellStyle name="Comma 4 4 6 5" xfId="1848"/>
    <cellStyle name="Comma 4 4 7" xfId="763"/>
    <cellStyle name="Comma 4 4 7 2" xfId="1849"/>
    <cellStyle name="Comma 4 4 7 2 2" xfId="1850"/>
    <cellStyle name="Comma 4 4 7 3" xfId="1851"/>
    <cellStyle name="Comma 4 4 8" xfId="764"/>
    <cellStyle name="Comma 4 4 8 2" xfId="1852"/>
    <cellStyle name="Comma 4 4 8 3" xfId="1853"/>
    <cellStyle name="Comma 4 4 9" xfId="1854"/>
    <cellStyle name="Comma 4 4 9 2" xfId="1855"/>
    <cellStyle name="Comma 4 5" xfId="74"/>
    <cellStyle name="Comma 4 5 2" xfId="407"/>
    <cellStyle name="Comma 4 5 2 2" xfId="765"/>
    <cellStyle name="Comma 4 5 2 2 2" xfId="1856"/>
    <cellStyle name="Comma 4 5 2 2 2 2" xfId="1857"/>
    <cellStyle name="Comma 4 5 2 2 2 3" xfId="1858"/>
    <cellStyle name="Comma 4 5 2 2 3" xfId="1859"/>
    <cellStyle name="Comma 4 5 2 2 3 2" xfId="1860"/>
    <cellStyle name="Comma 4 5 2 2 4" xfId="1861"/>
    <cellStyle name="Comma 4 5 2 3" xfId="766"/>
    <cellStyle name="Comma 4 5 2 4" xfId="1862"/>
    <cellStyle name="Comma 4 5 2 4 2" xfId="1863"/>
    <cellStyle name="Comma 4 5 2 4 3" xfId="1864"/>
    <cellStyle name="Comma 4 5 2 5" xfId="1865"/>
    <cellStyle name="Comma 4 5 2 5 2" xfId="1866"/>
    <cellStyle name="Comma 4 5 2 5 3" xfId="1867"/>
    <cellStyle name="Comma 4 5 2 6" xfId="1868"/>
    <cellStyle name="Comma 4 5 2 6 2" xfId="1869"/>
    <cellStyle name="Comma 4 5 2 7" xfId="1870"/>
    <cellStyle name="Comma 4 5 3" xfId="767"/>
    <cellStyle name="Comma 4 5 3 2" xfId="1871"/>
    <cellStyle name="Comma 4 5 3 2 2" xfId="1872"/>
    <cellStyle name="Comma 4 5 3 2 2 2" xfId="1873"/>
    <cellStyle name="Comma 4 5 3 2 3" xfId="1874"/>
    <cellStyle name="Comma 4 5 3 3" xfId="1875"/>
    <cellStyle name="Comma 4 5 3 3 2" xfId="1876"/>
    <cellStyle name="Comma 4 5 3 4" xfId="1877"/>
    <cellStyle name="Comma 4 5 4" xfId="768"/>
    <cellStyle name="Comma 4 5 4 2" xfId="1878"/>
    <cellStyle name="Comma 4 5 4 3" xfId="1879"/>
    <cellStyle name="Comma 4 5 5" xfId="1880"/>
    <cellStyle name="Comma 4 6" xfId="388"/>
    <cellStyle name="Comma 4 6 2" xfId="769"/>
    <cellStyle name="Comma 4 6 2 2" xfId="1881"/>
    <cellStyle name="Comma 4 6 2 3" xfId="1882"/>
    <cellStyle name="Comma 4 6 3" xfId="1883"/>
    <cellStyle name="Comma 4 6 3 2" xfId="1884"/>
    <cellStyle name="Comma 4 6 3 2 2" xfId="1885"/>
    <cellStyle name="Comma 4 6 3 2 3" xfId="1886"/>
    <cellStyle name="Comma 4 6 3 3" xfId="1887"/>
    <cellStyle name="Comma 4 6 3 4" xfId="1888"/>
    <cellStyle name="Comma 4 6 3 5" xfId="1889"/>
    <cellStyle name="Comma 4 6 4" xfId="1890"/>
    <cellStyle name="Comma 4 6 4 2" xfId="1891"/>
    <cellStyle name="Comma 4 6 4 2 2" xfId="1892"/>
    <cellStyle name="Comma 4 6 4 3" xfId="1893"/>
    <cellStyle name="Comma 4 6 5" xfId="1894"/>
    <cellStyle name="Comma 4 6 5 2" xfId="1895"/>
    <cellStyle name="Comma 4 6 6" xfId="1896"/>
    <cellStyle name="Comma 4 6 7" xfId="1897"/>
    <cellStyle name="Comma 4 6 8" xfId="1898"/>
    <cellStyle name="Comma 4 6 9" xfId="1899"/>
    <cellStyle name="Comma 4 7" xfId="1900"/>
    <cellStyle name="Comma 4 7 2" xfId="1901"/>
    <cellStyle name="Comma 4 7 2 2" xfId="1902"/>
    <cellStyle name="Comma 4 7 3" xfId="1903"/>
    <cellStyle name="Comma 4 7 4" xfId="1904"/>
    <cellStyle name="Comma 4 7 4 2" xfId="1905"/>
    <cellStyle name="Comma 4 7 4 3" xfId="1906"/>
    <cellStyle name="Comma 4 7 5" xfId="1907"/>
    <cellStyle name="Comma 4 7 5 2" xfId="1908"/>
    <cellStyle name="Comma 4 7 6" xfId="1909"/>
    <cellStyle name="Comma 4 7 7" xfId="1910"/>
    <cellStyle name="Comma 4 8" xfId="1911"/>
    <cellStyle name="Comma 4 8 2" xfId="1912"/>
    <cellStyle name="Comma 4 8 2 2" xfId="1913"/>
    <cellStyle name="Comma 4 8 2 2 2" xfId="1914"/>
    <cellStyle name="Comma 4 8 2 3" xfId="1915"/>
    <cellStyle name="Comma 4 8 3" xfId="1916"/>
    <cellStyle name="Comma 4 8 3 2" xfId="1917"/>
    <cellStyle name="Comma 4 8 4" xfId="1918"/>
    <cellStyle name="Comma 4 8 5" xfId="1919"/>
    <cellStyle name="Comma 4 8 6" xfId="1920"/>
    <cellStyle name="Comma 4 9" xfId="1921"/>
    <cellStyle name="Comma 4 9 2" xfId="1922"/>
    <cellStyle name="Comma 4 9 2 2" xfId="1923"/>
    <cellStyle name="Comma 4 9 2 3" xfId="1924"/>
    <cellStyle name="Comma 4 9 3" xfId="1925"/>
    <cellStyle name="Comma 4 9 4" xfId="1926"/>
    <cellStyle name="Comma 4 9 5" xfId="1927"/>
    <cellStyle name="Comma 4 9 6" xfId="1928"/>
    <cellStyle name="Comma 4_2149 Ops template" xfId="1929"/>
    <cellStyle name="Comma 5" xfId="75"/>
    <cellStyle name="Comma 5 10" xfId="1930"/>
    <cellStyle name="Comma 5 11" xfId="1931"/>
    <cellStyle name="Comma 5 12" xfId="1932"/>
    <cellStyle name="Comma 5 2" xfId="408"/>
    <cellStyle name="Comma 5 2 2" xfId="539"/>
    <cellStyle name="Comma 5 2 2 2" xfId="770"/>
    <cellStyle name="Comma 5 2 2 2 2" xfId="1933"/>
    <cellStyle name="Comma 5 2 2 2 2 2" xfId="1934"/>
    <cellStyle name="Comma 5 2 2 2 2 3" xfId="1935"/>
    <cellStyle name="Comma 5 2 2 2 3" xfId="1936"/>
    <cellStyle name="Comma 5 2 2 2 4" xfId="1937"/>
    <cellStyle name="Comma 5 2 2 2 5" xfId="1938"/>
    <cellStyle name="Comma 5 2 2 3" xfId="771"/>
    <cellStyle name="Comma 5 2 2 3 2" xfId="1939"/>
    <cellStyle name="Comma 5 2 2 4" xfId="1940"/>
    <cellStyle name="Comma 5 2 3" xfId="772"/>
    <cellStyle name="Comma 5 2 3 2" xfId="1941"/>
    <cellStyle name="Comma 5 2 3 2 2" xfId="1942"/>
    <cellStyle name="Comma 5 2 3 2 2 2" xfId="1943"/>
    <cellStyle name="Comma 5 2 3 2 3" xfId="1944"/>
    <cellStyle name="Comma 5 2 3 3" xfId="1945"/>
    <cellStyle name="Comma 5 2 3 3 2" xfId="1946"/>
    <cellStyle name="Comma 5 2 3 4" xfId="1947"/>
    <cellStyle name="Comma 5 2 3 5" xfId="1948"/>
    <cellStyle name="Comma 5 2 4" xfId="1949"/>
    <cellStyle name="Comma 5 2 4 2" xfId="1950"/>
    <cellStyle name="Comma 5 2 4 2 2" xfId="1951"/>
    <cellStyle name="Comma 5 2 4 2 3" xfId="1952"/>
    <cellStyle name="Comma 5 2 4 3" xfId="1953"/>
    <cellStyle name="Comma 5 2 4 3 2" xfId="1954"/>
    <cellStyle name="Comma 5 2 4 4" xfId="1955"/>
    <cellStyle name="Comma 5 2 5" xfId="1956"/>
    <cellStyle name="Comma 5 2 5 2" xfId="1957"/>
    <cellStyle name="Comma 5 2 5 3" xfId="1958"/>
    <cellStyle name="Comma 5 2 6" xfId="1959"/>
    <cellStyle name="Comma 5 2 6 2" xfId="1960"/>
    <cellStyle name="Comma 5 2 6 3" xfId="1961"/>
    <cellStyle name="Comma 5 2 7" xfId="1962"/>
    <cellStyle name="Comma 5 2 7 2" xfId="1963"/>
    <cellStyle name="Comma 5 2 8" xfId="1964"/>
    <cellStyle name="Comma 5 2 9" xfId="1965"/>
    <cellStyle name="Comma 5 3" xfId="409"/>
    <cellStyle name="Comma 5 3 2" xfId="773"/>
    <cellStyle name="Comma 5 3 2 2" xfId="1966"/>
    <cellStyle name="Comma 5 3 2 3" xfId="1967"/>
    <cellStyle name="Comma 5 3 3" xfId="1968"/>
    <cellStyle name="Comma 5 3 3 2" xfId="1969"/>
    <cellStyle name="Comma 5 3 3 2 2" xfId="1970"/>
    <cellStyle name="Comma 5 3 3 2 3" xfId="1971"/>
    <cellStyle name="Comma 5 3 3 3" xfId="1972"/>
    <cellStyle name="Comma 5 3 3 4" xfId="1973"/>
    <cellStyle name="Comma 5 3 3 5" xfId="1974"/>
    <cellStyle name="Comma 5 3 4" xfId="1975"/>
    <cellStyle name="Comma 5 3 4 2" xfId="1976"/>
    <cellStyle name="Comma 5 3 4 3" xfId="1977"/>
    <cellStyle name="Comma 5 3 5" xfId="1978"/>
    <cellStyle name="Comma 5 3 5 2" xfId="1979"/>
    <cellStyle name="Comma 5 3 6" xfId="1980"/>
    <cellStyle name="Comma 5 3 7" xfId="1981"/>
    <cellStyle name="Comma 5 4" xfId="540"/>
    <cellStyle name="Comma 5 4 2" xfId="1982"/>
    <cellStyle name="Comma 5 4 2 2" xfId="1983"/>
    <cellStyle name="Comma 5 4 2 2 2" xfId="1984"/>
    <cellStyle name="Comma 5 4 2 3" xfId="1985"/>
    <cellStyle name="Comma 5 4 2 4" xfId="1986"/>
    <cellStyle name="Comma 5 4 3" xfId="1987"/>
    <cellStyle name="Comma 5 4 3 2" xfId="1988"/>
    <cellStyle name="Comma 5 4 3 3" xfId="1989"/>
    <cellStyle name="Comma 5 4 4" xfId="1990"/>
    <cellStyle name="Comma 5 4 4 2" xfId="1991"/>
    <cellStyle name="Comma 5 4 5" xfId="1992"/>
    <cellStyle name="Comma 5 4 6" xfId="1993"/>
    <cellStyle name="Comma 5 5" xfId="541"/>
    <cellStyle name="Comma 5 5 2" xfId="1994"/>
    <cellStyle name="Comma 5 5 2 2" xfId="1995"/>
    <cellStyle name="Comma 5 5 2 2 2" xfId="1996"/>
    <cellStyle name="Comma 5 5 2 3" xfId="1997"/>
    <cellStyle name="Comma 5 5 3" xfId="1998"/>
    <cellStyle name="Comma 5 5 3 2" xfId="1999"/>
    <cellStyle name="Comma 5 5 4" xfId="2000"/>
    <cellStyle name="Comma 5 5 5" xfId="2001"/>
    <cellStyle name="Comma 5 6" xfId="2002"/>
    <cellStyle name="Comma 5 6 2" xfId="2003"/>
    <cellStyle name="Comma 5 6 2 2" xfId="2004"/>
    <cellStyle name="Comma 5 6 3" xfId="2005"/>
    <cellStyle name="Comma 5 6 4" xfId="2006"/>
    <cellStyle name="Comma 5 7" xfId="2007"/>
    <cellStyle name="Comma 5 7 2" xfId="2008"/>
    <cellStyle name="Comma 5 7 2 2" xfId="2009"/>
    <cellStyle name="Comma 5 7 3" xfId="2010"/>
    <cellStyle name="Comma 5 8" xfId="2011"/>
    <cellStyle name="Comma 5 8 2" xfId="2012"/>
    <cellStyle name="Comma 5 8 3" xfId="2013"/>
    <cellStyle name="Comma 5 9" xfId="2014"/>
    <cellStyle name="Comma 5 9 2" xfId="2015"/>
    <cellStyle name="Comma 6" xfId="10"/>
    <cellStyle name="Comma 6 2" xfId="76"/>
    <cellStyle name="Comma 6 2 2" xfId="542"/>
    <cellStyle name="Comma 6 2 2 2" xfId="774"/>
    <cellStyle name="Comma 6 2 2 2 2" xfId="775"/>
    <cellStyle name="Comma 6 2 2 2 2 2" xfId="2016"/>
    <cellStyle name="Comma 6 2 2 2 3" xfId="2017"/>
    <cellStyle name="Comma 6 2 2 3" xfId="776"/>
    <cellStyle name="Comma 6 2 2 3 2" xfId="2018"/>
    <cellStyle name="Comma 6 2 2 3 2 2" xfId="2019"/>
    <cellStyle name="Comma 6 2 2 3 2 2 2" xfId="2020"/>
    <cellStyle name="Comma 6 2 2 3 2 3" xfId="2021"/>
    <cellStyle name="Comma 6 2 2 3 3" xfId="2022"/>
    <cellStyle name="Comma 6 2 2 3 3 2" xfId="2023"/>
    <cellStyle name="Comma 6 2 2 3 4" xfId="2024"/>
    <cellStyle name="Comma 6 2 2 4" xfId="777"/>
    <cellStyle name="Comma 6 2 3" xfId="543"/>
    <cellStyle name="Comma 6 2 3 2" xfId="778"/>
    <cellStyle name="Comma 6 2 3 2 2" xfId="2025"/>
    <cellStyle name="Comma 6 2 3 2 2 2" xfId="2026"/>
    <cellStyle name="Comma 6 2 3 2 3" xfId="2027"/>
    <cellStyle name="Comma 6 2 3 3" xfId="779"/>
    <cellStyle name="Comma 6 2 3 3 2" xfId="2028"/>
    <cellStyle name="Comma 6 2 3 4" xfId="2029"/>
    <cellStyle name="Comma 6 2 4" xfId="780"/>
    <cellStyle name="Comma 6 2 4 2" xfId="781"/>
    <cellStyle name="Comma 6 2 4 2 2" xfId="2030"/>
    <cellStyle name="Comma 6 2 4 2 3" xfId="2031"/>
    <cellStyle name="Comma 6 2 4 3" xfId="2032"/>
    <cellStyle name="Comma 6 2 4 4" xfId="2033"/>
    <cellStyle name="Comma 6 2 5" xfId="782"/>
    <cellStyle name="Comma 6 2 5 2" xfId="2034"/>
    <cellStyle name="Comma 6 2 5 3" xfId="2035"/>
    <cellStyle name="Comma 6 2 6" xfId="783"/>
    <cellStyle name="Comma 6 2 6 2" xfId="2036"/>
    <cellStyle name="Comma 6 2 7" xfId="2037"/>
    <cellStyle name="Comma 6 2 8" xfId="2038"/>
    <cellStyle name="Comma 6 3" xfId="544"/>
    <cellStyle name="Comma 6 3 2" xfId="784"/>
    <cellStyle name="Comma 6 3 2 2" xfId="785"/>
    <cellStyle name="Comma 6 3 2 2 2" xfId="2039"/>
    <cellStyle name="Comma 6 3 2 2 2 2" xfId="2040"/>
    <cellStyle name="Comma 6 3 2 2 2 3" xfId="2041"/>
    <cellStyle name="Comma 6 3 2 2 3" xfId="2042"/>
    <cellStyle name="Comma 6 3 2 2 4" xfId="2043"/>
    <cellStyle name="Comma 6 3 2 3" xfId="2044"/>
    <cellStyle name="Comma 6 3 2 3 2" xfId="2045"/>
    <cellStyle name="Comma 6 3 2 4" xfId="2046"/>
    <cellStyle name="Comma 6 3 3" xfId="786"/>
    <cellStyle name="Comma 6 3 3 2" xfId="2047"/>
    <cellStyle name="Comma 6 3 3 2 2" xfId="2048"/>
    <cellStyle name="Comma 6 3 3 2 3" xfId="2049"/>
    <cellStyle name="Comma 6 3 3 3" xfId="2050"/>
    <cellStyle name="Comma 6 3 3 4" xfId="2051"/>
    <cellStyle name="Comma 6 3 4" xfId="787"/>
    <cellStyle name="Comma 6 4" xfId="545"/>
    <cellStyle name="Comma 6 4 2" xfId="788"/>
    <cellStyle name="Comma 6 4 2 2" xfId="2052"/>
    <cellStyle name="Comma 6 4 2 2 2" xfId="2053"/>
    <cellStyle name="Comma 6 4 2 3" xfId="2054"/>
    <cellStyle name="Comma 6 4 3" xfId="789"/>
    <cellStyle name="Comma 6 5" xfId="790"/>
    <cellStyle name="Comma 6 5 2" xfId="791"/>
    <cellStyle name="Comma 6 5 2 2" xfId="2055"/>
    <cellStyle name="Comma 6 5 3" xfId="792"/>
    <cellStyle name="Comma 6 6" xfId="793"/>
    <cellStyle name="Comma 6 6 2" xfId="794"/>
    <cellStyle name="Comma 6 7" xfId="795"/>
    <cellStyle name="Comma 6 8" xfId="796"/>
    <cellStyle name="Comma 7" xfId="77"/>
    <cellStyle name="Comma 7 2" xfId="546"/>
    <cellStyle name="Comma 7 2 2" xfId="547"/>
    <cellStyle name="Comma 7 2 2 2" xfId="2056"/>
    <cellStyle name="Comma 7 2 2 2 2" xfId="2057"/>
    <cellStyle name="Comma 7 2 2 2 2 2" xfId="2058"/>
    <cellStyle name="Comma 7 2 2 2 3" xfId="2059"/>
    <cellStyle name="Comma 7 2 2 3" xfId="2060"/>
    <cellStyle name="Comma 7 2 2 3 2" xfId="2061"/>
    <cellStyle name="Comma 7 2 2 4" xfId="2062"/>
    <cellStyle name="Comma 7 2 2 5" xfId="2063"/>
    <cellStyle name="Comma 7 2 3" xfId="2064"/>
    <cellStyle name="Comma 7 3" xfId="548"/>
    <cellStyle name="Comma 7 3 2" xfId="2065"/>
    <cellStyle name="Comma 7 3 2 2" xfId="2066"/>
    <cellStyle name="Comma 7 3 2 2 2" xfId="2067"/>
    <cellStyle name="Comma 7 3 2 3" xfId="2068"/>
    <cellStyle name="Comma 7 3 2 4" xfId="2069"/>
    <cellStyle name="Comma 7 3 3" xfId="2070"/>
    <cellStyle name="Comma 7 4" xfId="2071"/>
    <cellStyle name="Comma 7 4 2" xfId="2072"/>
    <cellStyle name="Comma 7 5" xfId="2073"/>
    <cellStyle name="Comma 7 5 2" xfId="2074"/>
    <cellStyle name="Comma 7 5 2 2" xfId="2075"/>
    <cellStyle name="Comma 7 5 2 3" xfId="2076"/>
    <cellStyle name="Comma 7 5 3" xfId="2077"/>
    <cellStyle name="Comma 7 5 4" xfId="2078"/>
    <cellStyle name="Comma 7 6" xfId="2079"/>
    <cellStyle name="Comma 7 6 2" xfId="2080"/>
    <cellStyle name="Comma 7 7" xfId="2081"/>
    <cellStyle name="Comma 7 8" xfId="2082"/>
    <cellStyle name="Comma 8" xfId="78"/>
    <cellStyle name="Comma 8 2" xfId="549"/>
    <cellStyle name="Comma 8 2 2" xfId="550"/>
    <cellStyle name="Comma 8 2 2 2" xfId="2083"/>
    <cellStyle name="Comma 8 2 2 2 2" xfId="2084"/>
    <cellStyle name="Comma 8 2 2 3" xfId="2085"/>
    <cellStyle name="Comma 8 2 3" xfId="2086"/>
    <cellStyle name="Comma 8 2 3 2" xfId="2087"/>
    <cellStyle name="Comma 8 2 3 3" xfId="2088"/>
    <cellStyle name="Comma 8 2 4" xfId="2089"/>
    <cellStyle name="Comma 8 2 4 2" xfId="2090"/>
    <cellStyle name="Comma 8 2 5" xfId="2091"/>
    <cellStyle name="Comma 8 3" xfId="551"/>
    <cellStyle name="Comma 8 3 2" xfId="2092"/>
    <cellStyle name="Comma 8 3 2 2" xfId="2093"/>
    <cellStyle name="Comma 8 3 3" xfId="2094"/>
    <cellStyle name="Comma 8 4" xfId="552"/>
    <cellStyle name="Comma 8 5" xfId="2095"/>
    <cellStyle name="Comma 8 5 2" xfId="2096"/>
    <cellStyle name="Comma 8 5 3" xfId="2097"/>
    <cellStyle name="Comma 8 6" xfId="2098"/>
    <cellStyle name="Comma 8 6 2" xfId="2099"/>
    <cellStyle name="Comma 8 7" xfId="2100"/>
    <cellStyle name="Comma 8 8" xfId="2101"/>
    <cellStyle name="Comma 9" xfId="79"/>
    <cellStyle name="Comma 9 2" xfId="553"/>
    <cellStyle name="Comma 9 2 2" xfId="2102"/>
    <cellStyle name="Comma 9 2 2 2" xfId="2103"/>
    <cellStyle name="Comma 9 2 2 3" xfId="2104"/>
    <cellStyle name="Comma 9 2 3" xfId="2105"/>
    <cellStyle name="Comma 9 2 3 2" xfId="2106"/>
    <cellStyle name="Comma 9 2 3 3" xfId="2107"/>
    <cellStyle name="Comma 9 2 4" xfId="2108"/>
    <cellStyle name="Comma 9 2 4 2" xfId="2109"/>
    <cellStyle name="Comma 9 2 4 3" xfId="2110"/>
    <cellStyle name="Comma 9 2 5" xfId="2111"/>
    <cellStyle name="Comma 9 2 5 2" xfId="2112"/>
    <cellStyle name="Comma 9 2 6" xfId="2113"/>
    <cellStyle name="Comma 9 3" xfId="2114"/>
    <cellStyle name="Comma 9 4" xfId="2115"/>
    <cellStyle name="Comma 9 5" xfId="2116"/>
    <cellStyle name="Comma 9 5 2" xfId="2117"/>
    <cellStyle name="Comma 9 5 3" xfId="2118"/>
    <cellStyle name="Comma 9 6" xfId="2119"/>
    <cellStyle name="Comma 9 6 2" xfId="2120"/>
    <cellStyle name="Comma 9 6 3" xfId="2121"/>
    <cellStyle name="Comma 9 7" xfId="2122"/>
    <cellStyle name="Comma 9 7 2" xfId="2123"/>
    <cellStyle name="Comma 9 7 3" xfId="2124"/>
    <cellStyle name="Comma(2)" xfId="80"/>
    <cellStyle name="Comma(2) 2" xfId="2125"/>
    <cellStyle name="Comma0" xfId="410"/>
    <cellStyle name="Comma0 - Style2" xfId="81"/>
    <cellStyle name="Comma1 - Style1" xfId="82"/>
    <cellStyle name="Comments" xfId="83"/>
    <cellStyle name="Currency" xfId="2" builtinId="4"/>
    <cellStyle name="Currency 10" xfId="398"/>
    <cellStyle name="Currency 10 2" xfId="2126"/>
    <cellStyle name="Currency 10 2 2" xfId="2127"/>
    <cellStyle name="Currency 10 2 3" xfId="2128"/>
    <cellStyle name="Currency 10 3" xfId="2129"/>
    <cellStyle name="Currency 10 3 2" xfId="2130"/>
    <cellStyle name="Currency 10 4" xfId="2131"/>
    <cellStyle name="Currency 11" xfId="554"/>
    <cellStyle name="Currency 11 2" xfId="2132"/>
    <cellStyle name="Currency 11 2 2" xfId="2133"/>
    <cellStyle name="Currency 11 2 3" xfId="2134"/>
    <cellStyle name="Currency 11 3" xfId="2135"/>
    <cellStyle name="Currency 11 3 2" xfId="2136"/>
    <cellStyle name="Currency 11 4" xfId="2137"/>
    <cellStyle name="Currency 11 5" xfId="2138"/>
    <cellStyle name="Currency 12" xfId="555"/>
    <cellStyle name="Currency 12 2" xfId="2139"/>
    <cellStyle name="Currency 12 2 2" xfId="2140"/>
    <cellStyle name="Currency 12 2 3" xfId="2141"/>
    <cellStyle name="Currency 12 3" xfId="2142"/>
    <cellStyle name="Currency 12 4" xfId="2143"/>
    <cellStyle name="Currency 13" xfId="556"/>
    <cellStyle name="Currency 13 2" xfId="2144"/>
    <cellStyle name="Currency 13 3" xfId="2145"/>
    <cellStyle name="Currency 14" xfId="557"/>
    <cellStyle name="Currency 15" xfId="558"/>
    <cellStyle name="Currency 2" xfId="84"/>
    <cellStyle name="Currency 2 2" xfId="85"/>
    <cellStyle name="Currency 2 2 2" xfId="268"/>
    <cellStyle name="Currency 2 2 2 2" xfId="2146"/>
    <cellStyle name="Currency 2 2 2 2 2" xfId="2147"/>
    <cellStyle name="Currency 2 2 2 2 2 2" xfId="2148"/>
    <cellStyle name="Currency 2 2 2 2 2 3" xfId="2149"/>
    <cellStyle name="Currency 2 2 2 2 3" xfId="2150"/>
    <cellStyle name="Currency 2 2 2 2 3 2" xfId="2151"/>
    <cellStyle name="Currency 2 2 2 2 4" xfId="2152"/>
    <cellStyle name="Currency 2 2 2 3" xfId="2153"/>
    <cellStyle name="Currency 2 2 2 3 2" xfId="2154"/>
    <cellStyle name="Currency 2 2 2 3 2 2" xfId="2155"/>
    <cellStyle name="Currency 2 2 2 3 3" xfId="2156"/>
    <cellStyle name="Currency 2 2 2 4" xfId="2157"/>
    <cellStyle name="Currency 2 2 2 4 2" xfId="2158"/>
    <cellStyle name="Currency 2 2 2 4 3" xfId="2159"/>
    <cellStyle name="Currency 2 2 2 5" xfId="2160"/>
    <cellStyle name="Currency 2 2 2 6" xfId="2161"/>
    <cellStyle name="Currency 2 2 2 7" xfId="2162"/>
    <cellStyle name="Currency 2 2 3" xfId="195"/>
    <cellStyle name="Currency 2 2 3 2" xfId="2163"/>
    <cellStyle name="Currency 2 2 3 2 2" xfId="2164"/>
    <cellStyle name="Currency 2 2 3 2 3" xfId="2165"/>
    <cellStyle name="Currency 2 2 3 3" xfId="2166"/>
    <cellStyle name="Currency 2 2 3 3 2" xfId="2167"/>
    <cellStyle name="Currency 2 2 3 4" xfId="2168"/>
    <cellStyle name="Currency 2 2 4" xfId="559"/>
    <cellStyle name="Currency 2 2 4 2" xfId="2169"/>
    <cellStyle name="Currency 2 2 4 2 2" xfId="2170"/>
    <cellStyle name="Currency 2 2 4 2 3" xfId="2171"/>
    <cellStyle name="Currency 2 2 4 3" xfId="2172"/>
    <cellStyle name="Currency 2 2 4 3 2" xfId="2173"/>
    <cellStyle name="Currency 2 2 4 4" xfId="2174"/>
    <cellStyle name="Currency 2 2 5" xfId="2175"/>
    <cellStyle name="Currency 2 2 6" xfId="2176"/>
    <cellStyle name="Currency 2 2 6 2" xfId="2177"/>
    <cellStyle name="Currency 2 2 6 3" xfId="2178"/>
    <cellStyle name="Currency 2 2 6 4" xfId="2179"/>
    <cellStyle name="Currency 2 3" xfId="86"/>
    <cellStyle name="Currency 2 3 2" xfId="458"/>
    <cellStyle name="Currency 2 3 2 2" xfId="2180"/>
    <cellStyle name="Currency 2 3 2 3" xfId="2181"/>
    <cellStyle name="Currency 2 3 3" xfId="267"/>
    <cellStyle name="Currency 2 3 3 2" xfId="2182"/>
    <cellStyle name="Currency 2 3 4" xfId="2183"/>
    <cellStyle name="Currency 2 3 5" xfId="2184"/>
    <cellStyle name="Currency 2 3 6" xfId="2185"/>
    <cellStyle name="Currency 2 4" xfId="411"/>
    <cellStyle name="Currency 2 4 2" xfId="2186"/>
    <cellStyle name="Currency 2 4 3" xfId="2187"/>
    <cellStyle name="Currency 2 5" xfId="194"/>
    <cellStyle name="Currency 2 5 2" xfId="560"/>
    <cellStyle name="Currency 2 5 2 2" xfId="2188"/>
    <cellStyle name="Currency 2 5 2 3" xfId="2189"/>
    <cellStyle name="Currency 2 5 3" xfId="2190"/>
    <cellStyle name="Currency 2 5 4" xfId="2191"/>
    <cellStyle name="Currency 2 6" xfId="196"/>
    <cellStyle name="Currency 2 6 2" xfId="197"/>
    <cellStyle name="Currency 2 6 2 2" xfId="2192"/>
    <cellStyle name="Currency 2 6 2 3" xfId="2193"/>
    <cellStyle name="Currency 2 6 3" xfId="2194"/>
    <cellStyle name="Currency 2 6 4" xfId="2195"/>
    <cellStyle name="Currency 2 7" xfId="2196"/>
    <cellStyle name="Currency 2 7 2" xfId="2197"/>
    <cellStyle name="Currency 2 7 3" xfId="2198"/>
    <cellStyle name="Currency 3" xfId="87"/>
    <cellStyle name="Currency 3 10" xfId="797"/>
    <cellStyle name="Currency 3 2" xfId="88"/>
    <cellStyle name="Currency 3 2 2" xfId="270"/>
    <cellStyle name="Currency 3 2 2 2" xfId="561"/>
    <cellStyle name="Currency 3 2 2 2 2" xfId="798"/>
    <cellStyle name="Currency 3 2 2 2 2 2" xfId="799"/>
    <cellStyle name="Currency 3 2 2 2 2 2 2" xfId="2199"/>
    <cellStyle name="Currency 3 2 2 2 2 3" xfId="2200"/>
    <cellStyle name="Currency 3 2 2 2 3" xfId="800"/>
    <cellStyle name="Currency 3 2 2 2 3 2" xfId="2201"/>
    <cellStyle name="Currency 3 2 2 2 4" xfId="801"/>
    <cellStyle name="Currency 3 2 2 2 5" xfId="2202"/>
    <cellStyle name="Currency 3 2 2 3" xfId="802"/>
    <cellStyle name="Currency 3 2 2 3 2" xfId="803"/>
    <cellStyle name="Currency 3 2 2 3 2 2" xfId="2203"/>
    <cellStyle name="Currency 3 2 2 3 3" xfId="804"/>
    <cellStyle name="Currency 3 2 2 4" xfId="805"/>
    <cellStyle name="Currency 3 2 2 4 2" xfId="806"/>
    <cellStyle name="Currency 3 2 2 4 3" xfId="807"/>
    <cellStyle name="Currency 3 2 2 5" xfId="808"/>
    <cellStyle name="Currency 3 2 2 5 2" xfId="809"/>
    <cellStyle name="Currency 3 2 2 5 3" xfId="2204"/>
    <cellStyle name="Currency 3 2 2 6" xfId="810"/>
    <cellStyle name="Currency 3 2 2 6 2" xfId="2205"/>
    <cellStyle name="Currency 3 2 2 7" xfId="811"/>
    <cellStyle name="Currency 3 2 3" xfId="812"/>
    <cellStyle name="Currency 3 2 3 2" xfId="813"/>
    <cellStyle name="Currency 3 2 3 2 2" xfId="814"/>
    <cellStyle name="Currency 3 2 3 2 2 2" xfId="2206"/>
    <cellStyle name="Currency 3 2 3 2 3" xfId="2207"/>
    <cellStyle name="Currency 3 2 3 3" xfId="815"/>
    <cellStyle name="Currency 3 2 3 3 2" xfId="2208"/>
    <cellStyle name="Currency 3 2 3 4" xfId="816"/>
    <cellStyle name="Currency 3 2 3 5" xfId="2209"/>
    <cellStyle name="Currency 3 2 3 6" xfId="2210"/>
    <cellStyle name="Currency 3 2 3 7" xfId="2211"/>
    <cellStyle name="Currency 3 2 4" xfId="817"/>
    <cellStyle name="Currency 3 2 4 2" xfId="818"/>
    <cellStyle name="Currency 3 2 4 2 2" xfId="2212"/>
    <cellStyle name="Currency 3 2 4 3" xfId="819"/>
    <cellStyle name="Currency 3 2 4 4" xfId="2213"/>
    <cellStyle name="Currency 3 2 4 5" xfId="2214"/>
    <cellStyle name="Currency 3 2 4 6" xfId="2215"/>
    <cellStyle name="Currency 3 2 5" xfId="820"/>
    <cellStyle name="Currency 3 2 5 2" xfId="821"/>
    <cellStyle name="Currency 3 2 5 3" xfId="822"/>
    <cellStyle name="Currency 3 2 6" xfId="823"/>
    <cellStyle name="Currency 3 2 6 2" xfId="824"/>
    <cellStyle name="Currency 3 2 7" xfId="825"/>
    <cellStyle name="Currency 3 2 8" xfId="826"/>
    <cellStyle name="Currency 3 3" xfId="269"/>
    <cellStyle name="Currency 3 3 2" xfId="562"/>
    <cellStyle name="Currency 3 3 2 2" xfId="2216"/>
    <cellStyle name="Currency 3 3 2 2 2" xfId="2217"/>
    <cellStyle name="Currency 3 3 2 3" xfId="2218"/>
    <cellStyle name="Currency 3 3 2 4" xfId="2219"/>
    <cellStyle name="Currency 3 3 2 5" xfId="2220"/>
    <cellStyle name="Currency 3 3 2 6" xfId="2221"/>
    <cellStyle name="Currency 3 4" xfId="393"/>
    <cellStyle name="Currency 3 4 2" xfId="827"/>
    <cellStyle name="Currency 3 4 2 2" xfId="828"/>
    <cellStyle name="Currency 3 4 2 2 2" xfId="829"/>
    <cellStyle name="Currency 3 4 2 2 2 2" xfId="2222"/>
    <cellStyle name="Currency 3 4 2 2 3" xfId="2223"/>
    <cellStyle name="Currency 3 4 2 3" xfId="830"/>
    <cellStyle name="Currency 3 4 2 3 2" xfId="2224"/>
    <cellStyle name="Currency 3 4 2 4" xfId="831"/>
    <cellStyle name="Currency 3 4 3" xfId="832"/>
    <cellStyle name="Currency 3 4 3 2" xfId="833"/>
    <cellStyle name="Currency 3 4 3 2 2" xfId="2225"/>
    <cellStyle name="Currency 3 4 3 2 3" xfId="2226"/>
    <cellStyle name="Currency 3 4 3 3" xfId="834"/>
    <cellStyle name="Currency 3 4 3 4" xfId="2227"/>
    <cellStyle name="Currency 3 4 4" xfId="835"/>
    <cellStyle name="Currency 3 4 4 2" xfId="836"/>
    <cellStyle name="Currency 3 4 4 3" xfId="2228"/>
    <cellStyle name="Currency 3 4 5" xfId="837"/>
    <cellStyle name="Currency 3 4 6" xfId="838"/>
    <cellStyle name="Currency 3 5" xfId="198"/>
    <cellStyle name="Currency 3 5 2" xfId="839"/>
    <cellStyle name="Currency 3 5 2 2" xfId="840"/>
    <cellStyle name="Currency 3 5 2 2 2" xfId="841"/>
    <cellStyle name="Currency 3 5 2 2 3" xfId="2229"/>
    <cellStyle name="Currency 3 5 2 3" xfId="842"/>
    <cellStyle name="Currency 3 5 2 4" xfId="843"/>
    <cellStyle name="Currency 3 5 3" xfId="844"/>
    <cellStyle name="Currency 3 5 3 2" xfId="845"/>
    <cellStyle name="Currency 3 5 3 3" xfId="2230"/>
    <cellStyle name="Currency 3 5 4" xfId="846"/>
    <cellStyle name="Currency 3 5 4 2" xfId="2231"/>
    <cellStyle name="Currency 3 5 4 3" xfId="2232"/>
    <cellStyle name="Currency 3 5 5" xfId="847"/>
    <cellStyle name="Currency 3 6" xfId="848"/>
    <cellStyle name="Currency 3 6 2" xfId="849"/>
    <cellStyle name="Currency 3 6 3" xfId="850"/>
    <cellStyle name="Currency 3 7" xfId="851"/>
    <cellStyle name="Currency 3 7 2" xfId="852"/>
    <cellStyle name="Currency 3 8" xfId="853"/>
    <cellStyle name="Currency 3 9" xfId="854"/>
    <cellStyle name="Currency 3_2149 Ops template" xfId="2233"/>
    <cellStyle name="Currency 4" xfId="89"/>
    <cellStyle name="Currency 4 2" xfId="200"/>
    <cellStyle name="Currency 4 2 2" xfId="563"/>
    <cellStyle name="Currency 4 2 2 2" xfId="2234"/>
    <cellStyle name="Currency 4 3" xfId="199"/>
    <cellStyle name="Currency 4 3 2" xfId="564"/>
    <cellStyle name="Currency 4 3 3" xfId="2235"/>
    <cellStyle name="Currency 4 3 3 2" xfId="2236"/>
    <cellStyle name="Currency 4 3 4" xfId="2237"/>
    <cellStyle name="Currency 4 3 5" xfId="2238"/>
    <cellStyle name="Currency 4 3 6" xfId="2239"/>
    <cellStyle name="Currency 4 3 7" xfId="2240"/>
    <cellStyle name="Currency 4 4" xfId="565"/>
    <cellStyle name="Currency 4 5" xfId="2241"/>
    <cellStyle name="Currency 4 6" xfId="2242"/>
    <cellStyle name="Currency 4 7" xfId="2243"/>
    <cellStyle name="Currency 4 8" xfId="2244"/>
    <cellStyle name="Currency 5" xfId="90"/>
    <cellStyle name="Currency 5 10" xfId="2245"/>
    <cellStyle name="Currency 5 11" xfId="2246"/>
    <cellStyle name="Currency 5 2" xfId="385"/>
    <cellStyle name="Currency 5 2 2" xfId="855"/>
    <cellStyle name="Currency 5 2 2 2" xfId="856"/>
    <cellStyle name="Currency 5 2 2 2 2" xfId="857"/>
    <cellStyle name="Currency 5 2 2 3" xfId="858"/>
    <cellStyle name="Currency 5 2 2 4" xfId="859"/>
    <cellStyle name="Currency 5 2 3" xfId="860"/>
    <cellStyle name="Currency 5 2 3 2" xfId="861"/>
    <cellStyle name="Currency 5 2 3 3" xfId="862"/>
    <cellStyle name="Currency 5 2 4" xfId="863"/>
    <cellStyle name="Currency 5 2 4 2" xfId="864"/>
    <cellStyle name="Currency 5 2 4 3" xfId="2247"/>
    <cellStyle name="Currency 5 2 5" xfId="865"/>
    <cellStyle name="Currency 5 2 5 2" xfId="2248"/>
    <cellStyle name="Currency 5 2 5 3" xfId="2249"/>
    <cellStyle name="Currency 5 2 6" xfId="866"/>
    <cellStyle name="Currency 5 3" xfId="394"/>
    <cellStyle name="Currency 5 3 2" xfId="867"/>
    <cellStyle name="Currency 5 3 2 2" xfId="868"/>
    <cellStyle name="Currency 5 3 2 2 2" xfId="2250"/>
    <cellStyle name="Currency 5 3 2 3" xfId="2251"/>
    <cellStyle name="Currency 5 3 2 4" xfId="2252"/>
    <cellStyle name="Currency 5 3 3" xfId="869"/>
    <cellStyle name="Currency 5 3 4" xfId="870"/>
    <cellStyle name="Currency 5 4" xfId="266"/>
    <cellStyle name="Currency 5 4 2" xfId="871"/>
    <cellStyle name="Currency 5 4 2 2" xfId="2253"/>
    <cellStyle name="Currency 5 4 3" xfId="872"/>
    <cellStyle name="Currency 5 5" xfId="873"/>
    <cellStyle name="Currency 5 5 2" xfId="874"/>
    <cellStyle name="Currency 5 5 2 2" xfId="2254"/>
    <cellStyle name="Currency 5 5 3" xfId="2255"/>
    <cellStyle name="Currency 5 6" xfId="875"/>
    <cellStyle name="Currency 5 6 2" xfId="2256"/>
    <cellStyle name="Currency 5 6 2 2" xfId="2257"/>
    <cellStyle name="Currency 5 6 3" xfId="2258"/>
    <cellStyle name="Currency 5 7" xfId="876"/>
    <cellStyle name="Currency 5 7 2" xfId="2259"/>
    <cellStyle name="Currency 5 8" xfId="877"/>
    <cellStyle name="Currency 5 9" xfId="2260"/>
    <cellStyle name="Currency 6" xfId="91"/>
    <cellStyle name="Currency 6 2" xfId="878"/>
    <cellStyle name="Currency 6 2 2" xfId="2261"/>
    <cellStyle name="Currency 6 2 3" xfId="2262"/>
    <cellStyle name="Currency 6 2 4" xfId="2263"/>
    <cellStyle name="Currency 6 3" xfId="2264"/>
    <cellStyle name="Currency 6 3 2" xfId="2265"/>
    <cellStyle name="Currency 6 4" xfId="2266"/>
    <cellStyle name="Currency 7" xfId="92"/>
    <cellStyle name="Currency 7 2" xfId="879"/>
    <cellStyle name="Currency 7 2 2" xfId="2267"/>
    <cellStyle name="Currency 7 2 3" xfId="2268"/>
    <cellStyle name="Currency 7 2 3 2" xfId="2269"/>
    <cellStyle name="Currency 7 2 3 2 2" xfId="2270"/>
    <cellStyle name="Currency 7 2 3 2 3" xfId="2271"/>
    <cellStyle name="Currency 7 2 3 3" xfId="2272"/>
    <cellStyle name="Currency 7 2 3 4" xfId="2273"/>
    <cellStyle name="Currency 7 2 4" xfId="2274"/>
    <cellStyle name="Currency 7 3" xfId="880"/>
    <cellStyle name="Currency 7 3 2" xfId="2275"/>
    <cellStyle name="Currency 7 3 2 2" xfId="2276"/>
    <cellStyle name="Currency 7 3 2 2 2" xfId="2277"/>
    <cellStyle name="Currency 7 3 2 3" xfId="2278"/>
    <cellStyle name="Currency 7 3 3" xfId="2279"/>
    <cellStyle name="Currency 7 3 3 2" xfId="2280"/>
    <cellStyle name="Currency 7 3 4" xfId="2281"/>
    <cellStyle name="Currency 7 4" xfId="2282"/>
    <cellStyle name="Currency 7 4 2" xfId="2283"/>
    <cellStyle name="Currency 7 4 3" xfId="2284"/>
    <cellStyle name="Currency 7 5" xfId="2285"/>
    <cellStyle name="Currency 7 5 2" xfId="2286"/>
    <cellStyle name="Currency 7 6" xfId="2287"/>
    <cellStyle name="Currency 8" xfId="93"/>
    <cellStyle name="Currency 8 2" xfId="459"/>
    <cellStyle name="Currency 8 2 2" xfId="2288"/>
    <cellStyle name="Currency 8 2 2 2" xfId="2289"/>
    <cellStyle name="Currency 8 2 2 3" xfId="2290"/>
    <cellStyle name="Currency 8 2 3" xfId="2291"/>
    <cellStyle name="Currency 8 2 4" xfId="2292"/>
    <cellStyle name="Currency 8 2 5" xfId="2293"/>
    <cellStyle name="Currency 8 3" xfId="412"/>
    <cellStyle name="Currency 8 3 2" xfId="2294"/>
    <cellStyle name="Currency 8 4" xfId="2295"/>
    <cellStyle name="Currency 9" xfId="4"/>
    <cellStyle name="Currency 9 2" xfId="2296"/>
    <cellStyle name="Currency 9 2 2" xfId="2297"/>
    <cellStyle name="Currency 9 3" xfId="2298"/>
    <cellStyle name="Currency 9 3 2" xfId="2299"/>
    <cellStyle name="Currency 9 3 2 2" xfId="2300"/>
    <cellStyle name="Currency 9 3 2 3" xfId="2301"/>
    <cellStyle name="Currency 9 3 3" xfId="2302"/>
    <cellStyle name="Currency 9 3 4" xfId="2303"/>
    <cellStyle name="Currency 9 3 5" xfId="2304"/>
    <cellStyle name="Currency 9 4" xfId="2305"/>
    <cellStyle name="Currency 9 4 2" xfId="2306"/>
    <cellStyle name="Currency 9 5" xfId="2307"/>
    <cellStyle name="Currency0" xfId="413"/>
    <cellStyle name="Custom - Style1" xfId="2308"/>
    <cellStyle name="Custom - Style8" xfId="2309"/>
    <cellStyle name="Data   - Style2" xfId="2310"/>
    <cellStyle name="Data Enter" xfId="94"/>
    <cellStyle name="date" xfId="95"/>
    <cellStyle name="Euro" xfId="2311"/>
    <cellStyle name="Euro 2" xfId="2312"/>
    <cellStyle name="Euro 3" xfId="2313"/>
    <cellStyle name="Explanatory Text 2" xfId="96"/>
    <cellStyle name="Explanatory Text 3" xfId="271"/>
    <cellStyle name="Explanatory Text 4" xfId="2314"/>
    <cellStyle name="F9ReportControlStyle_ctpInquire" xfId="414"/>
    <cellStyle name="FactSheet" xfId="97"/>
    <cellStyle name="fish" xfId="98"/>
    <cellStyle name="Good 2" xfId="99"/>
    <cellStyle name="Good 2 2" xfId="566"/>
    <cellStyle name="Good 2 2 2" xfId="2315"/>
    <cellStyle name="Good 2 3" xfId="2316"/>
    <cellStyle name="Good 3" xfId="272"/>
    <cellStyle name="Good 3 2" xfId="567"/>
    <cellStyle name="Good 4" xfId="415"/>
    <cellStyle name="Heading 1 2" xfId="100"/>
    <cellStyle name="Heading 1 2 2" xfId="460"/>
    <cellStyle name="Heading 1 2 2 2" xfId="2317"/>
    <cellStyle name="Heading 1 2 3" xfId="274"/>
    <cellStyle name="Heading 1 2 3 2" xfId="2318"/>
    <cellStyle name="Heading 1 2 4" xfId="2319"/>
    <cellStyle name="Heading 1 2 5" xfId="2320"/>
    <cellStyle name="Heading 1 3" xfId="101"/>
    <cellStyle name="Heading 1 3 2" xfId="461"/>
    <cellStyle name="Heading 1 3 3" xfId="273"/>
    <cellStyle name="Heading 1 4" xfId="568"/>
    <cellStyle name="Heading 1 5" xfId="2321"/>
    <cellStyle name="Heading 2 2" xfId="102"/>
    <cellStyle name="Heading 2 2 2" xfId="462"/>
    <cellStyle name="Heading 2 2 2 2" xfId="2322"/>
    <cellStyle name="Heading 2 2 3" xfId="276"/>
    <cellStyle name="Heading 2 2 4" xfId="2323"/>
    <cellStyle name="Heading 2 3" xfId="103"/>
    <cellStyle name="Heading 2 3 2" xfId="463"/>
    <cellStyle name="Heading 2 3 3" xfId="275"/>
    <cellStyle name="Heading 2 4" xfId="569"/>
    <cellStyle name="Heading 2 5" xfId="2324"/>
    <cellStyle name="Heading 3 2" xfId="104"/>
    <cellStyle name="Heading 3 2 2" xfId="464"/>
    <cellStyle name="Heading 3 2 2 2" xfId="2325"/>
    <cellStyle name="Heading 3 2 3" xfId="278"/>
    <cellStyle name="Heading 3 2 3 2" xfId="2326"/>
    <cellStyle name="Heading 3 2 4" xfId="2327"/>
    <cellStyle name="Heading 3 2 5" xfId="2328"/>
    <cellStyle name="Heading 3 3" xfId="105"/>
    <cellStyle name="Heading 3 3 2" xfId="465"/>
    <cellStyle name="Heading 3 3 3" xfId="277"/>
    <cellStyle name="Heading 3 4" xfId="570"/>
    <cellStyle name="Heading 3 5" xfId="2329"/>
    <cellStyle name="Heading 4 2" xfId="106"/>
    <cellStyle name="Heading 4 2 2" xfId="280"/>
    <cellStyle name="Heading 4 2 2 2" xfId="2330"/>
    <cellStyle name="Heading 4 2 3" xfId="2331"/>
    <cellStyle name="Heading 4 2 3 2" xfId="2332"/>
    <cellStyle name="Heading 4 2 4" xfId="2333"/>
    <cellStyle name="Heading 4 2 4 2" xfId="2334"/>
    <cellStyle name="Heading 4 3" xfId="279"/>
    <cellStyle name="Heading 4 3 2" xfId="571"/>
    <cellStyle name="Heading 4 4" xfId="2335"/>
    <cellStyle name="Heading 4 5" xfId="2336"/>
    <cellStyle name="Hyperlink 2" xfId="107"/>
    <cellStyle name="Hyperlink 2 2" xfId="881"/>
    <cellStyle name="Hyperlink 2 2 2" xfId="2337"/>
    <cellStyle name="Hyperlink 2 2 2 2" xfId="2338"/>
    <cellStyle name="Hyperlink 2 3" xfId="2339"/>
    <cellStyle name="Hyperlink 2 3 2" xfId="2340"/>
    <cellStyle name="Hyperlink 3" xfId="108"/>
    <cellStyle name="Hyperlink 3 2" xfId="395"/>
    <cellStyle name="Hyperlink 3 2 2" xfId="2341"/>
    <cellStyle name="Hyperlink 3 2 2 2" xfId="2342"/>
    <cellStyle name="Hyperlink 3 3" xfId="2343"/>
    <cellStyle name="Hyperlink 3 3 2" xfId="2344"/>
    <cellStyle name="Hyperlink 4" xfId="2345"/>
    <cellStyle name="Hyperlink 5" xfId="2346"/>
    <cellStyle name="Hyperlink_1_Guidelines" xfId="2347"/>
    <cellStyle name="Input 10" xfId="2348"/>
    <cellStyle name="Input 2" xfId="109"/>
    <cellStyle name="Input 2 2" xfId="282"/>
    <cellStyle name="Input 3" xfId="281"/>
    <cellStyle name="Input 3 2" xfId="572"/>
    <cellStyle name="input 4" xfId="2349"/>
    <cellStyle name="input 5" xfId="2350"/>
    <cellStyle name="input 6" xfId="2351"/>
    <cellStyle name="input 7" xfId="2352"/>
    <cellStyle name="input 8" xfId="2353"/>
    <cellStyle name="Input 9" xfId="2354"/>
    <cellStyle name="input(0)" xfId="110"/>
    <cellStyle name="Input(2)" xfId="111"/>
    <cellStyle name="INT Paramter" xfId="882"/>
    <cellStyle name="INT Paramter 2" xfId="883"/>
    <cellStyle name="INT Paramter 2 2" xfId="884"/>
    <cellStyle name="INT Paramter 2 2 2" xfId="885"/>
    <cellStyle name="INT Paramter 2 2 2 2" xfId="886"/>
    <cellStyle name="INT Paramter 2 2 2 3" xfId="2355"/>
    <cellStyle name="INT Paramter 2 2 3" xfId="887"/>
    <cellStyle name="INT Paramter 2 2 4" xfId="888"/>
    <cellStyle name="INT Paramter 2 3" xfId="889"/>
    <cellStyle name="INT Paramter 2 3 2" xfId="890"/>
    <cellStyle name="INT Paramter 2 3 3" xfId="891"/>
    <cellStyle name="INT Paramter 2 4" xfId="892"/>
    <cellStyle name="INT Paramter 2 4 2" xfId="893"/>
    <cellStyle name="INT Paramter 2 4 3" xfId="894"/>
    <cellStyle name="INT Paramter 2 5" xfId="895"/>
    <cellStyle name="INT Paramter 2 5 2" xfId="896"/>
    <cellStyle name="INT Paramter 2 5 3" xfId="2356"/>
    <cellStyle name="INT Paramter 2 6" xfId="897"/>
    <cellStyle name="INT Paramter 2 6 2" xfId="2357"/>
    <cellStyle name="INT Paramter 2 7" xfId="898"/>
    <cellStyle name="INT Paramter 3" xfId="899"/>
    <cellStyle name="INT Paramter 3 2" xfId="900"/>
    <cellStyle name="INT Paramter 3 2 2" xfId="901"/>
    <cellStyle name="INT Paramter 3 2 3" xfId="2358"/>
    <cellStyle name="INT Paramter 3 3" xfId="902"/>
    <cellStyle name="INT Paramter 3 4" xfId="903"/>
    <cellStyle name="INT Paramter 4" xfId="904"/>
    <cellStyle name="INT Paramter 4 2" xfId="905"/>
    <cellStyle name="INT Paramter 4 3" xfId="906"/>
    <cellStyle name="INT Paramter 5" xfId="907"/>
    <cellStyle name="INT Paramter 5 2" xfId="908"/>
    <cellStyle name="INT Paramter 5 3" xfId="909"/>
    <cellStyle name="INT Paramter 6" xfId="910"/>
    <cellStyle name="INT Paramter 6 2" xfId="911"/>
    <cellStyle name="INT Paramter 6 3" xfId="2359"/>
    <cellStyle name="INT Paramter 7" xfId="912"/>
    <cellStyle name="INT Paramter 7 2" xfId="2360"/>
    <cellStyle name="INT Paramter 8" xfId="913"/>
    <cellStyle name="Labels" xfId="573"/>
    <cellStyle name="Labels - Style3" xfId="2361"/>
    <cellStyle name="Linked Cell 2" xfId="112"/>
    <cellStyle name="Linked Cell 2 2" xfId="466"/>
    <cellStyle name="Linked Cell 2 3" xfId="284"/>
    <cellStyle name="Linked Cell 3" xfId="283"/>
    <cellStyle name="Linked Cell 3 2" xfId="574"/>
    <cellStyle name="Linked Cell 4" xfId="2362"/>
    <cellStyle name="Neutral 2" xfId="113"/>
    <cellStyle name="Neutral 2 2" xfId="467"/>
    <cellStyle name="Neutral 2 2 2" xfId="2363"/>
    <cellStyle name="Neutral 2 3" xfId="286"/>
    <cellStyle name="Neutral 2 4" xfId="2364"/>
    <cellStyle name="Neutral 2 5" xfId="2365"/>
    <cellStyle name="Neutral 3" xfId="285"/>
    <cellStyle name="Neutral 3 2" xfId="575"/>
    <cellStyle name="Neutral 4" xfId="2366"/>
    <cellStyle name="Neutral 5" xfId="2367"/>
    <cellStyle name="New_normal" xfId="114"/>
    <cellStyle name="Normal" xfId="0" builtinId="0"/>
    <cellStyle name="Normal - Style1" xfId="115"/>
    <cellStyle name="Normal - Style2" xfId="116"/>
    <cellStyle name="Normal - Style3" xfId="117"/>
    <cellStyle name="Normal - Style4" xfId="118"/>
    <cellStyle name="Normal - Style5" xfId="119"/>
    <cellStyle name="Normal - Style6" xfId="2368"/>
    <cellStyle name="Normal - Style7" xfId="2369"/>
    <cellStyle name="Normal - Style8" xfId="2370"/>
    <cellStyle name="Normal 10" xfId="120"/>
    <cellStyle name="Normal 10 10" xfId="2371"/>
    <cellStyle name="Normal 10 10 2" xfId="2372"/>
    <cellStyle name="Normal 10 10 3" xfId="2373"/>
    <cellStyle name="Normal 10 11" xfId="2374"/>
    <cellStyle name="Normal 10 11 2" xfId="2375"/>
    <cellStyle name="Normal 10 11 3" xfId="2376"/>
    <cellStyle name="Normal 10 12" xfId="2377"/>
    <cellStyle name="Normal 10 13" xfId="2378"/>
    <cellStyle name="Normal 10 14" xfId="2379"/>
    <cellStyle name="Normal 10 15" xfId="2380"/>
    <cellStyle name="Normal 10 2" xfId="11"/>
    <cellStyle name="Normal 10 2 10" xfId="2381"/>
    <cellStyle name="Normal 10 2 2" xfId="121"/>
    <cellStyle name="Normal 10 2 2 2" xfId="914"/>
    <cellStyle name="Normal 10 2 2 2 2" xfId="915"/>
    <cellStyle name="Normal 10 2 2 2 2 2" xfId="2382"/>
    <cellStyle name="Normal 10 2 2 2 2 2 2" xfId="2383"/>
    <cellStyle name="Normal 10 2 2 2 2 3" xfId="2384"/>
    <cellStyle name="Normal 10 2 2 2 2 4" xfId="2385"/>
    <cellStyle name="Normal 10 2 2 2 3" xfId="2386"/>
    <cellStyle name="Normal 10 2 2 2 3 2" xfId="2387"/>
    <cellStyle name="Normal 10 2 2 2 4" xfId="2388"/>
    <cellStyle name="Normal 10 2 2 2 5" xfId="2389"/>
    <cellStyle name="Normal 10 2 2 2 6" xfId="2390"/>
    <cellStyle name="Normal 10 2 2 2_2013" xfId="2391"/>
    <cellStyle name="Normal 10 2 2 3" xfId="916"/>
    <cellStyle name="Normal 10 2 2 3 2" xfId="2392"/>
    <cellStyle name="Normal 10 2 2 3 2 2" xfId="2393"/>
    <cellStyle name="Normal 10 2 2 3 3" xfId="2394"/>
    <cellStyle name="Normal 10 2 2 3 4" xfId="2395"/>
    <cellStyle name="Normal 10 2 2 3 5" xfId="2396"/>
    <cellStyle name="Normal 10 2 2 4" xfId="917"/>
    <cellStyle name="Normal 10 2 2 4 2" xfId="2397"/>
    <cellStyle name="Normal 10 2 2 4 3" xfId="2398"/>
    <cellStyle name="Normal 10 2 2 5" xfId="2399"/>
    <cellStyle name="Normal 10 2 2 5 2" xfId="2400"/>
    <cellStyle name="Normal 10 2 2 5 3" xfId="2401"/>
    <cellStyle name="Normal 10 2 2 6" xfId="2402"/>
    <cellStyle name="Normal 10 2 2 7" xfId="2403"/>
    <cellStyle name="Normal 10 2 2_2013" xfId="2404"/>
    <cellStyle name="Normal 10 2 3" xfId="468"/>
    <cellStyle name="Normal 10 2 3 2" xfId="918"/>
    <cellStyle name="Normal 10 2 3 2 2" xfId="2405"/>
    <cellStyle name="Normal 10 2 3 2 2 2" xfId="2406"/>
    <cellStyle name="Normal 10 2 3 2 2 3" xfId="2407"/>
    <cellStyle name="Normal 10 2 3 2 3" xfId="2408"/>
    <cellStyle name="Normal 10 2 3 2 4" xfId="2409"/>
    <cellStyle name="Normal 10 2 3 3" xfId="919"/>
    <cellStyle name="Normal 10 2 3 3 2" xfId="2410"/>
    <cellStyle name="Normal 10 2 3 3 2 2" xfId="2411"/>
    <cellStyle name="Normal 10 2 3 3 3" xfId="2412"/>
    <cellStyle name="Normal 10 2 3 3 4" xfId="2413"/>
    <cellStyle name="Normal 10 2 3 4" xfId="2414"/>
    <cellStyle name="Normal 10 2 3 5" xfId="2415"/>
    <cellStyle name="Normal 10 2 3_2013" xfId="2416"/>
    <cellStyle name="Normal 10 2 4" xfId="201"/>
    <cellStyle name="Normal 10 2 4 2" xfId="576"/>
    <cellStyle name="Normal 10 2 4 2 2" xfId="2417"/>
    <cellStyle name="Normal 10 2 4 3" xfId="920"/>
    <cellStyle name="Normal 10 2 4 4" xfId="2418"/>
    <cellStyle name="Normal 10 2 5" xfId="577"/>
    <cellStyle name="Normal 10 2 5 2" xfId="921"/>
    <cellStyle name="Normal 10 2 5 2 2" xfId="2419"/>
    <cellStyle name="Normal 10 2 5 2 3" xfId="2420"/>
    <cellStyle name="Normal 10 2 5 3" xfId="2421"/>
    <cellStyle name="Normal 10 2 5 4" xfId="2422"/>
    <cellStyle name="Normal 10 2 5 5" xfId="2423"/>
    <cellStyle name="Normal 10 2 5 6" xfId="2424"/>
    <cellStyle name="Normal 10 2 6" xfId="922"/>
    <cellStyle name="Normal 10 2 6 2" xfId="2425"/>
    <cellStyle name="Normal 10 2 6 2 2" xfId="2426"/>
    <cellStyle name="Normal 10 2 6 2 3" xfId="2427"/>
    <cellStyle name="Normal 10 2 6 3" xfId="2428"/>
    <cellStyle name="Normal 10 2 6 4" xfId="2429"/>
    <cellStyle name="Normal 10 2 7" xfId="923"/>
    <cellStyle name="Normal 10 2 7 2" xfId="2430"/>
    <cellStyle name="Normal 10 2 8" xfId="2431"/>
    <cellStyle name="Normal 10 2 9" xfId="2432"/>
    <cellStyle name="Normal 10 2_2012 modified" xfId="2433"/>
    <cellStyle name="Normal 10 3" xfId="578"/>
    <cellStyle name="Normal 10 3 2" xfId="924"/>
    <cellStyle name="Normal 10 3 2 2" xfId="925"/>
    <cellStyle name="Normal 10 3 2 2 2" xfId="2434"/>
    <cellStyle name="Normal 10 3 2 2 2 2" xfId="2435"/>
    <cellStyle name="Normal 10 3 2 2 2 3" xfId="2436"/>
    <cellStyle name="Normal 10 3 2 2 3" xfId="2437"/>
    <cellStyle name="Normal 10 3 2 2 4" xfId="2438"/>
    <cellStyle name="Normal 10 3 2 3" xfId="2439"/>
    <cellStyle name="Normal 10 3 2 3 2" xfId="2440"/>
    <cellStyle name="Normal 10 3 2 3 2 2" xfId="2441"/>
    <cellStyle name="Normal 10 3 2 3 3" xfId="2442"/>
    <cellStyle name="Normal 10 3 2 3 4" xfId="2443"/>
    <cellStyle name="Normal 10 3 2 4" xfId="2444"/>
    <cellStyle name="Normal 10 3 2 5" xfId="2445"/>
    <cellStyle name="Normal 10 3 2_2013" xfId="2446"/>
    <cellStyle name="Normal 10 3 3" xfId="926"/>
    <cellStyle name="Normal 10 3 3 2" xfId="2447"/>
    <cellStyle name="Normal 10 3 3 2 2" xfId="2448"/>
    <cellStyle name="Normal 10 3 3 3" xfId="2449"/>
    <cellStyle name="Normal 10 3 4" xfId="927"/>
    <cellStyle name="Normal 10 3 4 2" xfId="2450"/>
    <cellStyle name="Normal 10 3 4 2 2" xfId="2451"/>
    <cellStyle name="Normal 10 3 4 3" xfId="2452"/>
    <cellStyle name="Normal 10 3 5" xfId="2453"/>
    <cellStyle name="Normal 10 3 6" xfId="2454"/>
    <cellStyle name="Normal 10 3_2013" xfId="2455"/>
    <cellStyle name="Normal 10 4" xfId="928"/>
    <cellStyle name="Normal 10 4 2" xfId="929"/>
    <cellStyle name="Normal 10 4 2 2" xfId="2456"/>
    <cellStyle name="Normal 10 4 2 2 2" xfId="2457"/>
    <cellStyle name="Normal 10 4 2 2 3" xfId="2458"/>
    <cellStyle name="Normal 10 4 2 3" xfId="2459"/>
    <cellStyle name="Normal 10 4 2 4" xfId="2460"/>
    <cellStyle name="Normal 10 4 3" xfId="930"/>
    <cellStyle name="Normal 10 4 3 2" xfId="2461"/>
    <cellStyle name="Normal 10 4 3 2 2" xfId="2462"/>
    <cellStyle name="Normal 10 4 3 3" xfId="2463"/>
    <cellStyle name="Normal 10 4_2013" xfId="2464"/>
    <cellStyle name="Normal 10 5" xfId="931"/>
    <cellStyle name="Normal 10 5 2" xfId="932"/>
    <cellStyle name="Normal 10 5 2 2" xfId="2465"/>
    <cellStyle name="Normal 10 5 2 2 2" xfId="2466"/>
    <cellStyle name="Normal 10 5 2 3" xfId="2467"/>
    <cellStyle name="Normal 10 5 3" xfId="933"/>
    <cellStyle name="Normal 10 5 3 2" xfId="2468"/>
    <cellStyle name="Normal 10 5 4" xfId="2469"/>
    <cellStyle name="Normal 10 5 5" xfId="2470"/>
    <cellStyle name="Normal 10 6" xfId="934"/>
    <cellStyle name="Normal 10 6 2" xfId="935"/>
    <cellStyle name="Normal 10 6 2 2" xfId="2471"/>
    <cellStyle name="Normal 10 6 2 3" xfId="2472"/>
    <cellStyle name="Normal 10 6 3" xfId="2473"/>
    <cellStyle name="Normal 10 6 3 2" xfId="2474"/>
    <cellStyle name="Normal 10 6 4" xfId="2475"/>
    <cellStyle name="Normal 10 7" xfId="936"/>
    <cellStyle name="Normal 10 7 2" xfId="2476"/>
    <cellStyle name="Normal 10 7 2 2" xfId="2477"/>
    <cellStyle name="Normal 10 7 2 3" xfId="2478"/>
    <cellStyle name="Normal 10 7 3" xfId="2479"/>
    <cellStyle name="Normal 10 7 3 2" xfId="2480"/>
    <cellStyle name="Normal 10 7 4" xfId="2481"/>
    <cellStyle name="Normal 10 8" xfId="937"/>
    <cellStyle name="Normal 10 8 2" xfId="2482"/>
    <cellStyle name="Normal 10 8 2 2" xfId="2483"/>
    <cellStyle name="Normal 10 8 3" xfId="2484"/>
    <cellStyle name="Normal 10 9" xfId="938"/>
    <cellStyle name="Normal 10 9 2" xfId="2485"/>
    <cellStyle name="Normal 10 9 3" xfId="2486"/>
    <cellStyle name="Normal 10_2012 modified" xfId="2487"/>
    <cellStyle name="Normal 100" xfId="579"/>
    <cellStyle name="Normal 101" xfId="580"/>
    <cellStyle name="Normal 102" xfId="581"/>
    <cellStyle name="Normal 103" xfId="582"/>
    <cellStyle name="Normal 104" xfId="583"/>
    <cellStyle name="Normal 105" xfId="584"/>
    <cellStyle name="Normal 106" xfId="585"/>
    <cellStyle name="Normal 106 2" xfId="2488"/>
    <cellStyle name="Normal 106 3" xfId="2489"/>
    <cellStyle name="Normal 107" xfId="586"/>
    <cellStyle name="Normal 108" xfId="587"/>
    <cellStyle name="Normal 109" xfId="588"/>
    <cellStyle name="Normal 109 2" xfId="589"/>
    <cellStyle name="Normal 11" xfId="122"/>
    <cellStyle name="Normal 11 10" xfId="2490"/>
    <cellStyle name="Normal 11 11" xfId="2491"/>
    <cellStyle name="Normal 11 12" xfId="2492"/>
    <cellStyle name="Normal 11 2" xfId="416"/>
    <cellStyle name="Normal 11 2 10" xfId="2493"/>
    <cellStyle name="Normal 11 2 2" xfId="590"/>
    <cellStyle name="Normal 11 2 2 2" xfId="939"/>
    <cellStyle name="Normal 11 2 2 2 2" xfId="940"/>
    <cellStyle name="Normal 11 2 2 2 2 2" xfId="2494"/>
    <cellStyle name="Normal 11 2 2 2 2 2 2" xfId="2495"/>
    <cellStyle name="Normal 11 2 2 2 2 3" xfId="2496"/>
    <cellStyle name="Normal 11 2 2 2 2 4" xfId="2497"/>
    <cellStyle name="Normal 11 2 2 2 3" xfId="2498"/>
    <cellStyle name="Normal 11 2 2 2 3 2" xfId="2499"/>
    <cellStyle name="Normal 11 2 2 2 4" xfId="2500"/>
    <cellStyle name="Normal 11 2 2 2 5" xfId="2501"/>
    <cellStyle name="Normal 11 2 2 2 6" xfId="2502"/>
    <cellStyle name="Normal 11 2 2 2_2013" xfId="2503"/>
    <cellStyle name="Normal 11 2 2 3" xfId="941"/>
    <cellStyle name="Normal 11 2 2 3 2" xfId="2504"/>
    <cellStyle name="Normal 11 2 2 3 2 2" xfId="2505"/>
    <cellStyle name="Normal 11 2 2 3 3" xfId="2506"/>
    <cellStyle name="Normal 11 2 2 3 4" xfId="2507"/>
    <cellStyle name="Normal 11 2 2 3 5" xfId="2508"/>
    <cellStyle name="Normal 11 2 2 4" xfId="942"/>
    <cellStyle name="Normal 11 2 2 4 2" xfId="2509"/>
    <cellStyle name="Normal 11 2 2 5" xfId="2510"/>
    <cellStyle name="Normal 11 2 2 6" xfId="2511"/>
    <cellStyle name="Normal 11 2 2 7" xfId="2512"/>
    <cellStyle name="Normal 11 2 2_2013" xfId="2513"/>
    <cellStyle name="Normal 11 2 3" xfId="591"/>
    <cellStyle name="Normal 11 2 3 2" xfId="943"/>
    <cellStyle name="Normal 11 2 3 2 2" xfId="2514"/>
    <cellStyle name="Normal 11 2 3 2 2 2" xfId="2515"/>
    <cellStyle name="Normal 11 2 3 2 2 3" xfId="2516"/>
    <cellStyle name="Normal 11 2 3 2 3" xfId="2517"/>
    <cellStyle name="Normal 11 2 3 2 4" xfId="2518"/>
    <cellStyle name="Normal 11 2 3 3" xfId="944"/>
    <cellStyle name="Normal 11 2 3 3 2" xfId="2519"/>
    <cellStyle name="Normal 11 2 3 3 2 2" xfId="2520"/>
    <cellStyle name="Normal 11 2 3 3 3" xfId="2521"/>
    <cellStyle name="Normal 11 2 3 3 4" xfId="2522"/>
    <cellStyle name="Normal 11 2 3 4" xfId="2523"/>
    <cellStyle name="Normal 11 2 3 5" xfId="2524"/>
    <cellStyle name="Normal 11 2 3_2013" xfId="2525"/>
    <cellStyle name="Normal 11 2 4" xfId="945"/>
    <cellStyle name="Normal 11 2 4 2" xfId="946"/>
    <cellStyle name="Normal 11 2 4 2 2" xfId="2526"/>
    <cellStyle name="Normal 11 2 4 2 3" xfId="2527"/>
    <cellStyle name="Normal 11 2 4 3" xfId="947"/>
    <cellStyle name="Normal 11 2 4 4" xfId="2528"/>
    <cellStyle name="Normal 11 2 4 5" xfId="2529"/>
    <cellStyle name="Normal 11 2 5" xfId="948"/>
    <cellStyle name="Normal 11 2 5 2" xfId="949"/>
    <cellStyle name="Normal 11 2 5 2 2" xfId="2530"/>
    <cellStyle name="Normal 11 2 5 2 3" xfId="2531"/>
    <cellStyle name="Normal 11 2 5 3" xfId="2532"/>
    <cellStyle name="Normal 11 2 5 4" xfId="2533"/>
    <cellStyle name="Normal 11 2 5 5" xfId="2534"/>
    <cellStyle name="Normal 11 2 6" xfId="950"/>
    <cellStyle name="Normal 11 2 6 2" xfId="2535"/>
    <cellStyle name="Normal 11 2 6 2 2" xfId="2536"/>
    <cellStyle name="Normal 11 2 6 2 3" xfId="2537"/>
    <cellStyle name="Normal 11 2 6 3" xfId="2538"/>
    <cellStyle name="Normal 11 2 6 4" xfId="2539"/>
    <cellStyle name="Normal 11 2 7" xfId="951"/>
    <cellStyle name="Normal 11 2 7 2" xfId="2540"/>
    <cellStyle name="Normal 11 2 8" xfId="2541"/>
    <cellStyle name="Normal 11 2 9" xfId="2542"/>
    <cellStyle name="Normal 11 2_2012 modified" xfId="2543"/>
    <cellStyle name="Normal 11 3" xfId="592"/>
    <cellStyle name="Normal 11 3 2" xfId="952"/>
    <cellStyle name="Normal 11 3 2 2" xfId="953"/>
    <cellStyle name="Normal 11 3 2 2 2" xfId="2544"/>
    <cellStyle name="Normal 11 3 2 2 2 2" xfId="2545"/>
    <cellStyle name="Normal 11 3 2 2 3" xfId="2546"/>
    <cellStyle name="Normal 11 3 2 2 4" xfId="2547"/>
    <cellStyle name="Normal 11 3 2 3" xfId="2548"/>
    <cellStyle name="Normal 11 3 2 3 2" xfId="2549"/>
    <cellStyle name="Normal 11 3 2 3 2 2" xfId="2550"/>
    <cellStyle name="Normal 11 3 2 3 3" xfId="2551"/>
    <cellStyle name="Normal 11 3 2 4" xfId="2552"/>
    <cellStyle name="Normal 11 3 2 5" xfId="2553"/>
    <cellStyle name="Normal 11 3 2_2013" xfId="2554"/>
    <cellStyle name="Normal 11 3 3" xfId="954"/>
    <cellStyle name="Normal 11 3 3 2" xfId="2555"/>
    <cellStyle name="Normal 11 3 3 2 2" xfId="2556"/>
    <cellStyle name="Normal 11 3 3 3" xfId="2557"/>
    <cellStyle name="Normal 11 3 3 4" xfId="2558"/>
    <cellStyle name="Normal 11 3 4" xfId="955"/>
    <cellStyle name="Normal 11 3 4 2" xfId="2559"/>
    <cellStyle name="Normal 11 3 4 2 2" xfId="2560"/>
    <cellStyle name="Normal 11 3 4 3" xfId="2561"/>
    <cellStyle name="Normal 11 3 5" xfId="2562"/>
    <cellStyle name="Normal 11 3 6" xfId="2563"/>
    <cellStyle name="Normal 11 3 7" xfId="2564"/>
    <cellStyle name="Normal 11 3_2013" xfId="2565"/>
    <cellStyle name="Normal 11 4" xfId="956"/>
    <cellStyle name="Normal 11 4 2" xfId="957"/>
    <cellStyle name="Normal 11 4 2 2" xfId="2566"/>
    <cellStyle name="Normal 11 4 2 2 2" xfId="2567"/>
    <cellStyle name="Normal 11 4 2 2 3" xfId="2568"/>
    <cellStyle name="Normal 11 4 2 3" xfId="2569"/>
    <cellStyle name="Normal 11 4 2 4" xfId="2570"/>
    <cellStyle name="Normal 11 4 3" xfId="958"/>
    <cellStyle name="Normal 11 4 3 2" xfId="2571"/>
    <cellStyle name="Normal 11 4 3 2 2" xfId="2572"/>
    <cellStyle name="Normal 11 4 3 3" xfId="2573"/>
    <cellStyle name="Normal 11 4 3 4" xfId="2574"/>
    <cellStyle name="Normal 11 4 3 5" xfId="2575"/>
    <cellStyle name="Normal 11 4 4" xfId="2576"/>
    <cellStyle name="Normal 11 4 5" xfId="2577"/>
    <cellStyle name="Normal 11 4_2013" xfId="2578"/>
    <cellStyle name="Normal 11 5" xfId="959"/>
    <cellStyle name="Normal 11 5 19" xfId="2579"/>
    <cellStyle name="Normal 11 5 19 2" xfId="2580"/>
    <cellStyle name="Normal 11 5 2" xfId="960"/>
    <cellStyle name="Normal 11 5 2 2" xfId="2581"/>
    <cellStyle name="Normal 11 5 2 2 2" xfId="2582"/>
    <cellStyle name="Normal 11 5 2 3" xfId="2583"/>
    <cellStyle name="Normal 11 5 2 4" xfId="2584"/>
    <cellStyle name="Normal 11 5 2 5" xfId="2585"/>
    <cellStyle name="Normal 11 5 3" xfId="961"/>
    <cellStyle name="Normal 11 5 3 2" xfId="2586"/>
    <cellStyle name="Normal 11 5 4" xfId="2587"/>
    <cellStyle name="Normal 11 5 5" xfId="2588"/>
    <cellStyle name="Normal 11 5 6" xfId="2589"/>
    <cellStyle name="Normal 11 6" xfId="962"/>
    <cellStyle name="Normal 11 6 2" xfId="963"/>
    <cellStyle name="Normal 11 6 3" xfId="2590"/>
    <cellStyle name="Normal 11 7" xfId="964"/>
    <cellStyle name="Normal 11 8" xfId="965"/>
    <cellStyle name="Normal 11 8 2" xfId="2591"/>
    <cellStyle name="Normal 11 9" xfId="966"/>
    <cellStyle name="Normal 11_2012 modified" xfId="2592"/>
    <cellStyle name="Normal 110" xfId="593"/>
    <cellStyle name="Normal 111" xfId="594"/>
    <cellStyle name="Normal 112" xfId="595"/>
    <cellStyle name="Normal 113" xfId="596"/>
    <cellStyle name="Normal 113 2" xfId="597"/>
    <cellStyle name="Normal 114" xfId="2593"/>
    <cellStyle name="Normal 115" xfId="2594"/>
    <cellStyle name="Normal 116" xfId="2595"/>
    <cellStyle name="Normal 117" xfId="2596"/>
    <cellStyle name="Normal 118" xfId="2597"/>
    <cellStyle name="Normal 119" xfId="2598"/>
    <cellStyle name="Normal 12" xfId="123"/>
    <cellStyle name="Normal 12 10" xfId="2599"/>
    <cellStyle name="Normal 12 11" xfId="2600"/>
    <cellStyle name="Normal 12 12" xfId="2601"/>
    <cellStyle name="Normal 12 13" xfId="2602"/>
    <cellStyle name="Normal 12 2" xfId="469"/>
    <cellStyle name="Normal 12 2 10" xfId="2603"/>
    <cellStyle name="Normal 12 2 2" xfId="598"/>
    <cellStyle name="Normal 12 2 2 2" xfId="2604"/>
    <cellStyle name="Normal 12 2 2 2 2" xfId="2605"/>
    <cellStyle name="Normal 12 2 2 2 2 2" xfId="2606"/>
    <cellStyle name="Normal 12 2 2 2 2 2 2" xfId="2607"/>
    <cellStyle name="Normal 12 2 2 2 2 3" xfId="2608"/>
    <cellStyle name="Normal 12 2 2 2 3" xfId="2609"/>
    <cellStyle name="Normal 12 2 2 2 3 2" xfId="2610"/>
    <cellStyle name="Normal 12 2 2 2 4" xfId="2611"/>
    <cellStyle name="Normal 12 2 2 2 5" xfId="2612"/>
    <cellStyle name="Normal 12 2 2 2_2013" xfId="2613"/>
    <cellStyle name="Normal 12 2 2 3" xfId="2614"/>
    <cellStyle name="Normal 12 2 2 3 2" xfId="2615"/>
    <cellStyle name="Normal 12 2 2 3 2 2" xfId="2616"/>
    <cellStyle name="Normal 12 2 2 3 3" xfId="2617"/>
    <cellStyle name="Normal 12 2 2 3 4" xfId="2618"/>
    <cellStyle name="Normal 12 2 2 4" xfId="2619"/>
    <cellStyle name="Normal 12 2 2 4 2" xfId="2620"/>
    <cellStyle name="Normal 12 2 2 5" xfId="2621"/>
    <cellStyle name="Normal 12 2 2 6" xfId="2622"/>
    <cellStyle name="Normal 12 2 2_2013" xfId="2623"/>
    <cellStyle name="Normal 12 2 3" xfId="2624"/>
    <cellStyle name="Normal 12 2 3 2" xfId="2625"/>
    <cellStyle name="Normal 12 2 3 2 2" xfId="2626"/>
    <cellStyle name="Normal 12 2 3 2 2 2" xfId="2627"/>
    <cellStyle name="Normal 12 2 3 2 3" xfId="2628"/>
    <cellStyle name="Normal 12 2 3 3" xfId="2629"/>
    <cellStyle name="Normal 12 2 3 3 2" xfId="2630"/>
    <cellStyle name="Normal 12 2 3 3 2 2" xfId="2631"/>
    <cellStyle name="Normal 12 2 3 3 3" xfId="2632"/>
    <cellStyle name="Normal 12 2 3_2013" xfId="2633"/>
    <cellStyle name="Normal 12 2 4" xfId="2634"/>
    <cellStyle name="Normal 12 2 4 2" xfId="2635"/>
    <cellStyle name="Normal 12 2 4 2 2" xfId="2636"/>
    <cellStyle name="Normal 12 2 4 3" xfId="2637"/>
    <cellStyle name="Normal 12 2 4 4" xfId="2638"/>
    <cellStyle name="Normal 12 2 5" xfId="2639"/>
    <cellStyle name="Normal 12 2 5 2" xfId="2640"/>
    <cellStyle name="Normal 12 2 5 2 2" xfId="2641"/>
    <cellStyle name="Normal 12 2 5 3" xfId="2642"/>
    <cellStyle name="Normal 12 2 5 4" xfId="2643"/>
    <cellStyle name="Normal 12 2 6" xfId="2644"/>
    <cellStyle name="Normal 12 2 6 2" xfId="2645"/>
    <cellStyle name="Normal 12 2 6 2 2" xfId="2646"/>
    <cellStyle name="Normal 12 2 6 3" xfId="2647"/>
    <cellStyle name="Normal 12 2 7" xfId="2648"/>
    <cellStyle name="Normal 12 2 7 2" xfId="2649"/>
    <cellStyle name="Normal 12 2 8" xfId="2650"/>
    <cellStyle name="Normal 12 2 9" xfId="2651"/>
    <cellStyle name="Normal 12 2_2012 modified" xfId="2652"/>
    <cellStyle name="Normal 12 3" xfId="287"/>
    <cellStyle name="Normal 12 3 2" xfId="599"/>
    <cellStyle name="Normal 12 3 2 2" xfId="2653"/>
    <cellStyle name="Normal 12 3 2 2 2" xfId="2654"/>
    <cellStyle name="Normal 12 3 2 2 2 2" xfId="2655"/>
    <cellStyle name="Normal 12 3 2 2 3" xfId="2656"/>
    <cellStyle name="Normal 12 3 2 2 4" xfId="2657"/>
    <cellStyle name="Normal 12 3 2 3" xfId="2658"/>
    <cellStyle name="Normal 12 3 2 3 2" xfId="2659"/>
    <cellStyle name="Normal 12 3 2 4" xfId="2660"/>
    <cellStyle name="Normal 12 3 2 5" xfId="2661"/>
    <cellStyle name="Normal 12 3 2 6" xfId="2662"/>
    <cellStyle name="Normal 12 3 2_2013" xfId="2663"/>
    <cellStyle name="Normal 12 3 3" xfId="2664"/>
    <cellStyle name="Normal 12 3 3 2" xfId="2665"/>
    <cellStyle name="Normal 12 3 3 2 2" xfId="2666"/>
    <cellStyle name="Normal 12 3 3 2 2 2" xfId="2667"/>
    <cellStyle name="Normal 12 3 3 2 3" xfId="2668"/>
    <cellStyle name="Normal 12 3 4" xfId="2669"/>
    <cellStyle name="Normal 12 3 5" xfId="2670"/>
    <cellStyle name="Normal 12 3_2013" xfId="2671"/>
    <cellStyle name="Normal 12 4" xfId="600"/>
    <cellStyle name="Normal 12 4 2" xfId="2672"/>
    <cellStyle name="Normal 12 4 2 2" xfId="2673"/>
    <cellStyle name="Normal 12 4 2 2 2" xfId="2674"/>
    <cellStyle name="Normal 12 4 2 2 3" xfId="2675"/>
    <cellStyle name="Normal 12 4 2 3" xfId="2676"/>
    <cellStyle name="Normal 12 4 2 4" xfId="2677"/>
    <cellStyle name="Normal 12 4 2 5" xfId="2678"/>
    <cellStyle name="Normal 12 4 3" xfId="2679"/>
    <cellStyle name="Normal 12 4 3 2" xfId="2680"/>
    <cellStyle name="Normal 12 4 3 3" xfId="2681"/>
    <cellStyle name="Normal 12 4 4" xfId="2682"/>
    <cellStyle name="Normal 12 4 5" xfId="2683"/>
    <cellStyle name="Normal 12 4 6" xfId="2684"/>
    <cellStyle name="Normal 12 4 7" xfId="2685"/>
    <cellStyle name="Normal 12 4_2013" xfId="2686"/>
    <cellStyle name="Normal 12 5" xfId="601"/>
    <cellStyle name="Normal 12 5 2" xfId="2687"/>
    <cellStyle name="Normal 12 5 2 2" xfId="2688"/>
    <cellStyle name="Normal 12 5 3" xfId="2689"/>
    <cellStyle name="Normal 12 5 4" xfId="2690"/>
    <cellStyle name="Normal 12 5 5" xfId="2691"/>
    <cellStyle name="Normal 12 5 6" xfId="2692"/>
    <cellStyle name="Normal 12 6" xfId="602"/>
    <cellStyle name="Normal 12 6 2" xfId="2693"/>
    <cellStyle name="Normal 12 6 2 2" xfId="2694"/>
    <cellStyle name="Normal 12 6 3" xfId="2695"/>
    <cellStyle name="Normal 12 6 3 2" xfId="2696"/>
    <cellStyle name="Normal 12 6 4" xfId="2697"/>
    <cellStyle name="Normal 12 6 5" xfId="2698"/>
    <cellStyle name="Normal 12 6 6" xfId="2699"/>
    <cellStyle name="Normal 12 7" xfId="2700"/>
    <cellStyle name="Normal 12 7 2" xfId="2701"/>
    <cellStyle name="Normal 12 7 3" xfId="2702"/>
    <cellStyle name="Normal 12 8" xfId="2703"/>
    <cellStyle name="Normal 12 8 2" xfId="2704"/>
    <cellStyle name="Normal 12 9" xfId="2705"/>
    <cellStyle name="Normal 12_2012 modified" xfId="2706"/>
    <cellStyle name="Normal 120" xfId="2707"/>
    <cellStyle name="Normal 121" xfId="2708"/>
    <cellStyle name="Normal 122" xfId="2709"/>
    <cellStyle name="Normal 13" xfId="124"/>
    <cellStyle name="Normal 13 10" xfId="2710"/>
    <cellStyle name="Normal 13 11" xfId="2711"/>
    <cellStyle name="Normal 13 12" xfId="2712"/>
    <cellStyle name="Normal 13 13" xfId="2713"/>
    <cellStyle name="Normal 13 2" xfId="470"/>
    <cellStyle name="Normal 13 2 10" xfId="2714"/>
    <cellStyle name="Normal 13 2 11" xfId="2715"/>
    <cellStyle name="Normal 13 2 2" xfId="603"/>
    <cellStyle name="Normal 13 2 2 2" xfId="967"/>
    <cellStyle name="Normal 13 2 2 2 2" xfId="968"/>
    <cellStyle name="Normal 13 2 2 2 2 2" xfId="2716"/>
    <cellStyle name="Normal 13 2 2 2 2 2 2" xfId="2717"/>
    <cellStyle name="Normal 13 2 2 2 2 3" xfId="2718"/>
    <cellStyle name="Normal 13 2 2 2 3" xfId="2719"/>
    <cellStyle name="Normal 13 2 2 2 3 2" xfId="2720"/>
    <cellStyle name="Normal 13 2 2 2 4" xfId="2721"/>
    <cellStyle name="Normal 13 2 2 2 5" xfId="2722"/>
    <cellStyle name="Normal 13 2 2 2_2013" xfId="2723"/>
    <cellStyle name="Normal 13 2 2 3" xfId="969"/>
    <cellStyle name="Normal 13 2 2 3 2" xfId="2724"/>
    <cellStyle name="Normal 13 2 2 3 2 2" xfId="2725"/>
    <cellStyle name="Normal 13 2 2 3 3" xfId="2726"/>
    <cellStyle name="Normal 13 2 2 3 4" xfId="2727"/>
    <cellStyle name="Normal 13 2 2 4" xfId="970"/>
    <cellStyle name="Normal 13 2 2 4 2" xfId="2728"/>
    <cellStyle name="Normal 13 2 2 5" xfId="2729"/>
    <cellStyle name="Normal 13 2 2 6" xfId="2730"/>
    <cellStyle name="Normal 13 2 2_2013" xfId="2731"/>
    <cellStyle name="Normal 13 2 3" xfId="971"/>
    <cellStyle name="Normal 13 2 3 2" xfId="972"/>
    <cellStyle name="Normal 13 2 3 2 2" xfId="2732"/>
    <cellStyle name="Normal 13 2 3 2 2 2" xfId="2733"/>
    <cellStyle name="Normal 13 2 3 2 3" xfId="2734"/>
    <cellStyle name="Normal 13 2 3 2 4" xfId="2735"/>
    <cellStyle name="Normal 13 2 3 3" xfId="973"/>
    <cellStyle name="Normal 13 2 3 3 2" xfId="2736"/>
    <cellStyle name="Normal 13 2 3 3 2 2" xfId="2737"/>
    <cellStyle name="Normal 13 2 3 3 3" xfId="2738"/>
    <cellStyle name="Normal 13 2 3 4" xfId="2739"/>
    <cellStyle name="Normal 13 2 3 5" xfId="2740"/>
    <cellStyle name="Normal 13 2 3_2013" xfId="2741"/>
    <cellStyle name="Normal 13 2 4" xfId="974"/>
    <cellStyle name="Normal 13 2 4 2" xfId="975"/>
    <cellStyle name="Normal 13 2 4 2 2" xfId="2742"/>
    <cellStyle name="Normal 13 2 4 2 3" xfId="2743"/>
    <cellStyle name="Normal 13 2 4 3" xfId="2744"/>
    <cellStyle name="Normal 13 2 4 4" xfId="2745"/>
    <cellStyle name="Normal 13 2 4 5" xfId="2746"/>
    <cellStyle name="Normal 13 2 5" xfId="976"/>
    <cellStyle name="Normal 13 2 5 2" xfId="2747"/>
    <cellStyle name="Normal 13 2 5 2 2" xfId="2748"/>
    <cellStyle name="Normal 13 2 5 2 3" xfId="2749"/>
    <cellStyle name="Normal 13 2 5 3" xfId="2750"/>
    <cellStyle name="Normal 13 2 5 4" xfId="2751"/>
    <cellStyle name="Normal 13 2 5 5" xfId="2752"/>
    <cellStyle name="Normal 13 2 6" xfId="977"/>
    <cellStyle name="Normal 13 2 6 2" xfId="2753"/>
    <cellStyle name="Normal 13 2 6 2 2" xfId="2754"/>
    <cellStyle name="Normal 13 2 6 3" xfId="2755"/>
    <cellStyle name="Normal 13 2 6 4" xfId="2756"/>
    <cellStyle name="Normal 13 2 7" xfId="2757"/>
    <cellStyle name="Normal 13 2 7 2" xfId="2758"/>
    <cellStyle name="Normal 13 2 8" xfId="2759"/>
    <cellStyle name="Normal 13 2 9" xfId="2760"/>
    <cellStyle name="Normal 13 2_2012 modified" xfId="2761"/>
    <cellStyle name="Normal 13 3" xfId="288"/>
    <cellStyle name="Normal 13 3 2" xfId="604"/>
    <cellStyle name="Normal 13 3 2 2" xfId="978"/>
    <cellStyle name="Normal 13 3 2 2 2" xfId="2762"/>
    <cellStyle name="Normal 13 3 2 2 2 2" xfId="2763"/>
    <cellStyle name="Normal 13 3 2 2 3" xfId="2764"/>
    <cellStyle name="Normal 13 3 2 2 4" xfId="2765"/>
    <cellStyle name="Normal 13 3 2 2 5" xfId="2766"/>
    <cellStyle name="Normal 13 3 2 3" xfId="2767"/>
    <cellStyle name="Normal 13 3 2 3 2" xfId="2768"/>
    <cellStyle name="Normal 13 3 2 4" xfId="2769"/>
    <cellStyle name="Normal 13 3 2 5" xfId="2770"/>
    <cellStyle name="Normal 13 3 2 6" xfId="2771"/>
    <cellStyle name="Normal 13 3 2 7" xfId="2772"/>
    <cellStyle name="Normal 13 3 2_2013" xfId="2773"/>
    <cellStyle name="Normal 13 3 3" xfId="979"/>
    <cellStyle name="Normal 13 3 3 2" xfId="2774"/>
    <cellStyle name="Normal 13 3 3 2 2" xfId="2775"/>
    <cellStyle name="Normal 13 3 3 3" xfId="2776"/>
    <cellStyle name="Normal 13 3 4" xfId="980"/>
    <cellStyle name="Normal 13 3 5" xfId="2777"/>
    <cellStyle name="Normal 13 3_2013" xfId="2778"/>
    <cellStyle name="Normal 13 4" xfId="605"/>
    <cellStyle name="Normal 13 4 2" xfId="981"/>
    <cellStyle name="Normal 13 4 2 2" xfId="2779"/>
    <cellStyle name="Normal 13 4 2 2 2" xfId="2780"/>
    <cellStyle name="Normal 13 4 2 2 3" xfId="2781"/>
    <cellStyle name="Normal 13 4 2 3" xfId="2782"/>
    <cellStyle name="Normal 13 4 2 4" xfId="2783"/>
    <cellStyle name="Normal 13 4 2 5" xfId="2784"/>
    <cellStyle name="Normal 13 4 3" xfId="982"/>
    <cellStyle name="Normal 13 4 3 2" xfId="2785"/>
    <cellStyle name="Normal 13 4 3 3" xfId="2786"/>
    <cellStyle name="Normal 13 4 4" xfId="2787"/>
    <cellStyle name="Normal 13 4 5" xfId="2788"/>
    <cellStyle name="Normal 13 4 6" xfId="2789"/>
    <cellStyle name="Normal 13 4 7" xfId="2790"/>
    <cellStyle name="Normal 13 4_2013" xfId="2791"/>
    <cellStyle name="Normal 13 5" xfId="606"/>
    <cellStyle name="Normal 13 5 2" xfId="983"/>
    <cellStyle name="Normal 13 5 2 2" xfId="2792"/>
    <cellStyle name="Normal 13 5 2 3" xfId="2793"/>
    <cellStyle name="Normal 13 5 3" xfId="2794"/>
    <cellStyle name="Normal 13 5 4" xfId="2795"/>
    <cellStyle name="Normal 13 5 5" xfId="2796"/>
    <cellStyle name="Normal 13 5 6" xfId="2797"/>
    <cellStyle name="Normal 13 5 7" xfId="2798"/>
    <cellStyle name="Normal 13 6" xfId="607"/>
    <cellStyle name="Normal 13 6 2" xfId="2799"/>
    <cellStyle name="Normal 13 6 2 2" xfId="2800"/>
    <cellStyle name="Normal 13 6 3" xfId="2801"/>
    <cellStyle name="Normal 13 6 3 2" xfId="2802"/>
    <cellStyle name="Normal 13 6 4" xfId="2803"/>
    <cellStyle name="Normal 13 6 5" xfId="2804"/>
    <cellStyle name="Normal 13 6 6" xfId="2805"/>
    <cellStyle name="Normal 13 7" xfId="984"/>
    <cellStyle name="Normal 13 7 2" xfId="2806"/>
    <cellStyle name="Normal 13 7 3" xfId="2807"/>
    <cellStyle name="Normal 13 8" xfId="2808"/>
    <cellStyle name="Normal 13 8 2" xfId="2809"/>
    <cellStyle name="Normal 13 9" xfId="2810"/>
    <cellStyle name="Normal 13_2012 modified" xfId="2811"/>
    <cellStyle name="Normal 14" xfId="125"/>
    <cellStyle name="Normal 14 10" xfId="2812"/>
    <cellStyle name="Normal 14 2" xfId="471"/>
    <cellStyle name="Normal 14 2 2" xfId="985"/>
    <cellStyle name="Normal 14 2 2 2" xfId="986"/>
    <cellStyle name="Normal 14 2 2 2 2" xfId="2813"/>
    <cellStyle name="Normal 14 2 2 3" xfId="2814"/>
    <cellStyle name="Normal 14 2 2 4" xfId="2815"/>
    <cellStyle name="Normal 14 2 3" xfId="987"/>
    <cellStyle name="Normal 14 2 4" xfId="988"/>
    <cellStyle name="Normal 14 2 4 2" xfId="2816"/>
    <cellStyle name="Normal 14 2 5" xfId="2817"/>
    <cellStyle name="Normal 14 2 5 2" xfId="2818"/>
    <cellStyle name="Normal 14 2 6" xfId="2819"/>
    <cellStyle name="Normal 14 2 7" xfId="2820"/>
    <cellStyle name="Normal 14 2 8" xfId="2821"/>
    <cellStyle name="Normal 14 3" xfId="289"/>
    <cellStyle name="Normal 14 3 2" xfId="608"/>
    <cellStyle name="Normal 14 3 2 2" xfId="2822"/>
    <cellStyle name="Normal 14 3 2 2 2" xfId="2823"/>
    <cellStyle name="Normal 14 3 2 2 3" xfId="2824"/>
    <cellStyle name="Normal 14 3 2 3" xfId="2825"/>
    <cellStyle name="Normal 14 3 2 4" xfId="2826"/>
    <cellStyle name="Normal 14 3 2 5" xfId="2827"/>
    <cellStyle name="Normal 14 3 2 6" xfId="2828"/>
    <cellStyle name="Normal 14 3 2 7" xfId="2829"/>
    <cellStyle name="Normal 14 3 3" xfId="989"/>
    <cellStyle name="Normal 14 4" xfId="609"/>
    <cellStyle name="Normal 14 4 2" xfId="990"/>
    <cellStyle name="Normal 14 4 2 2" xfId="2830"/>
    <cellStyle name="Normal 14 4 2 2 2" xfId="2831"/>
    <cellStyle name="Normal 14 4 2 3" xfId="2832"/>
    <cellStyle name="Normal 14 4 3" xfId="2833"/>
    <cellStyle name="Normal 14 4 3 2" xfId="2834"/>
    <cellStyle name="Normal 14 4 4" xfId="2835"/>
    <cellStyle name="Normal 14 4 5" xfId="2836"/>
    <cellStyle name="Normal 14 4 6" xfId="2837"/>
    <cellStyle name="Normal 14 4 7" xfId="2838"/>
    <cellStyle name="Normal 14 5" xfId="610"/>
    <cellStyle name="Normal 14 5 2" xfId="2839"/>
    <cellStyle name="Normal 14 5 2 2" xfId="2840"/>
    <cellStyle name="Normal 14 5 3" xfId="2841"/>
    <cellStyle name="Normal 14 5 4" xfId="2842"/>
    <cellStyle name="Normal 14 5 5" xfId="2843"/>
    <cellStyle name="Normal 14 5 6" xfId="2844"/>
    <cellStyle name="Normal 14 6" xfId="991"/>
    <cellStyle name="Normal 14 6 2" xfId="2845"/>
    <cellStyle name="Normal 14 6 2 2" xfId="2846"/>
    <cellStyle name="Normal 14 6 2 3" xfId="2847"/>
    <cellStyle name="Normal 14 6 3" xfId="2848"/>
    <cellStyle name="Normal 14 6 4" xfId="2849"/>
    <cellStyle name="Normal 14 6 5" xfId="2850"/>
    <cellStyle name="Normal 14 6 6" xfId="2851"/>
    <cellStyle name="Normal 14 6 7" xfId="2852"/>
    <cellStyle name="Normal 14 7" xfId="992"/>
    <cellStyle name="Normal 14 8" xfId="2853"/>
    <cellStyle name="Normal 14 9" xfId="2854"/>
    <cellStyle name="Normal 14_2012 modified" xfId="2855"/>
    <cellStyle name="Normal 15" xfId="126"/>
    <cellStyle name="Normal 15 2" xfId="472"/>
    <cellStyle name="Normal 15 2 10" xfId="2856"/>
    <cellStyle name="Normal 15 2 2" xfId="2857"/>
    <cellStyle name="Normal 15 2 2 2" xfId="2858"/>
    <cellStyle name="Normal 15 2 2 2 2" xfId="2859"/>
    <cellStyle name="Normal 15 2 2 3" xfId="2860"/>
    <cellStyle name="Normal 15 2 2 4" xfId="2861"/>
    <cellStyle name="Normal 15 2 3" xfId="2862"/>
    <cellStyle name="Normal 15 2 3 2" xfId="2863"/>
    <cellStyle name="Normal 15 2 3 2 2" xfId="2864"/>
    <cellStyle name="Normal 15 2 3 3" xfId="2865"/>
    <cellStyle name="Normal 15 2 4" xfId="2866"/>
    <cellStyle name="Normal 15 2 4 2" xfId="2867"/>
    <cellStyle name="Normal 15 2 4 3" xfId="2868"/>
    <cellStyle name="Normal 15 2 5" xfId="2869"/>
    <cellStyle name="Normal 15 2 6" xfId="2870"/>
    <cellStyle name="Normal 15 2 7" xfId="2871"/>
    <cellStyle name="Normal 15 2 8" xfId="2872"/>
    <cellStyle name="Normal 15 2 9" xfId="2873"/>
    <cellStyle name="Normal 15 3" xfId="290"/>
    <cellStyle name="Normal 15 3 2" xfId="2874"/>
    <cellStyle name="Normal 15 3 2 2" xfId="2875"/>
    <cellStyle name="Normal 15 3 2 2 2" xfId="2876"/>
    <cellStyle name="Normal 15 3 2 2 3" xfId="2877"/>
    <cellStyle name="Normal 15 3 2 3" xfId="2878"/>
    <cellStyle name="Normal 15 3 2 4" xfId="2879"/>
    <cellStyle name="Normal 15 3 2 5" xfId="2880"/>
    <cellStyle name="Normal 15 3 2 6" xfId="2881"/>
    <cellStyle name="Normal 15 3 2 7" xfId="2882"/>
    <cellStyle name="Normal 15 3 3" xfId="2883"/>
    <cellStyle name="Normal 15 3 3 2" xfId="2884"/>
    <cellStyle name="Normal 15 3 4" xfId="2885"/>
    <cellStyle name="Normal 15 4" xfId="611"/>
    <cellStyle name="Normal 15 4 2" xfId="2886"/>
    <cellStyle name="Normal 15 4 2 2" xfId="2887"/>
    <cellStyle name="Normal 15 4 2 2 2" xfId="2888"/>
    <cellStyle name="Normal 15 4 2 3" xfId="2889"/>
    <cellStyle name="Normal 15 4 2 4" xfId="2890"/>
    <cellStyle name="Normal 15 4 2 5" xfId="2891"/>
    <cellStyle name="Normal 15 4 2 6" xfId="2892"/>
    <cellStyle name="Normal 15 5" xfId="612"/>
    <cellStyle name="Normal 15 5 2" xfId="2893"/>
    <cellStyle name="Normal 15 5 2 2" xfId="2894"/>
    <cellStyle name="Normal 15 5 3" xfId="2895"/>
    <cellStyle name="Normal 15 5 4" xfId="2896"/>
    <cellStyle name="Normal 15 5 5" xfId="2897"/>
    <cellStyle name="Normal 15 5 6" xfId="2898"/>
    <cellStyle name="Normal 15 6" xfId="2899"/>
    <cellStyle name="Normal 15 6 2" xfId="2900"/>
    <cellStyle name="Normal 15 6 2 2" xfId="2901"/>
    <cellStyle name="Normal 15 6 3" xfId="2902"/>
    <cellStyle name="Normal 15 6 4" xfId="2903"/>
    <cellStyle name="Normal 15 6 5" xfId="2904"/>
    <cellStyle name="Normal 15 6 6" xfId="2905"/>
    <cellStyle name="Normal 15 7" xfId="2906"/>
    <cellStyle name="Normal 15 7 2" xfId="2907"/>
    <cellStyle name="Normal 15 8" xfId="2908"/>
    <cellStyle name="Normal 15_2014" xfId="2909"/>
    <cellStyle name="Normal 16" xfId="127"/>
    <cellStyle name="Normal 16 10" xfId="2910"/>
    <cellStyle name="Normal 16 2" xfId="417"/>
    <cellStyle name="Normal 16 2 2" xfId="2911"/>
    <cellStyle name="Normal 16 2 2 2" xfId="2912"/>
    <cellStyle name="Normal 16 2 2 2 2" xfId="2913"/>
    <cellStyle name="Normal 16 2 2 2 2 2" xfId="2914"/>
    <cellStyle name="Normal 16 2 2 2 3" xfId="2915"/>
    <cellStyle name="Normal 16 2 2 2 4" xfId="2916"/>
    <cellStyle name="Normal 16 2 2 3" xfId="2917"/>
    <cellStyle name="Normal 16 2 2 3 2" xfId="2918"/>
    <cellStyle name="Normal 16 2 2 4" xfId="2919"/>
    <cellStyle name="Normal 16 2 2 5" xfId="2920"/>
    <cellStyle name="Normal 16 2 2 6" xfId="2921"/>
    <cellStyle name="Normal 16 2 2_2013" xfId="2922"/>
    <cellStyle name="Normal 16 2 3" xfId="2923"/>
    <cellStyle name="Normal 16 2 3 2" xfId="2924"/>
    <cellStyle name="Normal 16 2 3 2 2" xfId="2925"/>
    <cellStyle name="Normal 16 2 3 2 2 2" xfId="2926"/>
    <cellStyle name="Normal 16 2 3 2 3" xfId="2927"/>
    <cellStyle name="Normal 16 2 3 2 4" xfId="2928"/>
    <cellStyle name="Normal 16 2 3 3" xfId="2929"/>
    <cellStyle name="Normal 16 2 3 4" xfId="2930"/>
    <cellStyle name="Normal 16 2 4" xfId="2931"/>
    <cellStyle name="Normal 16 2 4 2" xfId="2932"/>
    <cellStyle name="Normal 16 2 4 2 2" xfId="2933"/>
    <cellStyle name="Normal 16 2 4 3" xfId="2934"/>
    <cellStyle name="Normal 16 2 4 4" xfId="2935"/>
    <cellStyle name="Normal 16 2 4 5" xfId="2936"/>
    <cellStyle name="Normal 16 2 5" xfId="2937"/>
    <cellStyle name="Normal 16 2 5 2" xfId="2938"/>
    <cellStyle name="Normal 16 2 5 2 2" xfId="2939"/>
    <cellStyle name="Normal 16 2 5 3" xfId="2940"/>
    <cellStyle name="Normal 16 2 5 4" xfId="2941"/>
    <cellStyle name="Normal 16 2 6" xfId="2942"/>
    <cellStyle name="Normal 16 2 6 2" xfId="2943"/>
    <cellStyle name="Normal 16 2 7" xfId="2944"/>
    <cellStyle name="Normal 16 2 8" xfId="2945"/>
    <cellStyle name="Normal 16 2 9" xfId="2946"/>
    <cellStyle name="Normal 16 2_2013" xfId="2947"/>
    <cellStyle name="Normal 16 3" xfId="291"/>
    <cellStyle name="Normal 16 3 2" xfId="2948"/>
    <cellStyle name="Normal 16 3 2 2" xfId="2949"/>
    <cellStyle name="Normal 16 3 2 2 2" xfId="2950"/>
    <cellStyle name="Normal 16 3 2 2 2 2" xfId="2951"/>
    <cellStyle name="Normal 16 3 2 2 3" xfId="2952"/>
    <cellStyle name="Normal 16 3 2 3" xfId="2953"/>
    <cellStyle name="Normal 16 3 3" xfId="2954"/>
    <cellStyle name="Normal 16 3 3 2" xfId="2955"/>
    <cellStyle name="Normal 16 3 3 2 2" xfId="2956"/>
    <cellStyle name="Normal 16 3 3 2 2 2" xfId="2957"/>
    <cellStyle name="Normal 16 3 3 2 3" xfId="2958"/>
    <cellStyle name="Normal 16 3 3 3" xfId="2959"/>
    <cellStyle name="Normal 16 3 3 3 2" xfId="2960"/>
    <cellStyle name="Normal 16 3 3 4" xfId="2961"/>
    <cellStyle name="Normal 16 3 4" xfId="2962"/>
    <cellStyle name="Normal 16 3 4 2" xfId="2963"/>
    <cellStyle name="Normal 16 3_2013" xfId="2964"/>
    <cellStyle name="Normal 16 4" xfId="2965"/>
    <cellStyle name="Normal 16 4 2" xfId="2966"/>
    <cellStyle name="Normal 16 4 2 2" xfId="2967"/>
    <cellStyle name="Normal 16 4 2 2 2" xfId="2968"/>
    <cellStyle name="Normal 16 4 2 3" xfId="2969"/>
    <cellStyle name="Normal 16 5" xfId="2970"/>
    <cellStyle name="Normal 16 6" xfId="2971"/>
    <cellStyle name="Normal 16 7" xfId="2972"/>
    <cellStyle name="Normal 16 8" xfId="2973"/>
    <cellStyle name="Normal 16 9" xfId="2974"/>
    <cellStyle name="Normal 16_2012 modified" xfId="2975"/>
    <cellStyle name="Normal 17" xfId="128"/>
    <cellStyle name="Normal 17 10" xfId="2976"/>
    <cellStyle name="Normal 17 2" xfId="418"/>
    <cellStyle name="Normal 17 2 2" xfId="2977"/>
    <cellStyle name="Normal 17 2 2 2" xfId="2978"/>
    <cellStyle name="Normal 17 2 2 2 2" xfId="2979"/>
    <cellStyle name="Normal 17 2 2 2 2 2" xfId="2980"/>
    <cellStyle name="Normal 17 2 2 2 3" xfId="2981"/>
    <cellStyle name="Normal 17 2 2 3" xfId="2982"/>
    <cellStyle name="Normal 17 2 2 3 2" xfId="2983"/>
    <cellStyle name="Normal 17 2 2 4" xfId="2984"/>
    <cellStyle name="Normal 17 2 2 5" xfId="2985"/>
    <cellStyle name="Normal 17 2 2_2013" xfId="2986"/>
    <cellStyle name="Normal 17 2 3" xfId="2987"/>
    <cellStyle name="Normal 17 2 3 2" xfId="2988"/>
    <cellStyle name="Normal 17 2 3 2 2" xfId="2989"/>
    <cellStyle name="Normal 17 2 3 2 2 2" xfId="2990"/>
    <cellStyle name="Normal 17 2 3 2 3" xfId="2991"/>
    <cellStyle name="Normal 17 2 4" xfId="2992"/>
    <cellStyle name="Normal 17 2 4 2" xfId="2993"/>
    <cellStyle name="Normal 17 2 4 2 2" xfId="2994"/>
    <cellStyle name="Normal 17 2 4 3" xfId="2995"/>
    <cellStyle name="Normal 17 2 4 4" xfId="2996"/>
    <cellStyle name="Normal 17 2 5" xfId="2997"/>
    <cellStyle name="Normal 17 2 5 2" xfId="2998"/>
    <cellStyle name="Normal 17 2 5 2 2" xfId="2999"/>
    <cellStyle name="Normal 17 2 5 3" xfId="3000"/>
    <cellStyle name="Normal 17 2 5 4" xfId="3001"/>
    <cellStyle name="Normal 17 2 6" xfId="3002"/>
    <cellStyle name="Normal 17 2 6 2" xfId="3003"/>
    <cellStyle name="Normal 17 2 7" xfId="3004"/>
    <cellStyle name="Normal 17 2 8" xfId="3005"/>
    <cellStyle name="Normal 17 2_2013" xfId="3006"/>
    <cellStyle name="Normal 17 3" xfId="292"/>
    <cellStyle name="Normal 17 3 2" xfId="3007"/>
    <cellStyle name="Normal 17 3 2 2" xfId="3008"/>
    <cellStyle name="Normal 17 3 2 2 2" xfId="3009"/>
    <cellStyle name="Normal 17 3 2 2 2 2" xfId="3010"/>
    <cellStyle name="Normal 17 3 2 2 3" xfId="3011"/>
    <cellStyle name="Normal 17 3 2 3" xfId="3012"/>
    <cellStyle name="Normal 17 3 3" xfId="3013"/>
    <cellStyle name="Normal 17 3 3 2" xfId="3014"/>
    <cellStyle name="Normal 17 3 3 2 2" xfId="3015"/>
    <cellStyle name="Normal 17 3 3 2 2 2" xfId="3016"/>
    <cellStyle name="Normal 17 3 3 2 3" xfId="3017"/>
    <cellStyle name="Normal 17 3 3 3" xfId="3018"/>
    <cellStyle name="Normal 17 3 3 3 2" xfId="3019"/>
    <cellStyle name="Normal 17 3 3 4" xfId="3020"/>
    <cellStyle name="Normal 17 3 4" xfId="3021"/>
    <cellStyle name="Normal 17 3 4 2" xfId="3022"/>
    <cellStyle name="Normal 17 3_2013" xfId="3023"/>
    <cellStyle name="Normal 17 4" xfId="3024"/>
    <cellStyle name="Normal 17 4 2" xfId="3025"/>
    <cellStyle name="Normal 17 4 2 2" xfId="3026"/>
    <cellStyle name="Normal 17 4 2 2 2" xfId="3027"/>
    <cellStyle name="Normal 17 4 2 3" xfId="3028"/>
    <cellStyle name="Normal 17 5" xfId="3029"/>
    <cellStyle name="Normal 17 6" xfId="3030"/>
    <cellStyle name="Normal 17 7" xfId="3031"/>
    <cellStyle name="Normal 17 8" xfId="3032"/>
    <cellStyle name="Normal 17 9" xfId="3033"/>
    <cellStyle name="Normal 17_2012 modified" xfId="3034"/>
    <cellStyle name="Normal 18" xfId="129"/>
    <cellStyle name="Normal 18 10" xfId="3035"/>
    <cellStyle name="Normal 18 2" xfId="419"/>
    <cellStyle name="Normal 18 2 10" xfId="3036"/>
    <cellStyle name="Normal 18 2 2" xfId="3037"/>
    <cellStyle name="Normal 18 2 2 2" xfId="3038"/>
    <cellStyle name="Normal 18 2 2 2 2" xfId="3039"/>
    <cellStyle name="Normal 18 2 2 2 2 2" xfId="3040"/>
    <cellStyle name="Normal 18 2 2 2 3" xfId="3041"/>
    <cellStyle name="Normal 18 2 2 3" xfId="3042"/>
    <cellStyle name="Normal 18 2 2 3 2" xfId="3043"/>
    <cellStyle name="Normal 18 2 2 4" xfId="3044"/>
    <cellStyle name="Normal 18 2 2 5" xfId="3045"/>
    <cellStyle name="Normal 18 2 2_2013" xfId="3046"/>
    <cellStyle name="Normal 18 2 3" xfId="3047"/>
    <cellStyle name="Normal 18 2 3 2" xfId="3048"/>
    <cellStyle name="Normal 18 2 3 2 2" xfId="3049"/>
    <cellStyle name="Normal 18 2 3 2 2 2" xfId="3050"/>
    <cellStyle name="Normal 18 2 3 2 3" xfId="3051"/>
    <cellStyle name="Normal 18 2 4" xfId="3052"/>
    <cellStyle name="Normal 18 2 4 2" xfId="3053"/>
    <cellStyle name="Normal 18 2 4 2 2" xfId="3054"/>
    <cellStyle name="Normal 18 2 4 3" xfId="3055"/>
    <cellStyle name="Normal 18 2 4 4" xfId="3056"/>
    <cellStyle name="Normal 18 2 5" xfId="3057"/>
    <cellStyle name="Normal 18 2 5 2" xfId="3058"/>
    <cellStyle name="Normal 18 2 5 2 2" xfId="3059"/>
    <cellStyle name="Normal 18 2 5 3" xfId="3060"/>
    <cellStyle name="Normal 18 2 5 4" xfId="3061"/>
    <cellStyle name="Normal 18 2 6" xfId="3062"/>
    <cellStyle name="Normal 18 2 6 2" xfId="3063"/>
    <cellStyle name="Normal 18 2 7" xfId="3064"/>
    <cellStyle name="Normal 18 2 8" xfId="3065"/>
    <cellStyle name="Normal 18 2 9" xfId="3066"/>
    <cellStyle name="Normal 18 2_2013" xfId="3067"/>
    <cellStyle name="Normal 18 3" xfId="293"/>
    <cellStyle name="Normal 18 3 2" xfId="3068"/>
    <cellStyle name="Normal 18 3 2 2" xfId="3069"/>
    <cellStyle name="Normal 18 3 2 2 2" xfId="3070"/>
    <cellStyle name="Normal 18 3 2 2 2 2" xfId="3071"/>
    <cellStyle name="Normal 18 3 2 2 3" xfId="3072"/>
    <cellStyle name="Normal 18 3 2 3" xfId="3073"/>
    <cellStyle name="Normal 18 3 3" xfId="3074"/>
    <cellStyle name="Normal 18 3 3 2" xfId="3075"/>
    <cellStyle name="Normal 18 3 3 2 2" xfId="3076"/>
    <cellStyle name="Normal 18 3 3 2 2 2" xfId="3077"/>
    <cellStyle name="Normal 18 3 3 2 3" xfId="3078"/>
    <cellStyle name="Normal 18 3 3 3" xfId="3079"/>
    <cellStyle name="Normal 18 3 3 3 2" xfId="3080"/>
    <cellStyle name="Normal 18 3 3 4" xfId="3081"/>
    <cellStyle name="Normal 18 3 4" xfId="3082"/>
    <cellStyle name="Normal 18 3 4 2" xfId="3083"/>
    <cellStyle name="Normal 18 3_2013" xfId="3084"/>
    <cellStyle name="Normal 18 4" xfId="3085"/>
    <cellStyle name="Normal 18 4 2" xfId="3086"/>
    <cellStyle name="Normal 18 4 2 2" xfId="3087"/>
    <cellStyle name="Normal 18 4 2 2 2" xfId="3088"/>
    <cellStyle name="Normal 18 4 2 3" xfId="3089"/>
    <cellStyle name="Normal 18 5" xfId="3090"/>
    <cellStyle name="Normal 18 6" xfId="3091"/>
    <cellStyle name="Normal 18 7" xfId="3092"/>
    <cellStyle name="Normal 18 8" xfId="3093"/>
    <cellStyle name="Normal 18 9" xfId="3094"/>
    <cellStyle name="Normal 18_2012 modified" xfId="3095"/>
    <cellStyle name="Normal 19" xfId="130"/>
    <cellStyle name="Normal 19 2" xfId="420"/>
    <cellStyle name="Normal 19 2 10" xfId="3096"/>
    <cellStyle name="Normal 19 2 2" xfId="3097"/>
    <cellStyle name="Normal 19 2 2 2" xfId="3098"/>
    <cellStyle name="Normal 19 2 2 2 2" xfId="3099"/>
    <cellStyle name="Normal 19 2 2 3" xfId="3100"/>
    <cellStyle name="Normal 19 2 2 4" xfId="3101"/>
    <cellStyle name="Normal 19 2 3" xfId="3102"/>
    <cellStyle name="Normal 19 2 3 2" xfId="3103"/>
    <cellStyle name="Normal 19 2 3 2 2" xfId="3104"/>
    <cellStyle name="Normal 19 2 3 2 2 2" xfId="3105"/>
    <cellStyle name="Normal 19 2 3 2 3" xfId="3106"/>
    <cellStyle name="Normal 19 2 3 2 4" xfId="3107"/>
    <cellStyle name="Normal 19 2 3 3" xfId="3108"/>
    <cellStyle name="Normal 19 2 3 4" xfId="3109"/>
    <cellStyle name="Normal 19 2 4" xfId="3110"/>
    <cellStyle name="Normal 19 2 4 2" xfId="3111"/>
    <cellStyle name="Normal 19 2 4 3" xfId="3112"/>
    <cellStyle name="Normal 19 2 5" xfId="3113"/>
    <cellStyle name="Normal 19 2 6" xfId="3114"/>
    <cellStyle name="Normal 19 2 7" xfId="3115"/>
    <cellStyle name="Normal 19 2 8" xfId="3116"/>
    <cellStyle name="Normal 19 2 9" xfId="3117"/>
    <cellStyle name="Normal 19 2_2013" xfId="3118"/>
    <cellStyle name="Normal 19 3" xfId="294"/>
    <cellStyle name="Normal 19 3 2" xfId="3119"/>
    <cellStyle name="Normal 19 3 2 2" xfId="3120"/>
    <cellStyle name="Normal 19 3 3" xfId="3121"/>
    <cellStyle name="Normal 19 3 3 2" xfId="3122"/>
    <cellStyle name="Normal 19 3 3 2 2" xfId="3123"/>
    <cellStyle name="Normal 19 3 3 2 2 2" xfId="3124"/>
    <cellStyle name="Normal 19 3 3 2 3" xfId="3125"/>
    <cellStyle name="Normal 19 3 3 3" xfId="3126"/>
    <cellStyle name="Normal 19 3 3 3 2" xfId="3127"/>
    <cellStyle name="Normal 19 3 3 4" xfId="3128"/>
    <cellStyle name="Normal 19 3 4" xfId="3129"/>
    <cellStyle name="Normal 19 3 4 2" xfId="3130"/>
    <cellStyle name="Normal 19 4" xfId="3131"/>
    <cellStyle name="Normal 19 4 2" xfId="3132"/>
    <cellStyle name="Normal 19 5" xfId="3133"/>
    <cellStyle name="Normal 19 6" xfId="3134"/>
    <cellStyle name="Normal 19 6 2" xfId="3135"/>
    <cellStyle name="Normal 19 7" xfId="3136"/>
    <cellStyle name="Normal 19_2013" xfId="3137"/>
    <cellStyle name="Normal 2" xfId="131"/>
    <cellStyle name="Normal 2 10" xfId="421"/>
    <cellStyle name="Normal 2 10 2" xfId="3138"/>
    <cellStyle name="Normal 2 10 3" xfId="3139"/>
    <cellStyle name="Normal 2 11" xfId="422"/>
    <cellStyle name="Normal 2 11 2" xfId="3140"/>
    <cellStyle name="Normal 2 11 2 2" xfId="3141"/>
    <cellStyle name="Normal 2 11 3" xfId="3142"/>
    <cellStyle name="Normal 2 12" xfId="3143"/>
    <cellStyle name="Normal 2 12 2" xfId="3144"/>
    <cellStyle name="Normal 2 13" xfId="3145"/>
    <cellStyle name="Normal 2 13 2" xfId="3146"/>
    <cellStyle name="Normal 2 13 2 2" xfId="3147"/>
    <cellStyle name="Normal 2 13 2 3" xfId="3148"/>
    <cellStyle name="Normal 2 13 3" xfId="3149"/>
    <cellStyle name="Normal 2 13 4" xfId="3150"/>
    <cellStyle name="Normal 2 14" xfId="3151"/>
    <cellStyle name="Normal 2 14 2" xfId="3152"/>
    <cellStyle name="Normal 2 14 3" xfId="3153"/>
    <cellStyle name="Normal 2 2" xfId="132"/>
    <cellStyle name="Normal 2 2 10" xfId="993"/>
    <cellStyle name="Normal 2 2 11" xfId="994"/>
    <cellStyle name="Normal 2 2 2" xfId="133"/>
    <cellStyle name="Normal 2 2 2 10" xfId="995"/>
    <cellStyle name="Normal 2 2 2 2" xfId="423"/>
    <cellStyle name="Normal 2 2 2 2 2" xfId="996"/>
    <cellStyle name="Normal 2 2 2 2 2 2" xfId="997"/>
    <cellStyle name="Normal 2 2 2 2 2 2 2" xfId="998"/>
    <cellStyle name="Normal 2 2 2 2 2 2 2 2" xfId="999"/>
    <cellStyle name="Normal 2 2 2 2 2 2 2 3" xfId="3154"/>
    <cellStyle name="Normal 2 2 2 2 2 2 3" xfId="1000"/>
    <cellStyle name="Normal 2 2 2 2 2 2 4" xfId="1001"/>
    <cellStyle name="Normal 2 2 2 2 2 3" xfId="1002"/>
    <cellStyle name="Normal 2 2 2 2 2 3 2" xfId="1003"/>
    <cellStyle name="Normal 2 2 2 2 2 3 2 2" xfId="3155"/>
    <cellStyle name="Normal 2 2 2 2 2 3 2 3" xfId="3156"/>
    <cellStyle name="Normal 2 2 2 2 2 3 3" xfId="1004"/>
    <cellStyle name="Normal 2 2 2 2 2 4" xfId="1005"/>
    <cellStyle name="Normal 2 2 2 2 2 4 2" xfId="1006"/>
    <cellStyle name="Normal 2 2 2 2 2 4 3" xfId="1007"/>
    <cellStyle name="Normal 2 2 2 2 2 5" xfId="1008"/>
    <cellStyle name="Normal 2 2 2 2 2 5 2" xfId="1009"/>
    <cellStyle name="Normal 2 2 2 2 2 5 3" xfId="3157"/>
    <cellStyle name="Normal 2 2 2 2 2 6" xfId="1010"/>
    <cellStyle name="Normal 2 2 2 2 2 7" xfId="1011"/>
    <cellStyle name="Normal 2 2 2 2 3" xfId="1012"/>
    <cellStyle name="Normal 2 2 2 2 3 2" xfId="1013"/>
    <cellStyle name="Normal 2 2 2 2 3 2 2" xfId="1014"/>
    <cellStyle name="Normal 2 2 2 2 3 3" xfId="1015"/>
    <cellStyle name="Normal 2 2 2 2 3 3 2" xfId="3158"/>
    <cellStyle name="Normal 2 2 2 2 3 3 3" xfId="3159"/>
    <cellStyle name="Normal 2 2 2 2 3 4" xfId="1016"/>
    <cellStyle name="Normal 2 2 2 2 3 5" xfId="3160"/>
    <cellStyle name="Normal 2 2 2 2 4" xfId="1017"/>
    <cellStyle name="Normal 2 2 2 2 4 2" xfId="1018"/>
    <cellStyle name="Normal 2 2 2 2 4 3" xfId="1019"/>
    <cellStyle name="Normal 2 2 2 2 5" xfId="1020"/>
    <cellStyle name="Normal 2 2 2 2 5 2" xfId="1021"/>
    <cellStyle name="Normal 2 2 2 2 5 3" xfId="1022"/>
    <cellStyle name="Normal 2 2 2 2 6" xfId="1023"/>
    <cellStyle name="Normal 2 2 2 2 6 2" xfId="1024"/>
    <cellStyle name="Normal 2 2 2 2 7" xfId="1025"/>
    <cellStyle name="Normal 2 2 2 2 8" xfId="1026"/>
    <cellStyle name="Normal 2 2 2 2_District-Division Listing" xfId="3161"/>
    <cellStyle name="Normal 2 2 2 3" xfId="1027"/>
    <cellStyle name="Normal 2 2 2 3 2" xfId="1028"/>
    <cellStyle name="Normal 2 2 2 3 2 2" xfId="1029"/>
    <cellStyle name="Normal 2 2 2 3 2 2 2" xfId="1030"/>
    <cellStyle name="Normal 2 2 2 3 2 2 3" xfId="3162"/>
    <cellStyle name="Normal 2 2 2 3 2 3" xfId="1031"/>
    <cellStyle name="Normal 2 2 2 3 2 4" xfId="1032"/>
    <cellStyle name="Normal 2 2 2 3 3" xfId="1033"/>
    <cellStyle name="Normal 2 2 2 3 3 2" xfId="1034"/>
    <cellStyle name="Normal 2 2 2 3 3 2 2" xfId="3163"/>
    <cellStyle name="Normal 2 2 2 3 3 2 3" xfId="3164"/>
    <cellStyle name="Normal 2 2 2 3 3 3" xfId="1035"/>
    <cellStyle name="Normal 2 2 2 3 3 4" xfId="3165"/>
    <cellStyle name="Normal 2 2 2 3 4" xfId="1036"/>
    <cellStyle name="Normal 2 2 2 3 4 2" xfId="1037"/>
    <cellStyle name="Normal 2 2 2 3 4 3" xfId="3166"/>
    <cellStyle name="Normal 2 2 2 3 5" xfId="1038"/>
    <cellStyle name="Normal 2 2 2 3 6" xfId="1039"/>
    <cellStyle name="Normal 2 2 2 4" xfId="1040"/>
    <cellStyle name="Normal 2 2 2 4 2" xfId="1041"/>
    <cellStyle name="Normal 2 2 2 4 2 2" xfId="1042"/>
    <cellStyle name="Normal 2 2 2 4 2 2 2" xfId="3167"/>
    <cellStyle name="Normal 2 2 2 4 2 2 3" xfId="3168"/>
    <cellStyle name="Normal 2 2 2 4 2 3" xfId="3169"/>
    <cellStyle name="Normal 2 2 2 4 2 4" xfId="3170"/>
    <cellStyle name="Normal 2 2 2 4 3" xfId="1043"/>
    <cellStyle name="Normal 2 2 2 4 3 2" xfId="3171"/>
    <cellStyle name="Normal 2 2 2 4 3 3" xfId="3172"/>
    <cellStyle name="Normal 2 2 2 4 4" xfId="1044"/>
    <cellStyle name="Normal 2 2 2 4 4 2" xfId="3173"/>
    <cellStyle name="Normal 2 2 2 4 4 3" xfId="3174"/>
    <cellStyle name="Normal 2 2 2 4 5" xfId="3175"/>
    <cellStyle name="Normal 2 2 2 4 6" xfId="3176"/>
    <cellStyle name="Normal 2 2 2 5" xfId="1045"/>
    <cellStyle name="Normal 2 2 2 5 2" xfId="1046"/>
    <cellStyle name="Normal 2 2 2 5 3" xfId="1047"/>
    <cellStyle name="Normal 2 2 2 6" xfId="1048"/>
    <cellStyle name="Normal 2 2 2 6 2" xfId="1049"/>
    <cellStyle name="Normal 2 2 2 6 3" xfId="1050"/>
    <cellStyle name="Normal 2 2 2 7" xfId="1051"/>
    <cellStyle name="Normal 2 2 2 7 2" xfId="1052"/>
    <cellStyle name="Normal 2 2 2 8" xfId="1053"/>
    <cellStyle name="Normal 2 2 2 9" xfId="1054"/>
    <cellStyle name="Normal 2 2 2_11510" xfId="1055"/>
    <cellStyle name="Normal 2 2 3" xfId="134"/>
    <cellStyle name="Normal 2 2 3 2" xfId="1056"/>
    <cellStyle name="Normal 2 2 3 2 2" xfId="1057"/>
    <cellStyle name="Normal 2 2 3 2 2 2" xfId="1058"/>
    <cellStyle name="Normal 2 2 3 2 2 2 2" xfId="1059"/>
    <cellStyle name="Normal 2 2 3 2 2 2 3" xfId="3177"/>
    <cellStyle name="Normal 2 2 3 2 2 3" xfId="1060"/>
    <cellStyle name="Normal 2 2 3 2 2 4" xfId="1061"/>
    <cellStyle name="Normal 2 2 3 2 3" xfId="1062"/>
    <cellStyle name="Normal 2 2 3 2 3 2" xfId="1063"/>
    <cellStyle name="Normal 2 2 3 2 3 3" xfId="1064"/>
    <cellStyle name="Normal 2 2 3 2 4" xfId="1065"/>
    <cellStyle name="Normal 2 2 3 2 4 2" xfId="1066"/>
    <cellStyle name="Normal 2 2 3 2 4 3" xfId="1067"/>
    <cellStyle name="Normal 2 2 3 2 5" xfId="1068"/>
    <cellStyle name="Normal 2 2 3 2 5 2" xfId="1069"/>
    <cellStyle name="Normal 2 2 3 2 5 3" xfId="3178"/>
    <cellStyle name="Normal 2 2 3 2 6" xfId="1070"/>
    <cellStyle name="Normal 2 2 3 2 6 2" xfId="3179"/>
    <cellStyle name="Normal 2 2 3 2 7" xfId="1071"/>
    <cellStyle name="Normal 2 2 3 3" xfId="1072"/>
    <cellStyle name="Normal 2 2 3 3 2" xfId="1073"/>
    <cellStyle name="Normal 2 2 3 3 2 2" xfId="1074"/>
    <cellStyle name="Normal 2 2 3 3 2 3" xfId="3180"/>
    <cellStyle name="Normal 2 2 3 3 3" xfId="1075"/>
    <cellStyle name="Normal 2 2 3 3 3 2" xfId="3181"/>
    <cellStyle name="Normal 2 2 3 3 4" xfId="1076"/>
    <cellStyle name="Normal 2 2 3 4" xfId="1077"/>
    <cellStyle name="Normal 2 2 3 4 2" xfId="1078"/>
    <cellStyle name="Normal 2 2 3 4 2 2" xfId="3182"/>
    <cellStyle name="Normal 2 2 3 4 3" xfId="1079"/>
    <cellStyle name="Normal 2 2 3 5" xfId="1080"/>
    <cellStyle name="Normal 2 2 3 5 2" xfId="1081"/>
    <cellStyle name="Normal 2 2 3 5 3" xfId="1082"/>
    <cellStyle name="Normal 2 2 3 6" xfId="1083"/>
    <cellStyle name="Normal 2 2 3 6 2" xfId="1084"/>
    <cellStyle name="Normal 2 2 3 7" xfId="1085"/>
    <cellStyle name="Normal 2 2 3 8" xfId="1086"/>
    <cellStyle name="Normal 2 2 3 9" xfId="1087"/>
    <cellStyle name="Normal 2 2 4" xfId="202"/>
    <cellStyle name="Normal 2 2 4 2" xfId="1088"/>
    <cellStyle name="Normal 2 2 4 2 2" xfId="1089"/>
    <cellStyle name="Normal 2 2 4 2 2 2" xfId="1090"/>
    <cellStyle name="Normal 2 2 4 2 3" xfId="1091"/>
    <cellStyle name="Normal 2 2 4 2 3 2" xfId="3183"/>
    <cellStyle name="Normal 2 2 4 2 3 3" xfId="3184"/>
    <cellStyle name="Normal 2 2 4 2 4" xfId="1092"/>
    <cellStyle name="Normal 2 2 4 2 4 2" xfId="3185"/>
    <cellStyle name="Normal 2 2 4 2 5" xfId="3186"/>
    <cellStyle name="Normal 2 2 4 3" xfId="1093"/>
    <cellStyle name="Normal 2 2 4 3 2" xfId="1094"/>
    <cellStyle name="Normal 2 2 4 3 2 2" xfId="3187"/>
    <cellStyle name="Normal 2 2 4 3 2 3" xfId="3188"/>
    <cellStyle name="Normal 2 2 4 3 3" xfId="1095"/>
    <cellStyle name="Normal 2 2 4 3 4" xfId="3189"/>
    <cellStyle name="Normal 2 2 4 4" xfId="1096"/>
    <cellStyle name="Normal 2 2 4 4 2" xfId="1097"/>
    <cellStyle name="Normal 2 2 4 4 2 2" xfId="3190"/>
    <cellStyle name="Normal 2 2 4 4 2 3" xfId="3191"/>
    <cellStyle name="Normal 2 2 4 4 3" xfId="3192"/>
    <cellStyle name="Normal 2 2 4 4 3 2" xfId="3193"/>
    <cellStyle name="Normal 2 2 4 4 3 3" xfId="3194"/>
    <cellStyle name="Normal 2 2 4 4 4" xfId="3195"/>
    <cellStyle name="Normal 2 2 4 4 5" xfId="3196"/>
    <cellStyle name="Normal 2 2 4 5" xfId="1098"/>
    <cellStyle name="Normal 2 2 4 5 2" xfId="3197"/>
    <cellStyle name="Normal 2 2 4 5 3" xfId="3198"/>
    <cellStyle name="Normal 2 2 4 6" xfId="1099"/>
    <cellStyle name="Normal 2 2 5" xfId="1100"/>
    <cellStyle name="Normal 2 2 5 2" xfId="1101"/>
    <cellStyle name="Normal 2 2 5 2 2" xfId="1102"/>
    <cellStyle name="Normal 2 2 5 2 2 2" xfId="3199"/>
    <cellStyle name="Normal 2 2 5 2 2 3" xfId="3200"/>
    <cellStyle name="Normal 2 2 5 2 3" xfId="3201"/>
    <cellStyle name="Normal 2 2 5 2 4" xfId="3202"/>
    <cellStyle name="Normal 2 2 5 3" xfId="1103"/>
    <cellStyle name="Normal 2 2 5 3 2" xfId="3203"/>
    <cellStyle name="Normal 2 2 5 3 3" xfId="3204"/>
    <cellStyle name="Normal 2 2 5 4" xfId="1104"/>
    <cellStyle name="Normal 2 2 5 4 2" xfId="3205"/>
    <cellStyle name="Normal 2 2 5 4 3" xfId="3206"/>
    <cellStyle name="Normal 2 2 5 5" xfId="3207"/>
    <cellStyle name="Normal 2 2 5 5 2" xfId="3208"/>
    <cellStyle name="Normal 2 2 5 5 3" xfId="3209"/>
    <cellStyle name="Normal 2 2 5 6" xfId="3210"/>
    <cellStyle name="Normal 2 2 5 6 2" xfId="3211"/>
    <cellStyle name="Normal 2 2 5 7" xfId="3212"/>
    <cellStyle name="Normal 2 2 6" xfId="1105"/>
    <cellStyle name="Normal 2 2 6 2" xfId="1106"/>
    <cellStyle name="Normal 2 2 6 2 2" xfId="3213"/>
    <cellStyle name="Normal 2 2 6 2 3" xfId="3214"/>
    <cellStyle name="Normal 2 2 6 3" xfId="1107"/>
    <cellStyle name="Normal 2 2 6 4" xfId="3215"/>
    <cellStyle name="Normal 2 2 7" xfId="1108"/>
    <cellStyle name="Normal 2 2 7 2" xfId="1109"/>
    <cellStyle name="Normal 2 2 7 2 2" xfId="3216"/>
    <cellStyle name="Normal 2 2 7 2 3" xfId="3217"/>
    <cellStyle name="Normal 2 2 7 3" xfId="1110"/>
    <cellStyle name="Normal 2 2 7 4" xfId="3218"/>
    <cellStyle name="Normal 2 2 8" xfId="1111"/>
    <cellStyle name="Normal 2 2 8 2" xfId="1112"/>
    <cellStyle name="Normal 2 2 8 2 2" xfId="3219"/>
    <cellStyle name="Normal 2 2 8 2 3" xfId="3220"/>
    <cellStyle name="Normal 2 2 8 3" xfId="3221"/>
    <cellStyle name="Normal 2 2 8 4" xfId="3222"/>
    <cellStyle name="Normal 2 2 9" xfId="1113"/>
    <cellStyle name="Normal 2 2_11510" xfId="1114"/>
    <cellStyle name="Normal 2 3" xfId="135"/>
    <cellStyle name="Normal 2 3 2" xfId="136"/>
    <cellStyle name="Normal 2 3 2 2" xfId="613"/>
    <cellStyle name="Normal 2 3 2 3" xfId="614"/>
    <cellStyle name="Normal 2 3 3" xfId="137"/>
    <cellStyle name="Normal 2 3 4" xfId="615"/>
    <cellStyle name="Normal 2 3_20300" xfId="1115"/>
    <cellStyle name="Normal 2 4" xfId="138"/>
    <cellStyle name="Normal 2 4 2" xfId="616"/>
    <cellStyle name="Normal 2 4 2 2" xfId="3223"/>
    <cellStyle name="Normal 2 4 3" xfId="617"/>
    <cellStyle name="Normal 2 4 3 2" xfId="3224"/>
    <cellStyle name="Normal 2 4 3 2 2" xfId="3225"/>
    <cellStyle name="Normal 2 4 3 3" xfId="3226"/>
    <cellStyle name="Normal 2 4 3 4" xfId="3227"/>
    <cellStyle name="Normal 2 5" xfId="139"/>
    <cellStyle name="Normal 2 5 2" xfId="3228"/>
    <cellStyle name="Normal 2 5 3" xfId="3229"/>
    <cellStyle name="Normal 2 5 4" xfId="3230"/>
    <cellStyle name="Normal 2 6" xfId="424"/>
    <cellStyle name="Normal 2 6 2" xfId="3231"/>
    <cellStyle name="Normal 2 6 3" xfId="3232"/>
    <cellStyle name="Normal 2 7" xfId="425"/>
    <cellStyle name="Normal 2 7 2" xfId="3233"/>
    <cellStyle name="Normal 2 7 3" xfId="3234"/>
    <cellStyle name="Normal 2 8" xfId="426"/>
    <cellStyle name="Normal 2 8 2" xfId="3235"/>
    <cellStyle name="Normal 2 8 3" xfId="3236"/>
    <cellStyle name="Normal 2 9" xfId="427"/>
    <cellStyle name="Normal 2 9 2" xfId="3237"/>
    <cellStyle name="Normal 2 9 3" xfId="3238"/>
    <cellStyle name="Normal 2_07-2012" xfId="3239"/>
    <cellStyle name="Normal 20" xfId="140"/>
    <cellStyle name="Normal 20 2" xfId="295"/>
    <cellStyle name="Normal 20 2 2" xfId="618"/>
    <cellStyle name="Normal 20 2 2 2" xfId="3240"/>
    <cellStyle name="Normal 20 2 2 2 2" xfId="3241"/>
    <cellStyle name="Normal 20 2 2 3" xfId="3242"/>
    <cellStyle name="Normal 20 2 2 4" xfId="3243"/>
    <cellStyle name="Normal 20 2 3" xfId="3244"/>
    <cellStyle name="Normal 20 2 3 2" xfId="3245"/>
    <cellStyle name="Normal 20 2 3 2 2" xfId="3246"/>
    <cellStyle name="Normal 20 2 3 2 3" xfId="3247"/>
    <cellStyle name="Normal 20 2 3 3" xfId="3248"/>
    <cellStyle name="Normal 20 2 3 4" xfId="3249"/>
    <cellStyle name="Normal 20 2 3 5" xfId="3250"/>
    <cellStyle name="Normal 20 2 4" xfId="3251"/>
    <cellStyle name="Normal 20 2 4 2" xfId="3252"/>
    <cellStyle name="Normal 20 2 4 3" xfId="3253"/>
    <cellStyle name="Normal 20 2 5" xfId="3254"/>
    <cellStyle name="Normal 20 2 6" xfId="3255"/>
    <cellStyle name="Normal 20 2 7" xfId="3256"/>
    <cellStyle name="Normal 20 2 8" xfId="3257"/>
    <cellStyle name="Normal 20 2_2013" xfId="3258"/>
    <cellStyle name="Normal 20 3" xfId="619"/>
    <cellStyle name="Normal 20 3 2" xfId="3259"/>
    <cellStyle name="Normal 20 3 3" xfId="3260"/>
    <cellStyle name="Normal 20 3 3 2" xfId="3261"/>
    <cellStyle name="Normal 20 3 3 2 2" xfId="3262"/>
    <cellStyle name="Normal 20 3 3 3" xfId="3263"/>
    <cellStyle name="Normal 20 3 4" xfId="3264"/>
    <cellStyle name="Normal 20 4" xfId="620"/>
    <cellStyle name="Normal 20 4 2" xfId="3265"/>
    <cellStyle name="Normal 20 5" xfId="621"/>
    <cellStyle name="Normal 20 6" xfId="622"/>
    <cellStyle name="Normal 20 6 2" xfId="3266"/>
    <cellStyle name="Normal 20 7" xfId="3267"/>
    <cellStyle name="Normal 20 8" xfId="3268"/>
    <cellStyle name="Normal 20 9" xfId="3269"/>
    <cellStyle name="Normal 20_2013" xfId="3270"/>
    <cellStyle name="Normal 21" xfId="141"/>
    <cellStyle name="Normal 21 2" xfId="296"/>
    <cellStyle name="Normal 21 2 2" xfId="623"/>
    <cellStyle name="Normal 21 2 3" xfId="3271"/>
    <cellStyle name="Normal 21 2 3 2" xfId="3272"/>
    <cellStyle name="Normal 21 2 4" xfId="3273"/>
    <cellStyle name="Normal 21 2 5" xfId="3274"/>
    <cellStyle name="Normal 21 2 6" xfId="3275"/>
    <cellStyle name="Normal 21 2 7" xfId="3276"/>
    <cellStyle name="Normal 21 3" xfId="624"/>
    <cellStyle name="Normal 21 4" xfId="625"/>
    <cellStyle name="Normal 21 5" xfId="3277"/>
    <cellStyle name="Normal 21 6" xfId="3278"/>
    <cellStyle name="Normal 22" xfId="142"/>
    <cellStyle name="Normal 22 2" xfId="297"/>
    <cellStyle name="Normal 22 2 2" xfId="626"/>
    <cellStyle name="Normal 22 2 2 2" xfId="3279"/>
    <cellStyle name="Normal 22 2 2 2 2" xfId="3280"/>
    <cellStyle name="Normal 22 2 2 3" xfId="3281"/>
    <cellStyle name="Normal 22 2 3" xfId="3282"/>
    <cellStyle name="Normal 22 2 3 2" xfId="3283"/>
    <cellStyle name="Normal 22 2 3 3" xfId="3284"/>
    <cellStyle name="Normal 22 2 4" xfId="3285"/>
    <cellStyle name="Normal 22 2 5" xfId="3286"/>
    <cellStyle name="Normal 22 2 6" xfId="3287"/>
    <cellStyle name="Normal 22 2 7" xfId="3288"/>
    <cellStyle name="Normal 22 2 8" xfId="3289"/>
    <cellStyle name="Normal 22 3" xfId="627"/>
    <cellStyle name="Normal 22 3 2" xfId="3290"/>
    <cellStyle name="Normal 22 3 3" xfId="3291"/>
    <cellStyle name="Normal 22 4" xfId="628"/>
    <cellStyle name="Normal 22 5" xfId="3292"/>
    <cellStyle name="Normal 22 6" xfId="3293"/>
    <cellStyle name="Normal 22 7" xfId="3294"/>
    <cellStyle name="Normal 23" xfId="143"/>
    <cellStyle name="Normal 23 2" xfId="298"/>
    <cellStyle name="Normal 23 2 2" xfId="629"/>
    <cellStyle name="Normal 23 2 2 2" xfId="3295"/>
    <cellStyle name="Normal 23 2 2 2 2" xfId="3296"/>
    <cellStyle name="Normal 23 2 2 3" xfId="3297"/>
    <cellStyle name="Normal 23 2 3" xfId="3298"/>
    <cellStyle name="Normal 23 2 3 2" xfId="3299"/>
    <cellStyle name="Normal 23 2 4" xfId="3300"/>
    <cellStyle name="Normal 23 3" xfId="630"/>
    <cellStyle name="Normal 23 3 2" xfId="3301"/>
    <cellStyle name="Normal 23 3 3" xfId="3302"/>
    <cellStyle name="Normal 23 4" xfId="3303"/>
    <cellStyle name="Normal 23 5" xfId="3304"/>
    <cellStyle name="Normal 24" xfId="144"/>
    <cellStyle name="Normal 24 2" xfId="299"/>
    <cellStyle name="Normal 24 2 2" xfId="3305"/>
    <cellStyle name="Normal 24 2 2 2" xfId="3306"/>
    <cellStyle name="Normal 24 2 2 2 2" xfId="3307"/>
    <cellStyle name="Normal 24 2 2 3" xfId="3308"/>
    <cellStyle name="Normal 24 2 3" xfId="3309"/>
    <cellStyle name="Normal 24 2 3 2" xfId="3310"/>
    <cellStyle name="Normal 24 2 3 3" xfId="3311"/>
    <cellStyle name="Normal 24 2 4" xfId="3312"/>
    <cellStyle name="Normal 24 2 5" xfId="3313"/>
    <cellStyle name="Normal 24 2 6" xfId="3314"/>
    <cellStyle name="Normal 24 2 7" xfId="3315"/>
    <cellStyle name="Normal 24 2 8" xfId="3316"/>
    <cellStyle name="Normal 24 3" xfId="3317"/>
    <cellStyle name="Normal 24 3 2" xfId="3318"/>
    <cellStyle name="Normal 24 3 2 2" xfId="3319"/>
    <cellStyle name="Normal 24 3 2 2 2" xfId="3320"/>
    <cellStyle name="Normal 24 3 2 3" xfId="3321"/>
    <cellStyle name="Normal 24 3 3" xfId="3322"/>
    <cellStyle name="Normal 24 4" xfId="3323"/>
    <cellStyle name="Normal 24 5" xfId="3324"/>
    <cellStyle name="Normal 24 6" xfId="3325"/>
    <cellStyle name="Normal 24_2013" xfId="3326"/>
    <cellStyle name="Normal 25" xfId="145"/>
    <cellStyle name="Normal 25 2" xfId="300"/>
    <cellStyle name="Normal 25 2 2" xfId="631"/>
    <cellStyle name="Normal 25 2 2 2" xfId="3327"/>
    <cellStyle name="Normal 25 2 2 2 2" xfId="3328"/>
    <cellStyle name="Normal 25 2 2 3" xfId="3329"/>
    <cellStyle name="Normal 25 2 3" xfId="3330"/>
    <cellStyle name="Normal 25 2 3 2" xfId="3331"/>
    <cellStyle name="Normal 25 2 3 3" xfId="3332"/>
    <cellStyle name="Normal 25 2 4" xfId="3333"/>
    <cellStyle name="Normal 25 2 5" xfId="3334"/>
    <cellStyle name="Normal 25 2 6" xfId="3335"/>
    <cellStyle name="Normal 25 2 7" xfId="3336"/>
    <cellStyle name="Normal 25 2 8" xfId="3337"/>
    <cellStyle name="Normal 25 3" xfId="3338"/>
    <cellStyle name="Normal 25 3 2" xfId="3339"/>
    <cellStyle name="Normal 25 3 2 2" xfId="3340"/>
    <cellStyle name="Normal 25 3 2 2 2" xfId="3341"/>
    <cellStyle name="Normal 25 3 2 3" xfId="3342"/>
    <cellStyle name="Normal 25 4" xfId="3343"/>
    <cellStyle name="Normal 25 5" xfId="3344"/>
    <cellStyle name="Normal 25 6" xfId="3345"/>
    <cellStyle name="Normal 25_2013" xfId="3346"/>
    <cellStyle name="Normal 26" xfId="146"/>
    <cellStyle name="Normal 26 2" xfId="301"/>
    <cellStyle name="Normal 26 2 2" xfId="3347"/>
    <cellStyle name="Normal 26 2 2 2" xfId="3348"/>
    <cellStyle name="Normal 26 2 2 2 2" xfId="3349"/>
    <cellStyle name="Normal 26 2 2 3" xfId="3350"/>
    <cellStyle name="Normal 26 2 3" xfId="3351"/>
    <cellStyle name="Normal 26 2 3 2" xfId="3352"/>
    <cellStyle name="Normal 26 2 3 3" xfId="3353"/>
    <cellStyle name="Normal 26 2 4" xfId="3354"/>
    <cellStyle name="Normal 26 2 5" xfId="3355"/>
    <cellStyle name="Normal 26 2 6" xfId="3356"/>
    <cellStyle name="Normal 26 2 7" xfId="3357"/>
    <cellStyle name="Normal 26 2 8" xfId="3358"/>
    <cellStyle name="Normal 26 3" xfId="632"/>
    <cellStyle name="Normal 26 3 2" xfId="3359"/>
    <cellStyle name="Normal 26 3 3" xfId="3360"/>
    <cellStyle name="Normal 26 3 3 2" xfId="3361"/>
    <cellStyle name="Normal 26 3 3 2 2" xfId="3362"/>
    <cellStyle name="Normal 26 3 3 3" xfId="3363"/>
    <cellStyle name="Normal 26 4" xfId="633"/>
    <cellStyle name="Normal 26 5" xfId="3364"/>
    <cellStyle name="Normal 26 6" xfId="3365"/>
    <cellStyle name="Normal 26_2013" xfId="3366"/>
    <cellStyle name="Normal 27" xfId="147"/>
    <cellStyle name="Normal 27 2" xfId="302"/>
    <cellStyle name="Normal 27 2 2" xfId="3367"/>
    <cellStyle name="Normal 27 2 2 2" xfId="3368"/>
    <cellStyle name="Normal 27 2 2 2 2" xfId="3369"/>
    <cellStyle name="Normal 27 2 2 3" xfId="3370"/>
    <cellStyle name="Normal 27 2 3" xfId="3371"/>
    <cellStyle name="Normal 27 2 3 2" xfId="3372"/>
    <cellStyle name="Normal 27 2 3 3" xfId="3373"/>
    <cellStyle name="Normal 27 2 4" xfId="3374"/>
    <cellStyle name="Normal 27 2 5" xfId="3375"/>
    <cellStyle name="Normal 27 2 6" xfId="3376"/>
    <cellStyle name="Normal 27 2 7" xfId="3377"/>
    <cellStyle name="Normal 27 2 8" xfId="3378"/>
    <cellStyle name="Normal 27 3" xfId="634"/>
    <cellStyle name="Normal 27 4" xfId="635"/>
    <cellStyle name="Normal 27 5" xfId="636"/>
    <cellStyle name="Normal 27 6" xfId="3379"/>
    <cellStyle name="Normal 28" xfId="148"/>
    <cellStyle name="Normal 28 2" xfId="303"/>
    <cellStyle name="Normal 28 2 2" xfId="3380"/>
    <cellStyle name="Normal 28 2 3" xfId="3381"/>
    <cellStyle name="Normal 28 2 3 2" xfId="3382"/>
    <cellStyle name="Normal 28 2 4" xfId="3383"/>
    <cellStyle name="Normal 28 2 5" xfId="3384"/>
    <cellStyle name="Normal 28 2 6" xfId="3385"/>
    <cellStyle name="Normal 28 2 7" xfId="3386"/>
    <cellStyle name="Normal 28 3" xfId="637"/>
    <cellStyle name="Normal 28 4" xfId="3387"/>
    <cellStyle name="Normal 28 5" xfId="3388"/>
    <cellStyle name="Normal 28 6" xfId="3389"/>
    <cellStyle name="Normal 29" xfId="149"/>
    <cellStyle name="Normal 29 2" xfId="304"/>
    <cellStyle name="Normal 29 2 2" xfId="638"/>
    <cellStyle name="Normal 29 2 3" xfId="3390"/>
    <cellStyle name="Normal 29 2 3 2" xfId="3391"/>
    <cellStyle name="Normal 29 2 4" xfId="3392"/>
    <cellStyle name="Normal 29 2 5" xfId="3393"/>
    <cellStyle name="Normal 29 2 6" xfId="3394"/>
    <cellStyle name="Normal 29 2 7" xfId="3395"/>
    <cellStyle name="Normal 29 3" xfId="3396"/>
    <cellStyle name="Normal 29 4" xfId="3397"/>
    <cellStyle name="Normal 29 5" xfId="3398"/>
    <cellStyle name="Normal 29 6" xfId="3399"/>
    <cellStyle name="Normal 3" xfId="150"/>
    <cellStyle name="Normal 3 10" xfId="3400"/>
    <cellStyle name="Normal 3 11" xfId="3401"/>
    <cellStyle name="Normal 3 12" xfId="3402"/>
    <cellStyle name="Normal 3 13" xfId="3403"/>
    <cellStyle name="Normal 3 2" xfId="151"/>
    <cellStyle name="Normal 3 2 2" xfId="428"/>
    <cellStyle name="Normal 3 2 2 2" xfId="1116"/>
    <cellStyle name="Normal 3 2 2 2 2" xfId="1117"/>
    <cellStyle name="Normal 3 2 2 2 2 2" xfId="1118"/>
    <cellStyle name="Normal 3 2 2 2 2 3" xfId="3404"/>
    <cellStyle name="Normal 3 2 2 2 3" xfId="1119"/>
    <cellStyle name="Normal 3 2 2 2 3 2" xfId="3405"/>
    <cellStyle name="Normal 3 2 2 2 4" xfId="1120"/>
    <cellStyle name="Normal 3 2 2 3" xfId="1121"/>
    <cellStyle name="Normal 3 2 2 3 2" xfId="1122"/>
    <cellStyle name="Normal 3 2 2 3 3" xfId="1123"/>
    <cellStyle name="Normal 3 2 2 4" xfId="1124"/>
    <cellStyle name="Normal 3 2 2 4 2" xfId="1125"/>
    <cellStyle name="Normal 3 2 2 4 3" xfId="1126"/>
    <cellStyle name="Normal 3 2 2 5" xfId="1127"/>
    <cellStyle name="Normal 3 2 2 5 2" xfId="1128"/>
    <cellStyle name="Normal 3 2 2 5 3" xfId="3406"/>
    <cellStyle name="Normal 3 2 2 6" xfId="1129"/>
    <cellStyle name="Normal 3 2 2 6 2" xfId="3407"/>
    <cellStyle name="Normal 3 2 2 7" xfId="1130"/>
    <cellStyle name="Normal 3 2 3" xfId="1131"/>
    <cellStyle name="Normal 3 2 3 2" xfId="1132"/>
    <cellStyle name="Normal 3 2 3 2 2" xfId="1133"/>
    <cellStyle name="Normal 3 2 3 2 2 2" xfId="3408"/>
    <cellStyle name="Normal 3 2 3 2 3" xfId="3409"/>
    <cellStyle name="Normal 3 2 3 3" xfId="1134"/>
    <cellStyle name="Normal 3 2 3 3 2" xfId="3410"/>
    <cellStyle name="Normal 3 2 3 3 3" xfId="3411"/>
    <cellStyle name="Normal 3 2 3 4" xfId="1135"/>
    <cellStyle name="Normal 3 2 3 5" xfId="3412"/>
    <cellStyle name="Normal 3 2 4" xfId="1136"/>
    <cellStyle name="Normal 3 2 4 2" xfId="1137"/>
    <cellStyle name="Normal 3 2 4 2 2" xfId="3413"/>
    <cellStyle name="Normal 3 2 4 2 3" xfId="3414"/>
    <cellStyle name="Normal 3 2 4 3" xfId="1138"/>
    <cellStyle name="Normal 3 2 4 4" xfId="3415"/>
    <cellStyle name="Normal 3 2 5" xfId="1139"/>
    <cellStyle name="Normal 3 2 5 2" xfId="1140"/>
    <cellStyle name="Normal 3 2 5 3" xfId="1141"/>
    <cellStyle name="Normal 3 2 6" xfId="1142"/>
    <cellStyle name="Normal 3 2 6 2" xfId="1143"/>
    <cellStyle name="Normal 3 2 7" xfId="1144"/>
    <cellStyle name="Normal 3 2 8" xfId="1145"/>
    <cellStyle name="Normal 3 2 9" xfId="1146"/>
    <cellStyle name="Normal 3 3" xfId="305"/>
    <cellStyle name="Normal 3 3 2" xfId="639"/>
    <cellStyle name="Normal 3 3 2 2" xfId="3416"/>
    <cellStyle name="Normal 3 3 2 2 2" xfId="3417"/>
    <cellStyle name="Normal 3 3 2 2 3" xfId="3418"/>
    <cellStyle name="Normal 3 3 2 3" xfId="3419"/>
    <cellStyle name="Normal 3 3 3" xfId="640"/>
    <cellStyle name="Normal 3 3 3 2" xfId="1147"/>
    <cellStyle name="Normal 3 3 3 2 2" xfId="3420"/>
    <cellStyle name="Normal 3 3 3 3" xfId="1148"/>
    <cellStyle name="Normal 3 3 4" xfId="641"/>
    <cellStyle name="Normal 3 3 4 2" xfId="3421"/>
    <cellStyle name="Normal 3 3 4 3" xfId="3422"/>
    <cellStyle name="Normal 3 3 5" xfId="1149"/>
    <cellStyle name="Normal 3 3 5 2" xfId="3423"/>
    <cellStyle name="Normal 3 3 6" xfId="3424"/>
    <cellStyle name="Normal 3 3 7" xfId="3425"/>
    <cellStyle name="Normal 3 3 8" xfId="3426"/>
    <cellStyle name="Normal 3 3 9" xfId="3427"/>
    <cellStyle name="Normal 3 4" xfId="389"/>
    <cellStyle name="Normal 3 4 2" xfId="3428"/>
    <cellStyle name="Normal 3 4 3" xfId="3429"/>
    <cellStyle name="Normal 3 4 4" xfId="3430"/>
    <cellStyle name="Normal 3 4 4 2" xfId="3431"/>
    <cellStyle name="Normal 3 4 4 3" xfId="3432"/>
    <cellStyle name="Normal 3 4 5" xfId="3433"/>
    <cellStyle name="Normal 3 4 5 2" xfId="3434"/>
    <cellStyle name="Normal 3 4 6" xfId="3435"/>
    <cellStyle name="Normal 3 4 7" xfId="3436"/>
    <cellStyle name="Normal 3 5" xfId="3437"/>
    <cellStyle name="Normal 3 5 2" xfId="3438"/>
    <cellStyle name="Normal 3 5 2 2" xfId="3439"/>
    <cellStyle name="Normal 3 5 2 2 2" xfId="3440"/>
    <cellStyle name="Normal 3 5 2 3" xfId="3441"/>
    <cellStyle name="Normal 3 5 3" xfId="3442"/>
    <cellStyle name="Normal 3 5 3 2" xfId="3443"/>
    <cellStyle name="Normal 3 5 4" xfId="3444"/>
    <cellStyle name="Normal 3 5 5" xfId="3445"/>
    <cellStyle name="Normal 3 5 6" xfId="3446"/>
    <cellStyle name="Normal 3 6" xfId="3447"/>
    <cellStyle name="Normal 3 6 2" xfId="3448"/>
    <cellStyle name="Normal 3 6 2 2" xfId="3449"/>
    <cellStyle name="Normal 3 6 3" xfId="3450"/>
    <cellStyle name="Normal 3 7" xfId="3451"/>
    <cellStyle name="Normal 3 7 2" xfId="3452"/>
    <cellStyle name="Normal 3 7 2 2" xfId="3453"/>
    <cellStyle name="Normal 3 7 3" xfId="3454"/>
    <cellStyle name="Normal 3 8" xfId="3455"/>
    <cellStyle name="Normal 3 8 2" xfId="3456"/>
    <cellStyle name="Normal 3 9" xfId="3457"/>
    <cellStyle name="Normal 3_10099" xfId="1150"/>
    <cellStyle name="Normal 30" xfId="306"/>
    <cellStyle name="Normal 30 2" xfId="642"/>
    <cellStyle name="Normal 30 2 2" xfId="3458"/>
    <cellStyle name="Normal 30 3" xfId="3459"/>
    <cellStyle name="Normal 30 3 2" xfId="3460"/>
    <cellStyle name="Normal 30 3 2 2" xfId="3461"/>
    <cellStyle name="Normal 30 3 3" xfId="3462"/>
    <cellStyle name="Normal 30 4" xfId="3463"/>
    <cellStyle name="Normal 31" xfId="307"/>
    <cellStyle name="Normal 31 2" xfId="643"/>
    <cellStyle name="Normal 31 2 2" xfId="3464"/>
    <cellStyle name="Normal 31 3" xfId="644"/>
    <cellStyle name="Normal 31 3 2" xfId="3465"/>
    <cellStyle name="Normal 31 3 2 2" xfId="3466"/>
    <cellStyle name="Normal 31 3 3" xfId="3467"/>
    <cellStyle name="Normal 31 4" xfId="3468"/>
    <cellStyle name="Normal 32" xfId="308"/>
    <cellStyle name="Normal 32 2" xfId="645"/>
    <cellStyle name="Normal 32 2 2" xfId="3469"/>
    <cellStyle name="Normal 32 2 3" xfId="3470"/>
    <cellStyle name="Normal 32 2 3 2" xfId="3471"/>
    <cellStyle name="Normal 32 2 3 2 2" xfId="3472"/>
    <cellStyle name="Normal 32 2 3 3" xfId="3473"/>
    <cellStyle name="Normal 32 2 4" xfId="3474"/>
    <cellStyle name="Normal 32 3" xfId="3475"/>
    <cellStyle name="Normal 32 3 2" xfId="3476"/>
    <cellStyle name="Normal 32 3 2 2" xfId="3477"/>
    <cellStyle name="Normal 32 3 3" xfId="3478"/>
    <cellStyle name="Normal 32 4" xfId="3479"/>
    <cellStyle name="Normal 32 5" xfId="3480"/>
    <cellStyle name="Normal 33" xfId="309"/>
    <cellStyle name="Normal 33 2" xfId="3481"/>
    <cellStyle name="Normal 33 2 2" xfId="3482"/>
    <cellStyle name="Normal 33 2 2 2" xfId="3483"/>
    <cellStyle name="Normal 33 2 2 2 2" xfId="3484"/>
    <cellStyle name="Normal 33 2 2 3" xfId="3485"/>
    <cellStyle name="Normal 33 2 2 4" xfId="3486"/>
    <cellStyle name="Normal 33 2 3" xfId="3487"/>
    <cellStyle name="Normal 33 3" xfId="3488"/>
    <cellStyle name="Normal 33 3 2" xfId="3489"/>
    <cellStyle name="Normal 33 3 2 2" xfId="3490"/>
    <cellStyle name="Normal 33 3 3" xfId="3491"/>
    <cellStyle name="Normal 33 3 4" xfId="3492"/>
    <cellStyle name="Normal 33 4" xfId="3493"/>
    <cellStyle name="Normal 33 4 2" xfId="3494"/>
    <cellStyle name="Normal 33 5" xfId="3495"/>
    <cellStyle name="Normal 33 6" xfId="3496"/>
    <cellStyle name="Normal 33 7" xfId="3497"/>
    <cellStyle name="Normal 33 8" xfId="3498"/>
    <cellStyle name="Normal 33 9" xfId="3499"/>
    <cellStyle name="Normal 34" xfId="310"/>
    <cellStyle name="Normal 34 2" xfId="3500"/>
    <cellStyle name="Normal 34 2 2" xfId="3501"/>
    <cellStyle name="Normal 34 3" xfId="3502"/>
    <cellStyle name="Normal 34 3 2" xfId="3503"/>
    <cellStyle name="Normal 34 3 2 2" xfId="3504"/>
    <cellStyle name="Normal 34 3 3" xfId="3505"/>
    <cellStyle name="Normal 34 4" xfId="3506"/>
    <cellStyle name="Normal 35" xfId="311"/>
    <cellStyle name="Normal 35 2" xfId="3507"/>
    <cellStyle name="Normal 35 2 2" xfId="3508"/>
    <cellStyle name="Normal 35 3" xfId="3509"/>
    <cellStyle name="Normal 35 3 2" xfId="3510"/>
    <cellStyle name="Normal 35 3 2 2" xfId="3511"/>
    <cellStyle name="Normal 35 3 3" xfId="3512"/>
    <cellStyle name="Normal 35 4" xfId="3513"/>
    <cellStyle name="Normal 36" xfId="312"/>
    <cellStyle name="Normal 36 2" xfId="3514"/>
    <cellStyle name="Normal 36 2 2" xfId="3515"/>
    <cellStyle name="Normal 36 3" xfId="3516"/>
    <cellStyle name="Normal 36 3 2" xfId="3517"/>
    <cellStyle name="Normal 36 3 2 2" xfId="3518"/>
    <cellStyle name="Normal 36 3 3" xfId="3519"/>
    <cellStyle name="Normal 36 4" xfId="3520"/>
    <cellStyle name="Normal 37" xfId="313"/>
    <cellStyle name="Normal 37 2" xfId="3521"/>
    <cellStyle name="Normal 37 2 2" xfId="3522"/>
    <cellStyle name="Normal 37 2 2 2" xfId="3523"/>
    <cellStyle name="Normal 37 2 3" xfId="3524"/>
    <cellStyle name="Normal 37 3" xfId="3525"/>
    <cellStyle name="Normal 37 4" xfId="3526"/>
    <cellStyle name="Normal 38" xfId="314"/>
    <cellStyle name="Normal 38 2" xfId="3527"/>
    <cellStyle name="Normal 38 2 2" xfId="3528"/>
    <cellStyle name="Normal 38 2 2 2" xfId="3529"/>
    <cellStyle name="Normal 38 2 3" xfId="3530"/>
    <cellStyle name="Normal 38 3" xfId="3531"/>
    <cellStyle name="Normal 39" xfId="315"/>
    <cellStyle name="Normal 39 2" xfId="3532"/>
    <cellStyle name="Normal 39 2 2" xfId="3533"/>
    <cellStyle name="Normal 39 2 2 2" xfId="3534"/>
    <cellStyle name="Normal 39 2 3" xfId="3535"/>
    <cellStyle name="Normal 39 3" xfId="3536"/>
    <cellStyle name="Normal 4" xfId="152"/>
    <cellStyle name="Normal 4 10" xfId="3537"/>
    <cellStyle name="Normal 4 11" xfId="3538"/>
    <cellStyle name="Normal 4 12" xfId="3539"/>
    <cellStyle name="Normal 4 13" xfId="3540"/>
    <cellStyle name="Normal 4 2" xfId="316"/>
    <cellStyle name="Normal 4 2 10" xfId="3541"/>
    <cellStyle name="Normal 4 2 11" xfId="3542"/>
    <cellStyle name="Normal 4 2 12" xfId="3543"/>
    <cellStyle name="Normal 4 2 13" xfId="3544"/>
    <cellStyle name="Normal 4 2 2" xfId="646"/>
    <cellStyle name="Normal 4 2 2 2" xfId="1151"/>
    <cellStyle name="Normal 4 2 2 2 2" xfId="3545"/>
    <cellStyle name="Normal 4 2 2 2 2 2" xfId="3546"/>
    <cellStyle name="Normal 4 2 2 2 2 2 2" xfId="3547"/>
    <cellStyle name="Normal 4 2 2 2 2 3" xfId="3548"/>
    <cellStyle name="Normal 4 2 2 2 2 4" xfId="3549"/>
    <cellStyle name="Normal 4 2 2 2 3" xfId="3550"/>
    <cellStyle name="Normal 4 2 2 2 3 2" xfId="3551"/>
    <cellStyle name="Normal 4 2 2 2 4" xfId="3552"/>
    <cellStyle name="Normal 4 2 2 2 4 2" xfId="3553"/>
    <cellStyle name="Normal 4 2 2 2 5" xfId="3554"/>
    <cellStyle name="Normal 4 2 2 2 6" xfId="3555"/>
    <cellStyle name="Normal 4 2 2 2_2013" xfId="3556"/>
    <cellStyle name="Normal 4 2 2 3" xfId="1152"/>
    <cellStyle name="Normal 4 2 2 3 2" xfId="3557"/>
    <cellStyle name="Normal 4 2 2 3 2 2" xfId="3558"/>
    <cellStyle name="Normal 4 2 2 3 3" xfId="3559"/>
    <cellStyle name="Normal 4 2 2 3 4" xfId="3560"/>
    <cellStyle name="Normal 4 2 2 4" xfId="3561"/>
    <cellStyle name="Normal 4 2 2 5" xfId="3562"/>
    <cellStyle name="Normal 4 2 2 6" xfId="3563"/>
    <cellStyle name="Normal 4 2 2_2013" xfId="3564"/>
    <cellStyle name="Normal 4 2 3" xfId="647"/>
    <cellStyle name="Normal 4 2 3 2" xfId="3565"/>
    <cellStyle name="Normal 4 2 3 2 2" xfId="3566"/>
    <cellStyle name="Normal 4 2 3 2 2 2" xfId="3567"/>
    <cellStyle name="Normal 4 2 3 2 3" xfId="3568"/>
    <cellStyle name="Normal 4 2 3 3" xfId="3569"/>
    <cellStyle name="Normal 4 2 3 3 2" xfId="3570"/>
    <cellStyle name="Normal 4 2 3 3 2 2" xfId="3571"/>
    <cellStyle name="Normal 4 2 3 3 3" xfId="3572"/>
    <cellStyle name="Normal 4 2 3 4" xfId="3573"/>
    <cellStyle name="Normal 4 2 3 4 2" xfId="3574"/>
    <cellStyle name="Normal 4 2 3 5" xfId="3575"/>
    <cellStyle name="Normal 4 2 3 6" xfId="3576"/>
    <cellStyle name="Normal 4 2 3_2013" xfId="3577"/>
    <cellStyle name="Normal 4 2 4" xfId="648"/>
    <cellStyle name="Normal 4 2 4 2" xfId="3578"/>
    <cellStyle name="Normal 4 2 4 2 2" xfId="3579"/>
    <cellStyle name="Normal 4 2 4 3" xfId="3580"/>
    <cellStyle name="Normal 4 2 4 4" xfId="3581"/>
    <cellStyle name="Normal 4 2 5" xfId="3582"/>
    <cellStyle name="Normal 4 2 5 2" xfId="3583"/>
    <cellStyle name="Normal 4 2 5 2 2" xfId="3584"/>
    <cellStyle name="Normal 4 2 5 2 3" xfId="3585"/>
    <cellStyle name="Normal 4 2 5 3" xfId="3586"/>
    <cellStyle name="Normal 4 2 5 4" xfId="3587"/>
    <cellStyle name="Normal 4 2 5 5" xfId="3588"/>
    <cellStyle name="Normal 4 2 6" xfId="3589"/>
    <cellStyle name="Normal 4 2 6 2" xfId="3590"/>
    <cellStyle name="Normal 4 2 6 2 2" xfId="3591"/>
    <cellStyle name="Normal 4 2 6 2 3" xfId="3592"/>
    <cellStyle name="Normal 4 2 6 3" xfId="3593"/>
    <cellStyle name="Normal 4 2 6 4" xfId="3594"/>
    <cellStyle name="Normal 4 2 7" xfId="3595"/>
    <cellStyle name="Normal 4 2 7 2" xfId="3596"/>
    <cellStyle name="Normal 4 2 7 3" xfId="3597"/>
    <cellStyle name="Normal 4 2 8" xfId="3598"/>
    <cellStyle name="Normal 4 2 9" xfId="3599"/>
    <cellStyle name="Normal 4 2_2012 modified" xfId="3600"/>
    <cellStyle name="Normal 4 3" xfId="429"/>
    <cellStyle name="Normal 4 3 2" xfId="649"/>
    <cellStyle name="Normal 4 3 2 2" xfId="3601"/>
    <cellStyle name="Normal 4 3 2 2 2" xfId="3602"/>
    <cellStyle name="Normal 4 3 2 2 2 2" xfId="3603"/>
    <cellStyle name="Normal 4 3 2 2 2 2 2" xfId="3604"/>
    <cellStyle name="Normal 4 3 2 2 2 3" xfId="3605"/>
    <cellStyle name="Normal 4 3 2 3" xfId="3606"/>
    <cellStyle name="Normal 4 3 2 3 2" xfId="3607"/>
    <cellStyle name="Normal 4 3 2 3 2 2" xfId="3608"/>
    <cellStyle name="Normal 4 3 2 3 3" xfId="3609"/>
    <cellStyle name="Normal 4 3 2 4" xfId="3610"/>
    <cellStyle name="Normal 4 3 2_2013" xfId="3611"/>
    <cellStyle name="Normal 4 3 3" xfId="650"/>
    <cellStyle name="Normal 4 3 3 2" xfId="3612"/>
    <cellStyle name="Normal 4 3 3 2 2" xfId="3613"/>
    <cellStyle name="Normal 4 3 3 2 2 2" xfId="3614"/>
    <cellStyle name="Normal 4 3 3 2 3" xfId="3615"/>
    <cellStyle name="Normal 4 3 3 3" xfId="3616"/>
    <cellStyle name="Normal 4 3 3 3 2" xfId="3617"/>
    <cellStyle name="Normal 4 3 3 4" xfId="3618"/>
    <cellStyle name="Normal 4 3 3 5" xfId="3619"/>
    <cellStyle name="Normal 4 3 4" xfId="3620"/>
    <cellStyle name="Normal 4 3 4 2" xfId="3621"/>
    <cellStyle name="Normal 4 3 4 3" xfId="3622"/>
    <cellStyle name="Normal 4 3 5" xfId="3623"/>
    <cellStyle name="Normal 4 3 5 2" xfId="3624"/>
    <cellStyle name="Normal 4 3 6" xfId="3625"/>
    <cellStyle name="Normal 4 3_2013" xfId="3626"/>
    <cellStyle name="Normal 4 4" xfId="203"/>
    <cellStyle name="Normal 4 4 2" xfId="651"/>
    <cellStyle name="Normal 4 4 2 2" xfId="3627"/>
    <cellStyle name="Normal 4 4 2 2 2" xfId="3628"/>
    <cellStyle name="Normal 4 4 2 3" xfId="3629"/>
    <cellStyle name="Normal 4 4 2 4" xfId="3630"/>
    <cellStyle name="Normal 4 4 3" xfId="3631"/>
    <cellStyle name="Normal 4 4 3 2" xfId="3632"/>
    <cellStyle name="Normal 4 4 3 3" xfId="3633"/>
    <cellStyle name="Normal 4 4 4" xfId="3634"/>
    <cellStyle name="Normal 4 4 4 2" xfId="3635"/>
    <cellStyle name="Normal 4 4 4 3" xfId="3636"/>
    <cellStyle name="Normal 4 4 5" xfId="3637"/>
    <cellStyle name="Normal 4 4 5 2" xfId="3638"/>
    <cellStyle name="Normal 4 4 6" xfId="3639"/>
    <cellStyle name="Normal 4 4 7" xfId="3640"/>
    <cellStyle name="Normal 4 4_2013" xfId="3641"/>
    <cellStyle name="Normal 4 5" xfId="652"/>
    <cellStyle name="Normal 4 5 2" xfId="3642"/>
    <cellStyle name="Normal 4 5 2 2" xfId="3643"/>
    <cellStyle name="Normal 4 5 2 2 2" xfId="3644"/>
    <cellStyle name="Normal 4 5 2 3" xfId="3645"/>
    <cellStyle name="Normal 4 5 3" xfId="3646"/>
    <cellStyle name="Normal 4 5 3 2" xfId="3647"/>
    <cellStyle name="Normal 4 5 4" xfId="3648"/>
    <cellStyle name="Normal 4 5 5" xfId="3649"/>
    <cellStyle name="Normal 4 5 6" xfId="3650"/>
    <cellStyle name="Normal 4 6" xfId="3651"/>
    <cellStyle name="Normal 4 6 2" xfId="3652"/>
    <cellStyle name="Normal 4 6 2 2" xfId="3653"/>
    <cellStyle name="Normal 4 7" xfId="3654"/>
    <cellStyle name="Normal 4 7 2" xfId="3655"/>
    <cellStyle name="Normal 4 7 2 2" xfId="3656"/>
    <cellStyle name="Normal 4 7 3" xfId="3657"/>
    <cellStyle name="Normal 4 8" xfId="3658"/>
    <cellStyle name="Normal 4 8 2" xfId="3659"/>
    <cellStyle name="Normal 4 8 2 2" xfId="3660"/>
    <cellStyle name="Normal 4 8 2 3" xfId="3661"/>
    <cellStyle name="Normal 4 8 3" xfId="3662"/>
    <cellStyle name="Normal 4 8 4" xfId="3663"/>
    <cellStyle name="Normal 4 9" xfId="3664"/>
    <cellStyle name="Normal 4 9 2" xfId="3665"/>
    <cellStyle name="Normal 4 9 3" xfId="3666"/>
    <cellStyle name="Normal 4_2012 modified" xfId="3667"/>
    <cellStyle name="Normal 40" xfId="317"/>
    <cellStyle name="Normal 40 2" xfId="3668"/>
    <cellStyle name="Normal 40 2 2" xfId="3669"/>
    <cellStyle name="Normal 40 2 2 2" xfId="3670"/>
    <cellStyle name="Normal 40 2 3" xfId="3671"/>
    <cellStyle name="Normal 41" xfId="318"/>
    <cellStyle name="Normal 41 2" xfId="3672"/>
    <cellStyle name="Normal 41 2 2" xfId="3673"/>
    <cellStyle name="Normal 41 2 2 2" xfId="3674"/>
    <cellStyle name="Normal 41 2 3" xfId="3675"/>
    <cellStyle name="Normal 42" xfId="319"/>
    <cellStyle name="Normal 42 2" xfId="3676"/>
    <cellStyle name="Normal 42 2 2" xfId="3677"/>
    <cellStyle name="Normal 42 2 2 2" xfId="3678"/>
    <cellStyle name="Normal 42 2 3" xfId="3679"/>
    <cellStyle name="Normal 43" xfId="320"/>
    <cellStyle name="Normal 43 2" xfId="3680"/>
    <cellStyle name="Normal 43 2 2" xfId="3681"/>
    <cellStyle name="Normal 43 2 2 2" xfId="3682"/>
    <cellStyle name="Normal 43 2 3" xfId="3683"/>
    <cellStyle name="Normal 44" xfId="321"/>
    <cellStyle name="Normal 44 2" xfId="3684"/>
    <cellStyle name="Normal 44 2 2" xfId="3685"/>
    <cellStyle name="Normal 44 2 2 2" xfId="3686"/>
    <cellStyle name="Normal 44 2 3" xfId="3687"/>
    <cellStyle name="Normal 44 3" xfId="3688"/>
    <cellStyle name="Normal 45" xfId="322"/>
    <cellStyle name="Normal 45 2" xfId="3689"/>
    <cellStyle name="Normal 45 2 2" xfId="3690"/>
    <cellStyle name="Normal 45 2 2 2" xfId="3691"/>
    <cellStyle name="Normal 45 2 3" xfId="3692"/>
    <cellStyle name="Normal 45 3" xfId="3693"/>
    <cellStyle name="Normal 46" xfId="323"/>
    <cellStyle name="Normal 46 2" xfId="3694"/>
    <cellStyle name="Normal 46 3" xfId="3695"/>
    <cellStyle name="Normal 47" xfId="324"/>
    <cellStyle name="Normal 47 2" xfId="3696"/>
    <cellStyle name="Normal 48" xfId="325"/>
    <cellStyle name="Normal 48 2" xfId="1153"/>
    <cellStyle name="Normal 49" xfId="326"/>
    <cellStyle name="Normal 49 2" xfId="3697"/>
    <cellStyle name="Normal 5" xfId="153"/>
    <cellStyle name="Normal 5 10" xfId="3698"/>
    <cellStyle name="Normal 5 2" xfId="154"/>
    <cellStyle name="Normal 5 2 2" xfId="653"/>
    <cellStyle name="Normal 5 2 2 2" xfId="1154"/>
    <cellStyle name="Normal 5 2 2 2 2" xfId="1155"/>
    <cellStyle name="Normal 5 2 2 2 2 2" xfId="3699"/>
    <cellStyle name="Normal 5 2 2 2 2 2 2" xfId="3700"/>
    <cellStyle name="Normal 5 2 2 2 2 3" xfId="3701"/>
    <cellStyle name="Normal 5 2 2 2 2 4" xfId="3702"/>
    <cellStyle name="Normal 5 2 2 2 3" xfId="3703"/>
    <cellStyle name="Normal 5 2 2 2 3 2" xfId="3704"/>
    <cellStyle name="Normal 5 2 2 2 4" xfId="3705"/>
    <cellStyle name="Normal 5 2 2 2 5" xfId="3706"/>
    <cellStyle name="Normal 5 2 2 2 6" xfId="3707"/>
    <cellStyle name="Normal 5 2 2 2_2013" xfId="3708"/>
    <cellStyle name="Normal 5 2 2 3" xfId="1156"/>
    <cellStyle name="Normal 5 2 2 3 2" xfId="3709"/>
    <cellStyle name="Normal 5 2 2 3 2 2" xfId="3710"/>
    <cellStyle name="Normal 5 2 2 3 2 3" xfId="3711"/>
    <cellStyle name="Normal 5 2 2 3 3" xfId="3712"/>
    <cellStyle name="Normal 5 2 2 3 4" xfId="3713"/>
    <cellStyle name="Normal 5 2 2 3 5" xfId="3714"/>
    <cellStyle name="Normal 5 2 2 4" xfId="1157"/>
    <cellStyle name="Normal 5 2 2 4 2" xfId="3715"/>
    <cellStyle name="Normal 5 2 2 4 3" xfId="3716"/>
    <cellStyle name="Normal 5 2 2 5" xfId="3717"/>
    <cellStyle name="Normal 5 2 2 6" xfId="3718"/>
    <cellStyle name="Normal 5 2 2 7" xfId="3719"/>
    <cellStyle name="Normal 5 2 2_2013" xfId="3720"/>
    <cellStyle name="Normal 5 2 3" xfId="1158"/>
    <cellStyle name="Normal 5 2 3 2" xfId="1159"/>
    <cellStyle name="Normal 5 2 3 2 2" xfId="3721"/>
    <cellStyle name="Normal 5 2 3 2 2 2" xfId="3722"/>
    <cellStyle name="Normal 5 2 3 2 2 3" xfId="3723"/>
    <cellStyle name="Normal 5 2 3 2 3" xfId="3724"/>
    <cellStyle name="Normal 5 2 3 2 4" xfId="3725"/>
    <cellStyle name="Normal 5 2 3 3" xfId="1160"/>
    <cellStyle name="Normal 5 2 3 3 2" xfId="3726"/>
    <cellStyle name="Normal 5 2 3 3 2 2" xfId="3727"/>
    <cellStyle name="Normal 5 2 3 3 3" xfId="3728"/>
    <cellStyle name="Normal 5 2 3 3 4" xfId="3729"/>
    <cellStyle name="Normal 5 2 3 4" xfId="3730"/>
    <cellStyle name="Normal 5 2 3 5" xfId="3731"/>
    <cellStyle name="Normal 5 2 3_2013" xfId="3732"/>
    <cellStyle name="Normal 5 2 4" xfId="1161"/>
    <cellStyle name="Normal 5 2 4 2" xfId="1162"/>
    <cellStyle name="Normal 5 2 4 2 2" xfId="3733"/>
    <cellStyle name="Normal 5 2 4 2 2 2" xfId="3734"/>
    <cellStyle name="Normal 5 2 4 2 3" xfId="3735"/>
    <cellStyle name="Normal 5 2 4 2 4" xfId="3736"/>
    <cellStyle name="Normal 5 2 4 3" xfId="1163"/>
    <cellStyle name="Normal 5 2 4 3 2" xfId="3737"/>
    <cellStyle name="Normal 5 2 4 4" xfId="3738"/>
    <cellStyle name="Normal 5 2 4 5" xfId="3739"/>
    <cellStyle name="Normal 5 2 5" xfId="1164"/>
    <cellStyle name="Normal 5 2 5 19" xfId="3740"/>
    <cellStyle name="Normal 5 2 5 19 2" xfId="3741"/>
    <cellStyle name="Normal 5 2 5 2" xfId="1165"/>
    <cellStyle name="Normal 5 2 5 2 2" xfId="3742"/>
    <cellStyle name="Normal 5 2 5 2 3" xfId="3743"/>
    <cellStyle name="Normal 5 2 5 2 4" xfId="3744"/>
    <cellStyle name="Normal 5 2 5 3" xfId="3745"/>
    <cellStyle name="Normal 5 2 5 3 2" xfId="3746"/>
    <cellStyle name="Normal 5 2 5 3 2 2" xfId="3747"/>
    <cellStyle name="Normal 5 2 5 3 2 2 2" xfId="3748"/>
    <cellStyle name="Normal 5 2 5 3 2 3" xfId="3749"/>
    <cellStyle name="Normal 5 2 5 3 3" xfId="3750"/>
    <cellStyle name="Normal 5 2 5 3 3 2" xfId="3751"/>
    <cellStyle name="Normal 5 2 5 3 4" xfId="3752"/>
    <cellStyle name="Normal 5 2 5 3 5" xfId="3753"/>
    <cellStyle name="Normal 5 2 5 3 6" xfId="3754"/>
    <cellStyle name="Normal 5 2 5 4" xfId="3755"/>
    <cellStyle name="Normal 5 2 5 4 2" xfId="3756"/>
    <cellStyle name="Normal 5 2 5 5" xfId="3757"/>
    <cellStyle name="Normal 5 2 6" xfId="1166"/>
    <cellStyle name="Normal 5 2 6 2" xfId="3758"/>
    <cellStyle name="Normal 5 2 6 2 2" xfId="3759"/>
    <cellStyle name="Normal 5 2 6 2 3" xfId="3760"/>
    <cellStyle name="Normal 5 2 6 3" xfId="3761"/>
    <cellStyle name="Normal 5 2 6 4" xfId="3762"/>
    <cellStyle name="Normal 5 2 7" xfId="1167"/>
    <cellStyle name="Normal 5 2 7 2" xfId="3763"/>
    <cellStyle name="Normal 5 2 8" xfId="1168"/>
    <cellStyle name="Normal 5 2_2012 modified" xfId="3764"/>
    <cellStyle name="Normal 5 3" xfId="204"/>
    <cellStyle name="Normal 5 3 2" xfId="654"/>
    <cellStyle name="Normal 5 3 2 2" xfId="1169"/>
    <cellStyle name="Normal 5 3 2 2 2" xfId="3765"/>
    <cellStyle name="Normal 5 3 2 2 2 2" xfId="3766"/>
    <cellStyle name="Normal 5 3 2 2 2 3" xfId="3767"/>
    <cellStyle name="Normal 5 3 2 2 3" xfId="3768"/>
    <cellStyle name="Normal 5 3 2 2 4" xfId="3769"/>
    <cellStyle name="Normal 5 3 2 2 5" xfId="3770"/>
    <cellStyle name="Normal 5 3 2 3" xfId="3771"/>
    <cellStyle name="Normal 5 3 2 3 2" xfId="3772"/>
    <cellStyle name="Normal 5 3 2 3 3" xfId="3773"/>
    <cellStyle name="Normal 5 3 2 4" xfId="3774"/>
    <cellStyle name="Normal 5 3 2 5" xfId="3775"/>
    <cellStyle name="Normal 5 3 2 6" xfId="3776"/>
    <cellStyle name="Normal 5 3 2 7" xfId="3777"/>
    <cellStyle name="Normal 5 3 2_2013" xfId="3778"/>
    <cellStyle name="Normal 5 3 3" xfId="1170"/>
    <cellStyle name="Normal 5 3 3 2" xfId="3779"/>
    <cellStyle name="Normal 5 3 3 2 2" xfId="3780"/>
    <cellStyle name="Normal 5 3 3 2 2 2" xfId="3781"/>
    <cellStyle name="Normal 5 3 3 2 3" xfId="3782"/>
    <cellStyle name="Normal 5 3 3 3" xfId="3783"/>
    <cellStyle name="Normal 5 3 3 3 2" xfId="3784"/>
    <cellStyle name="Normal 5 3 3 4" xfId="3785"/>
    <cellStyle name="Normal 5 3 3 5" xfId="3786"/>
    <cellStyle name="Normal 5 3 4" xfId="1171"/>
    <cellStyle name="Normal 5 3 4 2" xfId="3787"/>
    <cellStyle name="Normal 5 3 4 2 2" xfId="3788"/>
    <cellStyle name="Normal 5 3 4 2 3" xfId="3789"/>
    <cellStyle name="Normal 5 3 4 3" xfId="3790"/>
    <cellStyle name="Normal 5 3 4 4" xfId="3791"/>
    <cellStyle name="Normal 5 3 5" xfId="3792"/>
    <cellStyle name="Normal 5 3 5 2" xfId="3793"/>
    <cellStyle name="Normal 5 3 5 3" xfId="3794"/>
    <cellStyle name="Normal 5 3_2013" xfId="3795"/>
    <cellStyle name="Normal 5 4" xfId="655"/>
    <cellStyle name="Normal 5 4 2" xfId="1172"/>
    <cellStyle name="Normal 5 4 2 2" xfId="3796"/>
    <cellStyle name="Normal 5 4 2 2 2" xfId="3797"/>
    <cellStyle name="Normal 5 4 2 3" xfId="3798"/>
    <cellStyle name="Normal 5 4 2 4" xfId="3799"/>
    <cellStyle name="Normal 5 4 3" xfId="1173"/>
    <cellStyle name="Normal 5 4 3 2" xfId="3800"/>
    <cellStyle name="Normal 5 4 3 2 2" xfId="3801"/>
    <cellStyle name="Normal 5 4 3 2 3" xfId="3802"/>
    <cellStyle name="Normal 5 4 3 3" xfId="3803"/>
    <cellStyle name="Normal 5 4 3 4" xfId="3804"/>
    <cellStyle name="Normal 5 4 4" xfId="3805"/>
    <cellStyle name="Normal 5 4 4 2" xfId="3806"/>
    <cellStyle name="Normal 5 4 5" xfId="3807"/>
    <cellStyle name="Normal 5 4 6" xfId="3808"/>
    <cellStyle name="Normal 5 4_2013" xfId="3809"/>
    <cellStyle name="Normal 5 5" xfId="656"/>
    <cellStyle name="Normal 5 5 2" xfId="1174"/>
    <cellStyle name="Normal 5 5 2 2" xfId="3810"/>
    <cellStyle name="Normal 5 5 2 2 2" xfId="3811"/>
    <cellStyle name="Normal 5 5 2 2 3" xfId="3812"/>
    <cellStyle name="Normal 5 5 2 3" xfId="3813"/>
    <cellStyle name="Normal 5 5 2 4" xfId="3814"/>
    <cellStyle name="Normal 5 5 3" xfId="1175"/>
    <cellStyle name="Normal 5 5 3 2" xfId="3815"/>
    <cellStyle name="Normal 5 5 4" xfId="3816"/>
    <cellStyle name="Normal 5 6" xfId="1176"/>
    <cellStyle name="Normal 5 6 2" xfId="1177"/>
    <cellStyle name="Normal 5 6 2 2" xfId="3817"/>
    <cellStyle name="Normal 5 6 2 2 2" xfId="3818"/>
    <cellStyle name="Normal 5 6 2 3" xfId="3819"/>
    <cellStyle name="Normal 5 6 3" xfId="3820"/>
    <cellStyle name="Normal 5 6 3 2" xfId="3821"/>
    <cellStyle name="Normal 5 6 4" xfId="3822"/>
    <cellStyle name="Normal 5 7" xfId="1178"/>
    <cellStyle name="Normal 5 7 2" xfId="3823"/>
    <cellStyle name="Normal 5 8" xfId="1179"/>
    <cellStyle name="Normal 5 9" xfId="1180"/>
    <cellStyle name="Normal 5_2012 modified" xfId="3824"/>
    <cellStyle name="Normal 50" xfId="327"/>
    <cellStyle name="Normal 50 2" xfId="3825"/>
    <cellStyle name="Normal 50 2 2" xfId="3826"/>
    <cellStyle name="Normal 50 2 2 2" xfId="3827"/>
    <cellStyle name="Normal 50 2 3" xfId="3828"/>
    <cellStyle name="Normal 51" xfId="328"/>
    <cellStyle name="Normal 51 2" xfId="3829"/>
    <cellStyle name="Normal 51 2 2" xfId="3830"/>
    <cellStyle name="Normal 51 2 2 2" xfId="3831"/>
    <cellStyle name="Normal 51 2 3" xfId="3832"/>
    <cellStyle name="Normal 52" xfId="329"/>
    <cellStyle name="Normal 53" xfId="330"/>
    <cellStyle name="Normal 54" xfId="331"/>
    <cellStyle name="Normal 54 2" xfId="3833"/>
    <cellStyle name="Normal 54 2 2" xfId="3834"/>
    <cellStyle name="Normal 54 2 2 2" xfId="3835"/>
    <cellStyle name="Normal 54 2 2 3" xfId="3836"/>
    <cellStyle name="Normal 54 2 3" xfId="3837"/>
    <cellStyle name="Normal 54 2 4" xfId="3838"/>
    <cellStyle name="Normal 55" xfId="332"/>
    <cellStyle name="Normal 55 2" xfId="3839"/>
    <cellStyle name="Normal 55 2 2" xfId="3840"/>
    <cellStyle name="Normal 55 2 2 2" xfId="3841"/>
    <cellStyle name="Normal 55 2 2 3" xfId="3842"/>
    <cellStyle name="Normal 55 2 3" xfId="3843"/>
    <cellStyle name="Normal 55 2 4" xfId="3844"/>
    <cellStyle name="Normal 56" xfId="333"/>
    <cellStyle name="Normal 57" xfId="334"/>
    <cellStyle name="Normal 57 2" xfId="3845"/>
    <cellStyle name="Normal 57 3" xfId="3846"/>
    <cellStyle name="Normal 57 3 2" xfId="3847"/>
    <cellStyle name="Normal 57 3 3" xfId="3848"/>
    <cellStyle name="Normal 57 4" xfId="3849"/>
    <cellStyle name="Normal 57 5" xfId="3850"/>
    <cellStyle name="Normal 58" xfId="335"/>
    <cellStyle name="Normal 58 2" xfId="3851"/>
    <cellStyle name="Normal 58 3" xfId="3852"/>
    <cellStyle name="Normal 58 3 2" xfId="3853"/>
    <cellStyle name="Normal 58 3 3" xfId="3854"/>
    <cellStyle name="Normal 58 4" xfId="3855"/>
    <cellStyle name="Normal 58 5" xfId="3856"/>
    <cellStyle name="Normal 59" xfId="336"/>
    <cellStyle name="Normal 59 2" xfId="3857"/>
    <cellStyle name="Normal 59 2 2" xfId="3858"/>
    <cellStyle name="Normal 59 2 3" xfId="3859"/>
    <cellStyle name="Normal 59 3" xfId="3860"/>
    <cellStyle name="Normal 59 3 2" xfId="3861"/>
    <cellStyle name="Normal 59 3 3" xfId="3862"/>
    <cellStyle name="Normal 59 4" xfId="3863"/>
    <cellStyle name="Normal 59 4 2" xfId="3864"/>
    <cellStyle name="Normal 59 5" xfId="3865"/>
    <cellStyle name="Normal 6" xfId="155"/>
    <cellStyle name="Normal 6 10" xfId="3866"/>
    <cellStyle name="Normal 6 11" xfId="3867"/>
    <cellStyle name="Normal 6 2" xfId="337"/>
    <cellStyle name="Normal 6 2 10" xfId="3868"/>
    <cellStyle name="Normal 6 2 11" xfId="3869"/>
    <cellStyle name="Normal 6 2 2" xfId="657"/>
    <cellStyle name="Normal 6 2 2 2" xfId="1181"/>
    <cellStyle name="Normal 6 2 2 2 2" xfId="1182"/>
    <cellStyle name="Normal 6 2 2 2 2 2" xfId="3870"/>
    <cellStyle name="Normal 6 2 2 2 2 2 2" xfId="3871"/>
    <cellStyle name="Normal 6 2 2 2 2 3" xfId="3872"/>
    <cellStyle name="Normal 6 2 2 2 2 4" xfId="3873"/>
    <cellStyle name="Normal 6 2 2 2 3" xfId="3874"/>
    <cellStyle name="Normal 6 2 2 2 3 2" xfId="3875"/>
    <cellStyle name="Normal 6 2 2 2 4" xfId="3876"/>
    <cellStyle name="Normal 6 2 2 2 5" xfId="3877"/>
    <cellStyle name="Normal 6 2 2 2 6" xfId="3878"/>
    <cellStyle name="Normal 6 2 2 2_2013" xfId="3879"/>
    <cellStyle name="Normal 6 2 2 3" xfId="1183"/>
    <cellStyle name="Normal 6 2 2 3 2" xfId="3880"/>
    <cellStyle name="Normal 6 2 2 3 2 2" xfId="3881"/>
    <cellStyle name="Normal 6 2 2 3 3" xfId="3882"/>
    <cellStyle name="Normal 6 2 2 3 4" xfId="3883"/>
    <cellStyle name="Normal 6 2 2 4" xfId="1184"/>
    <cellStyle name="Normal 6 2 2 5" xfId="3884"/>
    <cellStyle name="Normal 6 2 2 6" xfId="3885"/>
    <cellStyle name="Normal 6 2 2_2013" xfId="3886"/>
    <cellStyle name="Normal 6 2 3" xfId="658"/>
    <cellStyle name="Normal 6 2 3 2" xfId="1185"/>
    <cellStyle name="Normal 6 2 3 2 2" xfId="3887"/>
    <cellStyle name="Normal 6 2 3 2 2 2" xfId="3888"/>
    <cellStyle name="Normal 6 2 3 2 2 3" xfId="3889"/>
    <cellStyle name="Normal 6 2 3 2 3" xfId="3890"/>
    <cellStyle name="Normal 6 2 3 2 4" xfId="3891"/>
    <cellStyle name="Normal 6 2 3 3" xfId="1186"/>
    <cellStyle name="Normal 6 2 3 3 2" xfId="3892"/>
    <cellStyle name="Normal 6 2 3 3 2 2" xfId="3893"/>
    <cellStyle name="Normal 6 2 3 3 3" xfId="3894"/>
    <cellStyle name="Normal 6 2 3 3 4" xfId="3895"/>
    <cellStyle name="Normal 6 2 3 4" xfId="3896"/>
    <cellStyle name="Normal 6 2 3 5" xfId="3897"/>
    <cellStyle name="Normal 6 2 3_2013" xfId="3898"/>
    <cellStyle name="Normal 6 2 4" xfId="1187"/>
    <cellStyle name="Normal 6 2 4 2" xfId="1188"/>
    <cellStyle name="Normal 6 2 4 2 2" xfId="3899"/>
    <cellStyle name="Normal 6 2 4 3" xfId="1189"/>
    <cellStyle name="Normal 6 2 4 4" xfId="3900"/>
    <cellStyle name="Normal 6 2 5" xfId="1190"/>
    <cellStyle name="Normal 6 2 5 2" xfId="1191"/>
    <cellStyle name="Normal 6 2 5 2 2" xfId="3901"/>
    <cellStyle name="Normal 6 2 5 2 3" xfId="3902"/>
    <cellStyle name="Normal 6 2 5 3" xfId="3903"/>
    <cellStyle name="Normal 6 2 5 4" xfId="3904"/>
    <cellStyle name="Normal 6 2 5 5" xfId="3905"/>
    <cellStyle name="Normal 6 2 6" xfId="1192"/>
    <cellStyle name="Normal 6 2 6 2" xfId="3906"/>
    <cellStyle name="Normal 6 2 6 2 2" xfId="3907"/>
    <cellStyle name="Normal 6 2 6 3" xfId="3908"/>
    <cellStyle name="Normal 6 2 6 4" xfId="3909"/>
    <cellStyle name="Normal 6 2 7" xfId="1193"/>
    <cellStyle name="Normal 6 2 7 2" xfId="3910"/>
    <cellStyle name="Normal 6 2 8" xfId="3911"/>
    <cellStyle name="Normal 6 2 9" xfId="3912"/>
    <cellStyle name="Normal 6 2_2012 modified" xfId="3913"/>
    <cellStyle name="Normal 6 3" xfId="205"/>
    <cellStyle name="Normal 6 3 2" xfId="1194"/>
    <cellStyle name="Normal 6 3 2 2" xfId="1195"/>
    <cellStyle name="Normal 6 3 2 2 2" xfId="3914"/>
    <cellStyle name="Normal 6 3 2 2 2 2" xfId="3915"/>
    <cellStyle name="Normal 6 3 2 2 3" xfId="3916"/>
    <cellStyle name="Normal 6 3 2 3" xfId="3917"/>
    <cellStyle name="Normal 6 3 2 3 2" xfId="3918"/>
    <cellStyle name="Normal 6 3 2 3 2 2" xfId="3919"/>
    <cellStyle name="Normal 6 3 2 3 3" xfId="3920"/>
    <cellStyle name="Normal 6 3 2_2013" xfId="3921"/>
    <cellStyle name="Normal 6 3 3" xfId="1196"/>
    <cellStyle name="Normal 6 3 3 2" xfId="3922"/>
    <cellStyle name="Normal 6 3 3 2 2" xfId="3923"/>
    <cellStyle name="Normal 6 3 3 2 2 2" xfId="3924"/>
    <cellStyle name="Normal 6 3 3 2 3" xfId="3925"/>
    <cellStyle name="Normal 6 3 3 3" xfId="3926"/>
    <cellStyle name="Normal 6 3 3 3 2" xfId="3927"/>
    <cellStyle name="Normal 6 3 3 4" xfId="3928"/>
    <cellStyle name="Normal 6 3 4" xfId="1197"/>
    <cellStyle name="Normal 6 3 4 2" xfId="3929"/>
    <cellStyle name="Normal 6 3 4 2 2" xfId="3930"/>
    <cellStyle name="Normal 6 3 4 3" xfId="3931"/>
    <cellStyle name="Normal 6 3 5" xfId="3932"/>
    <cellStyle name="Normal 6 3 6" xfId="3933"/>
    <cellStyle name="Normal 6 3_2013" xfId="3934"/>
    <cellStyle name="Normal 6 4" xfId="1198"/>
    <cellStyle name="Normal 6 4 2" xfId="1199"/>
    <cellStyle name="Normal 6 4 2 2" xfId="3935"/>
    <cellStyle name="Normal 6 4 2 2 2" xfId="3936"/>
    <cellStyle name="Normal 6 4 2 2 3" xfId="3937"/>
    <cellStyle name="Normal 6 4 2 3" xfId="3938"/>
    <cellStyle name="Normal 6 4 2 4" xfId="3939"/>
    <cellStyle name="Normal 6 4 3" xfId="1200"/>
    <cellStyle name="Normal 6 4 3 2" xfId="3940"/>
    <cellStyle name="Normal 6 4 3 2 2" xfId="3941"/>
    <cellStyle name="Normal 6 4 3 3" xfId="3942"/>
    <cellStyle name="Normal 6 4 4" xfId="3943"/>
    <cellStyle name="Normal 6 4_2013" xfId="3944"/>
    <cellStyle name="Normal 6 5" xfId="1201"/>
    <cellStyle name="Normal 6 5 2" xfId="1202"/>
    <cellStyle name="Normal 6 5 3" xfId="1203"/>
    <cellStyle name="Normal 6 5 3 2" xfId="3945"/>
    <cellStyle name="Normal 6 5 3 2 2" xfId="3946"/>
    <cellStyle name="Normal 6 5 3 3" xfId="3947"/>
    <cellStyle name="Normal 6 5 4" xfId="3948"/>
    <cellStyle name="Normal 6 6" xfId="1204"/>
    <cellStyle name="Normal 6 6 2" xfId="1205"/>
    <cellStyle name="Normal 6 6 2 2" xfId="3949"/>
    <cellStyle name="Normal 6 7" xfId="1206"/>
    <cellStyle name="Normal 6 7 2" xfId="3950"/>
    <cellStyle name="Normal 6 7 2 2" xfId="3951"/>
    <cellStyle name="Normal 6 7 2 3" xfId="3952"/>
    <cellStyle name="Normal 6 7 3" xfId="3953"/>
    <cellStyle name="Normal 6 7 3 2" xfId="3954"/>
    <cellStyle name="Normal 6 7 4" xfId="3955"/>
    <cellStyle name="Normal 6 8" xfId="1207"/>
    <cellStyle name="Normal 6 8 2" xfId="3956"/>
    <cellStyle name="Normal 6 8 2 2" xfId="3957"/>
    <cellStyle name="Normal 6 8 2 3" xfId="3958"/>
    <cellStyle name="Normal 6 8 3" xfId="3959"/>
    <cellStyle name="Normal 6 8 4" xfId="3960"/>
    <cellStyle name="Normal 6 9" xfId="1208"/>
    <cellStyle name="Normal 6 9 2" xfId="3961"/>
    <cellStyle name="Normal 6 9 3" xfId="3962"/>
    <cellStyle name="Normal 6_2012 modified" xfId="3963"/>
    <cellStyle name="Normal 60" xfId="338"/>
    <cellStyle name="Normal 60 2" xfId="3964"/>
    <cellStyle name="Normal 60 3" xfId="3965"/>
    <cellStyle name="Normal 60 3 2" xfId="3966"/>
    <cellStyle name="Normal 60 3 3" xfId="3967"/>
    <cellStyle name="Normal 60 4" xfId="3968"/>
    <cellStyle name="Normal 60 5" xfId="3969"/>
    <cellStyle name="Normal 61" xfId="339"/>
    <cellStyle name="Normal 61 2" xfId="3970"/>
    <cellStyle name="Normal 61 3" xfId="3971"/>
    <cellStyle name="Normal 61 3 2" xfId="3972"/>
    <cellStyle name="Normal 61 3 3" xfId="3973"/>
    <cellStyle name="Normal 61 4" xfId="3974"/>
    <cellStyle name="Normal 61 5" xfId="3975"/>
    <cellStyle name="Normal 62" xfId="340"/>
    <cellStyle name="Normal 62 2" xfId="3976"/>
    <cellStyle name="Normal 62 3" xfId="3977"/>
    <cellStyle name="Normal 62 3 2" xfId="3978"/>
    <cellStyle name="Normal 62 3 3" xfId="3979"/>
    <cellStyle name="Normal 62 4" xfId="3980"/>
    <cellStyle name="Normal 62 5" xfId="3981"/>
    <cellStyle name="Normal 63" xfId="341"/>
    <cellStyle name="Normal 63 2" xfId="3982"/>
    <cellStyle name="Normal 63 3" xfId="3983"/>
    <cellStyle name="Normal 63 3 2" xfId="3984"/>
    <cellStyle name="Normal 63 3 3" xfId="3985"/>
    <cellStyle name="Normal 63 4" xfId="3986"/>
    <cellStyle name="Normal 63 5" xfId="3987"/>
    <cellStyle name="Normal 64" xfId="342"/>
    <cellStyle name="Normal 64 2" xfId="3988"/>
    <cellStyle name="Normal 64 3" xfId="3989"/>
    <cellStyle name="Normal 64 3 2" xfId="3990"/>
    <cellStyle name="Normal 64 3 2 2" xfId="3991"/>
    <cellStyle name="Normal 64 3 2 3" xfId="3992"/>
    <cellStyle name="Normal 64 3 3" xfId="3993"/>
    <cellStyle name="Normal 64 3 4" xfId="3994"/>
    <cellStyle name="Normal 64 4" xfId="3995"/>
    <cellStyle name="Normal 65" xfId="343"/>
    <cellStyle name="Normal 66" xfId="344"/>
    <cellStyle name="Normal 67" xfId="345"/>
    <cellStyle name="Normal 68" xfId="346"/>
    <cellStyle name="Normal 68 2" xfId="3996"/>
    <cellStyle name="Normal 68 3" xfId="3997"/>
    <cellStyle name="Normal 68 3 2" xfId="3998"/>
    <cellStyle name="Normal 68 3 3" xfId="3999"/>
    <cellStyle name="Normal 68 4" xfId="4000"/>
    <cellStyle name="Normal 68 5" xfId="4001"/>
    <cellStyle name="Normal 69" xfId="347"/>
    <cellStyle name="Normal 7" xfId="156"/>
    <cellStyle name="Normal 7 10" xfId="4002"/>
    <cellStyle name="Normal 7 10 2" xfId="4003"/>
    <cellStyle name="Normal 7 11" xfId="4004"/>
    <cellStyle name="Normal 7 2" xfId="430"/>
    <cellStyle name="Normal 7 2 10" xfId="4005"/>
    <cellStyle name="Normal 7 2 11" xfId="4006"/>
    <cellStyle name="Normal 7 2 12" xfId="4007"/>
    <cellStyle name="Normal 7 2 2" xfId="659"/>
    <cellStyle name="Normal 7 2 2 2" xfId="660"/>
    <cellStyle name="Normal 7 2 2 2 2" xfId="1209"/>
    <cellStyle name="Normal 7 2 2 2 2 2" xfId="4008"/>
    <cellStyle name="Normal 7 2 2 2 2 2 2" xfId="4009"/>
    <cellStyle name="Normal 7 2 2 2 2 3" xfId="4010"/>
    <cellStyle name="Normal 7 2 2 2 2 4" xfId="4011"/>
    <cellStyle name="Normal 7 2 2 2 3" xfId="4012"/>
    <cellStyle name="Normal 7 2 2 2 3 2" xfId="4013"/>
    <cellStyle name="Normal 7 2 2 2 4" xfId="4014"/>
    <cellStyle name="Normal 7 2 2 2 5" xfId="4015"/>
    <cellStyle name="Normal 7 2 2 2_2013" xfId="4016"/>
    <cellStyle name="Normal 7 2 2 3" xfId="1210"/>
    <cellStyle name="Normal 7 2 2 3 2" xfId="4017"/>
    <cellStyle name="Normal 7 2 2 3 2 2" xfId="4018"/>
    <cellStyle name="Normal 7 2 2 3 3" xfId="4019"/>
    <cellStyle name="Normal 7 2 2 3 4" xfId="4020"/>
    <cellStyle name="Normal 7 2 2 4" xfId="1211"/>
    <cellStyle name="Normal 7 2 2 4 2" xfId="4021"/>
    <cellStyle name="Normal 7 2 2 5" xfId="4022"/>
    <cellStyle name="Normal 7 2 2 5 2" xfId="4023"/>
    <cellStyle name="Normal 7 2 2 6" xfId="4024"/>
    <cellStyle name="Normal 7 2 2 7" xfId="4025"/>
    <cellStyle name="Normal 7 2 2_2013" xfId="4026"/>
    <cellStyle name="Normal 7 2 3" xfId="661"/>
    <cellStyle name="Normal 7 2 3 2" xfId="1212"/>
    <cellStyle name="Normal 7 2 3 2 2" xfId="4027"/>
    <cellStyle name="Normal 7 2 3 2 2 2" xfId="4028"/>
    <cellStyle name="Normal 7 2 3 2 2 3" xfId="4029"/>
    <cellStyle name="Normal 7 2 3 2 3" xfId="4030"/>
    <cellStyle name="Normal 7 2 3 2 4" xfId="4031"/>
    <cellStyle name="Normal 7 2 3 3" xfId="1213"/>
    <cellStyle name="Normal 7 2 3 3 2" xfId="4032"/>
    <cellStyle name="Normal 7 2 3 3 3" xfId="4033"/>
    <cellStyle name="Normal 7 2 3 4" xfId="4034"/>
    <cellStyle name="Normal 7 2 3 5" xfId="4035"/>
    <cellStyle name="Normal 7 2 3 6" xfId="4036"/>
    <cellStyle name="Normal 7 2 3_2013" xfId="4037"/>
    <cellStyle name="Normal 7 2 4" xfId="1214"/>
    <cellStyle name="Normal 7 2 4 2" xfId="1215"/>
    <cellStyle name="Normal 7 2 4 2 2" xfId="4038"/>
    <cellStyle name="Normal 7 2 4 3" xfId="1216"/>
    <cellStyle name="Normal 7 2 4 4" xfId="4039"/>
    <cellStyle name="Normal 7 2 5" xfId="1217"/>
    <cellStyle name="Normal 7 2 5 2" xfId="1218"/>
    <cellStyle name="Normal 7 2 5 2 2" xfId="4040"/>
    <cellStyle name="Normal 7 2 5 2 3" xfId="4041"/>
    <cellStyle name="Normal 7 2 5 3" xfId="4042"/>
    <cellStyle name="Normal 7 2 5 4" xfId="4043"/>
    <cellStyle name="Normal 7 2 5 5" xfId="4044"/>
    <cellStyle name="Normal 7 2 6" xfId="1219"/>
    <cellStyle name="Normal 7 2 6 2" xfId="4045"/>
    <cellStyle name="Normal 7 2 6 2 2" xfId="4046"/>
    <cellStyle name="Normal 7 2 6 3" xfId="4047"/>
    <cellStyle name="Normal 7 2 7" xfId="1220"/>
    <cellStyle name="Normal 7 2 7 2" xfId="4048"/>
    <cellStyle name="Normal 7 2 8" xfId="4049"/>
    <cellStyle name="Normal 7 2 9" xfId="4050"/>
    <cellStyle name="Normal 7 2_2012 modified" xfId="4051"/>
    <cellStyle name="Normal 7 3" xfId="662"/>
    <cellStyle name="Normal 7 3 2" xfId="663"/>
    <cellStyle name="Normal 7 3 2 2" xfId="1221"/>
    <cellStyle name="Normal 7 3 2 2 2" xfId="4052"/>
    <cellStyle name="Normal 7 3 2 2 2 2" xfId="4053"/>
    <cellStyle name="Normal 7 3 2 2 3" xfId="4054"/>
    <cellStyle name="Normal 7 3 2 3" xfId="4055"/>
    <cellStyle name="Normal 7 3 2 3 2" xfId="4056"/>
    <cellStyle name="Normal 7 3 2 3 2 2" xfId="4057"/>
    <cellStyle name="Normal 7 3 2 3 3" xfId="4058"/>
    <cellStyle name="Normal 7 3 2_2013" xfId="4059"/>
    <cellStyle name="Normal 7 3 3" xfId="1222"/>
    <cellStyle name="Normal 7 3 3 2" xfId="4060"/>
    <cellStyle name="Normal 7 3 3 2 2" xfId="4061"/>
    <cellStyle name="Normal 7 3 3 2 2 2" xfId="4062"/>
    <cellStyle name="Normal 7 3 3 2 3" xfId="4063"/>
    <cellStyle name="Normal 7 3 3 3" xfId="4064"/>
    <cellStyle name="Normal 7 3 3 3 2" xfId="4065"/>
    <cellStyle name="Normal 7 3 3 4" xfId="4066"/>
    <cellStyle name="Normal 7 3 4" xfId="1223"/>
    <cellStyle name="Normal 7 3 4 2" xfId="4067"/>
    <cellStyle name="Normal 7 3 4 2 2" xfId="4068"/>
    <cellStyle name="Normal 7 3 4 3" xfId="4069"/>
    <cellStyle name="Normal 7 3 5" xfId="4070"/>
    <cellStyle name="Normal 7 3 6" xfId="4071"/>
    <cellStyle name="Normal 7 3_2013" xfId="4072"/>
    <cellStyle name="Normal 7 4" xfId="664"/>
    <cellStyle name="Normal 7 4 2" xfId="1224"/>
    <cellStyle name="Normal 7 4 2 2" xfId="4073"/>
    <cellStyle name="Normal 7 4 2 2 2" xfId="4074"/>
    <cellStyle name="Normal 7 4 2 3" xfId="4075"/>
    <cellStyle name="Normal 7 4 3" xfId="1225"/>
    <cellStyle name="Normal 7 4 3 2" xfId="4076"/>
    <cellStyle name="Normal 7 4 3 2 2" xfId="4077"/>
    <cellStyle name="Normal 7 4 3 3" xfId="4078"/>
    <cellStyle name="Normal 7 4 4" xfId="4079"/>
    <cellStyle name="Normal 7 4 4 2" xfId="4080"/>
    <cellStyle name="Normal 7 4 5" xfId="4081"/>
    <cellStyle name="Normal 7 4 6" xfId="4082"/>
    <cellStyle name="Normal 7 4_2013" xfId="4083"/>
    <cellStyle name="Normal 7 5" xfId="1226"/>
    <cellStyle name="Normal 7 5 2" xfId="1227"/>
    <cellStyle name="Normal 7 5 2 2" xfId="4084"/>
    <cellStyle name="Normal 7 5 2 2 2" xfId="4085"/>
    <cellStyle name="Normal 7 5 2 3" xfId="4086"/>
    <cellStyle name="Normal 7 5 3" xfId="1228"/>
    <cellStyle name="Normal 7 6" xfId="1229"/>
    <cellStyle name="Normal 7 6 2" xfId="1230"/>
    <cellStyle name="Normal 7 6 2 2" xfId="4087"/>
    <cellStyle name="Normal 7 6 2 3" xfId="4088"/>
    <cellStyle name="Normal 7 6 3" xfId="4089"/>
    <cellStyle name="Normal 7 6 3 2" xfId="4090"/>
    <cellStyle name="Normal 7 6 4" xfId="4091"/>
    <cellStyle name="Normal 7 7" xfId="1231"/>
    <cellStyle name="Normal 7 7 2" xfId="4092"/>
    <cellStyle name="Normal 7 7 2 2" xfId="4093"/>
    <cellStyle name="Normal 7 7 2 3" xfId="4094"/>
    <cellStyle name="Normal 7 7 3" xfId="4095"/>
    <cellStyle name="Normal 7 7 3 2" xfId="4096"/>
    <cellStyle name="Normal 7 7 4" xfId="4097"/>
    <cellStyle name="Normal 7 8" xfId="1232"/>
    <cellStyle name="Normal 7 8 2" xfId="4098"/>
    <cellStyle name="Normal 7 8 3" xfId="4099"/>
    <cellStyle name="Normal 7 8 4" xfId="4100"/>
    <cellStyle name="Normal 7 9" xfId="1233"/>
    <cellStyle name="Normal 7 9 2" xfId="4101"/>
    <cellStyle name="Normal 7_2012 modified" xfId="4102"/>
    <cellStyle name="Normal 70" xfId="348"/>
    <cellStyle name="Normal 70 2" xfId="4103"/>
    <cellStyle name="Normal 71" xfId="349"/>
    <cellStyle name="Normal 71 2" xfId="4104"/>
    <cellStyle name="Normal 71 2 2" xfId="4105"/>
    <cellStyle name="Normal 71 2 3" xfId="4106"/>
    <cellStyle name="Normal 71 3" xfId="4107"/>
    <cellStyle name="Normal 71 3 2" xfId="4108"/>
    <cellStyle name="Normal 71 3 3" xfId="4109"/>
    <cellStyle name="Normal 71 4" xfId="4110"/>
    <cellStyle name="Normal 71 4 2" xfId="4111"/>
    <cellStyle name="Normal 71 4 3" xfId="4112"/>
    <cellStyle name="Normal 71 5" xfId="4113"/>
    <cellStyle name="Normal 71 5 2" xfId="4114"/>
    <cellStyle name="Normal 71 6" xfId="4115"/>
    <cellStyle name="Normal 72" xfId="350"/>
    <cellStyle name="Normal 72 2" xfId="4116"/>
    <cellStyle name="Normal 72 2 2" xfId="4117"/>
    <cellStyle name="Normal 72 2 3" xfId="4118"/>
    <cellStyle name="Normal 72 3" xfId="4119"/>
    <cellStyle name="Normal 72 3 2" xfId="4120"/>
    <cellStyle name="Normal 72 4" xfId="4121"/>
    <cellStyle name="Normal 73" xfId="351"/>
    <cellStyle name="Normal 73 2" xfId="4122"/>
    <cellStyle name="Normal 73 2 2" xfId="4123"/>
    <cellStyle name="Normal 73 2 3" xfId="4124"/>
    <cellStyle name="Normal 73 3" xfId="4125"/>
    <cellStyle name="Normal 73 3 2" xfId="4126"/>
    <cellStyle name="Normal 73 4" xfId="4127"/>
    <cellStyle name="Normal 74" xfId="352"/>
    <cellStyle name="Normal 74 2" xfId="4128"/>
    <cellStyle name="Normal 74 2 2" xfId="4129"/>
    <cellStyle name="Normal 74 2 3" xfId="4130"/>
    <cellStyle name="Normal 74 3" xfId="4131"/>
    <cellStyle name="Normal 74 3 2" xfId="4132"/>
    <cellStyle name="Normal 74 4" xfId="4133"/>
    <cellStyle name="Normal 75" xfId="353"/>
    <cellStyle name="Normal 75 2" xfId="4134"/>
    <cellStyle name="Normal 75 2 2" xfId="4135"/>
    <cellStyle name="Normal 75 2 3" xfId="4136"/>
    <cellStyle name="Normal 75 3" xfId="4137"/>
    <cellStyle name="Normal 75 3 2" xfId="4138"/>
    <cellStyle name="Normal 75 4" xfId="4139"/>
    <cellStyle name="Normal 76" xfId="354"/>
    <cellStyle name="Normal 76 2" xfId="4140"/>
    <cellStyle name="Normal 76 3" xfId="4141"/>
    <cellStyle name="Normal 77" xfId="355"/>
    <cellStyle name="Normal 77 2" xfId="4142"/>
    <cellStyle name="Normal 77 3" xfId="4143"/>
    <cellStyle name="Normal 78" xfId="356"/>
    <cellStyle name="Normal 78 2" xfId="4144"/>
    <cellStyle name="Normal 78 3" xfId="4145"/>
    <cellStyle name="Normal 78 4" xfId="4146"/>
    <cellStyle name="Normal 79" xfId="357"/>
    <cellStyle name="Normal 8" xfId="157"/>
    <cellStyle name="Normal 8 10" xfId="4147"/>
    <cellStyle name="Normal 8 10 2" xfId="4148"/>
    <cellStyle name="Normal 8 11" xfId="4149"/>
    <cellStyle name="Normal 8 12" xfId="4150"/>
    <cellStyle name="Normal 8 2" xfId="431"/>
    <cellStyle name="Normal 8 2 10" xfId="4151"/>
    <cellStyle name="Normal 8 2 11" xfId="4152"/>
    <cellStyle name="Normal 8 2 2" xfId="665"/>
    <cellStyle name="Normal 8 2 2 2" xfId="1234"/>
    <cellStyle name="Normal 8 2 2 2 2" xfId="1235"/>
    <cellStyle name="Normal 8 2 2 2 2 2" xfId="4153"/>
    <cellStyle name="Normal 8 2 2 2 2 2 2" xfId="4154"/>
    <cellStyle name="Normal 8 2 2 2 2 2 3" xfId="4155"/>
    <cellStyle name="Normal 8 2 2 2 2 3" xfId="4156"/>
    <cellStyle name="Normal 8 2 2 2 2 4" xfId="4157"/>
    <cellStyle name="Normal 8 2 2 2 3" xfId="4158"/>
    <cellStyle name="Normal 8 2 2 2 3 2" xfId="4159"/>
    <cellStyle name="Normal 8 2 2 2 3 3" xfId="4160"/>
    <cellStyle name="Normal 8 2 2 2 4" xfId="4161"/>
    <cellStyle name="Normal 8 2 2 2 5" xfId="4162"/>
    <cellStyle name="Normal 8 2 2 2 6" xfId="4163"/>
    <cellStyle name="Normal 8 2 2 2_2013" xfId="4164"/>
    <cellStyle name="Normal 8 2 2 3" xfId="1236"/>
    <cellStyle name="Normal 8 2 2 3 2" xfId="4165"/>
    <cellStyle name="Normal 8 2 2 3 2 2" xfId="4166"/>
    <cellStyle name="Normal 8 2 2 3 2 3" xfId="4167"/>
    <cellStyle name="Normal 8 2 2 3 3" xfId="4168"/>
    <cellStyle name="Normal 8 2 2 3 4" xfId="4169"/>
    <cellStyle name="Normal 8 2 2 3 5" xfId="4170"/>
    <cellStyle name="Normal 8 2 2 4" xfId="1237"/>
    <cellStyle name="Normal 8 2 2 4 2" xfId="4171"/>
    <cellStyle name="Normal 8 2 2 4 3" xfId="4172"/>
    <cellStyle name="Normal 8 2 2 5" xfId="4173"/>
    <cellStyle name="Normal 8 2 2 6" xfId="4174"/>
    <cellStyle name="Normal 8 2 2 7" xfId="4175"/>
    <cellStyle name="Normal 8 2 2_2013" xfId="4176"/>
    <cellStyle name="Normal 8 2 3" xfId="666"/>
    <cellStyle name="Normal 8 2 3 2" xfId="1238"/>
    <cellStyle name="Normal 8 2 3 2 2" xfId="4177"/>
    <cellStyle name="Normal 8 2 3 2 2 2" xfId="4178"/>
    <cellStyle name="Normal 8 2 3 2 2 3" xfId="4179"/>
    <cellStyle name="Normal 8 2 3 2 3" xfId="4180"/>
    <cellStyle name="Normal 8 2 3 2 4" xfId="4181"/>
    <cellStyle name="Normal 8 2 3 3" xfId="1239"/>
    <cellStyle name="Normal 8 2 3 3 2" xfId="4182"/>
    <cellStyle name="Normal 8 2 3 3 3" xfId="4183"/>
    <cellStyle name="Normal 8 2 3 4" xfId="4184"/>
    <cellStyle name="Normal 8 2 3 5" xfId="4185"/>
    <cellStyle name="Normal 8 2 3 6" xfId="4186"/>
    <cellStyle name="Normal 8 2 3_2013" xfId="4187"/>
    <cellStyle name="Normal 8 2 4" xfId="1240"/>
    <cellStyle name="Normal 8 2 4 2" xfId="1241"/>
    <cellStyle name="Normal 8 2 4 2 2" xfId="4188"/>
    <cellStyle name="Normal 8 2 4 2 2 2" xfId="4189"/>
    <cellStyle name="Normal 8 2 4 2 3" xfId="4190"/>
    <cellStyle name="Normal 8 2 4 3" xfId="1242"/>
    <cellStyle name="Normal 8 2 4 3 2" xfId="4191"/>
    <cellStyle name="Normal 8 2 4 4" xfId="4192"/>
    <cellStyle name="Normal 8 2 4 5" xfId="4193"/>
    <cellStyle name="Normal 8 2 5" xfId="1243"/>
    <cellStyle name="Normal 8 2 5 2" xfId="1244"/>
    <cellStyle name="Normal 8 2 5 2 2" xfId="4194"/>
    <cellStyle name="Normal 8 2 5 2 3" xfId="4195"/>
    <cellStyle name="Normal 8 2 5 3" xfId="4196"/>
    <cellStyle name="Normal 8 2 5 4" xfId="4197"/>
    <cellStyle name="Normal 8 2 6" xfId="1245"/>
    <cellStyle name="Normal 8 2 6 2" xfId="4198"/>
    <cellStyle name="Normal 8 2 6 2 2" xfId="4199"/>
    <cellStyle name="Normal 8 2 6 3" xfId="4200"/>
    <cellStyle name="Normal 8 2 7" xfId="1246"/>
    <cellStyle name="Normal 8 2 7 2" xfId="4201"/>
    <cellStyle name="Normal 8 2 8" xfId="4202"/>
    <cellStyle name="Normal 8 2 9" xfId="4203"/>
    <cellStyle name="Normal 8 2_2012 modified" xfId="4204"/>
    <cellStyle name="Normal 8 3" xfId="667"/>
    <cellStyle name="Normal 8 3 2" xfId="1247"/>
    <cellStyle name="Normal 8 3 2 2" xfId="1248"/>
    <cellStyle name="Normal 8 3 2 2 2" xfId="4205"/>
    <cellStyle name="Normal 8 3 2 2 2 2" xfId="4206"/>
    <cellStyle name="Normal 8 3 2 2 3" xfId="4207"/>
    <cellStyle name="Normal 8 3 2 3" xfId="4208"/>
    <cellStyle name="Normal 8 3 2 3 2" xfId="4209"/>
    <cellStyle name="Normal 8 3 2 3 2 2" xfId="4210"/>
    <cellStyle name="Normal 8 3 2 3 3" xfId="4211"/>
    <cellStyle name="Normal 8 3 2_2013" xfId="4212"/>
    <cellStyle name="Normal 8 3 3" xfId="1249"/>
    <cellStyle name="Normal 8 3 3 2" xfId="4213"/>
    <cellStyle name="Normal 8 3 3 2 2" xfId="4214"/>
    <cellStyle name="Normal 8 3 3 2 2 2" xfId="4215"/>
    <cellStyle name="Normal 8 3 3 2 3" xfId="4216"/>
    <cellStyle name="Normal 8 3 3 3" xfId="4217"/>
    <cellStyle name="Normal 8 3 3 3 2" xfId="4218"/>
    <cellStyle name="Normal 8 3 3 4" xfId="4219"/>
    <cellStyle name="Normal 8 3 4" xfId="1250"/>
    <cellStyle name="Normal 8 3 4 2" xfId="4220"/>
    <cellStyle name="Normal 8 3 4 2 2" xfId="4221"/>
    <cellStyle name="Normal 8 3 4 3" xfId="4222"/>
    <cellStyle name="Normal 8 3 5" xfId="4223"/>
    <cellStyle name="Normal 8 3 6" xfId="4224"/>
    <cellStyle name="Normal 8 3_2013" xfId="4225"/>
    <cellStyle name="Normal 8 4" xfId="668"/>
    <cellStyle name="Normal 8 4 2" xfId="1251"/>
    <cellStyle name="Normal 8 4 2 2" xfId="4226"/>
    <cellStyle name="Normal 8 4 2 2 2" xfId="4227"/>
    <cellStyle name="Normal 8 4 2 3" xfId="4228"/>
    <cellStyle name="Normal 8 4 3" xfId="1252"/>
    <cellStyle name="Normal 8 4 3 2" xfId="4229"/>
    <cellStyle name="Normal 8 4 3 2 2" xfId="4230"/>
    <cellStyle name="Normal 8 4 3 2 3" xfId="4231"/>
    <cellStyle name="Normal 8 4 3 3" xfId="4232"/>
    <cellStyle name="Normal 8 4 3 4" xfId="4233"/>
    <cellStyle name="Normal 8 4 4" xfId="4234"/>
    <cellStyle name="Normal 8 4 5" xfId="4235"/>
    <cellStyle name="Normal 8 4_2013" xfId="4236"/>
    <cellStyle name="Normal 8 5" xfId="1253"/>
    <cellStyle name="Normal 8 5 2" xfId="1254"/>
    <cellStyle name="Normal 8 5 2 2" xfId="4237"/>
    <cellStyle name="Normal 8 5 2 2 2" xfId="4238"/>
    <cellStyle name="Normal 8 5 2 3" xfId="4239"/>
    <cellStyle name="Normal 8 5 3" xfId="1255"/>
    <cellStyle name="Normal 8 5 4" xfId="4240"/>
    <cellStyle name="Normal 8 6" xfId="1256"/>
    <cellStyle name="Normal 8 6 2" xfId="1257"/>
    <cellStyle name="Normal 8 6 2 2" xfId="4241"/>
    <cellStyle name="Normal 8 6 2 3" xfId="4242"/>
    <cellStyle name="Normal 8 6 3" xfId="4243"/>
    <cellStyle name="Normal 8 6 3 2" xfId="4244"/>
    <cellStyle name="Normal 8 6 4" xfId="4245"/>
    <cellStyle name="Normal 8 7" xfId="1258"/>
    <cellStyle name="Normal 8 7 2" xfId="4246"/>
    <cellStyle name="Normal 8 7 2 2" xfId="4247"/>
    <cellStyle name="Normal 8 7 2 3" xfId="4248"/>
    <cellStyle name="Normal 8 7 3" xfId="4249"/>
    <cellStyle name="Normal 8 7 3 2" xfId="4250"/>
    <cellStyle name="Normal 8 7 4" xfId="4251"/>
    <cellStyle name="Normal 8 8" xfId="1259"/>
    <cellStyle name="Normal 8 8 2" xfId="4252"/>
    <cellStyle name="Normal 8 8 2 2" xfId="4253"/>
    <cellStyle name="Normal 8 8 2 3" xfId="4254"/>
    <cellStyle name="Normal 8 8 3" xfId="4255"/>
    <cellStyle name="Normal 8 8 3 2" xfId="4256"/>
    <cellStyle name="Normal 8 8 4" xfId="4257"/>
    <cellStyle name="Normal 8 9" xfId="1260"/>
    <cellStyle name="Normal 8 9 2" xfId="4258"/>
    <cellStyle name="Normal 8 9 3" xfId="4259"/>
    <cellStyle name="Normal 8_2012 modified" xfId="4260"/>
    <cellStyle name="Normal 80" xfId="358"/>
    <cellStyle name="Normal 80 2" xfId="4261"/>
    <cellStyle name="Normal 81" xfId="359"/>
    <cellStyle name="Normal 81 2" xfId="4262"/>
    <cellStyle name="Normal 82" xfId="360"/>
    <cellStyle name="Normal 82 2" xfId="4263"/>
    <cellStyle name="Normal 83" xfId="361"/>
    <cellStyle name="Normal 83 2" xfId="4264"/>
    <cellStyle name="Normal 84" xfId="215"/>
    <cellStyle name="Normal 84 2" xfId="188"/>
    <cellStyle name="Normal 84 3" xfId="473"/>
    <cellStyle name="Normal 85" xfId="368"/>
    <cellStyle name="Normal 85 2" xfId="474"/>
    <cellStyle name="Normal 85 3" xfId="669"/>
    <cellStyle name="Normal 86" xfId="380"/>
    <cellStyle name="Normal 86 2" xfId="4265"/>
    <cellStyle name="Normal 86 2 2" xfId="4266"/>
    <cellStyle name="Normal 87" xfId="381"/>
    <cellStyle name="Normal 88" xfId="382"/>
    <cellStyle name="Normal 89" xfId="383"/>
    <cellStyle name="Normal 9" xfId="158"/>
    <cellStyle name="Normal 9 10" xfId="4267"/>
    <cellStyle name="Normal 9 11" xfId="4268"/>
    <cellStyle name="Normal 9 12" xfId="4269"/>
    <cellStyle name="Normal 9 13" xfId="4270"/>
    <cellStyle name="Normal 9 2" xfId="432"/>
    <cellStyle name="Normal 9 2 10" xfId="4271"/>
    <cellStyle name="Normal 9 2 2" xfId="670"/>
    <cellStyle name="Normal 9 2 2 2" xfId="1261"/>
    <cellStyle name="Normal 9 2 2 2 2" xfId="1262"/>
    <cellStyle name="Normal 9 2 2 2 2 2" xfId="4272"/>
    <cellStyle name="Normal 9 2 2 2 2 2 2" xfId="4273"/>
    <cellStyle name="Normal 9 2 2 2 2 3" xfId="4274"/>
    <cellStyle name="Normal 9 2 2 2 2 4" xfId="4275"/>
    <cellStyle name="Normal 9 2 2 2 3" xfId="4276"/>
    <cellStyle name="Normal 9 2 2 2 3 2" xfId="4277"/>
    <cellStyle name="Normal 9 2 2 2 4" xfId="4278"/>
    <cellStyle name="Normal 9 2 2 2 5" xfId="4279"/>
    <cellStyle name="Normal 9 2 2 2 6" xfId="4280"/>
    <cellStyle name="Normal 9 2 2 2_2013" xfId="4281"/>
    <cellStyle name="Normal 9 2 2 3" xfId="1263"/>
    <cellStyle name="Normal 9 2 2 3 2" xfId="4282"/>
    <cellStyle name="Normal 9 2 2 3 2 2" xfId="4283"/>
    <cellStyle name="Normal 9 2 2 3 3" xfId="4284"/>
    <cellStyle name="Normal 9 2 2 3 4" xfId="4285"/>
    <cellStyle name="Normal 9 2 2 3 5" xfId="4286"/>
    <cellStyle name="Normal 9 2 2 4" xfId="1264"/>
    <cellStyle name="Normal 9 2 2 4 2" xfId="4287"/>
    <cellStyle name="Normal 9 2 2 5" xfId="4288"/>
    <cellStyle name="Normal 9 2 2 6" xfId="4289"/>
    <cellStyle name="Normal 9 2 2 7" xfId="4290"/>
    <cellStyle name="Normal 9 2 2_2013" xfId="4291"/>
    <cellStyle name="Normal 9 2 3" xfId="671"/>
    <cellStyle name="Normal 9 2 3 2" xfId="1265"/>
    <cellStyle name="Normal 9 2 3 2 2" xfId="4292"/>
    <cellStyle name="Normal 9 2 3 2 2 2" xfId="4293"/>
    <cellStyle name="Normal 9 2 3 2 2 3" xfId="4294"/>
    <cellStyle name="Normal 9 2 3 2 3" xfId="4295"/>
    <cellStyle name="Normal 9 2 3 2 4" xfId="4296"/>
    <cellStyle name="Normal 9 2 3 3" xfId="1266"/>
    <cellStyle name="Normal 9 2 3 3 2" xfId="4297"/>
    <cellStyle name="Normal 9 2 3 3 3" xfId="4298"/>
    <cellStyle name="Normal 9 2 3 4" xfId="4299"/>
    <cellStyle name="Normal 9 2 3 5" xfId="4300"/>
    <cellStyle name="Normal 9 2 3 6" xfId="4301"/>
    <cellStyle name="Normal 9 2 3_2013" xfId="4302"/>
    <cellStyle name="Normal 9 2 4" xfId="1267"/>
    <cellStyle name="Normal 9 2 4 2" xfId="1268"/>
    <cellStyle name="Normal 9 2 4 2 2" xfId="4303"/>
    <cellStyle name="Normal 9 2 4 2 2 2" xfId="4304"/>
    <cellStyle name="Normal 9 2 4 2 3" xfId="4305"/>
    <cellStyle name="Normal 9 2 4 2 4" xfId="4306"/>
    <cellStyle name="Normal 9 2 4 3" xfId="1269"/>
    <cellStyle name="Normal 9 2 4 3 2" xfId="4307"/>
    <cellStyle name="Normal 9 2 4 4" xfId="4308"/>
    <cellStyle name="Normal 9 2 4 5" xfId="4309"/>
    <cellStyle name="Normal 9 2 5" xfId="1270"/>
    <cellStyle name="Normal 9 2 5 2" xfId="1271"/>
    <cellStyle name="Normal 9 2 5 2 2" xfId="4310"/>
    <cellStyle name="Normal 9 2 5 2 3" xfId="4311"/>
    <cellStyle name="Normal 9 2 5 3" xfId="4312"/>
    <cellStyle name="Normal 9 2 5 4" xfId="4313"/>
    <cellStyle name="Normal 9 2 6" xfId="1272"/>
    <cellStyle name="Normal 9 2 6 2" xfId="4314"/>
    <cellStyle name="Normal 9 2 6 2 2" xfId="4315"/>
    <cellStyle name="Normal 9 2 6 3" xfId="4316"/>
    <cellStyle name="Normal 9 2 7" xfId="1273"/>
    <cellStyle name="Normal 9 2 7 2" xfId="4317"/>
    <cellStyle name="Normal 9 2 7 3" xfId="4318"/>
    <cellStyle name="Normal 9 2 8" xfId="4319"/>
    <cellStyle name="Normal 9 2 9" xfId="4320"/>
    <cellStyle name="Normal 9 2_2012 modified" xfId="4321"/>
    <cellStyle name="Normal 9 3" xfId="672"/>
    <cellStyle name="Normal 9 3 2" xfId="1274"/>
    <cellStyle name="Normal 9 3 2 2" xfId="1275"/>
    <cellStyle name="Normal 9 3 2 2 2" xfId="4322"/>
    <cellStyle name="Normal 9 3 2 2 2 2" xfId="4323"/>
    <cellStyle name="Normal 9 3 2 2 3" xfId="4324"/>
    <cellStyle name="Normal 9 3 2 3" xfId="4325"/>
    <cellStyle name="Normal 9 3 2 3 2" xfId="4326"/>
    <cellStyle name="Normal 9 3 2 3 2 2" xfId="4327"/>
    <cellStyle name="Normal 9 3 2 3 3" xfId="4328"/>
    <cellStyle name="Normal 9 3 2_2013" xfId="4329"/>
    <cellStyle name="Normal 9 3 3" xfId="1276"/>
    <cellStyle name="Normal 9 3 3 2" xfId="4330"/>
    <cellStyle name="Normal 9 3 3 2 2" xfId="4331"/>
    <cellStyle name="Normal 9 3 3 2 2 2" xfId="4332"/>
    <cellStyle name="Normal 9 3 3 2 3" xfId="4333"/>
    <cellStyle name="Normal 9 3 3 3" xfId="4334"/>
    <cellStyle name="Normal 9 3 3 3 2" xfId="4335"/>
    <cellStyle name="Normal 9 3 3 4" xfId="4336"/>
    <cellStyle name="Normal 9 3 4" xfId="1277"/>
    <cellStyle name="Normal 9 3 4 2" xfId="4337"/>
    <cellStyle name="Normal 9 3 4 2 2" xfId="4338"/>
    <cellStyle name="Normal 9 3 4 3" xfId="4339"/>
    <cellStyle name="Normal 9 3 5" xfId="4340"/>
    <cellStyle name="Normal 9 3 6" xfId="4341"/>
    <cellStyle name="Normal 9 3_2013" xfId="4342"/>
    <cellStyle name="Normal 9 4" xfId="1278"/>
    <cellStyle name="Normal 9 4 2" xfId="1279"/>
    <cellStyle name="Normal 9 4 2 2" xfId="4343"/>
    <cellStyle name="Normal 9 4 2 2 2" xfId="4344"/>
    <cellStyle name="Normal 9 4 2 3" xfId="4345"/>
    <cellStyle name="Normal 9 4 3" xfId="1280"/>
    <cellStyle name="Normal 9 4 3 2" xfId="4346"/>
    <cellStyle name="Normal 9 4 3 2 2" xfId="4347"/>
    <cellStyle name="Normal 9 4 3 3" xfId="4348"/>
    <cellStyle name="Normal 9 4_2013" xfId="4349"/>
    <cellStyle name="Normal 9 5" xfId="1281"/>
    <cellStyle name="Normal 9 5 2" xfId="1282"/>
    <cellStyle name="Normal 9 5 2 2" xfId="4350"/>
    <cellStyle name="Normal 9 5 2 2 2" xfId="4351"/>
    <cellStyle name="Normal 9 5 2 3" xfId="4352"/>
    <cellStyle name="Normal 9 5 2 4" xfId="4353"/>
    <cellStyle name="Normal 9 5 3" xfId="1283"/>
    <cellStyle name="Normal 9 5 3 2" xfId="4354"/>
    <cellStyle name="Normal 9 5 3 3" xfId="4355"/>
    <cellStyle name="Normal 9 5 4" xfId="4356"/>
    <cellStyle name="Normal 9 5 4 2" xfId="4357"/>
    <cellStyle name="Normal 9 5 5" xfId="4358"/>
    <cellStyle name="Normal 9 6" xfId="1284"/>
    <cellStyle name="Normal 9 6 2" xfId="1285"/>
    <cellStyle name="Normal 9 6 2 2" xfId="4359"/>
    <cellStyle name="Normal 9 6 2 3" xfId="4360"/>
    <cellStyle name="Normal 9 6 3" xfId="4361"/>
    <cellStyle name="Normal 9 6 3 2" xfId="4362"/>
    <cellStyle name="Normal 9 6 4" xfId="4363"/>
    <cellStyle name="Normal 9 6 5" xfId="4364"/>
    <cellStyle name="Normal 9 7" xfId="1286"/>
    <cellStyle name="Normal 9 7 2" xfId="4365"/>
    <cellStyle name="Normal 9 7 2 2" xfId="4366"/>
    <cellStyle name="Normal 9 7 2 3" xfId="4367"/>
    <cellStyle name="Normal 9 7 3" xfId="4368"/>
    <cellStyle name="Normal 9 7 3 2" xfId="4369"/>
    <cellStyle name="Normal 9 7 4" xfId="4370"/>
    <cellStyle name="Normal 9 8" xfId="1287"/>
    <cellStyle name="Normal 9 8 2" xfId="4371"/>
    <cellStyle name="Normal 9 8 2 2" xfId="4372"/>
    <cellStyle name="Normal 9 8 3" xfId="4373"/>
    <cellStyle name="Normal 9 9" xfId="1288"/>
    <cellStyle name="Normal 9 9 2" xfId="4374"/>
    <cellStyle name="Normal 9_2012 modified" xfId="4375"/>
    <cellStyle name="Normal 90" xfId="189"/>
    <cellStyle name="Normal 90 2" xfId="4376"/>
    <cellStyle name="Normal 90 3" xfId="4377"/>
    <cellStyle name="Normal 91" xfId="387"/>
    <cellStyle name="Normal 91 2" xfId="4378"/>
    <cellStyle name="Normal 92" xfId="435"/>
    <cellStyle name="Normal 92 2" xfId="674"/>
    <cellStyle name="Normal 92 3" xfId="673"/>
    <cellStyle name="Normal 93" xfId="480"/>
    <cellStyle name="Normal 93 2" xfId="676"/>
    <cellStyle name="Normal 93 3" xfId="675"/>
    <cellStyle name="Normal 94" xfId="481"/>
    <cellStyle name="Normal 94 2" xfId="4379"/>
    <cellStyle name="Normal 95" xfId="677"/>
    <cellStyle name="Normal 95 2" xfId="4380"/>
    <cellStyle name="Normal 96" xfId="678"/>
    <cellStyle name="Normal 96 2" xfId="4381"/>
    <cellStyle name="Normal 97" xfId="679"/>
    <cellStyle name="Normal 98" xfId="680"/>
    <cellStyle name="Normal 98 2" xfId="1291"/>
    <cellStyle name="Normal 99" xfId="681"/>
    <cellStyle name="Normal_2183 Regulated Price Out Final 6-7-2012" xfId="701"/>
    <cellStyle name="Normal_Price out 2" xfId="9"/>
    <cellStyle name="Normal_Proforma Yakima UTC-Nicki 2009" xfId="699"/>
    <cellStyle name="Normal_Regulated Price Out 9-6-2011 Final HL" xfId="700"/>
    <cellStyle name="Note 2" xfId="159"/>
    <cellStyle name="Note 2 2" xfId="475"/>
    <cellStyle name="Note 2 2 2" xfId="4382"/>
    <cellStyle name="Note 2 2 2 2" xfId="4383"/>
    <cellStyle name="Note 2 2 3" xfId="4384"/>
    <cellStyle name="Note 2 3" xfId="363"/>
    <cellStyle name="Note 2 3 2" xfId="4385"/>
    <cellStyle name="Note 2 3 2 2" xfId="4386"/>
    <cellStyle name="Note 2 3 3" xfId="4387"/>
    <cellStyle name="Note 2 3 4" xfId="4388"/>
    <cellStyle name="Note 2 3 5" xfId="4389"/>
    <cellStyle name="Note 2 3 6" xfId="4390"/>
    <cellStyle name="Note 2 4" xfId="4391"/>
    <cellStyle name="Note 2 4 2" xfId="4392"/>
    <cellStyle name="Note 2 5" xfId="4393"/>
    <cellStyle name="Note 3" xfId="160"/>
    <cellStyle name="Note 3 2" xfId="476"/>
    <cellStyle name="Note 3 2 2" xfId="4394"/>
    <cellStyle name="Note 3 2 3" xfId="4395"/>
    <cellStyle name="Note 3 3" xfId="362"/>
    <cellStyle name="Note 3 3 2" xfId="4396"/>
    <cellStyle name="Note 3 3 2 2" xfId="4397"/>
    <cellStyle name="Note 3 3 3" xfId="4398"/>
    <cellStyle name="Note 4" xfId="682"/>
    <cellStyle name="Note 5" xfId="4399"/>
    <cellStyle name="Notes" xfId="161"/>
    <cellStyle name="NotIncluded1" xfId="1289"/>
    <cellStyle name="OptionalGood" xfId="1290"/>
    <cellStyle name="Output 2" xfId="162"/>
    <cellStyle name="Output 2 2" xfId="365"/>
    <cellStyle name="Output 2 2 2" xfId="4400"/>
    <cellStyle name="Output 2 3" xfId="4401"/>
    <cellStyle name="Output 2 3 2" xfId="4402"/>
    <cellStyle name="Output 2 4" xfId="4403"/>
    <cellStyle name="Output 3" xfId="364"/>
    <cellStyle name="Output 3 2" xfId="683"/>
    <cellStyle name="Output 4" xfId="4404"/>
    <cellStyle name="Output 5" xfId="4405"/>
    <cellStyle name="Percent" xfId="3" builtinId="5"/>
    <cellStyle name="Percent 10" xfId="684"/>
    <cellStyle name="Percent 10 2" xfId="4406"/>
    <cellStyle name="Percent 11" xfId="4407"/>
    <cellStyle name="Percent 11 2" xfId="4408"/>
    <cellStyle name="Percent 11 3" xfId="4409"/>
    <cellStyle name="Percent 11 4" xfId="4410"/>
    <cellStyle name="Percent 12" xfId="4411"/>
    <cellStyle name="Percent 12 2" xfId="4412"/>
    <cellStyle name="Percent 12 2 2" xfId="4413"/>
    <cellStyle name="Percent 12 2 3" xfId="4414"/>
    <cellStyle name="Percent 12 3" xfId="4415"/>
    <cellStyle name="Percent 12 3 2" xfId="4416"/>
    <cellStyle name="Percent 12 4" xfId="4417"/>
    <cellStyle name="Percent 13" xfId="4418"/>
    <cellStyle name="Percent 13 2" xfId="4419"/>
    <cellStyle name="Percent 13 2 2" xfId="4420"/>
    <cellStyle name="Percent 13 2 3" xfId="4421"/>
    <cellStyle name="Percent 13 3" xfId="4422"/>
    <cellStyle name="Percent 13 4" xfId="4423"/>
    <cellStyle name="Percent 14" xfId="4424"/>
    <cellStyle name="Percent 14 2" xfId="4425"/>
    <cellStyle name="Percent 14 2 2" xfId="4426"/>
    <cellStyle name="Percent 14 2 3" xfId="4427"/>
    <cellStyle name="Percent 14 3" xfId="4428"/>
    <cellStyle name="Percent 14 4" xfId="4429"/>
    <cellStyle name="Percent 15" xfId="4430"/>
    <cellStyle name="Percent 15 2" xfId="4431"/>
    <cellStyle name="Percent 15 3" xfId="4432"/>
    <cellStyle name="Percent 16" xfId="4433"/>
    <cellStyle name="Percent 16 2" xfId="4434"/>
    <cellStyle name="Percent 16 3" xfId="4435"/>
    <cellStyle name="Percent 2" xfId="163"/>
    <cellStyle name="Percent 2 2" xfId="164"/>
    <cellStyle name="Percent 2 2 2" xfId="367"/>
    <cellStyle name="Percent 2 2 3" xfId="206"/>
    <cellStyle name="Percent 2 2 3 2" xfId="4436"/>
    <cellStyle name="Percent 2 2 3 2 2" xfId="4437"/>
    <cellStyle name="Percent 2 2 3 2 2 2" xfId="4438"/>
    <cellStyle name="Percent 2 2 3 2 3" xfId="4439"/>
    <cellStyle name="Percent 2 2 3 3" xfId="4440"/>
    <cellStyle name="Percent 2 2 3 3 2" xfId="4441"/>
    <cellStyle name="Percent 2 2 3 3 3" xfId="4442"/>
    <cellStyle name="Percent 2 2 3 4" xfId="4443"/>
    <cellStyle name="Percent 2 2 3 5" xfId="4444"/>
    <cellStyle name="Percent 2 2 3 6" xfId="4445"/>
    <cellStyle name="Percent 2 2 3 7" xfId="4446"/>
    <cellStyle name="Percent 2 2 4" xfId="4447"/>
    <cellStyle name="Percent 2 2 4 2" xfId="4448"/>
    <cellStyle name="Percent 2 2 4 2 2" xfId="4449"/>
    <cellStyle name="Percent 2 2 4 3" xfId="4450"/>
    <cellStyle name="Percent 2 2 4 4" xfId="4451"/>
    <cellStyle name="Percent 2 2 4 5" xfId="4452"/>
    <cellStyle name="Percent 2 2 4 6" xfId="4453"/>
    <cellStyle name="Percent 2 2 5" xfId="4454"/>
    <cellStyle name="Percent 2 2 5 2" xfId="4455"/>
    <cellStyle name="Percent 2 2 5 2 2" xfId="4456"/>
    <cellStyle name="Percent 2 2 5 3" xfId="4457"/>
    <cellStyle name="Percent 2 2 5 4" xfId="4458"/>
    <cellStyle name="Percent 2 2 5 5" xfId="4459"/>
    <cellStyle name="Percent 2 2 5 6" xfId="4460"/>
    <cellStyle name="Percent 2 2 6" xfId="4461"/>
    <cellStyle name="Percent 2 2 6 2" xfId="4462"/>
    <cellStyle name="Percent 2 2 6 2 2" xfId="4463"/>
    <cellStyle name="Percent 2 2 6 3" xfId="4464"/>
    <cellStyle name="Percent 2 2 6 4" xfId="4465"/>
    <cellStyle name="Percent 2 2 6 5" xfId="4466"/>
    <cellStyle name="Percent 2 2 6 6" xfId="4467"/>
    <cellStyle name="Percent 2 2 7" xfId="4468"/>
    <cellStyle name="Percent 2 2 7 2" xfId="4469"/>
    <cellStyle name="Percent 2 2 7 2 2" xfId="4470"/>
    <cellStyle name="Percent 2 2 7 3" xfId="4471"/>
    <cellStyle name="Percent 2 2 7 4" xfId="4472"/>
    <cellStyle name="Percent 2 2 7 5" xfId="4473"/>
    <cellStyle name="Percent 2 2 7 6" xfId="4474"/>
    <cellStyle name="Percent 2 2 8" xfId="4475"/>
    <cellStyle name="Percent 2 2 8 2" xfId="4476"/>
    <cellStyle name="Percent 2 2 8 2 2" xfId="4477"/>
    <cellStyle name="Percent 2 2 8 3" xfId="4478"/>
    <cellStyle name="Percent 2 2 8 4" xfId="4479"/>
    <cellStyle name="Percent 2 2 8 5" xfId="4480"/>
    <cellStyle name="Percent 2 2 8 6" xfId="4481"/>
    <cellStyle name="Percent 2 3" xfId="165"/>
    <cellStyle name="Percent 2 3 2" xfId="4482"/>
    <cellStyle name="Percent 2 3 2 2" xfId="4483"/>
    <cellStyle name="Percent 2 3 2 2 2" xfId="4484"/>
    <cellStyle name="Percent 2 3 2 2 3" xfId="4485"/>
    <cellStyle name="Percent 2 3 2 3" xfId="4486"/>
    <cellStyle name="Percent 2 3 2 3 2" xfId="4487"/>
    <cellStyle name="Percent 2 3 2 4" xfId="4488"/>
    <cellStyle name="Percent 2 3 3" xfId="4489"/>
    <cellStyle name="Percent 2 4" xfId="396"/>
    <cellStyle name="Percent 2 5" xfId="4490"/>
    <cellStyle name="Percent 2 6" xfId="207"/>
    <cellStyle name="Percent 3" xfId="166"/>
    <cellStyle name="Percent 3 2" xfId="208"/>
    <cellStyle name="Percent 3 2 2" xfId="685"/>
    <cellStyle name="Percent 3 2 2 2" xfId="4491"/>
    <cellStyle name="Percent 3 2 2 2 2" xfId="4492"/>
    <cellStyle name="Percent 3 2 2 3" xfId="4493"/>
    <cellStyle name="Percent 3 2 2 4" xfId="4494"/>
    <cellStyle name="Percent 3 2 2 5" xfId="4495"/>
    <cellStyle name="Percent 3 2 2 6" xfId="4496"/>
    <cellStyle name="Percent 3 2 3" xfId="4497"/>
    <cellStyle name="Percent 3 3" xfId="686"/>
    <cellStyle name="Percent 3 3 2" xfId="4498"/>
    <cellStyle name="Percent 3 4" xfId="4499"/>
    <cellStyle name="Percent 4" xfId="8"/>
    <cellStyle name="Percent 4 2" xfId="6"/>
    <cellStyle name="Percent 4 2 2" xfId="4500"/>
    <cellStyle name="Percent 4 2 2 2" xfId="4501"/>
    <cellStyle name="Percent 4 2 2 2 2" xfId="4502"/>
    <cellStyle name="Percent 4 2 2 2 2 2" xfId="4503"/>
    <cellStyle name="Percent 4 2 2 2 3" xfId="4504"/>
    <cellStyle name="Percent 4 2 2 3" xfId="4505"/>
    <cellStyle name="Percent 4 2 2 3 2" xfId="4506"/>
    <cellStyle name="Percent 4 2 2 3 2 2" xfId="4507"/>
    <cellStyle name="Percent 4 2 2 3 3" xfId="4508"/>
    <cellStyle name="Percent 4 2 2 4" xfId="4509"/>
    <cellStyle name="Percent 4 2 3" xfId="4510"/>
    <cellStyle name="Percent 4 2 3 2" xfId="4511"/>
    <cellStyle name="Percent 4 2 3 2 2" xfId="4512"/>
    <cellStyle name="Percent 4 2 3 3" xfId="4513"/>
    <cellStyle name="Percent 4 2 4" xfId="4514"/>
    <cellStyle name="Percent 4 2 4 2" xfId="4515"/>
    <cellStyle name="Percent 4 2 4 2 2" xfId="4516"/>
    <cellStyle name="Percent 4 2 4 3" xfId="4517"/>
    <cellStyle name="Percent 4 3" xfId="433"/>
    <cellStyle name="Percent 4 3 2" xfId="4518"/>
    <cellStyle name="Percent 4 3 2 2" xfId="4519"/>
    <cellStyle name="Percent 4 3 2 2 2" xfId="4520"/>
    <cellStyle name="Percent 4 3 2 2 2 2" xfId="4521"/>
    <cellStyle name="Percent 4 3 2 2 3" xfId="4522"/>
    <cellStyle name="Percent 4 3 2 3" xfId="4523"/>
    <cellStyle name="Percent 4 3 3" xfId="4524"/>
    <cellStyle name="Percent 4 3 3 2" xfId="4525"/>
    <cellStyle name="Percent 4 3 3 2 2" xfId="4526"/>
    <cellStyle name="Percent 4 3 3 3" xfId="4527"/>
    <cellStyle name="Percent 4 3 4" xfId="4528"/>
    <cellStyle name="Percent 4 4" xfId="687"/>
    <cellStyle name="Percent 4 4 2" xfId="4529"/>
    <cellStyle name="Percent 4 4 2 2" xfId="4530"/>
    <cellStyle name="Percent 4 4 2 2 2" xfId="4531"/>
    <cellStyle name="Percent 4 4 2 3" xfId="4532"/>
    <cellStyle name="Percent 4 4 3" xfId="4533"/>
    <cellStyle name="Percent 4 5" xfId="4534"/>
    <cellStyle name="Percent 4 5 2" xfId="4535"/>
    <cellStyle name="Percent 4 5 2 2" xfId="4536"/>
    <cellStyle name="Percent 4 6" xfId="4537"/>
    <cellStyle name="Percent 4 6 2" xfId="4538"/>
    <cellStyle name="Percent 4 6 2 2" xfId="4539"/>
    <cellStyle name="Percent 4 6 3" xfId="4540"/>
    <cellStyle name="Percent 4 7" xfId="4541"/>
    <cellStyle name="Percent 4 7 2" xfId="4542"/>
    <cellStyle name="Percent 4 7 3" xfId="4543"/>
    <cellStyle name="Percent 4_2149 Ops template" xfId="4544"/>
    <cellStyle name="Percent 5" xfId="167"/>
    <cellStyle name="Percent 5 2" xfId="369"/>
    <cellStyle name="Percent 5 2 2" xfId="688"/>
    <cellStyle name="Percent 5 2 2 2" xfId="4545"/>
    <cellStyle name="Percent 5 2 2 2 2" xfId="4546"/>
    <cellStyle name="Percent 5 2 2 2 3" xfId="4547"/>
    <cellStyle name="Percent 5 2 2 3" xfId="4548"/>
    <cellStyle name="Percent 5 2 2 3 2" xfId="4549"/>
    <cellStyle name="Percent 5 2 2 4" xfId="4550"/>
    <cellStyle name="Percent 5 2 3" xfId="4551"/>
    <cellStyle name="Percent 5 2 3 2" xfId="4552"/>
    <cellStyle name="Percent 5 2 3 3" xfId="4553"/>
    <cellStyle name="Percent 5 2 4" xfId="4554"/>
    <cellStyle name="Percent 5 2 4 2" xfId="4555"/>
    <cellStyle name="Percent 5 2 5" xfId="4556"/>
    <cellStyle name="Percent 5 3" xfId="689"/>
    <cellStyle name="Percent 5 3 2" xfId="4557"/>
    <cellStyle name="Percent 5 3 3" xfId="4558"/>
    <cellStyle name="Percent 5 4" xfId="690"/>
    <cellStyle name="Percent 5 4 2" xfId="4559"/>
    <cellStyle name="Percent 5 5" xfId="4560"/>
    <cellStyle name="Percent 5 6" xfId="4561"/>
    <cellStyle name="Percent 6" xfId="370"/>
    <cellStyle name="Percent 6 2" xfId="691"/>
    <cellStyle name="Percent 6 2 2" xfId="4562"/>
    <cellStyle name="Percent 6 2 2 2" xfId="4563"/>
    <cellStyle name="Percent 6 2 2 2 2" xfId="4564"/>
    <cellStyle name="Percent 6 2 2 2 3" xfId="4565"/>
    <cellStyle name="Percent 6 2 2 3" xfId="4566"/>
    <cellStyle name="Percent 6 2 2 3 2" xfId="4567"/>
    <cellStyle name="Percent 6 2 2 4" xfId="4568"/>
    <cellStyle name="Percent 6 2 3" xfId="4569"/>
    <cellStyle name="Percent 6 2 3 2" xfId="4570"/>
    <cellStyle name="Percent 6 2 3 3" xfId="4571"/>
    <cellStyle name="Percent 6 2 4" xfId="4572"/>
    <cellStyle name="Percent 6 2 4 2" xfId="4573"/>
    <cellStyle name="Percent 6 2 5" xfId="4574"/>
    <cellStyle name="Percent 6 3" xfId="4575"/>
    <cellStyle name="Percent 6 3 2" xfId="4576"/>
    <cellStyle name="Percent 6 3 2 2" xfId="4577"/>
    <cellStyle name="Percent 6 3 3" xfId="4578"/>
    <cellStyle name="Percent 6 3 4" xfId="4579"/>
    <cellStyle name="Percent 6 4" xfId="4580"/>
    <cellStyle name="Percent 7" xfId="7"/>
    <cellStyle name="Percent 7 2" xfId="384"/>
    <cellStyle name="Percent 7 2 2" xfId="4581"/>
    <cellStyle name="Percent 7 2 2 2" xfId="4582"/>
    <cellStyle name="Percent 7 2 2 3" xfId="4583"/>
    <cellStyle name="Percent 7 2 3" xfId="4584"/>
    <cellStyle name="Percent 7 2 3 2" xfId="4585"/>
    <cellStyle name="Percent 7 2 4" xfId="4586"/>
    <cellStyle name="Percent 7 3" xfId="477"/>
    <cellStyle name="Percent 7 4" xfId="366"/>
    <cellStyle name="Percent 8" xfId="434"/>
    <cellStyle name="Percent 8 2" xfId="4587"/>
    <cellStyle name="Percent 8 2 2" xfId="4588"/>
    <cellStyle name="Percent 8 2 2 2" xfId="4589"/>
    <cellStyle name="Percent 8 2 3" xfId="4590"/>
    <cellStyle name="Percent 9" xfId="692"/>
    <cellStyle name="Percent 9 2" xfId="4591"/>
    <cellStyle name="Percent 9 3" xfId="4592"/>
    <cellStyle name="Percent(1)" xfId="168"/>
    <cellStyle name="Percent(1) 2" xfId="4593"/>
    <cellStyle name="Percent(2)" xfId="169"/>
    <cellStyle name="Percent(2) 2" xfId="4594"/>
    <cellStyle name="Posting_Period" xfId="693"/>
    <cellStyle name="PRM" xfId="170"/>
    <cellStyle name="PRM 2" xfId="371"/>
    <cellStyle name="PRM 3" xfId="372"/>
    <cellStyle name="PRM 4" xfId="4595"/>
    <cellStyle name="PRM_2011-11" xfId="373"/>
    <cellStyle name="PS_Comma" xfId="209"/>
    <cellStyle name="PSChar" xfId="171"/>
    <cellStyle name="PSDate" xfId="210"/>
    <cellStyle name="PSDec" xfId="211"/>
    <cellStyle name="PSHeading" xfId="172"/>
    <cellStyle name="PSInt" xfId="212"/>
    <cellStyle name="PSSpacer" xfId="213"/>
    <cellStyle name="Reset  - Style4" xfId="4596"/>
    <cellStyle name="Reset  - Style7" xfId="4597"/>
    <cellStyle name="STYL0 - Style1" xfId="173"/>
    <cellStyle name="STYL1 - Style2" xfId="174"/>
    <cellStyle name="STYL2 - Style3" xfId="175"/>
    <cellStyle name="STYL3 - Style4" xfId="176"/>
    <cellStyle name="STYL4 - Style5" xfId="177"/>
    <cellStyle name="STYL5 - Style6" xfId="178"/>
    <cellStyle name="STYL6 - Style7" xfId="179"/>
    <cellStyle name="STYL7 - Style8" xfId="180"/>
    <cellStyle name="Style 1" xfId="181"/>
    <cellStyle name="Style 1 2" xfId="374"/>
    <cellStyle name="Style 1 2 2" xfId="4598"/>
    <cellStyle name="Style 1 3" xfId="4599"/>
    <cellStyle name="Style 1_Recycle Center Commodities MRF" xfId="4600"/>
    <cellStyle name="STYLE1" xfId="182"/>
    <cellStyle name="STYLE1 2" xfId="694"/>
    <cellStyle name="STYLE1 3" xfId="4601"/>
    <cellStyle name="sub heading" xfId="183"/>
    <cellStyle name="Table  - Style5" xfId="4602"/>
    <cellStyle name="Table  - Style6" xfId="4603"/>
    <cellStyle name="Tax_Rate" xfId="695"/>
    <cellStyle name="Title  - Style1" xfId="4604"/>
    <cellStyle name="Title  - Style6" xfId="4605"/>
    <cellStyle name="Title 10" xfId="4606"/>
    <cellStyle name="Title 11" xfId="4607"/>
    <cellStyle name="Title 12" xfId="4608"/>
    <cellStyle name="Title 13" xfId="4609"/>
    <cellStyle name="Title 14" xfId="4610"/>
    <cellStyle name="title 2" xfId="184"/>
    <cellStyle name="Title 2 2" xfId="376"/>
    <cellStyle name="Title 2 2 2" xfId="4611"/>
    <cellStyle name="Title 2 3" xfId="4612"/>
    <cellStyle name="Title 2 3 2" xfId="4613"/>
    <cellStyle name="Title 2 4" xfId="4614"/>
    <cellStyle name="Title 2 4 2" xfId="4615"/>
    <cellStyle name="Title 3" xfId="375"/>
    <cellStyle name="Title 3 2" xfId="696"/>
    <cellStyle name="Title 4" xfId="4616"/>
    <cellStyle name="Title 5" xfId="4617"/>
    <cellStyle name="Title 6" xfId="4618"/>
    <cellStyle name="Title 7" xfId="4619"/>
    <cellStyle name="Title 8" xfId="4620"/>
    <cellStyle name="Title 9" xfId="4621"/>
    <cellStyle name="Total 2" xfId="185"/>
    <cellStyle name="Total 2 2" xfId="478"/>
    <cellStyle name="Total 2 2 2" xfId="4622"/>
    <cellStyle name="Total 2 3" xfId="378"/>
    <cellStyle name="Total 3" xfId="186"/>
    <cellStyle name="Total 3 2" xfId="479"/>
    <cellStyle name="Total 3 3" xfId="377"/>
    <cellStyle name="Total 4" xfId="697"/>
    <cellStyle name="TotCol - Style5" xfId="4623"/>
    <cellStyle name="TotCol - Style7" xfId="4624"/>
    <cellStyle name="TotRow - Style4" xfId="4625"/>
    <cellStyle name="TotRow - Style8" xfId="4626"/>
    <cellStyle name="Transcript_Date" xfId="698"/>
    <cellStyle name="Warning Text 2" xfId="187"/>
    <cellStyle name="Warning Text 2 2" xfId="4627"/>
    <cellStyle name="Warning Text 3" xfId="379"/>
    <cellStyle name="Warning Text 3 2" xfId="4628"/>
    <cellStyle name="Warning Text 4" xfId="4629"/>
    <cellStyle name="WM_STANDARD" xfId="214"/>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customXml" Target="../customXml/item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_DB5_SRV\SRC\User\REPORTS\2009%20BUDGET%20REPORTS\2009%20Budget%20Report%20without%20insuranc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CNX%20Stuff/Excel/Financials/Excel%20Financials/ExcelFinancial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acinf05\DistShares\WCNX%20Stuff\Excel\Financials\Excel%20Financials\ExcelFinancia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Users\brittanyj\AppData\Local\Microsoft\Windows\Temporary%20Internet%20Files\Content.Outlook\12NOV4F2\Weekly%20Payroll%20tie%20out%20to%20GL%20-%20update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18.09-2019.08%20Mason%20County%20Price%20Out%20Templat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ashon\Rate%20Incr%201-1-2012\Vashon%20Pro%20Form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Reports\Budget%20Reports\2011%20Budget%20Report%20Book%20v2J.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estern%20Region\ControllerDir\Brent_Blair_Kortney\PO%20Report%20by%20Division\PO%20Report_v3b%202013-08-26.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Users\LesleyG\AppData\Local\Interject\FileCache\Interject_Stats_Reportv2.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ESTFILE01\Distshares\Western%20Region\ControllerDir\Northern_Washington\Month%20End\2018\Pen-Mason-Island\2018-09\Revenue%20Tool\2149%20RM_MM001_Query_v4e%202018-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cinf06\sacshare\Data_Automation\DMS\RouteManagerReports\RM_MM001_Query_v4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_db5_srv\SRC\User\REPORTS\STANDARD%20REPORTS\CUSTOM%20REPORTS\PL_RollingTrend1.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ExcelFinancials_v3b1"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nnual%20Reports\2180%20LeMay\2009\LeMay%20Annual%20Report%20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Western%20Region\ControllerDir\JoeW\Budgets\Budgets%202009\2012\2009%202012%20Revie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eMay\Master%20Truck%20Schedule\South_LeMay%20Master%20Truck%20Schedule-Shared.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ExcelFinancials_v3c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RC%20Reports\SRC%20Format\Bonus%20Schedule\PNWR%20SRC%20Bonus%20Schedule%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LO\2012_Division\Accounting\xx%20Budgets%20xx\2013%20Budget\4105\4105%20Budget%20Workbook%2012_07_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s\JohnSpe\AppData\Local\Microsoft\Windows\Temporary%20Internet%20Files\Content.IE5\ELL0D4Y3\Proj-2184_2015-12_5728142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Vashon\Rate%20Incr%201-1-2013\ProForma%20Pacific%20Disposal_Staff%20Final%20outcome%208-20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home.utc.wa.gov/Western%20Region/WUTC/WUTC-Mason%202149/Rate%20Filing/General%20Rate%20Filing%2011-13-2012/Audit/FINAL/Staff%20final%20Mason%20Proforma%20Linked%203-13-2013%20%20-%20Company%20Rat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estfile01\DistShares\Western%20Region\ControllerDir\KevinJ\South%20LeMay\Budget%20History\Budget%202019\2149%20Mason\2019%202149%20Budget%20Template%201.5%20pre%20divisio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Program%20Files\Excel%20Financials\ExcelFinancia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Delivery"/>
      <sheetName val="RptClose"/>
      <sheetName val="Hidden"/>
      <sheetName val="Rev YOY Trends"/>
    </sheetNames>
    <sheetDataSet>
      <sheetData sheetId="0"/>
      <sheetData sheetId="1"/>
      <sheetData sheetId="2" refreshError="1"/>
      <sheetData sheetId="3"/>
      <sheetData sheetId="4"/>
      <sheetData sheetId="5"/>
      <sheetData sheetId="6" refreshError="1"/>
      <sheetData sheetId="7"/>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ControlPanel"/>
      <sheetName val="PL_ActReview"/>
      <sheetName val="BS_Close"/>
      <sheetName val="PL_ActTranx"/>
      <sheetName val="JE_Review"/>
      <sheetName val="PL_CloseByDay"/>
      <sheetName val="PL_IS200"/>
      <sheetName val="PL_IS210"/>
      <sheetName val="PL_ActByDistrict"/>
      <sheetName val="PL_ProjReview"/>
    </sheetNames>
    <sheetDataSet>
      <sheetData sheetId="0"/>
      <sheetData sheetId="1">
        <row r="2">
          <cell r="X2" t="str">
            <v>P&amp;L Close Report</v>
          </cell>
          <cell r="Z2" t="str">
            <v>Consolidated</v>
          </cell>
        </row>
        <row r="3">
          <cell r="X3" t="str">
            <v>BS Close Report</v>
          </cell>
          <cell r="Z3" t="str">
            <v>Region</v>
          </cell>
        </row>
        <row r="4">
          <cell r="X4" t="str">
            <v>P&amp;L Tranx Report</v>
          </cell>
          <cell r="Z4" t="str">
            <v>District</v>
          </cell>
        </row>
        <row r="5">
          <cell r="X5" t="str">
            <v>P&amp;L Close by Day</v>
          </cell>
          <cell r="Z5" t="str">
            <v>Multiple Districts</v>
          </cell>
        </row>
        <row r="6">
          <cell r="X6" t="str">
            <v>JE Review Report</v>
          </cell>
        </row>
        <row r="7">
          <cell r="X7" t="str">
            <v>IS200 Report</v>
          </cell>
        </row>
        <row r="8">
          <cell r="X8" t="str">
            <v>IS210 Report</v>
          </cell>
        </row>
      </sheetData>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ControlPanel"/>
      <sheetName val="PL_ActReview"/>
      <sheetName val="BS_Close"/>
      <sheetName val="PL_ActTranx"/>
      <sheetName val="JE_Review"/>
      <sheetName val="PL_CloseByDay"/>
      <sheetName val="PL_IS200"/>
      <sheetName val="PL_IS210"/>
      <sheetName val="PL_ActByDistrict"/>
      <sheetName val="PL_ProjReview"/>
    </sheetNames>
    <sheetDataSet>
      <sheetData sheetId="0"/>
      <sheetData sheetId="1" refreshError="1">
        <row r="2">
          <cell r="X2" t="str">
            <v>P&amp;L Close Report</v>
          </cell>
          <cell r="Z2" t="str">
            <v>Consolidated</v>
          </cell>
        </row>
        <row r="3">
          <cell r="Z3" t="str">
            <v>Region</v>
          </cell>
        </row>
        <row r="4">
          <cell r="Z4" t="str">
            <v>District</v>
          </cell>
        </row>
        <row r="5">
          <cell r="Z5" t="str">
            <v>Multiple Districts</v>
          </cell>
        </row>
      </sheetData>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JE Lookup"/>
      <sheetName val="Interject_LastPulledValues"/>
      <sheetName val="District Summary"/>
      <sheetName val="Raw Data-paste in Workday Rpt"/>
      <sheetName val="JE Query-update and refresh"/>
      <sheetName val="Mapping"/>
      <sheetName val="ControlPanel"/>
    </sheetNames>
    <sheetDataSet>
      <sheetData sheetId="0"/>
      <sheetData sheetId="1"/>
      <sheetData sheetId="2"/>
      <sheetData sheetId="3"/>
      <sheetData sheetId="4"/>
      <sheetData sheetId="5">
        <row r="6">
          <cell r="D6">
            <v>10000</v>
          </cell>
        </row>
        <row r="8">
          <cell r="J8" t="str">
            <v>2017-02</v>
          </cell>
        </row>
        <row r="12">
          <cell r="I12" t="str">
            <v>2017-01</v>
          </cell>
        </row>
        <row r="13">
          <cell r="I13" t="str">
            <v>2017-01</v>
          </cell>
        </row>
      </sheetData>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R Customer Count"/>
      <sheetName val="Revenue Summary"/>
      <sheetName val="2018-08 P&amp;L Close Report"/>
      <sheetName val="2018 P&amp;L Close Report"/>
      <sheetName val="2019 P&amp;L Close Report"/>
      <sheetName val="RM Pivot"/>
      <sheetName val="RM Revenue"/>
      <sheetName val="Add Service Codes"/>
      <sheetName val="Mason Co. Regulated - Price Out"/>
      <sheetName val="Kitsap Regulated - Price Out"/>
      <sheetName val="Shelton Regulated - Price Out"/>
      <sheetName val="Comm Recycling- Reg Areas"/>
      <sheetName val="Mason Non-Reg - Price Out "/>
      <sheetName val="Kitsap Non-Reg - Price Out "/>
      <sheetName val="Shelton Non-Reg - Price Out "/>
      <sheetName val="Shelton-Contract"/>
      <sheetName val="DO028 RO Customer Count"/>
      <sheetName val="Key"/>
      <sheetName val="Bill Area Lay Out"/>
      <sheetName val="Kits Reg Svc Codes Jan-Jun"/>
      <sheetName val="Service Codes"/>
      <sheetName val="Service Codes (Old)"/>
      <sheetName val="Service Charges"/>
      <sheetName val="RO Customer Count"/>
      <sheetName val="Basic Customer Listing"/>
    </sheetNames>
    <sheetDataSet>
      <sheetData sheetId="0"/>
      <sheetData sheetId="1"/>
      <sheetData sheetId="2"/>
      <sheetData sheetId="3"/>
      <sheetData sheetId="4"/>
      <sheetData sheetId="5"/>
      <sheetData sheetId="6"/>
      <sheetData sheetId="7">
        <row r="1">
          <cell r="B1" t="str">
            <v>Concatenate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A2" t="str">
            <v>KITSAP CO -REGULATEDRESIDENTIAL20RW1</v>
          </cell>
        </row>
      </sheetData>
      <sheetData sheetId="22">
        <row r="2">
          <cell r="A2" t="str">
            <v>KITSAP CO -REGULATEDRESIDENTIAL20RW1</v>
          </cell>
        </row>
      </sheetData>
      <sheetData sheetId="23">
        <row r="6">
          <cell r="D6">
            <v>10000</v>
          </cell>
        </row>
        <row r="8">
          <cell r="J8" t="str">
            <v>2019-10</v>
          </cell>
        </row>
        <row r="12">
          <cell r="I12" t="str">
            <v>2018-09</v>
          </cell>
        </row>
        <row r="13">
          <cell r="I13" t="str">
            <v>2019-08</v>
          </cell>
        </row>
      </sheetData>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A, IS "/>
      <sheetName val="Vashon BS"/>
      <sheetName val="Vashon IS"/>
      <sheetName val="Consolidated IS"/>
      <sheetName val="Restating Adj"/>
      <sheetName val="Prof Adj"/>
      <sheetName val="Price-out"/>
      <sheetName val="LG-Total Comp"/>
      <sheetName val="LG-Packer Rts"/>
      <sheetName val="LG-RO Rts"/>
      <sheetName val="LG-Recycl"/>
      <sheetName val="DF Schedule"/>
      <sheetName val="Depr-Summary"/>
      <sheetName val="2132 Trks"/>
      <sheetName val="2132 Cont, DB"/>
      <sheetName val="2132 Oth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inderSetup"/>
      <sheetName val="1_Guidelines"/>
      <sheetName val="2_PLTrend"/>
      <sheetName val="3_BudSum"/>
      <sheetName val="4_BudSumByMth"/>
      <sheetName val="5_Capital"/>
      <sheetName val="6_RevenueBridge"/>
      <sheetName val="7_Contracts"/>
      <sheetName val="8_BudSumDetail"/>
      <sheetName val="9_IS210"/>
      <sheetName val="10_BudSumDetailwith$"/>
      <sheetName val="11_BudSum_WO_Ins"/>
      <sheetName val="Region Capital adj."/>
    </sheetNames>
    <sheetDataSet>
      <sheetData sheetId="0">
        <row r="6">
          <cell r="C6" t="str">
            <v>region western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Tables"/>
      <sheetName val="Data"/>
      <sheetName val="By Division"/>
      <sheetName val="&quot;Invioced&quot;"/>
      <sheetName val="Invoice_Drill"/>
      <sheetName val="PO_Drill"/>
      <sheetName val="District-Division Listing"/>
    </sheetNames>
    <sheetDataSet>
      <sheetData sheetId="0" refreshError="1">
        <row r="1">
          <cell r="A1" t="str">
            <v>All</v>
          </cell>
        </row>
        <row r="2">
          <cell r="A2" t="str">
            <v>2008-01</v>
          </cell>
        </row>
        <row r="3">
          <cell r="A3" t="str">
            <v>2008-02</v>
          </cell>
        </row>
        <row r="4">
          <cell r="A4" t="str">
            <v>2008-03</v>
          </cell>
        </row>
        <row r="5">
          <cell r="A5" t="str">
            <v>2008-04</v>
          </cell>
        </row>
        <row r="6">
          <cell r="A6" t="str">
            <v>2008-05</v>
          </cell>
        </row>
        <row r="7">
          <cell r="A7" t="str">
            <v>2008-06</v>
          </cell>
        </row>
        <row r="8">
          <cell r="A8" t="str">
            <v>2008-07</v>
          </cell>
        </row>
        <row r="9">
          <cell r="A9" t="str">
            <v>2008-08</v>
          </cell>
        </row>
        <row r="10">
          <cell r="A10" t="str">
            <v>2008-09</v>
          </cell>
        </row>
        <row r="11">
          <cell r="A11" t="str">
            <v>2008-10</v>
          </cell>
        </row>
        <row r="12">
          <cell r="A12" t="str">
            <v>2008-11</v>
          </cell>
        </row>
        <row r="13">
          <cell r="A13" t="str">
            <v>2008-12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Ranges"/>
      <sheetName val="StatEntry_Trend"/>
      <sheetName val="StatEntry_Detail"/>
      <sheetName val="StatEntry_Reclass_LOB_Sbst"/>
      <sheetName val="ChangeHistory"/>
      <sheetName val="Stat Lookup"/>
    </sheetNames>
    <sheetDataSet>
      <sheetData sheetId="0">
        <row r="5">
          <cell r="B5" t="str">
            <v>Can_Commercial</v>
          </cell>
          <cell r="D5" t="str">
            <v>Act</v>
          </cell>
        </row>
        <row r="6">
          <cell r="B6" t="str">
            <v>Can_Commercial Recycling</v>
          </cell>
          <cell r="D6" t="str">
            <v>Bud</v>
          </cell>
        </row>
        <row r="7">
          <cell r="B7" t="str">
            <v>Can_Landfill</v>
          </cell>
          <cell r="D7" t="str">
            <v>Proj</v>
          </cell>
        </row>
        <row r="8">
          <cell r="B8" t="str">
            <v>Can_Landfill Gas</v>
          </cell>
        </row>
        <row r="9">
          <cell r="B9" t="str">
            <v>Can_MRF</v>
          </cell>
        </row>
        <row r="10">
          <cell r="B10" t="str">
            <v>Can_Other</v>
          </cell>
        </row>
        <row r="11">
          <cell r="B11" t="str">
            <v>Can_Residential</v>
          </cell>
        </row>
        <row r="12">
          <cell r="B12" t="str">
            <v>Can_Residential Recycling</v>
          </cell>
        </row>
        <row r="13">
          <cell r="B13" t="str">
            <v>Can_Roll Off</v>
          </cell>
        </row>
        <row r="14">
          <cell r="B14" t="str">
            <v>Can_Transfer Station</v>
          </cell>
        </row>
      </sheetData>
      <sheetData sheetId="1" refreshError="1"/>
      <sheetData sheetId="2">
        <row r="27">
          <cell r="I27" t="str">
            <v>Act</v>
          </cell>
        </row>
      </sheetData>
      <sheetData sheetId="3" refreshError="1"/>
      <sheetData sheetId="4">
        <row r="25">
          <cell r="F25" t="str">
            <v>Act</v>
          </cell>
        </row>
      </sheetData>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001Tranx"/>
      <sheetName val="JEexport"/>
      <sheetName val="Intro Memo"/>
      <sheetName val="JE_Summary"/>
      <sheetName val="Mth00"/>
      <sheetName val="Mth01"/>
      <sheetName val="Mth02"/>
      <sheetName val="Mth03"/>
      <sheetName val="Mth04"/>
      <sheetName val="Mth05"/>
      <sheetName val="Mth06"/>
      <sheetName val="Mth07"/>
      <sheetName val="Mth08"/>
      <sheetName val="Mth09"/>
      <sheetName val="Mth10"/>
      <sheetName val="Mth11"/>
      <sheetName val="Mth12"/>
      <sheetName val="TEST"/>
      <sheetName val="To Do"/>
      <sheetName val="GLMapping"/>
      <sheetName val="BatchLog"/>
      <sheetName val="Reference"/>
      <sheetName val="Import"/>
    </sheetNames>
    <sheetDataSet>
      <sheetData sheetId="0"/>
      <sheetData sheetId="1">
        <row r="9">
          <cell r="L9">
            <v>11501</v>
          </cell>
        </row>
        <row r="10">
          <cell r="L10" t="str">
            <v>11501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001Tranx"/>
      <sheetName val="JEexport"/>
      <sheetName val="Intro Memo"/>
      <sheetName val="JE_Summary"/>
      <sheetName val="Mth00"/>
      <sheetName val="Mth01"/>
      <sheetName val="Mth02"/>
      <sheetName val="Mth03"/>
      <sheetName val="Mth04"/>
      <sheetName val="Mth05"/>
      <sheetName val="Mth06"/>
      <sheetName val="Mth07"/>
      <sheetName val="Mth08"/>
      <sheetName val="Mth09"/>
      <sheetName val="Mth10"/>
      <sheetName val="Mth11"/>
      <sheetName val="Mth12"/>
      <sheetName val="TEST"/>
      <sheetName val="To Do"/>
      <sheetName val="GLMapping"/>
      <sheetName val="BatchLog"/>
      <sheetName val="Reference"/>
    </sheetNames>
    <sheetDataSet>
      <sheetData sheetId="0"/>
      <sheetData sheetId="1">
        <row r="9">
          <cell r="L9">
            <v>11501</v>
          </cell>
        </row>
        <row r="10">
          <cell r="L10" t="str">
            <v>11501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Delivery"/>
      <sheetName val="RptClose"/>
      <sheetName val="Hidden"/>
    </sheetNames>
    <sheetDataSet>
      <sheetData sheetId="0" refreshError="1"/>
      <sheetData sheetId="1" refreshError="1"/>
      <sheetData sheetId="2" refreshError="1"/>
      <sheetData sheetId="3" refreshError="1">
        <row r="5">
          <cell r="D5">
            <v>10.71</v>
          </cell>
        </row>
        <row r="14">
          <cell r="C14" t="str">
            <v>dist</v>
          </cell>
          <cell r="E14" t="str">
            <v>=</v>
          </cell>
          <cell r="F14">
            <v>2149</v>
          </cell>
        </row>
      </sheetData>
      <sheetData sheetId="4" refreshError="1">
        <row r="6">
          <cell r="F6" t="str">
            <v>Time Series</v>
          </cell>
        </row>
        <row r="17">
          <cell r="B17" t="str">
            <v>ACCT</v>
          </cell>
          <cell r="C17" t="str">
            <v>-</v>
          </cell>
        </row>
        <row r="22">
          <cell r="C22" t="str">
            <v>Financial</v>
          </cell>
        </row>
        <row r="23">
          <cell r="C23" t="str">
            <v>ALL</v>
          </cell>
        </row>
        <row r="24">
          <cell r="C24" t="str">
            <v>Variable</v>
          </cell>
        </row>
      </sheetData>
      <sheetData sheetId="5" refreshError="1">
        <row r="8">
          <cell r="E8" t="str">
            <v>Report</v>
          </cell>
        </row>
        <row r="12">
          <cell r="B12" t="b">
            <v>0</v>
          </cell>
        </row>
      </sheetData>
      <sheetData sheetId="6" refreshError="1"/>
      <sheetData sheetId="7" refreshError="1">
        <row r="11">
          <cell r="D11">
            <v>10002</v>
          </cell>
          <cell r="E11">
            <v>0</v>
          </cell>
          <cell r="F11">
            <v>0</v>
          </cell>
          <cell r="G11">
            <v>0</v>
          </cell>
          <cell r="H11">
            <v>0</v>
          </cell>
          <cell r="I11">
            <v>0</v>
          </cell>
          <cell r="J11">
            <v>0</v>
          </cell>
          <cell r="K11">
            <v>0</v>
          </cell>
          <cell r="L11">
            <v>0</v>
          </cell>
          <cell r="M11">
            <v>0</v>
          </cell>
          <cell r="N11">
            <v>0</v>
          </cell>
          <cell r="O11">
            <v>0</v>
          </cell>
          <cell r="P11">
            <v>0</v>
          </cell>
          <cell r="Q11" t="str">
            <v>Cash</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ControlPanel"/>
      <sheetName val="PL_ActReview"/>
      <sheetName val="PL_ActReview2"/>
      <sheetName val="BS_Close"/>
      <sheetName val="PL_ActTranx"/>
      <sheetName val="IS200PL"/>
      <sheetName val="IS210PL"/>
      <sheetName val="ProjRevCheck"/>
      <sheetName val="BDebtCheck"/>
      <sheetName val="52901Check"/>
      <sheetName val="ICCheck"/>
      <sheetName val="BSCheck"/>
      <sheetName val="BadJECheck"/>
      <sheetName val="JE_Review"/>
      <sheetName val="Proj1"/>
      <sheetName val="Proj2"/>
    </sheetNames>
    <sheetDataSet>
      <sheetData sheetId="0"/>
      <sheetData sheetId="1">
        <row r="2">
          <cell r="S2" t="str">
            <v>P&amp;L Close Report</v>
          </cell>
        </row>
        <row r="3">
          <cell r="S3" t="str">
            <v>P&amp;L Close Report 2</v>
          </cell>
        </row>
        <row r="4">
          <cell r="S4" t="str">
            <v>BS Close Report</v>
          </cell>
        </row>
        <row r="5">
          <cell r="S5" t="str">
            <v>IS 200 - PL Review</v>
          </cell>
        </row>
        <row r="6">
          <cell r="S6" t="str">
            <v>IS 210 - PL Review</v>
          </cell>
        </row>
        <row r="7">
          <cell r="S7" t="str">
            <v>P&amp;L Tranx Report</v>
          </cell>
        </row>
        <row r="8">
          <cell r="S8" t="str">
            <v>JE Review Report</v>
          </cell>
        </row>
        <row r="9">
          <cell r="S9" t="str">
            <v>Corp: Rev/Proj Check</v>
          </cell>
        </row>
        <row r="10">
          <cell r="S10" t="str">
            <v>Corp: 52901 Check</v>
          </cell>
        </row>
        <row r="11">
          <cell r="S11" t="str">
            <v>Corp: BS Check</v>
          </cell>
        </row>
        <row r="12">
          <cell r="S12" t="str">
            <v>Corp: Bad Debt Check</v>
          </cell>
        </row>
        <row r="13">
          <cell r="S13" t="str">
            <v>Corp: IC Check</v>
          </cell>
        </row>
        <row r="14">
          <cell r="S14" t="str">
            <v>Corp: JE Neg Check</v>
          </cell>
        </row>
        <row r="15">
          <cell r="S15" t="str">
            <v>Proj Review Report</v>
          </cell>
        </row>
        <row r="16">
          <cell r="S16" t="str">
            <v>Proj Review Report 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A, Certification"/>
      <sheetName val="OrgControl"/>
      <sheetName val="InsuranceAccident"/>
      <sheetName val="bsasset"/>
      <sheetName val="bsliab"/>
      <sheetName val="FixedAssets"/>
      <sheetName val="RetainedEarnings"/>
      <sheetName val="Income Statement"/>
      <sheetName val="RevenuesCust"/>
      <sheetName val="Recycle"/>
      <sheetName val="contracts"/>
      <sheetName val="GarbageDisp"/>
      <sheetName val="RecycleProcessing"/>
      <sheetName val="Payroll"/>
      <sheetName val="Fee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nce Report"/>
      <sheetName val="Vol&amp;Price"/>
      <sheetName val="Commodity"/>
      <sheetName val="Labor As % of Rev"/>
      <sheetName val="Group Ins Bridge"/>
      <sheetName val="Region Alloc"/>
      <sheetName val="Fuel"/>
      <sheetName val="2008 Inventory Adjs"/>
    </sheetNames>
    <sheetDataSet>
      <sheetData sheetId="0"/>
      <sheetData sheetId="1"/>
      <sheetData sheetId="2"/>
      <sheetData sheetId="3"/>
      <sheetData sheetId="4"/>
      <sheetData sheetId="5"/>
      <sheetData sheetId="6"/>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Truck Schedule"/>
      <sheetName val="Jun 2011 FAR"/>
      <sheetName val="Scrap List"/>
      <sheetName val="Sheet1"/>
      <sheetName val="Sheet2"/>
      <sheetName val="Sheet3"/>
      <sheetName val="Sheet4"/>
      <sheetName val="Feb'12 FAR Data"/>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ControlPanel"/>
      <sheetName val="4MthProj1"/>
      <sheetName val="4MthProj2"/>
      <sheetName val="PL_ActReview"/>
      <sheetName val="PL_ActReview2"/>
      <sheetName val="BS_Close"/>
      <sheetName val="IS200PL"/>
      <sheetName val="PL_ActTranx"/>
      <sheetName val="IS210PL"/>
      <sheetName val="ProjRevCheck"/>
      <sheetName val="BDebtCheck"/>
      <sheetName val="52901Check"/>
      <sheetName val="ICCheck"/>
      <sheetName val="BSCheck"/>
      <sheetName val="BadJECheck"/>
      <sheetName val="JE_Review"/>
      <sheetName val="Proj1"/>
      <sheetName val="Proj2"/>
    </sheetNames>
    <sheetDataSet>
      <sheetData sheetId="0"/>
      <sheetData sheetId="1">
        <row r="2">
          <cell r="S2" t="str">
            <v>P&amp;L Close Report</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Delivery"/>
      <sheetName val="RptClose"/>
      <sheetName val="Hidd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Act-Fcast P&amp;L"/>
      <sheetName val="9+3"/>
      <sheetName val="2013 Budget"/>
      <sheetName val="Main"/>
      <sheetName val="4105"/>
      <sheetName val="Pricing From Corp as of Dec"/>
      <sheetName val="Qrtly Pricing"/>
      <sheetName val="Intercompany Tonnage"/>
      <sheetName val="Transfer and MRF Bridge"/>
      <sheetName val="Recycle Rev Bridge"/>
      <sheetName val="Rev Reduction Bridge"/>
      <sheetName val="Direct Labor Bridge"/>
      <sheetName val="Truck Variable Bridge"/>
      <sheetName val="Supervisor Exp Bridge"/>
      <sheetName val="Other Op Exp Bridge"/>
      <sheetName val="Ins Exp Bridge"/>
      <sheetName val="G&amp;A Exp Brid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Check"/>
      <sheetName val="Opening"/>
      <sheetName val="Main"/>
      <sheetName val="CopyImport"/>
      <sheetName val="SupportFiles"/>
      <sheetName val="Settings"/>
      <sheetName val="Todo"/>
      <sheetName val="DDLs"/>
      <sheetName val="AutoSupport"/>
      <sheetName val="DetailExample"/>
    </sheetNames>
    <sheetDataSet>
      <sheetData sheetId="0" refreshError="1"/>
      <sheetData sheetId="1" refreshError="1"/>
      <sheetData sheetId="2" refreshError="1"/>
      <sheetData sheetId="3" refreshError="1"/>
      <sheetData sheetId="4" refreshError="1"/>
      <sheetData sheetId="5" refreshError="1">
        <row r="3">
          <cell r="C3" t="e">
            <v>#N/A</v>
          </cell>
          <cell r="F3">
            <v>0</v>
          </cell>
          <cell r="I3" t="e">
            <v>#N/A</v>
          </cell>
        </row>
        <row r="4">
          <cell r="I4" t="e">
            <v>#N/A</v>
          </cell>
        </row>
        <row r="5">
          <cell r="F5">
            <v>0</v>
          </cell>
        </row>
        <row r="7">
          <cell r="F7">
            <v>1.4603999999999999</v>
          </cell>
        </row>
        <row r="10">
          <cell r="I10" t="e">
            <v>#VALUE!</v>
          </cell>
        </row>
        <row r="11">
          <cell r="I11" t="e">
            <v>#VALUE!</v>
          </cell>
        </row>
        <row r="12">
          <cell r="I12" t="e">
            <v>#VALUE!</v>
          </cell>
        </row>
        <row r="13">
          <cell r="I13" t="e">
            <v>#VALUE!</v>
          </cell>
        </row>
        <row r="14">
          <cell r="I14" t="e">
            <v>#VALUE!</v>
          </cell>
        </row>
        <row r="15">
          <cell r="I15" t="e">
            <v>#VALUE!</v>
          </cell>
        </row>
        <row r="16">
          <cell r="I16" t="e">
            <v>#VALUE!</v>
          </cell>
        </row>
        <row r="17">
          <cell r="I17" t="e">
            <v>#VALUE!</v>
          </cell>
        </row>
        <row r="18">
          <cell r="I18">
            <v>0</v>
          </cell>
        </row>
        <row r="26">
          <cell r="I26">
            <v>0.05</v>
          </cell>
        </row>
        <row r="27">
          <cell r="I27">
            <v>5000</v>
          </cell>
        </row>
      </sheetData>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A IS"/>
      <sheetName val="2183 IS"/>
      <sheetName val="2184 IS"/>
      <sheetName val="2185 IS"/>
      <sheetName val="Consolidated IS"/>
      <sheetName val="Ratios Thurston"/>
      <sheetName val="2183 Pro forma"/>
      <sheetName val="2183 Ratios"/>
      <sheetName val="Restating Expl"/>
      <sheetName val="Pro forma Expl"/>
      <sheetName val="Pacific Regulated - Price Out"/>
      <sheetName val="Total Matrix"/>
      <sheetName val="Packer_RO Matrix"/>
      <sheetName val="COS Packer_RO"/>
      <sheetName val="Res YW Matix"/>
      <sheetName val="Res Recy Matrix"/>
      <sheetName val="MF Recy Matrix"/>
      <sheetName val="COS RR YW MFR"/>
      <sheetName val="Total Pac,Rural"/>
      <sheetName val="Rural"/>
      <sheetName val="LG-Pacific Pckr Rts"/>
      <sheetName val="LG-RO"/>
      <sheetName val="Res Recycl"/>
      <sheetName val="MF Recycl"/>
      <sheetName val="YW"/>
      <sheetName val="Depr Summary 2183"/>
      <sheetName val="Trucks 2183"/>
      <sheetName val="Containers 2183"/>
      <sheetName val="OTHER EQUIP 2183"/>
      <sheetName val="LeMay Global"/>
      <sheetName val="Fuel"/>
      <sheetName val="DF Schedule"/>
      <sheetName val="2183 Payroll"/>
      <sheetName val="2184 Payroll"/>
      <sheetName val="2185 Payroll"/>
      <sheetName val="Cust Cnt"/>
      <sheetName val="Unit Cnt"/>
      <sheetName val="70148 Summary"/>
      <sheetName val="Time Study"/>
      <sheetName val="Corp OH"/>
    </sheetNames>
    <sheetDataSet>
      <sheetData sheetId="0"/>
      <sheetData sheetId="1"/>
      <sheetData sheetId="2"/>
      <sheetData sheetId="3"/>
      <sheetData sheetId="4"/>
      <sheetData sheetId="5"/>
      <sheetData sheetId="6"/>
      <sheetData sheetId="7"/>
      <sheetData sheetId="8"/>
      <sheetData sheetId="9"/>
      <sheetData sheetId="10" refreshError="1">
        <row r="49">
          <cell r="M49">
            <v>8000432.4617248299</v>
          </cell>
        </row>
        <row r="50">
          <cell r="F50">
            <v>8158680.0299999993</v>
          </cell>
        </row>
        <row r="58">
          <cell r="M58">
            <v>2625393.5068796892</v>
          </cell>
        </row>
        <row r="59">
          <cell r="F59">
            <v>2119461.4499999997</v>
          </cell>
        </row>
        <row r="69">
          <cell r="M69">
            <v>1361744.4391882615</v>
          </cell>
        </row>
        <row r="70">
          <cell r="F70">
            <v>1347163.92</v>
          </cell>
        </row>
        <row r="213">
          <cell r="M213">
            <v>4757117.5866496488</v>
          </cell>
        </row>
        <row r="214">
          <cell r="F214">
            <v>4859462.2200000007</v>
          </cell>
        </row>
        <row r="221">
          <cell r="M221">
            <v>395543.82663328515</v>
          </cell>
        </row>
        <row r="222">
          <cell r="F222">
            <v>332798.89999999997</v>
          </cell>
        </row>
        <row r="281">
          <cell r="M281">
            <v>1187221.5155152699</v>
          </cell>
        </row>
        <row r="282">
          <cell r="F282">
            <v>744277.47999999975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f Rate Sheet"/>
      <sheetName val="Class A IS"/>
      <sheetName val="2149 BS"/>
      <sheetName val="9-30-11 BS"/>
      <sheetName val="2149 IS"/>
      <sheetName val="Consolidated IS"/>
      <sheetName val="Ratios"/>
      <sheetName val="Restating Adj"/>
      <sheetName val="Restating Expl"/>
      <sheetName val="Pro forma Adj"/>
      <sheetName val="Pro-forma"/>
      <sheetName val="LG-Combined"/>
      <sheetName val="LG-Pckr,RO"/>
      <sheetName val="LG-Recycl"/>
      <sheetName val="Price Out"/>
      <sheetName val="Rate Sheet"/>
      <sheetName val="Pckr, RO, Matrix"/>
      <sheetName val="COS Packer,RO "/>
      <sheetName val="Recycl Matrix"/>
      <sheetName val="COS Recycle"/>
      <sheetName val="Legal Exp"/>
      <sheetName val="Disposal Calc"/>
      <sheetName val="Disposal Schedule"/>
      <sheetName val="Fuel"/>
      <sheetName val="PR Summary"/>
      <sheetName val="Depr Summary"/>
      <sheetName val="Depreciation"/>
      <sheetName val="Cust Count"/>
      <sheetName val="Rt Study Summary"/>
      <sheetName val="Recycl Tons, Commodity Value"/>
      <sheetName val="Tribal Cnts"/>
      <sheetName val="Corp OH"/>
      <sheetName val="2012 Capital Structure"/>
      <sheetName val="Corp Debt Equity"/>
      <sheetName val="Balance Sheet"/>
      <sheetName val="P&amp;L"/>
      <sheetName val="70195 JE-WRRA Dues"/>
      <sheetName val="56095 JE"/>
      <sheetName val="Non-Reg Price Out"/>
      <sheetName val="30% Commodity Justification"/>
      <sheetName val="TRC Processing Justfication"/>
      <sheetName val="Orig Price Out"/>
      <sheetName val="Rate Sheet Dec 2012"/>
      <sheetName val="Orig COS Packer,RO "/>
      <sheetName val="LG-Pckr w DF"/>
      <sheetName val="LG-Pckr w-out DF"/>
      <sheetName val="LG-RO"/>
    </sheetNames>
    <sheetDataSet>
      <sheetData sheetId="0">
        <row r="107">
          <cell r="L107">
            <v>1753938.3114074212</v>
          </cell>
        </row>
        <row r="214">
          <cell r="L214">
            <v>852492.14253095828</v>
          </cell>
        </row>
        <row r="278">
          <cell r="L278">
            <v>837580.65530511085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5">
          <cell r="J15">
            <v>2138.64</v>
          </cell>
        </row>
      </sheetData>
      <sheetData sheetId="18"/>
      <sheetData sheetId="19"/>
      <sheetData sheetId="20"/>
      <sheetData sheetId="21"/>
      <sheetData sheetId="22"/>
      <sheetData sheetId="23"/>
      <sheetData sheetId="24"/>
      <sheetData sheetId="25"/>
      <sheetData sheetId="26"/>
      <sheetData sheetId="27"/>
      <sheetData sheetId="28"/>
      <sheetData sheetId="29">
        <row r="23">
          <cell r="L23">
            <v>2329.3388396454475</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ookups"/>
      <sheetName val="Budget Upload"/>
      <sheetName val="Stats"/>
      <sheetName val="RO Rev"/>
      <sheetName val="Labor Analysis"/>
      <sheetName val="Route Rev"/>
      <sheetName val="Commodities"/>
      <sheetName val="Interject_LastPulledValues"/>
      <sheetName val="Commodity Checker"/>
      <sheetName val="Disposal"/>
      <sheetName val="Auto Calcs Help"/>
      <sheetName val="Fuel "/>
      <sheetName val="G&amp;A Salaries"/>
      <sheetName val="Region Alloc"/>
    </sheetNames>
    <sheetDataSet>
      <sheetData sheetId="0">
        <row r="57">
          <cell r="K57" t="str">
            <v>Yes</v>
          </cell>
        </row>
        <row r="58">
          <cell r="K58" t="str">
            <v>No</v>
          </cell>
        </row>
        <row r="77">
          <cell r="I77" t="str">
            <v>2019-01</v>
          </cell>
        </row>
        <row r="82">
          <cell r="I8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ControlPanel"/>
      <sheetName val="PL_ActReview"/>
      <sheetName val="BS_Close"/>
      <sheetName val="PL_ActTranx"/>
      <sheetName val="JE_Review"/>
      <sheetName val="PL_CloseByDay"/>
      <sheetName val="PL_IS200"/>
      <sheetName val="PL_IS210"/>
      <sheetName val="PL_ActByDistrict"/>
      <sheetName val="PL_ProjReview"/>
    </sheetNames>
    <sheetDataSet>
      <sheetData sheetId="0"/>
      <sheetData sheetId="1">
        <row r="2">
          <cell r="X2" t="str">
            <v>P&amp;L Close Report</v>
          </cell>
          <cell r="Z2" t="str">
            <v>Consolidated</v>
          </cell>
        </row>
        <row r="3">
          <cell r="X3" t="str">
            <v>BS Close Report</v>
          </cell>
          <cell r="Z3" t="str">
            <v>Region</v>
          </cell>
        </row>
        <row r="4">
          <cell r="X4" t="str">
            <v>P&amp;L Tranx Report</v>
          </cell>
          <cell r="Z4" t="str">
            <v>District</v>
          </cell>
        </row>
        <row r="5">
          <cell r="X5" t="str">
            <v>P&amp;L Close by Day</v>
          </cell>
          <cell r="Z5" t="str">
            <v>Multiple Districts</v>
          </cell>
        </row>
        <row r="6">
          <cell r="X6" t="str">
            <v>JE Review Report</v>
          </cell>
        </row>
        <row r="7">
          <cell r="X7" t="str">
            <v>IS200 Report</v>
          </cell>
        </row>
        <row r="8">
          <cell r="X8" t="str">
            <v>IS210 Report</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69"/>
  <sheetViews>
    <sheetView tabSelected="1" view="pageBreakPreview" zoomScale="85" zoomScaleNormal="90" zoomScaleSheetLayoutView="85" zoomScalePageLayoutView="60" workbookViewId="0">
      <selection activeCell="G33" sqref="G33"/>
    </sheetView>
  </sheetViews>
  <sheetFormatPr defaultColWidth="9.140625" defaultRowHeight="15"/>
  <cols>
    <col min="1" max="1" width="42.5703125" style="10" customWidth="1"/>
    <col min="2" max="2" width="16.7109375" style="10" customWidth="1"/>
    <col min="3" max="3" width="15" style="10" customWidth="1"/>
    <col min="4" max="4" width="16.5703125" style="10" customWidth="1"/>
    <col min="5" max="5" width="9.140625" style="10"/>
    <col min="6" max="6" width="12.42578125" style="10" customWidth="1"/>
    <col min="7" max="7" width="10.7109375" style="10" customWidth="1"/>
    <col min="8" max="16384" width="9.140625" style="10"/>
  </cols>
  <sheetData>
    <row r="1" spans="1:8">
      <c r="A1" s="14" t="s">
        <v>181</v>
      </c>
    </row>
    <row r="2" spans="1:8">
      <c r="A2" s="14" t="s">
        <v>182</v>
      </c>
    </row>
    <row r="4" spans="1:8">
      <c r="A4" s="250" t="s">
        <v>28</v>
      </c>
      <c r="B4" s="250"/>
      <c r="C4" s="250"/>
      <c r="D4" s="250"/>
      <c r="E4" s="250"/>
      <c r="F4" s="250"/>
      <c r="G4" s="250"/>
      <c r="H4" s="250"/>
    </row>
    <row r="5" spans="1:8">
      <c r="A5" s="11" t="s">
        <v>29</v>
      </c>
      <c r="B5" s="1" t="s">
        <v>30</v>
      </c>
      <c r="C5" s="1" t="s">
        <v>31</v>
      </c>
      <c r="D5" s="1" t="s">
        <v>32</v>
      </c>
      <c r="E5" s="2" t="s">
        <v>33</v>
      </c>
      <c r="F5" s="2" t="s">
        <v>34</v>
      </c>
      <c r="G5" s="2" t="s">
        <v>35</v>
      </c>
      <c r="H5" s="1" t="s">
        <v>36</v>
      </c>
    </row>
    <row r="6" spans="1:8">
      <c r="A6" s="11" t="s">
        <v>37</v>
      </c>
      <c r="B6" s="12">
        <f>52*5/12</f>
        <v>21.666666666666668</v>
      </c>
      <c r="C6" s="4">
        <f>$B$6*2</f>
        <v>43.333333333333336</v>
      </c>
      <c r="D6" s="4">
        <f>$B$6*3</f>
        <v>65</v>
      </c>
      <c r="E6" s="4">
        <f>$B$6*4</f>
        <v>86.666666666666671</v>
      </c>
      <c r="F6" s="4">
        <f>$B$6*5</f>
        <v>108.33333333333334</v>
      </c>
      <c r="G6" s="4">
        <f>$B$6*6</f>
        <v>130</v>
      </c>
      <c r="H6" s="4">
        <f>$B$6*7</f>
        <v>151.66666666666669</v>
      </c>
    </row>
    <row r="7" spans="1:8">
      <c r="A7" s="11" t="s">
        <v>38</v>
      </c>
      <c r="B7" s="12">
        <f>52*4/12</f>
        <v>17.333333333333332</v>
      </c>
      <c r="C7" s="4">
        <f>$B$7*2</f>
        <v>34.666666666666664</v>
      </c>
      <c r="D7" s="4">
        <f>$B$7*3</f>
        <v>52</v>
      </c>
      <c r="E7" s="4">
        <f>$B$7*4</f>
        <v>69.333333333333329</v>
      </c>
      <c r="F7" s="4">
        <f>$B$7*5</f>
        <v>86.666666666666657</v>
      </c>
      <c r="G7" s="4">
        <f>$B$7*6</f>
        <v>104</v>
      </c>
      <c r="H7" s="4">
        <f>$B$7*7</f>
        <v>121.33333333333333</v>
      </c>
    </row>
    <row r="8" spans="1:8">
      <c r="A8" s="11" t="s">
        <v>39</v>
      </c>
      <c r="B8" s="12">
        <f>52*3/12</f>
        <v>13</v>
      </c>
      <c r="C8" s="4">
        <f>$B$8*2</f>
        <v>26</v>
      </c>
      <c r="D8" s="4">
        <f>$B$8*3</f>
        <v>39</v>
      </c>
      <c r="E8" s="4">
        <f>$B$8*4</f>
        <v>52</v>
      </c>
      <c r="F8" s="4">
        <f>$B$8*5</f>
        <v>65</v>
      </c>
      <c r="G8" s="4">
        <f>$B$8*6</f>
        <v>78</v>
      </c>
      <c r="H8" s="4">
        <f>$B$8*7</f>
        <v>91</v>
      </c>
    </row>
    <row r="9" spans="1:8">
      <c r="A9" s="11" t="s">
        <v>40</v>
      </c>
      <c r="B9" s="12">
        <f>52*2/12</f>
        <v>8.6666666666666661</v>
      </c>
      <c r="C9" s="13">
        <f>$B$9*2</f>
        <v>17.333333333333332</v>
      </c>
      <c r="D9" s="13">
        <f>$B$9*3</f>
        <v>26</v>
      </c>
      <c r="E9" s="13">
        <f>$B$9*4</f>
        <v>34.666666666666664</v>
      </c>
      <c r="F9" s="13">
        <f>$B$9*5</f>
        <v>43.333333333333329</v>
      </c>
      <c r="G9" s="13">
        <f>$B$9*6</f>
        <v>52</v>
      </c>
      <c r="H9" s="13">
        <f>$B$9*7</f>
        <v>60.666666666666664</v>
      </c>
    </row>
    <row r="10" spans="1:8">
      <c r="A10" s="11" t="s">
        <v>41</v>
      </c>
      <c r="B10" s="12">
        <f>52/12</f>
        <v>4.333333333333333</v>
      </c>
      <c r="C10" s="13">
        <f>$B$10*2</f>
        <v>8.6666666666666661</v>
      </c>
      <c r="D10" s="13">
        <f>$B$10*3</f>
        <v>13</v>
      </c>
      <c r="E10" s="13">
        <f>$B$10*4</f>
        <v>17.333333333333332</v>
      </c>
      <c r="F10" s="13">
        <f>$B$10*5</f>
        <v>21.666666666666664</v>
      </c>
      <c r="G10" s="13">
        <f>$B$10*6</f>
        <v>26</v>
      </c>
      <c r="H10" s="13">
        <f>$B$10*7</f>
        <v>30.333333333333332</v>
      </c>
    </row>
    <row r="11" spans="1:8">
      <c r="A11" s="11" t="s">
        <v>42</v>
      </c>
      <c r="B11" s="12">
        <f>26/12</f>
        <v>2.1666666666666665</v>
      </c>
      <c r="C11" s="13">
        <f>$B$11*2</f>
        <v>4.333333333333333</v>
      </c>
      <c r="D11" s="13">
        <f>$B$11*3</f>
        <v>6.5</v>
      </c>
      <c r="E11" s="13">
        <f>$B$11*4</f>
        <v>8.6666666666666661</v>
      </c>
      <c r="F11" s="13">
        <f>$B$11*5</f>
        <v>10.833333333333332</v>
      </c>
      <c r="G11" s="13">
        <f>$B$11*6</f>
        <v>13</v>
      </c>
      <c r="H11" s="13">
        <f>$B$11*7</f>
        <v>15.166666666666666</v>
      </c>
    </row>
    <row r="12" spans="1:8">
      <c r="A12" s="11" t="s">
        <v>43</v>
      </c>
      <c r="B12" s="12">
        <f>12/12</f>
        <v>1</v>
      </c>
      <c r="C12" s="13">
        <f>$B$12*2</f>
        <v>2</v>
      </c>
      <c r="D12" s="13">
        <f>$B$12*3</f>
        <v>3</v>
      </c>
      <c r="E12" s="13">
        <f>$B$12*4</f>
        <v>4</v>
      </c>
      <c r="F12" s="13">
        <f>$B$12*5</f>
        <v>5</v>
      </c>
      <c r="G12" s="13">
        <f>$B$12*6</f>
        <v>6</v>
      </c>
      <c r="H12" s="13">
        <f>$B$12*7</f>
        <v>7</v>
      </c>
    </row>
    <row r="13" spans="1:8">
      <c r="A13" s="11"/>
      <c r="B13" s="12"/>
      <c r="C13" s="13"/>
      <c r="D13" s="13"/>
      <c r="E13" s="13"/>
      <c r="F13" s="13"/>
      <c r="G13" s="13"/>
      <c r="H13" s="13"/>
    </row>
    <row r="14" spans="1:8">
      <c r="A14" s="250" t="s">
        <v>44</v>
      </c>
      <c r="B14" s="250"/>
      <c r="C14" s="13"/>
      <c r="D14" s="13"/>
      <c r="E14" s="13"/>
      <c r="F14" s="13"/>
      <c r="G14" s="13"/>
      <c r="H14" s="13"/>
    </row>
    <row r="15" spans="1:8">
      <c r="A15" s="14" t="s">
        <v>45</v>
      </c>
      <c r="B15" s="15" t="s">
        <v>46</v>
      </c>
      <c r="C15" s="13"/>
      <c r="D15" s="13"/>
      <c r="E15" s="13"/>
      <c r="F15" s="13"/>
      <c r="G15" s="13"/>
      <c r="H15" s="13"/>
    </row>
    <row r="16" spans="1:8">
      <c r="A16" s="5" t="s">
        <v>47</v>
      </c>
      <c r="B16" s="16">
        <v>20</v>
      </c>
      <c r="C16" s="13"/>
      <c r="D16" s="13"/>
      <c r="E16" s="13"/>
      <c r="F16" s="13"/>
      <c r="G16" s="13"/>
      <c r="H16" s="13"/>
    </row>
    <row r="17" spans="1:8">
      <c r="A17" s="5" t="s">
        <v>48</v>
      </c>
      <c r="B17" s="16">
        <v>34</v>
      </c>
      <c r="C17" s="13"/>
      <c r="D17" s="13"/>
      <c r="E17" s="13"/>
      <c r="F17" s="13"/>
      <c r="G17" s="13"/>
      <c r="H17" s="13"/>
    </row>
    <row r="18" spans="1:8">
      <c r="A18" s="5" t="s">
        <v>49</v>
      </c>
      <c r="B18" s="16">
        <v>51</v>
      </c>
      <c r="C18" s="13"/>
      <c r="D18" s="13"/>
      <c r="E18" s="13"/>
      <c r="F18" s="13"/>
      <c r="G18" s="13"/>
      <c r="H18" s="13"/>
    </row>
    <row r="19" spans="1:8">
      <c r="A19" s="5" t="s">
        <v>50</v>
      </c>
      <c r="B19" s="16">
        <v>77</v>
      </c>
      <c r="C19" s="13"/>
      <c r="D19" s="13"/>
      <c r="E19" s="13"/>
      <c r="F19" s="11" t="s">
        <v>51</v>
      </c>
      <c r="G19" s="16">
        <v>2000</v>
      </c>
      <c r="H19" s="13"/>
    </row>
    <row r="20" spans="1:8">
      <c r="A20" s="5" t="s">
        <v>52</v>
      </c>
      <c r="B20" s="16">
        <v>97</v>
      </c>
      <c r="C20" s="13"/>
      <c r="D20" s="13"/>
      <c r="E20" s="13"/>
      <c r="F20" s="11" t="s">
        <v>53</v>
      </c>
      <c r="G20" s="77" t="s">
        <v>54</v>
      </c>
      <c r="H20" s="13"/>
    </row>
    <row r="21" spans="1:8">
      <c r="A21" s="5" t="s">
        <v>55</v>
      </c>
      <c r="B21" s="16">
        <v>117</v>
      </c>
      <c r="C21" s="13"/>
      <c r="D21" s="13"/>
      <c r="E21" s="13"/>
      <c r="F21" s="11"/>
      <c r="G21" s="11"/>
      <c r="H21" s="13"/>
    </row>
    <row r="22" spans="1:8">
      <c r="A22" s="5" t="s">
        <v>56</v>
      </c>
      <c r="B22" s="16">
        <v>157</v>
      </c>
      <c r="C22" s="13"/>
      <c r="D22" s="13"/>
      <c r="E22" s="13"/>
      <c r="F22" s="102" t="s">
        <v>163</v>
      </c>
      <c r="G22" s="103">
        <v>12</v>
      </c>
      <c r="H22" s="13"/>
    </row>
    <row r="23" spans="1:8">
      <c r="A23" s="5" t="s">
        <v>152</v>
      </c>
      <c r="B23" s="16">
        <v>37</v>
      </c>
      <c r="C23" s="13" t="s">
        <v>63</v>
      </c>
      <c r="D23" s="13"/>
      <c r="E23" s="13"/>
      <c r="F23" s="17"/>
      <c r="G23" s="6"/>
      <c r="H23" s="13"/>
    </row>
    <row r="24" spans="1:8">
      <c r="A24" s="5" t="s">
        <v>151</v>
      </c>
      <c r="B24" s="109">
        <v>48</v>
      </c>
      <c r="C24" s="99" t="s">
        <v>167</v>
      </c>
      <c r="D24" s="99"/>
      <c r="E24" s="13"/>
      <c r="F24" s="17"/>
      <c r="G24" s="6"/>
      <c r="H24" s="13"/>
    </row>
    <row r="25" spans="1:8">
      <c r="A25" s="5" t="s">
        <v>165</v>
      </c>
      <c r="B25" s="16">
        <v>51</v>
      </c>
      <c r="C25" s="13" t="s">
        <v>168</v>
      </c>
      <c r="D25" s="13"/>
      <c r="E25" s="13"/>
      <c r="F25" s="13"/>
      <c r="G25" s="13"/>
      <c r="H25" s="13"/>
    </row>
    <row r="26" spans="1:8">
      <c r="A26" s="5" t="s">
        <v>166</v>
      </c>
      <c r="B26" s="16">
        <v>77</v>
      </c>
      <c r="C26" s="13" t="s">
        <v>169</v>
      </c>
      <c r="D26" s="13"/>
      <c r="E26" s="13"/>
      <c r="F26" s="13"/>
      <c r="G26" s="13"/>
      <c r="H26" s="13"/>
    </row>
    <row r="27" spans="1:8">
      <c r="A27" s="5" t="s">
        <v>57</v>
      </c>
      <c r="B27" s="16">
        <v>34</v>
      </c>
      <c r="C27" s="13"/>
      <c r="D27" s="13"/>
      <c r="E27" s="13"/>
      <c r="F27" s="13"/>
      <c r="G27" s="13"/>
      <c r="H27" s="13"/>
    </row>
    <row r="28" spans="1:8">
      <c r="A28" s="5" t="s">
        <v>58</v>
      </c>
      <c r="B28" s="16">
        <v>34</v>
      </c>
      <c r="C28" s="13"/>
      <c r="D28" s="13"/>
      <c r="E28" s="13"/>
      <c r="F28" s="13"/>
      <c r="G28" s="13"/>
      <c r="H28" s="13"/>
    </row>
    <row r="29" spans="1:8">
      <c r="A29" s="14" t="s">
        <v>59</v>
      </c>
      <c r="B29" s="16"/>
      <c r="C29" s="13"/>
      <c r="D29" s="13"/>
      <c r="E29" s="13"/>
      <c r="F29" s="13"/>
      <c r="G29" s="13"/>
      <c r="H29" s="13"/>
    </row>
    <row r="30" spans="1:8">
      <c r="A30" s="5" t="s">
        <v>60</v>
      </c>
      <c r="B30" s="16">
        <v>29</v>
      </c>
      <c r="C30" s="13"/>
      <c r="D30" s="13"/>
      <c r="E30" s="13"/>
      <c r="F30" s="13"/>
      <c r="G30" s="13"/>
      <c r="H30" s="13"/>
    </row>
    <row r="31" spans="1:8">
      <c r="A31" s="5" t="s">
        <v>61</v>
      </c>
      <c r="B31" s="16">
        <v>175</v>
      </c>
      <c r="C31" s="13"/>
      <c r="D31" s="13"/>
      <c r="E31" s="13"/>
      <c r="F31" s="13"/>
      <c r="G31" s="13"/>
      <c r="H31" s="13"/>
    </row>
    <row r="32" spans="1:8">
      <c r="A32" s="5" t="s">
        <v>62</v>
      </c>
      <c r="B32" s="16">
        <v>250</v>
      </c>
      <c r="C32" s="13"/>
      <c r="D32" s="13"/>
      <c r="E32" s="13"/>
      <c r="F32" s="13"/>
      <c r="G32" s="13"/>
      <c r="H32" s="13"/>
    </row>
    <row r="33" spans="1:8">
      <c r="A33" s="5" t="s">
        <v>64</v>
      </c>
      <c r="B33" s="16">
        <v>324</v>
      </c>
      <c r="C33" s="13"/>
      <c r="D33" s="13"/>
      <c r="E33" s="13"/>
      <c r="F33" s="13"/>
      <c r="G33" s="13"/>
      <c r="H33" s="13"/>
    </row>
    <row r="34" spans="1:8">
      <c r="A34" s="5" t="s">
        <v>65</v>
      </c>
      <c r="B34" s="16">
        <v>473</v>
      </c>
      <c r="C34" s="13"/>
      <c r="D34" s="13"/>
      <c r="E34" s="13"/>
      <c r="F34" s="13"/>
      <c r="G34" s="13"/>
      <c r="H34" s="13"/>
    </row>
    <row r="35" spans="1:8">
      <c r="A35" s="5" t="s">
        <v>66</v>
      </c>
      <c r="B35" s="16">
        <v>613</v>
      </c>
      <c r="C35" s="13"/>
      <c r="D35" s="13"/>
      <c r="E35" s="13"/>
      <c r="F35" s="13"/>
      <c r="G35" s="13"/>
      <c r="H35" s="13"/>
    </row>
    <row r="36" spans="1:8">
      <c r="A36" s="5" t="s">
        <v>67</v>
      </c>
      <c r="B36" s="16">
        <v>840</v>
      </c>
      <c r="C36" s="13"/>
      <c r="D36" s="13"/>
      <c r="E36" s="13"/>
      <c r="F36" s="13"/>
      <c r="G36" s="13"/>
      <c r="H36" s="13"/>
    </row>
    <row r="37" spans="1:8">
      <c r="A37" s="5" t="s">
        <v>68</v>
      </c>
      <c r="B37" s="16">
        <v>980</v>
      </c>
      <c r="C37" s="13"/>
      <c r="D37" s="13"/>
      <c r="E37" s="13"/>
      <c r="F37" s="13"/>
      <c r="G37" s="13"/>
      <c r="H37" s="13"/>
    </row>
    <row r="38" spans="1:8">
      <c r="A38" s="5" t="s">
        <v>69</v>
      </c>
      <c r="B38" s="16">
        <v>482</v>
      </c>
      <c r="C38" s="13" t="s">
        <v>63</v>
      </c>
      <c r="D38" s="13"/>
      <c r="E38" s="13"/>
      <c r="F38" s="13"/>
      <c r="G38" s="13"/>
      <c r="H38" s="13"/>
    </row>
    <row r="39" spans="1:8">
      <c r="A39" s="5" t="s">
        <v>70</v>
      </c>
      <c r="B39" s="16">
        <v>689</v>
      </c>
      <c r="C39" s="13" t="s">
        <v>63</v>
      </c>
      <c r="D39" s="13"/>
      <c r="E39" s="13"/>
      <c r="F39" s="13"/>
      <c r="G39" s="13"/>
      <c r="H39" s="13"/>
    </row>
    <row r="40" spans="1:8">
      <c r="A40" s="5" t="s">
        <v>71</v>
      </c>
      <c r="B40" s="16">
        <v>892</v>
      </c>
      <c r="C40" s="13" t="s">
        <v>63</v>
      </c>
      <c r="D40" s="13"/>
      <c r="E40" s="13"/>
      <c r="F40" s="13"/>
      <c r="G40" s="13"/>
      <c r="H40" s="13"/>
    </row>
    <row r="41" spans="1:8">
      <c r="A41" s="5" t="s">
        <v>72</v>
      </c>
      <c r="B41" s="16">
        <v>1301</v>
      </c>
      <c r="C41" s="13"/>
      <c r="D41" s="13"/>
      <c r="E41" s="13"/>
      <c r="F41" s="13"/>
      <c r="G41" s="13"/>
      <c r="H41" s="13"/>
    </row>
    <row r="42" spans="1:8">
      <c r="A42" s="5" t="s">
        <v>73</v>
      </c>
      <c r="B42" s="16">
        <v>1686</v>
      </c>
      <c r="C42" s="13"/>
      <c r="D42" s="13"/>
      <c r="E42" s="13"/>
      <c r="F42" s="13"/>
      <c r="G42" s="13"/>
      <c r="H42" s="13"/>
    </row>
    <row r="43" spans="1:8">
      <c r="A43" s="5" t="s">
        <v>74</v>
      </c>
      <c r="B43" s="16">
        <v>2046</v>
      </c>
      <c r="C43" s="13"/>
      <c r="D43" s="13"/>
      <c r="E43" s="13"/>
      <c r="F43" s="13"/>
      <c r="G43" s="13"/>
      <c r="H43" s="13"/>
    </row>
    <row r="44" spans="1:8">
      <c r="A44" s="5" t="s">
        <v>75</v>
      </c>
      <c r="B44" s="16">
        <v>2310</v>
      </c>
      <c r="C44" s="13"/>
      <c r="D44" s="13"/>
      <c r="E44" s="13"/>
      <c r="F44" s="13"/>
      <c r="G44" s="13"/>
      <c r="H44" s="13"/>
    </row>
    <row r="45" spans="1:8">
      <c r="A45" s="5" t="s">
        <v>76</v>
      </c>
      <c r="B45" s="16">
        <v>2800</v>
      </c>
      <c r="C45" s="13" t="s">
        <v>63</v>
      </c>
      <c r="D45" s="13"/>
      <c r="E45" s="13"/>
      <c r="F45" s="13"/>
      <c r="G45" s="13"/>
      <c r="H45" s="13"/>
    </row>
    <row r="46" spans="1:8">
      <c r="A46" s="5" t="s">
        <v>77</v>
      </c>
      <c r="B46" s="16">
        <v>125</v>
      </c>
      <c r="C46" s="13"/>
      <c r="D46" s="13"/>
      <c r="E46" s="13"/>
      <c r="F46" s="13"/>
      <c r="G46" s="13"/>
      <c r="H46" s="13"/>
    </row>
    <row r="47" spans="1:8">
      <c r="A47" s="11"/>
      <c r="B47" s="251" t="s">
        <v>78</v>
      </c>
      <c r="C47" s="251"/>
      <c r="D47" s="11"/>
      <c r="E47" s="11"/>
      <c r="F47" s="11"/>
      <c r="G47" s="11"/>
      <c r="H47" s="11"/>
    </row>
    <row r="48" spans="1:8">
      <c r="A48" s="11"/>
      <c r="B48" s="11"/>
      <c r="C48" s="11"/>
      <c r="D48" s="11"/>
      <c r="E48" s="11"/>
      <c r="F48" s="11"/>
      <c r="G48" s="11"/>
      <c r="H48" s="11"/>
    </row>
    <row r="49" spans="1:8">
      <c r="A49" s="11"/>
      <c r="B49" s="11"/>
      <c r="C49" s="11"/>
      <c r="D49" s="11"/>
      <c r="E49" s="11"/>
      <c r="F49" s="11"/>
      <c r="G49" s="11"/>
      <c r="H49" s="11"/>
    </row>
    <row r="50" spans="1:8">
      <c r="A50" s="71" t="s">
        <v>91</v>
      </c>
      <c r="B50" s="96" t="s">
        <v>79</v>
      </c>
      <c r="C50" s="72" t="s">
        <v>80</v>
      </c>
      <c r="D50" s="11"/>
      <c r="E50" s="11"/>
      <c r="F50" s="252" t="s">
        <v>81</v>
      </c>
      <c r="G50" s="252"/>
      <c r="H50" s="11"/>
    </row>
    <row r="51" spans="1:8">
      <c r="A51" s="9" t="s">
        <v>82</v>
      </c>
      <c r="B51" s="113">
        <v>102.31</v>
      </c>
      <c r="C51" s="19">
        <f>B51/2000</f>
        <v>5.1154999999999999E-2</v>
      </c>
      <c r="D51" s="11"/>
      <c r="E51" s="11"/>
      <c r="F51" s="11" t="s">
        <v>83</v>
      </c>
      <c r="G51" s="20">
        <f>0.0175</f>
        <v>1.7500000000000002E-2</v>
      </c>
      <c r="H51" s="11"/>
    </row>
    <row r="52" spans="1:8">
      <c r="A52" s="9" t="s">
        <v>84</v>
      </c>
      <c r="B52" s="108">
        <v>103.54</v>
      </c>
      <c r="C52" s="21">
        <f>B52/2000</f>
        <v>5.1770000000000004E-2</v>
      </c>
      <c r="D52" s="114"/>
      <c r="E52" s="11"/>
      <c r="F52" s="11" t="s">
        <v>85</v>
      </c>
      <c r="G52" s="22">
        <v>5.1000000000000004E-3</v>
      </c>
      <c r="H52" s="11"/>
    </row>
    <row r="53" spans="1:8">
      <c r="A53" s="5" t="s">
        <v>124</v>
      </c>
      <c r="B53" s="18">
        <f>B52-B51</f>
        <v>1.230000000000004</v>
      </c>
      <c r="C53" s="23">
        <f>C52-C51</f>
        <v>6.1500000000000443E-4</v>
      </c>
      <c r="D53" s="114"/>
      <c r="E53" s="11"/>
      <c r="F53" s="11" t="s">
        <v>86</v>
      </c>
      <c r="G53" s="24"/>
      <c r="H53" s="11"/>
    </row>
    <row r="54" spans="1:8">
      <c r="A54" s="11"/>
      <c r="B54" s="164">
        <f>+B53/B51</f>
        <v>1.2022285211611807E-2</v>
      </c>
      <c r="C54" s="11"/>
      <c r="D54" s="11"/>
      <c r="E54" s="11"/>
      <c r="F54" s="11" t="s">
        <v>19</v>
      </c>
      <c r="G54" s="25">
        <f>SUM(G51:G53)</f>
        <v>2.2600000000000002E-2</v>
      </c>
      <c r="H54" s="11"/>
    </row>
    <row r="55" spans="1:8">
      <c r="A55" s="26"/>
      <c r="B55" s="27"/>
      <c r="C55" s="27"/>
      <c r="D55" s="28"/>
      <c r="E55" s="11"/>
      <c r="F55" s="11"/>
      <c r="G55" s="11"/>
      <c r="H55" s="11"/>
    </row>
    <row r="56" spans="1:8">
      <c r="A56" s="11"/>
      <c r="B56" s="73" t="s">
        <v>91</v>
      </c>
      <c r="C56" s="29"/>
      <c r="D56" s="28"/>
      <c r="E56" s="11"/>
      <c r="F56" s="11" t="s">
        <v>88</v>
      </c>
      <c r="G56" s="30">
        <f>1-G54</f>
        <v>0.97740000000000005</v>
      </c>
      <c r="H56" s="11"/>
    </row>
    <row r="57" spans="1:8">
      <c r="A57" s="11" t="s">
        <v>87</v>
      </c>
      <c r="B57" s="31">
        <f>B53</f>
        <v>1.230000000000004</v>
      </c>
      <c r="C57" s="29"/>
      <c r="D57" s="28"/>
      <c r="E57" s="11"/>
      <c r="F57" s="11"/>
      <c r="G57" s="11"/>
      <c r="H57" s="11"/>
    </row>
    <row r="58" spans="1:8">
      <c r="A58" s="11" t="s">
        <v>89</v>
      </c>
      <c r="B58" s="32">
        <f>B57/$G$56</f>
        <v>1.2584407612031963</v>
      </c>
      <c r="C58" s="33"/>
      <c r="D58" s="28"/>
      <c r="E58" s="11"/>
      <c r="F58" s="11"/>
      <c r="G58" s="11"/>
      <c r="H58" s="11"/>
    </row>
    <row r="59" spans="1:8">
      <c r="A59" s="11" t="s">
        <v>90</v>
      </c>
      <c r="B59" s="213">
        <f>+'11.2018-10.2019 Disposal'!O10</f>
        <v>11461.877060716231</v>
      </c>
      <c r="C59" s="28" t="s">
        <v>400</v>
      </c>
      <c r="D59" s="28"/>
      <c r="E59" s="11"/>
      <c r="F59" s="11"/>
      <c r="G59" s="34">
        <v>102.31</v>
      </c>
      <c r="H59" s="11"/>
    </row>
    <row r="60" spans="1:8">
      <c r="A60" s="14" t="s">
        <v>125</v>
      </c>
      <c r="B60" s="34">
        <f>B58*B59</f>
        <v>14424.093293105188</v>
      </c>
      <c r="C60" s="35"/>
      <c r="D60" s="28"/>
      <c r="E60" s="11"/>
      <c r="F60" s="11"/>
      <c r="G60" s="249">
        <v>1.2E-2</v>
      </c>
      <c r="H60" s="11"/>
    </row>
    <row r="61" spans="1:8">
      <c r="A61" s="35"/>
      <c r="B61" s="35"/>
      <c r="C61" s="35"/>
      <c r="D61" s="28"/>
      <c r="E61" s="11"/>
      <c r="F61" s="11"/>
      <c r="G61" s="34">
        <f>+G59*(1+G60)</f>
        <v>103.53772000000001</v>
      </c>
      <c r="H61" s="11"/>
    </row>
    <row r="62" spans="1:8" ht="15.75" thickBot="1">
      <c r="D62" s="32"/>
      <c r="E62" s="11"/>
      <c r="F62" s="11"/>
      <c r="G62" s="11"/>
      <c r="H62" s="11"/>
    </row>
    <row r="63" spans="1:8">
      <c r="A63" s="36" t="s">
        <v>126</v>
      </c>
      <c r="B63" s="74" t="s">
        <v>127</v>
      </c>
      <c r="C63" s="11"/>
      <c r="D63" s="11"/>
      <c r="E63" s="11"/>
      <c r="F63" s="11"/>
      <c r="G63" s="11"/>
      <c r="H63" s="11"/>
    </row>
    <row r="64" spans="1:8">
      <c r="A64" s="37" t="s">
        <v>128</v>
      </c>
      <c r="B64" s="38">
        <f>'DF Calc (Mason Co.)'!R42</f>
        <v>14605.121152737531</v>
      </c>
      <c r="C64" s="11"/>
      <c r="D64" s="11"/>
      <c r="E64" s="11"/>
      <c r="F64" s="11"/>
      <c r="G64" s="11"/>
      <c r="H64" s="11"/>
    </row>
    <row r="65" spans="1:8">
      <c r="A65" s="37" t="s">
        <v>129</v>
      </c>
      <c r="B65" s="38">
        <f>B64-B60</f>
        <v>181.02785963234237</v>
      </c>
      <c r="C65" s="11"/>
      <c r="D65" s="11"/>
      <c r="E65" s="11"/>
      <c r="F65" s="11"/>
      <c r="G65" s="11"/>
      <c r="H65" s="11"/>
    </row>
    <row r="66" spans="1:8" ht="15.75" thickBot="1">
      <c r="A66" s="106"/>
      <c r="B66" s="107"/>
      <c r="C66" s="11"/>
    </row>
    <row r="69" spans="1:8">
      <c r="A69" s="8"/>
      <c r="B69" s="7"/>
      <c r="C69" s="105"/>
    </row>
  </sheetData>
  <mergeCells count="4">
    <mergeCell ref="A4:H4"/>
    <mergeCell ref="A14:B14"/>
    <mergeCell ref="B47:C47"/>
    <mergeCell ref="F50:G50"/>
  </mergeCells>
  <pageMargins left="0.7" right="0.7" top="0.75" bottom="0.75" header="0.3" footer="0.3"/>
  <pageSetup scale="63" orientation="portrait" r:id="rId1"/>
  <headerFooter>
    <oddFooter xml:space="preserve">&amp;L&amp;F - &amp;A
&amp;R&amp;P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U84"/>
  <sheetViews>
    <sheetView view="pageBreakPreview" zoomScale="85" zoomScaleNormal="80" zoomScaleSheetLayoutView="85" zoomScalePageLayoutView="50" workbookViewId="0">
      <selection activeCell="E40" sqref="E40"/>
    </sheetView>
  </sheetViews>
  <sheetFormatPr defaultColWidth="8.85546875" defaultRowHeight="15"/>
  <cols>
    <col min="1" max="1" width="4.140625" style="39" bestFit="1" customWidth="1"/>
    <col min="2" max="2" width="16.7109375" style="43" bestFit="1" customWidth="1"/>
    <col min="3" max="3" width="26.7109375" style="39" bestFit="1" customWidth="1"/>
    <col min="4" max="4" width="15.140625" style="47" customWidth="1"/>
    <col min="5" max="5" width="10" style="39" bestFit="1" customWidth="1"/>
    <col min="6" max="6" width="11.28515625" style="39" bestFit="1" customWidth="1"/>
    <col min="7" max="7" width="8.28515625" style="39" bestFit="1" customWidth="1"/>
    <col min="8" max="8" width="16.7109375" style="39" bestFit="1" customWidth="1"/>
    <col min="9" max="9" width="15.7109375" style="124" bestFit="1" customWidth="1"/>
    <col min="10" max="10" width="11.7109375" style="39" customWidth="1"/>
    <col min="11" max="11" width="13" style="39" customWidth="1"/>
    <col min="12" max="12" width="9.85546875" style="39" bestFit="1" customWidth="1"/>
    <col min="13" max="13" width="12.42578125" style="39" bestFit="1" customWidth="1"/>
    <col min="14" max="14" width="14.5703125" style="39" bestFit="1" customWidth="1"/>
    <col min="15" max="15" width="14.28515625" style="39" bestFit="1" customWidth="1"/>
    <col min="16" max="16" width="16.140625" style="39" bestFit="1" customWidth="1"/>
    <col min="17" max="17" width="20.140625" style="39" customWidth="1"/>
    <col min="18" max="18" width="21" style="39" bestFit="1" customWidth="1"/>
    <col min="19" max="19" width="12.85546875" style="39" bestFit="1" customWidth="1"/>
    <col min="20" max="16384" width="8.85546875" style="39"/>
  </cols>
  <sheetData>
    <row r="1" spans="1:21">
      <c r="A1" s="120" t="str">
        <f>References!A1</f>
        <v>Mason County Garbage Co., Inc. G-88</v>
      </c>
      <c r="D1" s="253" t="s">
        <v>530</v>
      </c>
      <c r="E1" s="254"/>
      <c r="F1" s="254"/>
      <c r="G1" s="254"/>
      <c r="H1" s="254"/>
      <c r="I1" s="254"/>
      <c r="J1" s="254"/>
      <c r="K1" s="254"/>
      <c r="L1" s="255"/>
    </row>
    <row r="2" spans="1:21" ht="15.75" thickBot="1">
      <c r="A2" s="120" t="s">
        <v>208</v>
      </c>
      <c r="D2" s="256"/>
      <c r="E2" s="257"/>
      <c r="F2" s="257"/>
      <c r="G2" s="257"/>
      <c r="H2" s="257"/>
      <c r="I2" s="257"/>
      <c r="J2" s="257"/>
      <c r="K2" s="257"/>
      <c r="L2" s="258"/>
    </row>
    <row r="3" spans="1:21">
      <c r="A3" s="121" t="s">
        <v>529</v>
      </c>
    </row>
    <row r="5" spans="1:21" ht="45">
      <c r="A5" s="71"/>
      <c r="B5" s="83" t="s">
        <v>130</v>
      </c>
      <c r="C5" s="84" t="s">
        <v>131</v>
      </c>
      <c r="D5" s="83" t="s">
        <v>405</v>
      </c>
      <c r="E5" s="83" t="s">
        <v>132</v>
      </c>
      <c r="F5" s="83" t="s">
        <v>133</v>
      </c>
      <c r="G5" s="83" t="s">
        <v>44</v>
      </c>
      <c r="H5" s="83" t="s">
        <v>134</v>
      </c>
      <c r="I5" s="85" t="s">
        <v>135</v>
      </c>
      <c r="J5" s="83" t="s">
        <v>136</v>
      </c>
      <c r="K5" s="83" t="s">
        <v>137</v>
      </c>
      <c r="L5" s="83" t="s">
        <v>92</v>
      </c>
      <c r="M5" s="83" t="s">
        <v>138</v>
      </c>
      <c r="N5" s="83" t="s">
        <v>164</v>
      </c>
      <c r="O5" s="83" t="s">
        <v>139</v>
      </c>
      <c r="P5" s="83" t="s">
        <v>140</v>
      </c>
      <c r="Q5" s="83" t="s">
        <v>141</v>
      </c>
      <c r="R5" s="83" t="s">
        <v>142</v>
      </c>
      <c r="S5" s="83" t="s">
        <v>143</v>
      </c>
    </row>
    <row r="6" spans="1:21" s="28" customFormat="1" ht="15" customHeight="1">
      <c r="A6" s="259" t="s">
        <v>122</v>
      </c>
      <c r="B6" s="41">
        <v>21</v>
      </c>
      <c r="C6" s="125" t="s">
        <v>0</v>
      </c>
      <c r="D6" s="200">
        <f>+'Mason Co. Regulated - Price Out'!AG16</f>
        <v>8.3334580838323351</v>
      </c>
      <c r="E6" s="40">
        <f>References!$B$10</f>
        <v>4.333333333333333</v>
      </c>
      <c r="F6" s="126">
        <f>D6*E6*12</f>
        <v>433.33982035928142</v>
      </c>
      <c r="G6" s="158">
        <f>References!B16</f>
        <v>20</v>
      </c>
      <c r="H6" s="126">
        <f>F6*G6</f>
        <v>8666.7964071856277</v>
      </c>
      <c r="I6" s="127">
        <f>$C$76*H6</f>
        <v>6676.4861361294361</v>
      </c>
      <c r="J6" s="128">
        <f>References!$C$53*'DF Calc (Mason Co.)'!I6</f>
        <v>4.1060389737196328</v>
      </c>
      <c r="K6" s="128">
        <f>J6/References!$G$56</f>
        <v>4.2009811476566732</v>
      </c>
      <c r="L6" s="128">
        <f>K6/F6*E6</f>
        <v>4.2009182596587744E-2</v>
      </c>
      <c r="M6" s="159">
        <f>+'Prop. Rates'!B11</f>
        <v>13.5</v>
      </c>
      <c r="N6" s="128">
        <f>L6+M6</f>
        <v>13.542009182596587</v>
      </c>
      <c r="O6" s="159">
        <f>+'Prop. Rates'!D11</f>
        <v>13.54</v>
      </c>
      <c r="P6" s="128">
        <f>D6*M6*12</f>
        <v>1350.0202095808384</v>
      </c>
      <c r="Q6" s="128">
        <f>D6*O6*12</f>
        <v>1354.0202694610778</v>
      </c>
      <c r="R6" s="128">
        <f>Q6-P6</f>
        <v>4.0000598802394052</v>
      </c>
      <c r="S6" s="129">
        <f t="shared" ref="S6" si="0">N6</f>
        <v>13.542009182596587</v>
      </c>
      <c r="T6" s="248">
        <f>((G6*$C$76)*(References!$C$53/References!$G$56)*'DF Calc (Mason Co.)'!E6)-L6</f>
        <v>0</v>
      </c>
      <c r="U6" s="110"/>
    </row>
    <row r="7" spans="1:21" s="28" customFormat="1">
      <c r="A7" s="260"/>
      <c r="B7" s="41"/>
      <c r="C7" s="125"/>
      <c r="D7" s="200"/>
      <c r="E7" s="40"/>
      <c r="F7" s="126"/>
      <c r="G7" s="160"/>
      <c r="H7" s="126"/>
      <c r="I7" s="127"/>
      <c r="J7" s="128"/>
      <c r="K7" s="128"/>
      <c r="L7" s="128"/>
      <c r="M7" s="159"/>
      <c r="N7" s="128"/>
      <c r="O7" s="159"/>
      <c r="P7" s="128"/>
      <c r="Q7" s="128"/>
      <c r="R7" s="128"/>
      <c r="S7" s="129"/>
      <c r="U7" s="110"/>
    </row>
    <row r="8" spans="1:21" s="28" customFormat="1">
      <c r="A8" s="260"/>
      <c r="B8" s="41">
        <v>21</v>
      </c>
      <c r="C8" s="125" t="s">
        <v>1</v>
      </c>
      <c r="D8" s="200">
        <f>+'Mason Co. Regulated - Price Out'!AG23</f>
        <v>2919.7057377049182</v>
      </c>
      <c r="E8" s="40">
        <f>References!$B$10</f>
        <v>4.333333333333333</v>
      </c>
      <c r="F8" s="126">
        <f t="shared" ref="F8:F30" si="1">D8*E8*12</f>
        <v>151824.69836065575</v>
      </c>
      <c r="G8" s="160">
        <f>References!B23</f>
        <v>37</v>
      </c>
      <c r="H8" s="126">
        <f t="shared" ref="H8:H28" si="2">F8*G8</f>
        <v>5617513.8393442631</v>
      </c>
      <c r="I8" s="127">
        <f>$C$76*H8</f>
        <v>4327464.4408171009</v>
      </c>
      <c r="J8" s="128">
        <f>References!$C$53*'DF Calc (Mason Co.)'!I8</f>
        <v>2661.3906311025362</v>
      </c>
      <c r="K8" s="128">
        <f>J8/References!$G$56</f>
        <v>2722.9288224908287</v>
      </c>
      <c r="L8" s="128">
        <f t="shared" ref="L8:L21" si="3">K8/F8*E8</f>
        <v>7.7716987803687326E-2</v>
      </c>
      <c r="M8" s="159">
        <f>'Prop. Rates'!B12</f>
        <v>18.53</v>
      </c>
      <c r="N8" s="128">
        <f t="shared" ref="N8:N28" si="4">L8+M8</f>
        <v>18.607716987803688</v>
      </c>
      <c r="O8" s="159">
        <f>'Prop. Rates'!D12</f>
        <v>18.61</v>
      </c>
      <c r="P8" s="128">
        <f t="shared" ref="P8:P21" si="5">D8*M8*12</f>
        <v>649225.76783606561</v>
      </c>
      <c r="Q8" s="128">
        <f t="shared" ref="Q8:Q21" si="6">D8*O8*12</f>
        <v>652028.68534426228</v>
      </c>
      <c r="R8" s="128">
        <f t="shared" ref="R8:R28" si="7">Q8-P8</f>
        <v>2802.9175081966678</v>
      </c>
      <c r="S8" s="129">
        <f>N8</f>
        <v>18.607716987803688</v>
      </c>
      <c r="T8" s="248">
        <f>((G8*$C$76)*(References!$C$53/References!$G$56)*'DF Calc (Mason Co.)'!E8)-L8</f>
        <v>0</v>
      </c>
      <c r="U8" s="110"/>
    </row>
    <row r="9" spans="1:21" s="28" customFormat="1">
      <c r="A9" s="260"/>
      <c r="B9" s="41">
        <v>21</v>
      </c>
      <c r="C9" s="125" t="s">
        <v>2</v>
      </c>
      <c r="D9" s="200">
        <f>+'Mason Co. Regulated - Price Out'!AG25</f>
        <v>1460.6436559139786</v>
      </c>
      <c r="E9" s="40">
        <f>References!$B$10</f>
        <v>4.333333333333333</v>
      </c>
      <c r="F9" s="126">
        <f t="shared" si="1"/>
        <v>75953.470107526882</v>
      </c>
      <c r="G9" s="160">
        <f>References!B24</f>
        <v>48</v>
      </c>
      <c r="H9" s="126">
        <f t="shared" si="2"/>
        <v>3645766.5651612906</v>
      </c>
      <c r="I9" s="127">
        <f>$C$76*H9</f>
        <v>2808524.4863583711</v>
      </c>
      <c r="J9" s="128">
        <f>References!$C$53*'DF Calc (Mason Co.)'!I9</f>
        <v>1727.2425591104106</v>
      </c>
      <c r="K9" s="128">
        <f>J9/References!$G$56</f>
        <v>1767.180846235329</v>
      </c>
      <c r="L9" s="128">
        <f t="shared" si="3"/>
        <v>0.1008220382318106</v>
      </c>
      <c r="M9" s="159">
        <f>'Prop. Rates'!B13</f>
        <v>23.54</v>
      </c>
      <c r="N9" s="128">
        <f t="shared" si="4"/>
        <v>23.640822038231811</v>
      </c>
      <c r="O9" s="159">
        <f>'Prop. Rates'!D13</f>
        <v>23.64</v>
      </c>
      <c r="P9" s="128">
        <f t="shared" si="5"/>
        <v>412602.61992258066</v>
      </c>
      <c r="Q9" s="128">
        <f t="shared" si="6"/>
        <v>414355.39230967744</v>
      </c>
      <c r="R9" s="128">
        <f t="shared" si="7"/>
        <v>1752.7723870967748</v>
      </c>
      <c r="S9" s="129">
        <f>N9</f>
        <v>23.640822038231811</v>
      </c>
      <c r="T9" s="248">
        <f>((G9*$C$76)*(References!$C$53/References!$G$56)*'DF Calc (Mason Co.)'!E9)-L9</f>
        <v>0</v>
      </c>
      <c r="U9" s="110"/>
    </row>
    <row r="10" spans="1:21" s="28" customFormat="1">
      <c r="A10" s="260"/>
      <c r="B10" s="41">
        <v>21</v>
      </c>
      <c r="C10" s="125" t="s">
        <v>3</v>
      </c>
      <c r="D10" s="200">
        <f>+'Mason Co. Regulated - Price Out'!AG26</f>
        <v>1261.341085271318</v>
      </c>
      <c r="E10" s="40">
        <f>References!$B$10</f>
        <v>4.333333333333333</v>
      </c>
      <c r="F10" s="126">
        <f t="shared" si="1"/>
        <v>65589.736434108534</v>
      </c>
      <c r="G10" s="160">
        <f>References!B25</f>
        <v>51</v>
      </c>
      <c r="H10" s="126">
        <f t="shared" si="2"/>
        <v>3345076.5581395351</v>
      </c>
      <c r="I10" s="127">
        <f>$C$76*H10</f>
        <v>2576887.2620791723</v>
      </c>
      <c r="J10" s="128">
        <f>References!$C$53*'DF Calc (Mason Co.)'!I10</f>
        <v>1584.7856661787023</v>
      </c>
      <c r="K10" s="128">
        <f>J10/References!$G$56</f>
        <v>1621.4299838128732</v>
      </c>
      <c r="L10" s="128">
        <f t="shared" si="3"/>
        <v>0.10712341562129875</v>
      </c>
      <c r="M10" s="159">
        <f>'Prop. Rates'!B14</f>
        <v>28.7</v>
      </c>
      <c r="N10" s="130">
        <f t="shared" si="4"/>
        <v>28.807123415621298</v>
      </c>
      <c r="O10" s="159">
        <f>'Prop. Rates'!D14</f>
        <v>28.81</v>
      </c>
      <c r="P10" s="128">
        <f t="shared" si="5"/>
        <v>434405.86976744188</v>
      </c>
      <c r="Q10" s="128">
        <f t="shared" si="6"/>
        <v>436070.84000000008</v>
      </c>
      <c r="R10" s="128">
        <f t="shared" si="7"/>
        <v>1664.9702325582039</v>
      </c>
      <c r="S10" s="129">
        <f>N10</f>
        <v>28.807123415621298</v>
      </c>
      <c r="T10" s="248">
        <f>((G10*$C$76)*(References!$C$53/References!$G$56)*'DF Calc (Mason Co.)'!E10)-L10</f>
        <v>0</v>
      </c>
      <c r="U10" s="110"/>
    </row>
    <row r="11" spans="1:21" s="28" customFormat="1">
      <c r="A11" s="260"/>
      <c r="B11" s="41">
        <v>21</v>
      </c>
      <c r="C11" s="125" t="s">
        <v>4</v>
      </c>
      <c r="D11" s="200">
        <f>+'Mason Co. Regulated - Price Out'!AG27</f>
        <v>629.33187464709204</v>
      </c>
      <c r="E11" s="40">
        <f>References!$B$10</f>
        <v>4.333333333333333</v>
      </c>
      <c r="F11" s="126">
        <f t="shared" si="1"/>
        <v>32725.257481648783</v>
      </c>
      <c r="G11" s="160">
        <f>References!B26</f>
        <v>77</v>
      </c>
      <c r="H11" s="126">
        <f t="shared" si="2"/>
        <v>2519844.8260869561</v>
      </c>
      <c r="I11" s="127">
        <f>$C$76*H11</f>
        <v>1941168.1382775465</v>
      </c>
      <c r="J11" s="128">
        <f>References!$C$53*'DF Calc (Mason Co.)'!I11</f>
        <v>1193.8184050406996</v>
      </c>
      <c r="K11" s="128">
        <f>J11/References!$G$56</f>
        <v>1221.4225547786982</v>
      </c>
      <c r="L11" s="128">
        <f t="shared" si="3"/>
        <v>0.16173535299686281</v>
      </c>
      <c r="M11" s="159">
        <f>'Prop. Rates'!B15</f>
        <v>35.89</v>
      </c>
      <c r="N11" s="128">
        <f t="shared" si="4"/>
        <v>36.051735352996864</v>
      </c>
      <c r="O11" s="159">
        <f>'Prop. Rates'!D15</f>
        <v>36.049999999999997</v>
      </c>
      <c r="P11" s="128">
        <f t="shared" si="5"/>
        <v>271040.65177300962</v>
      </c>
      <c r="Q11" s="128">
        <f t="shared" si="6"/>
        <v>272248.96897233196</v>
      </c>
      <c r="R11" s="128">
        <f t="shared" si="7"/>
        <v>1208.3171993223368</v>
      </c>
      <c r="S11" s="129">
        <f>N11</f>
        <v>36.051735352996864</v>
      </c>
      <c r="T11" s="248">
        <f>((G11*$C$76)*(References!$C$53/References!$G$56)*'DF Calc (Mason Co.)'!E11)-L11</f>
        <v>0</v>
      </c>
      <c r="U11" s="110"/>
    </row>
    <row r="12" spans="1:21" s="28" customFormat="1">
      <c r="A12" s="260"/>
      <c r="B12" s="41"/>
      <c r="C12" s="125"/>
      <c r="D12" s="200"/>
      <c r="E12" s="40"/>
      <c r="F12" s="126"/>
      <c r="G12" s="160"/>
      <c r="H12" s="126"/>
      <c r="I12" s="127"/>
      <c r="J12" s="128"/>
      <c r="K12" s="128"/>
      <c r="L12" s="128"/>
      <c r="M12" s="159"/>
      <c r="N12" s="128"/>
      <c r="O12" s="159"/>
      <c r="P12" s="128"/>
      <c r="Q12" s="128"/>
      <c r="R12" s="128"/>
      <c r="S12" s="129"/>
      <c r="U12" s="110"/>
    </row>
    <row r="13" spans="1:21" s="28" customFormat="1">
      <c r="A13" s="260"/>
      <c r="B13" s="41">
        <v>21</v>
      </c>
      <c r="C13" s="125" t="s">
        <v>5</v>
      </c>
      <c r="D13" s="200">
        <f>+'Mason Co. Regulated - Price Out'!AG12</f>
        <v>2114.333026678933</v>
      </c>
      <c r="E13" s="40">
        <f>References!$B$11</f>
        <v>2.1666666666666665</v>
      </c>
      <c r="F13" s="126">
        <f t="shared" si="1"/>
        <v>54972.658693652258</v>
      </c>
      <c r="G13" s="160">
        <f>References!B23</f>
        <v>37</v>
      </c>
      <c r="H13" s="126">
        <f t="shared" si="2"/>
        <v>2033988.3716651336</v>
      </c>
      <c r="I13" s="127">
        <f>$C$76*H13</f>
        <v>1566887.5241157946</v>
      </c>
      <c r="J13" s="128">
        <f>References!$C$53*'DF Calc (Mason Co.)'!I13</f>
        <v>963.63582733122064</v>
      </c>
      <c r="K13" s="128">
        <f>J13/References!$G$56</f>
        <v>985.91756428403994</v>
      </c>
      <c r="L13" s="128">
        <f t="shared" si="3"/>
        <v>3.885849390184367E-2</v>
      </c>
      <c r="M13" s="159">
        <f>'Prop. Rates'!B16</f>
        <v>10.99</v>
      </c>
      <c r="N13" s="128">
        <f t="shared" si="4"/>
        <v>11.028858493901843</v>
      </c>
      <c r="O13" s="159">
        <f>'Prop. Rates'!D16</f>
        <v>11.03</v>
      </c>
      <c r="P13" s="128">
        <f t="shared" si="5"/>
        <v>278838.2395584177</v>
      </c>
      <c r="Q13" s="128">
        <f>D13*N13*12</f>
        <v>279824.1571227017</v>
      </c>
      <c r="R13" s="128">
        <f t="shared" si="7"/>
        <v>985.91756428399822</v>
      </c>
      <c r="S13" s="129">
        <f t="shared" ref="S13:S16" si="8">N13</f>
        <v>11.028858493901843</v>
      </c>
      <c r="T13" s="248">
        <f>((G13*$C$76)*(References!$C$53/References!$G$56)*'DF Calc (Mason Co.)'!E13)-L13</f>
        <v>0</v>
      </c>
      <c r="U13" s="110"/>
    </row>
    <row r="14" spans="1:21" s="28" customFormat="1">
      <c r="A14" s="260"/>
      <c r="B14" s="41">
        <v>21</v>
      </c>
      <c r="C14" s="125" t="s">
        <v>6</v>
      </c>
      <c r="D14" s="200">
        <f>+'Mason Co. Regulated - Price Out'!AG13</f>
        <v>618.94328462073781</v>
      </c>
      <c r="E14" s="40">
        <f>References!$B$11</f>
        <v>2.1666666666666665</v>
      </c>
      <c r="F14" s="126">
        <f t="shared" si="1"/>
        <v>16092.525400139182</v>
      </c>
      <c r="G14" s="160">
        <f>References!B24</f>
        <v>48</v>
      </c>
      <c r="H14" s="126">
        <f t="shared" si="2"/>
        <v>772441.21920668078</v>
      </c>
      <c r="I14" s="127">
        <f>$C$76*H14</f>
        <v>595051.83330861479</v>
      </c>
      <c r="J14" s="128">
        <f>References!$C$53*'DF Calc (Mason Co.)'!I14</f>
        <v>365.95687748480071</v>
      </c>
      <c r="K14" s="128">
        <f>J14/References!$G$56</f>
        <v>374.41874103212677</v>
      </c>
      <c r="L14" s="128">
        <f t="shared" si="3"/>
        <v>5.0411019115905308E-2</v>
      </c>
      <c r="M14" s="159">
        <f>'Prop. Rates'!B17</f>
        <v>14.52</v>
      </c>
      <c r="N14" s="128">
        <f t="shared" si="4"/>
        <v>14.570411019115905</v>
      </c>
      <c r="O14" s="159">
        <f>'Prop. Rates'!D17</f>
        <v>14.57</v>
      </c>
      <c r="P14" s="128">
        <f t="shared" si="5"/>
        <v>107844.67791231736</v>
      </c>
      <c r="Q14" s="128">
        <f t="shared" si="6"/>
        <v>108216.04388308979</v>
      </c>
      <c r="R14" s="128">
        <f t="shared" si="7"/>
        <v>371.36597077242914</v>
      </c>
      <c r="S14" s="129">
        <f t="shared" si="8"/>
        <v>14.570411019115905</v>
      </c>
      <c r="T14" s="248">
        <f>((G14*$C$76)*(References!$C$53/References!$G$56)*'DF Calc (Mason Co.)'!E14)-L14</f>
        <v>0</v>
      </c>
      <c r="U14" s="110"/>
    </row>
    <row r="15" spans="1:21" s="28" customFormat="1">
      <c r="A15" s="260"/>
      <c r="B15" s="41">
        <v>21</v>
      </c>
      <c r="C15" s="125" t="s">
        <v>7</v>
      </c>
      <c r="D15" s="200">
        <f>+'Mason Co. Regulated - Price Out'!AG14</f>
        <v>690.89994165694281</v>
      </c>
      <c r="E15" s="40">
        <f>References!$B$11</f>
        <v>2.1666666666666665</v>
      </c>
      <c r="F15" s="126">
        <f t="shared" si="1"/>
        <v>17963.398483080513</v>
      </c>
      <c r="G15" s="160">
        <f>References!B25</f>
        <v>51</v>
      </c>
      <c r="H15" s="126">
        <f t="shared" si="2"/>
        <v>916133.32263710618</v>
      </c>
      <c r="I15" s="127">
        <f>$C$76*H15</f>
        <v>705745.36888412561</v>
      </c>
      <c r="J15" s="128">
        <f>References!$C$53*'DF Calc (Mason Co.)'!I15</f>
        <v>434.03340186374038</v>
      </c>
      <c r="K15" s="128">
        <f>J15/References!$G$56</f>
        <v>444.06936961708652</v>
      </c>
      <c r="L15" s="128">
        <f t="shared" si="3"/>
        <v>5.3561707810649381E-2</v>
      </c>
      <c r="M15" s="159">
        <f>'Prop. Rates'!B18</f>
        <v>17.309999999999999</v>
      </c>
      <c r="N15" s="128">
        <f t="shared" si="4"/>
        <v>17.363561707810646</v>
      </c>
      <c r="O15" s="159">
        <f>'Prop. Rates'!D18</f>
        <v>17.36</v>
      </c>
      <c r="P15" s="128">
        <f t="shared" si="5"/>
        <v>143513.73588098015</v>
      </c>
      <c r="Q15" s="128">
        <f t="shared" si="6"/>
        <v>143928.27584597431</v>
      </c>
      <c r="R15" s="128">
        <f t="shared" si="7"/>
        <v>414.53996499415371</v>
      </c>
      <c r="S15" s="129">
        <f t="shared" si="8"/>
        <v>17.363561707810646</v>
      </c>
      <c r="T15" s="248">
        <f>((G15*$C$76)*(References!$C$53/References!$G$56)*'DF Calc (Mason Co.)'!E15)-L15</f>
        <v>0</v>
      </c>
      <c r="U15" s="110"/>
    </row>
    <row r="16" spans="1:21" s="28" customFormat="1">
      <c r="A16" s="260"/>
      <c r="B16" s="41">
        <v>21</v>
      </c>
      <c r="C16" s="125" t="s">
        <v>8</v>
      </c>
      <c r="D16" s="200">
        <f>+'Mason Co. Regulated - Price Out'!AG15</f>
        <v>321.60055865921782</v>
      </c>
      <c r="E16" s="40">
        <f>References!$B$11</f>
        <v>2.1666666666666665</v>
      </c>
      <c r="F16" s="126">
        <f t="shared" si="1"/>
        <v>8361.6145251396629</v>
      </c>
      <c r="G16" s="160">
        <f>References!B26</f>
        <v>77</v>
      </c>
      <c r="H16" s="126">
        <f t="shared" si="2"/>
        <v>643844.31843575404</v>
      </c>
      <c r="I16" s="127">
        <f>$C$76*H16</f>
        <v>495986.92110709334</v>
      </c>
      <c r="J16" s="128">
        <f>References!$C$53*'DF Calc (Mason Co.)'!I16</f>
        <v>305.03195648086461</v>
      </c>
      <c r="K16" s="128">
        <f>J16/References!$G$56</f>
        <v>312.0850792724213</v>
      </c>
      <c r="L16" s="128">
        <f t="shared" si="3"/>
        <v>8.0867676498431407E-2</v>
      </c>
      <c r="M16" s="159">
        <f>'Prop. Rates'!B19</f>
        <v>21.72</v>
      </c>
      <c r="N16" s="128">
        <f t="shared" si="4"/>
        <v>21.800867676498431</v>
      </c>
      <c r="O16" s="159">
        <f>'Prop. Rates'!D19</f>
        <v>21.8</v>
      </c>
      <c r="P16" s="128">
        <f t="shared" si="5"/>
        <v>83821.969608938525</v>
      </c>
      <c r="Q16" s="128">
        <f t="shared" si="6"/>
        <v>84130.706145251388</v>
      </c>
      <c r="R16" s="128">
        <f t="shared" si="7"/>
        <v>308.73653631286288</v>
      </c>
      <c r="S16" s="129">
        <f t="shared" si="8"/>
        <v>21.800867676498431</v>
      </c>
      <c r="T16" s="248">
        <f>((G16*$C$76)*(References!$C$53/References!$G$56)*'DF Calc (Mason Co.)'!E16)-L16</f>
        <v>0</v>
      </c>
      <c r="U16" s="110"/>
    </row>
    <row r="17" spans="1:21" s="28" customFormat="1">
      <c r="A17" s="260"/>
      <c r="B17" s="41"/>
      <c r="C17" s="125"/>
      <c r="D17" s="200"/>
      <c r="E17" s="40"/>
      <c r="F17" s="126"/>
      <c r="G17" s="160"/>
      <c r="H17" s="126"/>
      <c r="I17" s="127"/>
      <c r="J17" s="128"/>
      <c r="K17" s="128"/>
      <c r="L17" s="128"/>
      <c r="M17" s="159"/>
      <c r="N17" s="128"/>
      <c r="O17" s="159"/>
      <c r="P17" s="128"/>
      <c r="Q17" s="128"/>
      <c r="R17" s="128"/>
      <c r="S17" s="129"/>
      <c r="U17" s="110"/>
    </row>
    <row r="18" spans="1:21" s="28" customFormat="1">
      <c r="A18" s="260"/>
      <c r="B18" s="41">
        <v>21</v>
      </c>
      <c r="C18" s="125" t="s">
        <v>9</v>
      </c>
      <c r="D18" s="200">
        <f>+'Mason Co. Regulated - Price Out'!AG29</f>
        <v>250</v>
      </c>
      <c r="E18" s="40">
        <f>References!$B$12</f>
        <v>1</v>
      </c>
      <c r="F18" s="126">
        <f t="shared" si="1"/>
        <v>3000</v>
      </c>
      <c r="G18" s="160">
        <f>References!B23</f>
        <v>37</v>
      </c>
      <c r="H18" s="126">
        <f t="shared" si="2"/>
        <v>111000</v>
      </c>
      <c r="I18" s="127">
        <f>$C$76*H18</f>
        <v>85509.100051771253</v>
      </c>
      <c r="J18" s="128">
        <f>References!$C$53*'DF Calc (Mason Co.)'!I18</f>
        <v>52.588096531839696</v>
      </c>
      <c r="K18" s="128">
        <f>J18/References!$G$56</f>
        <v>53.804068479475845</v>
      </c>
      <c r="L18" s="128">
        <f t="shared" si="3"/>
        <v>1.7934689493158615E-2</v>
      </c>
      <c r="M18" s="159">
        <f>'Prop. Rates'!B20</f>
        <v>6.51</v>
      </c>
      <c r="N18" s="128">
        <f t="shared" si="4"/>
        <v>6.5279346894931587</v>
      </c>
      <c r="O18" s="159">
        <f>'Prop. Rates'!D20</f>
        <v>6.53</v>
      </c>
      <c r="P18" s="128">
        <f t="shared" si="5"/>
        <v>19530</v>
      </c>
      <c r="Q18" s="128">
        <f t="shared" si="6"/>
        <v>19590</v>
      </c>
      <c r="R18" s="128">
        <f t="shared" si="7"/>
        <v>60</v>
      </c>
      <c r="S18" s="129">
        <f>N18</f>
        <v>6.5279346894931587</v>
      </c>
      <c r="T18" s="248">
        <f>((G18*$C$76)*(References!$C$53/References!$G$56)*'DF Calc (Mason Co.)'!E18)-L18</f>
        <v>0</v>
      </c>
      <c r="U18" s="110"/>
    </row>
    <row r="19" spans="1:21" s="28" customFormat="1">
      <c r="A19" s="260"/>
      <c r="B19" s="41">
        <v>21</v>
      </c>
      <c r="C19" s="125" t="s">
        <v>10</v>
      </c>
      <c r="D19" s="200">
        <f>+'Mason Co. Regulated - Price Out'!AG30</f>
        <v>45.5</v>
      </c>
      <c r="E19" s="40">
        <f>References!$B$12</f>
        <v>1</v>
      </c>
      <c r="F19" s="126">
        <f t="shared" si="1"/>
        <v>546</v>
      </c>
      <c r="G19" s="160">
        <f>References!B24</f>
        <v>48</v>
      </c>
      <c r="H19" s="126">
        <f t="shared" si="2"/>
        <v>26208</v>
      </c>
      <c r="I19" s="127">
        <f>$C$76*H19</f>
        <v>20189.391839250638</v>
      </c>
      <c r="J19" s="128">
        <f>References!$C$53*'DF Calc (Mason Co.)'!I19</f>
        <v>12.416475981139232</v>
      </c>
      <c r="K19" s="128">
        <f>J19/References!$G$56</f>
        <v>12.703576817208136</v>
      </c>
      <c r="L19" s="128">
        <f t="shared" si="3"/>
        <v>2.3266624207340908E-2</v>
      </c>
      <c r="M19" s="159">
        <f>'Prop. Rates'!B21</f>
        <v>8.15</v>
      </c>
      <c r="N19" s="128">
        <f t="shared" si="4"/>
        <v>8.1732666242073417</v>
      </c>
      <c r="O19" s="159">
        <f>'Prop. Rates'!D21</f>
        <v>8.17</v>
      </c>
      <c r="P19" s="128">
        <f t="shared" si="5"/>
        <v>4449.8999999999996</v>
      </c>
      <c r="Q19" s="128">
        <f t="shared" si="6"/>
        <v>4460.82</v>
      </c>
      <c r="R19" s="128">
        <f t="shared" si="7"/>
        <v>10.920000000000073</v>
      </c>
      <c r="S19" s="129">
        <f>N19</f>
        <v>8.1732666242073417</v>
      </c>
      <c r="T19" s="248">
        <f>((G19*$C$76)*(References!$C$53/References!$G$56)*'DF Calc (Mason Co.)'!E19)-L19</f>
        <v>0</v>
      </c>
      <c r="U19" s="110"/>
    </row>
    <row r="20" spans="1:21" s="28" customFormat="1">
      <c r="A20" s="260"/>
      <c r="B20" s="41">
        <v>21</v>
      </c>
      <c r="C20" s="125" t="s">
        <v>11</v>
      </c>
      <c r="D20" s="200">
        <f>+'Mason Co. Regulated - Price Out'!AG31</f>
        <v>30</v>
      </c>
      <c r="E20" s="40">
        <f>References!$B$12</f>
        <v>1</v>
      </c>
      <c r="F20" s="126">
        <f t="shared" si="1"/>
        <v>360</v>
      </c>
      <c r="G20" s="160">
        <f>References!B25</f>
        <v>51</v>
      </c>
      <c r="H20" s="126">
        <f t="shared" si="2"/>
        <v>18360</v>
      </c>
      <c r="I20" s="127">
        <f>$C$76*H20</f>
        <v>14143.667359914596</v>
      </c>
      <c r="J20" s="128">
        <f>References!$C$53*'DF Calc (Mason Co.)'!I20</f>
        <v>8.6983554263475398</v>
      </c>
      <c r="K20" s="128">
        <f>J20/References!$G$56</f>
        <v>8.8994837593078984</v>
      </c>
      <c r="L20" s="128">
        <f t="shared" si="3"/>
        <v>2.4720788220299716E-2</v>
      </c>
      <c r="M20" s="159">
        <f>'Prop. Rates'!B22</f>
        <v>9.6300000000000008</v>
      </c>
      <c r="N20" s="128">
        <f t="shared" si="4"/>
        <v>9.6547207882203008</v>
      </c>
      <c r="O20" s="159">
        <f>'Prop. Rates'!D22</f>
        <v>9.65</v>
      </c>
      <c r="P20" s="128">
        <f t="shared" si="5"/>
        <v>3466.8</v>
      </c>
      <c r="Q20" s="128">
        <f t="shared" si="6"/>
        <v>3474</v>
      </c>
      <c r="R20" s="128">
        <f t="shared" si="7"/>
        <v>7.1999999999998181</v>
      </c>
      <c r="S20" s="129">
        <f>N20</f>
        <v>9.6547207882203008</v>
      </c>
      <c r="T20" s="248">
        <f>((G20*$C$76)*(References!$C$53/References!$G$56)*'DF Calc (Mason Co.)'!E20)-L20</f>
        <v>0</v>
      </c>
      <c r="U20" s="110"/>
    </row>
    <row r="21" spans="1:21" s="28" customFormat="1">
      <c r="A21" s="260"/>
      <c r="B21" s="41">
        <v>21</v>
      </c>
      <c r="C21" s="125" t="s">
        <v>12</v>
      </c>
      <c r="D21" s="200">
        <f>+'Mason Co. Regulated - Price Out'!AG32</f>
        <v>33</v>
      </c>
      <c r="E21" s="40">
        <f>References!$B$12</f>
        <v>1</v>
      </c>
      <c r="F21" s="126">
        <f t="shared" si="1"/>
        <v>396</v>
      </c>
      <c r="G21" s="160">
        <f>References!B26</f>
        <v>77</v>
      </c>
      <c r="H21" s="126">
        <f t="shared" si="2"/>
        <v>30492</v>
      </c>
      <c r="I21" s="127">
        <f>$C$76*H21</f>
        <v>23489.580889897377</v>
      </c>
      <c r="J21" s="128">
        <f>References!$C$53*'DF Calc (Mason Co.)'!I21</f>
        <v>14.446092247286991</v>
      </c>
      <c r="K21" s="128">
        <f>J21/References!$G$56</f>
        <v>14.78012302771331</v>
      </c>
      <c r="L21" s="128">
        <f t="shared" si="3"/>
        <v>3.7323542999276038E-2</v>
      </c>
      <c r="M21" s="159">
        <f>'Prop. Rates'!B23</f>
        <v>11.88</v>
      </c>
      <c r="N21" s="128">
        <f t="shared" si="4"/>
        <v>11.917323542999277</v>
      </c>
      <c r="O21" s="159">
        <f>'Prop. Rates'!D23</f>
        <v>11.92</v>
      </c>
      <c r="P21" s="128">
        <f t="shared" si="5"/>
        <v>4704.4800000000005</v>
      </c>
      <c r="Q21" s="128">
        <f t="shared" si="6"/>
        <v>4720.32</v>
      </c>
      <c r="R21" s="128">
        <f t="shared" si="7"/>
        <v>15.839999999999236</v>
      </c>
      <c r="S21" s="129">
        <f>N21</f>
        <v>11.917323542999277</v>
      </c>
      <c r="T21" s="248">
        <f>((G21*$C$76)*(References!$C$53/References!$G$56)*'DF Calc (Mason Co.)'!E21)-L21</f>
        <v>0</v>
      </c>
      <c r="U21" s="110"/>
    </row>
    <row r="22" spans="1:21" s="28" customFormat="1">
      <c r="A22" s="260"/>
      <c r="B22" s="41"/>
      <c r="C22" s="125"/>
      <c r="D22" s="200"/>
      <c r="E22" s="40"/>
      <c r="F22" s="126"/>
      <c r="G22" s="160"/>
      <c r="H22" s="126"/>
      <c r="I22" s="127"/>
      <c r="J22" s="128"/>
      <c r="K22" s="128"/>
      <c r="L22" s="128"/>
      <c r="M22" s="159"/>
      <c r="N22" s="128"/>
      <c r="O22" s="159"/>
      <c r="P22" s="128"/>
      <c r="Q22" s="128"/>
      <c r="R22" s="128"/>
      <c r="S22" s="129"/>
      <c r="U22" s="110"/>
    </row>
    <row r="23" spans="1:21" s="28" customFormat="1">
      <c r="A23" s="260"/>
      <c r="B23" s="41">
        <v>22</v>
      </c>
      <c r="C23" s="131" t="s">
        <v>13</v>
      </c>
      <c r="D23" s="201">
        <f>+'Mason Co. Regulated - Price Out'!AG36</f>
        <v>593</v>
      </c>
      <c r="E23" s="40">
        <f>References!$B$12</f>
        <v>1</v>
      </c>
      <c r="F23" s="126">
        <f t="shared" si="1"/>
        <v>7116</v>
      </c>
      <c r="G23" s="160">
        <f>References!B23</f>
        <v>37</v>
      </c>
      <c r="H23" s="126">
        <f t="shared" si="2"/>
        <v>263292</v>
      </c>
      <c r="I23" s="127">
        <f t="shared" ref="I23:I28" si="9">$C$76*H23</f>
        <v>202827.5853228014</v>
      </c>
      <c r="J23" s="128">
        <f>References!$C$53*'DF Calc (Mason Co.)'!I23</f>
        <v>124.73896497352376</v>
      </c>
      <c r="K23" s="128">
        <f>J23/References!$G$56</f>
        <v>127.62325043331671</v>
      </c>
      <c r="L23" s="128">
        <f t="shared" ref="L23:L28" si="10">K23/F23</f>
        <v>1.7934689493158615E-2</v>
      </c>
      <c r="M23" s="159">
        <f>'Prop. Rates'!B28</f>
        <v>6.51</v>
      </c>
      <c r="N23" s="128">
        <f t="shared" si="4"/>
        <v>6.5279346894931587</v>
      </c>
      <c r="O23" s="159">
        <f>'Prop. Rates'!D28</f>
        <v>6.53</v>
      </c>
      <c r="P23" s="128">
        <f t="shared" ref="P23:P28" si="11">F23*M23</f>
        <v>46325.159999999996</v>
      </c>
      <c r="Q23" s="128">
        <f t="shared" ref="Q23:Q28" si="12">F23*O23</f>
        <v>46467.48</v>
      </c>
      <c r="R23" s="128">
        <f t="shared" si="7"/>
        <v>142.32000000000698</v>
      </c>
      <c r="S23" s="129">
        <f t="shared" ref="S23:S28" si="13">N23</f>
        <v>6.5279346894931587</v>
      </c>
      <c r="T23" s="248">
        <f>((G23*$C$76)*(References!$C$53/References!$G$56)*'DF Calc (Mason Co.)'!E23)-L23</f>
        <v>0</v>
      </c>
      <c r="U23" s="110"/>
    </row>
    <row r="24" spans="1:21" s="28" customFormat="1">
      <c r="A24" s="260"/>
      <c r="B24" s="41">
        <v>22</v>
      </c>
      <c r="C24" s="131" t="s">
        <v>14</v>
      </c>
      <c r="D24" s="201">
        <f>+'Mason Co. Regulated - Price Out'!AG37</f>
        <v>52.5</v>
      </c>
      <c r="E24" s="40">
        <f>References!$B$12</f>
        <v>1</v>
      </c>
      <c r="F24" s="126">
        <f t="shared" si="1"/>
        <v>630</v>
      </c>
      <c r="G24" s="160">
        <f>References!B24</f>
        <v>48</v>
      </c>
      <c r="H24" s="126">
        <f t="shared" si="2"/>
        <v>30240</v>
      </c>
      <c r="I24" s="127">
        <f t="shared" si="9"/>
        <v>23295.452122212275</v>
      </c>
      <c r="J24" s="128">
        <f>References!$C$53*'DF Calc (Mason Co.)'!I24</f>
        <v>14.326703055160653</v>
      </c>
      <c r="K24" s="128">
        <f>J24/References!$G$56</f>
        <v>14.657973250624773</v>
      </c>
      <c r="L24" s="128">
        <f t="shared" si="10"/>
        <v>2.3266624207340908E-2</v>
      </c>
      <c r="M24" s="159">
        <f>'Prop. Rates'!B29</f>
        <v>8.15</v>
      </c>
      <c r="N24" s="128">
        <f t="shared" si="4"/>
        <v>8.1732666242073417</v>
      </c>
      <c r="O24" s="159">
        <f>'Prop. Rates'!D29</f>
        <v>8.17</v>
      </c>
      <c r="P24" s="128">
        <f t="shared" si="11"/>
        <v>5134.5</v>
      </c>
      <c r="Q24" s="128">
        <f t="shared" si="12"/>
        <v>5147.1000000000004</v>
      </c>
      <c r="R24" s="128">
        <f t="shared" si="7"/>
        <v>12.600000000000364</v>
      </c>
      <c r="S24" s="129">
        <f t="shared" si="13"/>
        <v>8.1732666242073417</v>
      </c>
      <c r="T24" s="248">
        <f>((G24*$C$76)*(References!$C$53/References!$G$56)*'DF Calc (Mason Co.)'!E24)-L24</f>
        <v>0</v>
      </c>
      <c r="U24" s="110"/>
    </row>
    <row r="25" spans="1:21" s="28" customFormat="1">
      <c r="A25" s="260"/>
      <c r="B25" s="41">
        <v>22</v>
      </c>
      <c r="C25" s="131" t="s">
        <v>15</v>
      </c>
      <c r="D25" s="201">
        <f>+'Mason Co. Regulated - Price Out'!AG38</f>
        <v>52</v>
      </c>
      <c r="E25" s="40">
        <f>References!$B$12</f>
        <v>1</v>
      </c>
      <c r="F25" s="126">
        <f t="shared" si="1"/>
        <v>624</v>
      </c>
      <c r="G25" s="158">
        <f>References!B25</f>
        <v>51</v>
      </c>
      <c r="H25" s="126">
        <f t="shared" si="2"/>
        <v>31824</v>
      </c>
      <c r="I25" s="127">
        <f t="shared" si="9"/>
        <v>24515.690090518634</v>
      </c>
      <c r="J25" s="128">
        <f>References!$C$53*'DF Calc (Mason Co.)'!I25</f>
        <v>15.077149405669068</v>
      </c>
      <c r="K25" s="128">
        <f>J25/References!$G$56</f>
        <v>15.425771849467022</v>
      </c>
      <c r="L25" s="128">
        <f t="shared" si="10"/>
        <v>2.4720788220299716E-2</v>
      </c>
      <c r="M25" s="159">
        <f>'Prop. Rates'!B30</f>
        <v>9.6300000000000008</v>
      </c>
      <c r="N25" s="128">
        <f t="shared" si="4"/>
        <v>9.6547207882203008</v>
      </c>
      <c r="O25" s="159">
        <f>'Prop. Rates'!D30</f>
        <v>9.65</v>
      </c>
      <c r="P25" s="128">
        <f t="shared" si="11"/>
        <v>6009.1200000000008</v>
      </c>
      <c r="Q25" s="128">
        <f t="shared" si="12"/>
        <v>6021.6</v>
      </c>
      <c r="R25" s="128">
        <f t="shared" si="7"/>
        <v>12.479999999999563</v>
      </c>
      <c r="S25" s="129">
        <f t="shared" si="13"/>
        <v>9.6547207882203008</v>
      </c>
      <c r="T25" s="248">
        <f>((G25*$C$76)*(References!$C$53/References!$G$56)*'DF Calc (Mason Co.)'!E25)-L25</f>
        <v>0</v>
      </c>
      <c r="U25" s="110"/>
    </row>
    <row r="26" spans="1:21" s="28" customFormat="1">
      <c r="A26" s="260"/>
      <c r="B26" s="41">
        <v>22</v>
      </c>
      <c r="C26" s="131" t="s">
        <v>16</v>
      </c>
      <c r="D26" s="201">
        <f>+'Mason Co. Regulated - Price Out'!AG39</f>
        <v>90.548003398470698</v>
      </c>
      <c r="E26" s="40">
        <f>References!$B$12</f>
        <v>1</v>
      </c>
      <c r="F26" s="126">
        <f t="shared" si="1"/>
        <v>1086.5760407816483</v>
      </c>
      <c r="G26" s="158">
        <f>References!B26</f>
        <v>77</v>
      </c>
      <c r="H26" s="126">
        <f t="shared" si="2"/>
        <v>83666.355140186919</v>
      </c>
      <c r="I26" s="127">
        <f t="shared" si="9"/>
        <v>64452.565159002428</v>
      </c>
      <c r="J26" s="128">
        <f>References!$C$53*'DF Calc (Mason Co.)'!I26</f>
        <v>39.638327572786778</v>
      </c>
      <c r="K26" s="128">
        <f>J26/References!$G$56</f>
        <v>40.554867580096968</v>
      </c>
      <c r="L26" s="128">
        <f t="shared" si="10"/>
        <v>3.7323542999276038E-2</v>
      </c>
      <c r="M26" s="159">
        <f>'Prop. Rates'!B31</f>
        <v>11.88</v>
      </c>
      <c r="N26" s="128">
        <f t="shared" si="4"/>
        <v>11.917323542999277</v>
      </c>
      <c r="O26" s="159">
        <f>'Prop. Rates'!D31</f>
        <v>11.92</v>
      </c>
      <c r="P26" s="128">
        <f t="shared" si="11"/>
        <v>12908.523364485984</v>
      </c>
      <c r="Q26" s="128">
        <f t="shared" si="12"/>
        <v>12951.986406117248</v>
      </c>
      <c r="R26" s="128">
        <f t="shared" si="7"/>
        <v>43.463041631264787</v>
      </c>
      <c r="S26" s="129">
        <f t="shared" si="13"/>
        <v>11.917323542999277</v>
      </c>
      <c r="T26" s="248">
        <f>((G26*$C$76)*(References!$C$53/References!$G$56)*'DF Calc (Mason Co.)'!E26)-L26</f>
        <v>0</v>
      </c>
      <c r="U26" s="110"/>
    </row>
    <row r="27" spans="1:21" s="28" customFormat="1">
      <c r="A27" s="260"/>
      <c r="B27" s="41">
        <v>22</v>
      </c>
      <c r="C27" s="131" t="s">
        <v>17</v>
      </c>
      <c r="D27" s="201">
        <f>+'Mason Co. Regulated - Price Out'!AG34</f>
        <v>800.09312638580934</v>
      </c>
      <c r="E27" s="40">
        <f>References!$B$12</f>
        <v>1</v>
      </c>
      <c r="F27" s="126">
        <f t="shared" si="1"/>
        <v>9601.1175166297126</v>
      </c>
      <c r="G27" s="158">
        <f>References!B28</f>
        <v>34</v>
      </c>
      <c r="H27" s="126">
        <f t="shared" si="2"/>
        <v>326437.99556541024</v>
      </c>
      <c r="I27" s="127">
        <f t="shared" si="9"/>
        <v>251472.24525677771</v>
      </c>
      <c r="J27" s="128">
        <f>References!$C$53*'DF Calc (Mason Co.)'!I27</f>
        <v>154.65543083291939</v>
      </c>
      <c r="K27" s="128">
        <f>J27/References!$G$56</f>
        <v>158.23146187120869</v>
      </c>
      <c r="L27" s="128">
        <f t="shared" si="10"/>
        <v>1.648052548019981E-2</v>
      </c>
      <c r="M27" s="159">
        <f>'Prop. Rates'!B26</f>
        <v>4.5599999999999996</v>
      </c>
      <c r="N27" s="128">
        <f t="shared" si="4"/>
        <v>4.576480525480199</v>
      </c>
      <c r="O27" s="159">
        <f>'Prop. Rates'!D26</f>
        <v>4.58</v>
      </c>
      <c r="P27" s="128">
        <f t="shared" si="11"/>
        <v>43781.095875831488</v>
      </c>
      <c r="Q27" s="128">
        <f t="shared" si="12"/>
        <v>43973.118226164086</v>
      </c>
      <c r="R27" s="128">
        <f t="shared" si="7"/>
        <v>192.02235033259785</v>
      </c>
      <c r="S27" s="129">
        <f t="shared" si="13"/>
        <v>4.576480525480199</v>
      </c>
      <c r="T27" s="248">
        <f>((G27*$C$76)*(References!$C$53/References!$G$56)*'DF Calc (Mason Co.)'!E27)-L27</f>
        <v>0</v>
      </c>
      <c r="U27" s="110"/>
    </row>
    <row r="28" spans="1:21" s="28" customFormat="1">
      <c r="A28" s="260"/>
      <c r="B28" s="41">
        <v>22</v>
      </c>
      <c r="C28" s="131" t="s">
        <v>18</v>
      </c>
      <c r="D28" s="201">
        <f>+'Mason Co. Regulated - Price Out'!AG33</f>
        <v>146.62971175166297</v>
      </c>
      <c r="E28" s="40">
        <f>References!$B$12</f>
        <v>1</v>
      </c>
      <c r="F28" s="126">
        <f t="shared" si="1"/>
        <v>1759.5565410199556</v>
      </c>
      <c r="G28" s="158">
        <f>References!B28</f>
        <v>34</v>
      </c>
      <c r="H28" s="126">
        <f t="shared" si="2"/>
        <v>59824.922394678491</v>
      </c>
      <c r="I28" s="127">
        <f t="shared" si="9"/>
        <v>46086.263735459586</v>
      </c>
      <c r="J28" s="128">
        <f>References!$C$53*'DF Calc (Mason Co.)'!I28</f>
        <v>28.343052197307848</v>
      </c>
      <c r="K28" s="128">
        <f>J28/References!$G$56</f>
        <v>28.998416408131622</v>
      </c>
      <c r="L28" s="128">
        <f t="shared" si="10"/>
        <v>1.648052548019981E-2</v>
      </c>
      <c r="M28" s="159">
        <f>'Prop. Rates'!B26</f>
        <v>4.5599999999999996</v>
      </c>
      <c r="N28" s="128">
        <f t="shared" si="4"/>
        <v>4.576480525480199</v>
      </c>
      <c r="O28" s="159">
        <f>'Prop. Rates'!D26</f>
        <v>4.58</v>
      </c>
      <c r="P28" s="128">
        <f t="shared" si="11"/>
        <v>8023.5778270509973</v>
      </c>
      <c r="Q28" s="128">
        <f t="shared" si="12"/>
        <v>8058.7689578713971</v>
      </c>
      <c r="R28" s="128">
        <f t="shared" si="7"/>
        <v>35.191130820399849</v>
      </c>
      <c r="S28" s="129">
        <f t="shared" si="13"/>
        <v>4.576480525480199</v>
      </c>
      <c r="T28" s="248">
        <f>((G28*$C$76)*(References!$C$53/References!$G$56)*'DF Calc (Mason Co.)'!E28)-L28</f>
        <v>0</v>
      </c>
      <c r="U28" s="110"/>
    </row>
    <row r="29" spans="1:21" s="28" customFormat="1">
      <c r="A29" s="260"/>
      <c r="B29" s="41"/>
      <c r="C29" s="131"/>
      <c r="D29" s="201"/>
      <c r="E29" s="40"/>
      <c r="F29" s="126"/>
      <c r="G29" s="158"/>
      <c r="H29" s="126"/>
      <c r="I29" s="127"/>
      <c r="J29" s="128"/>
      <c r="K29" s="128"/>
      <c r="L29" s="128"/>
      <c r="M29" s="159"/>
      <c r="N29" s="128"/>
      <c r="O29" s="159"/>
      <c r="P29" s="128"/>
      <c r="Q29" s="128"/>
      <c r="R29" s="128"/>
      <c r="S29" s="129"/>
      <c r="U29" s="110"/>
    </row>
    <row r="30" spans="1:21" s="28" customFormat="1">
      <c r="A30" s="260"/>
      <c r="B30" s="41">
        <v>16</v>
      </c>
      <c r="C30" s="68" t="s">
        <v>112</v>
      </c>
      <c r="D30" s="201">
        <f>+'Mason Co. Regulated - Price Out'!AG55</f>
        <v>438.05099778270517</v>
      </c>
      <c r="E30" s="40">
        <f>References!$B$12</f>
        <v>1</v>
      </c>
      <c r="F30" s="126">
        <f t="shared" si="1"/>
        <v>5256.6119733924625</v>
      </c>
      <c r="G30" s="158">
        <f>References!B28</f>
        <v>34</v>
      </c>
      <c r="H30" s="126">
        <f t="shared" ref="H30" si="14">F30*G30</f>
        <v>178724.80709534371</v>
      </c>
      <c r="I30" s="127">
        <f>$C$76*H30</f>
        <v>137681.05776260595</v>
      </c>
      <c r="J30" s="128">
        <f>References!$C$53*'DF Calc (Mason Co.)'!I30</f>
        <v>84.673850524003271</v>
      </c>
      <c r="K30" s="128">
        <f>J30/References!$G$56</f>
        <v>86.631727567017876</v>
      </c>
      <c r="L30" s="128">
        <f t="shared" ref="L30" si="15">K30/F30</f>
        <v>1.648052548019981E-2</v>
      </c>
      <c r="M30" s="159">
        <f>'Prop. Rates'!B7</f>
        <v>4.5599999999999996</v>
      </c>
      <c r="N30" s="128">
        <f t="shared" ref="N30" si="16">L30+M30</f>
        <v>4.576480525480199</v>
      </c>
      <c r="O30" s="159">
        <f>'Prop. Rates'!D7</f>
        <v>4.58</v>
      </c>
      <c r="P30" s="128">
        <f t="shared" ref="P30" si="17">F30*M30</f>
        <v>23970.150598669628</v>
      </c>
      <c r="Q30" s="128">
        <f t="shared" ref="Q30" si="18">F30*O30</f>
        <v>24075.282838137478</v>
      </c>
      <c r="R30" s="128">
        <f t="shared" ref="R30" si="19">Q30-P30</f>
        <v>105.13223946785001</v>
      </c>
      <c r="S30" s="129">
        <f t="shared" ref="S30" si="20">N30</f>
        <v>4.576480525480199</v>
      </c>
      <c r="T30" s="248">
        <f>((G30*$C$76)*(References!$C$53/References!$G$56)*'DF Calc (Mason Co.)'!E30)-L30</f>
        <v>0</v>
      </c>
      <c r="U30" s="110"/>
    </row>
    <row r="31" spans="1:21" s="28" customFormat="1">
      <c r="A31" s="260"/>
      <c r="B31" s="41"/>
      <c r="C31" s="39"/>
      <c r="D31" s="201"/>
      <c r="E31" s="40"/>
      <c r="F31" s="126"/>
      <c r="G31" s="160"/>
      <c r="H31" s="126"/>
      <c r="I31" s="127"/>
      <c r="J31" s="128"/>
      <c r="K31" s="128"/>
      <c r="L31" s="128"/>
      <c r="M31" s="161"/>
      <c r="N31" s="128"/>
      <c r="O31" s="128"/>
      <c r="P31" s="128"/>
      <c r="Q31" s="128"/>
      <c r="R31" s="128"/>
      <c r="S31" s="129"/>
    </row>
    <row r="32" spans="1:21" s="28" customFormat="1">
      <c r="A32" s="86"/>
      <c r="B32" s="87"/>
      <c r="C32" s="88" t="s">
        <v>19</v>
      </c>
      <c r="D32" s="89">
        <f>SUM(D6:D31)</f>
        <v>12556.454462555619</v>
      </c>
      <c r="E32" s="132"/>
      <c r="F32" s="90">
        <f>SUM(F6:F31)</f>
        <v>454292.56137813453</v>
      </c>
      <c r="G32" s="91"/>
      <c r="H32" s="92">
        <f>SUM(H6:H31)</f>
        <v>20663345.897279527</v>
      </c>
      <c r="I32" s="93">
        <f>SUM(I6:I31)</f>
        <v>15918055.060674159</v>
      </c>
      <c r="J32" s="133"/>
      <c r="K32" s="133"/>
      <c r="L32" s="133"/>
      <c r="M32" s="133"/>
      <c r="N32" s="133"/>
      <c r="O32" s="133"/>
      <c r="P32" s="94">
        <f>SUM(P6:P31)</f>
        <v>2560946.8601353699</v>
      </c>
      <c r="Q32" s="94">
        <f>SUM(Q6:Q31)</f>
        <v>2571097.5663210396</v>
      </c>
      <c r="R32" s="94">
        <f>SUM(R6:R31)</f>
        <v>10150.706185669786</v>
      </c>
      <c r="S32" s="94"/>
    </row>
    <row r="33" spans="1:21" s="28" customFormat="1" ht="15" customHeight="1">
      <c r="A33" s="259" t="s">
        <v>123</v>
      </c>
      <c r="B33" s="41"/>
      <c r="C33" s="162" t="s">
        <v>20</v>
      </c>
      <c r="D33" s="200">
        <f>+'Mason Co. Regulated - Price Out'!AG103</f>
        <v>34</v>
      </c>
      <c r="E33" s="40">
        <f>References!$B$12</f>
        <v>1</v>
      </c>
      <c r="F33" s="126">
        <f t="shared" ref="F33:F39" si="21">D33*E33*12</f>
        <v>408</v>
      </c>
      <c r="G33" s="160">
        <f>References!B30</f>
        <v>29</v>
      </c>
      <c r="H33" s="42">
        <f>F33*G33</f>
        <v>11832</v>
      </c>
      <c r="I33" s="127">
        <f t="shared" ref="I33:I39" si="22">$C$76*H33</f>
        <v>9114.8078541671839</v>
      </c>
      <c r="J33" s="128">
        <f>References!$C$53*'DF Calc (Mason Co.)'!I33</f>
        <v>5.6056068303128583</v>
      </c>
      <c r="K33" s="128">
        <f>J33/References!$G$56</f>
        <v>5.7352228671095338</v>
      </c>
      <c r="L33" s="128">
        <f>K33/F33</f>
        <v>1.4056918791935132E-2</v>
      </c>
      <c r="M33" s="128">
        <f>'Prop. Rates'!B64</f>
        <v>4.76</v>
      </c>
      <c r="N33" s="128">
        <f>L33+M33</f>
        <v>4.7740569187919348</v>
      </c>
      <c r="O33" s="134">
        <f>'Prop. Rates'!D64</f>
        <v>4.7699999999999996</v>
      </c>
      <c r="P33" s="128">
        <f t="shared" ref="P33:P39" si="23">F33*M33</f>
        <v>1942.08</v>
      </c>
      <c r="Q33" s="128">
        <f t="shared" ref="Q33:Q39" si="24">F33*O33</f>
        <v>1946.1599999999999</v>
      </c>
      <c r="R33" s="128">
        <f>Q33-P33</f>
        <v>4.0799999999999272</v>
      </c>
      <c r="S33" s="129">
        <f t="shared" ref="S33:S39" si="25">N33</f>
        <v>4.7740569187919348</v>
      </c>
      <c r="T33" s="248">
        <f>((G33*$C$76)*(References!$C$53/References!$G$56)*'DF Calc (Mason Co.)'!E33)-L33</f>
        <v>0</v>
      </c>
      <c r="U33" s="110"/>
    </row>
    <row r="34" spans="1:21" s="28" customFormat="1" ht="15" customHeight="1">
      <c r="A34" s="260"/>
      <c r="B34" s="41"/>
      <c r="C34" s="162" t="s">
        <v>21</v>
      </c>
      <c r="D34" s="201">
        <f>+'Mason Co. Regulated - Price Out'!AG96</f>
        <v>1</v>
      </c>
      <c r="E34" s="40">
        <f>References!$B$10</f>
        <v>4.333333333333333</v>
      </c>
      <c r="F34" s="126">
        <f t="shared" si="21"/>
        <v>52</v>
      </c>
      <c r="G34" s="160">
        <f>References!B31</f>
        <v>175</v>
      </c>
      <c r="H34" s="42">
        <f t="shared" ref="H34:H39" si="26">F34*G34</f>
        <v>9100</v>
      </c>
      <c r="I34" s="127">
        <f t="shared" si="22"/>
        <v>7010.2054997398054</v>
      </c>
      <c r="J34" s="128">
        <f>References!$C$53*'DF Calc (Mason Co.)'!I34</f>
        <v>4.3112763823400115</v>
      </c>
      <c r="K34" s="128">
        <f>J34/References!$G$56</f>
        <v>4.4109641726417141</v>
      </c>
      <c r="L34" s="128">
        <f t="shared" ref="L34:L39" si="27">K34/F34</f>
        <v>8.4826234089263736E-2</v>
      </c>
      <c r="M34" s="128">
        <f>'Prop. Rates'!B47</f>
        <v>17.53</v>
      </c>
      <c r="N34" s="128">
        <f t="shared" ref="N34:N39" si="28">L34+M34</f>
        <v>17.614826234089264</v>
      </c>
      <c r="O34" s="134">
        <f>'Prop. Rates'!D47</f>
        <v>17.61</v>
      </c>
      <c r="P34" s="128">
        <f t="shared" si="23"/>
        <v>911.56000000000006</v>
      </c>
      <c r="Q34" s="128">
        <f t="shared" si="24"/>
        <v>915.72</v>
      </c>
      <c r="R34" s="128">
        <f t="shared" ref="R34:R39" si="29">Q34-P34</f>
        <v>4.1599999999999682</v>
      </c>
      <c r="S34" s="129">
        <f t="shared" si="25"/>
        <v>17.614826234089264</v>
      </c>
      <c r="T34" s="248">
        <f>((G34*$C$76)*(References!$C$53/References!$G$56))-L34</f>
        <v>0</v>
      </c>
      <c r="U34" s="110"/>
    </row>
    <row r="35" spans="1:21" s="28" customFormat="1" ht="15" customHeight="1">
      <c r="A35" s="260"/>
      <c r="B35" s="41"/>
      <c r="C35" s="162" t="s">
        <v>22</v>
      </c>
      <c r="D35" s="201">
        <f>+'Mason Co. Regulated - Price Out'!AG95</f>
        <v>77.533429707264176</v>
      </c>
      <c r="E35" s="40">
        <f>References!$B$10</f>
        <v>4.333333333333333</v>
      </c>
      <c r="F35" s="126">
        <f t="shared" si="21"/>
        <v>4031.738344777737</v>
      </c>
      <c r="G35" s="160">
        <f>References!B32</f>
        <v>250</v>
      </c>
      <c r="H35" s="42">
        <f t="shared" si="26"/>
        <v>1007934.5861944342</v>
      </c>
      <c r="I35" s="127">
        <f t="shared" si="22"/>
        <v>776464.67906793265</v>
      </c>
      <c r="J35" s="128">
        <f>References!$C$53*'DF Calc (Mason Co.)'!I35</f>
        <v>477.52577762678203</v>
      </c>
      <c r="K35" s="128">
        <f>J35/References!$G$56</f>
        <v>488.56740088682426</v>
      </c>
      <c r="L35" s="128">
        <f t="shared" si="27"/>
        <v>0.12118033441323389</v>
      </c>
      <c r="M35" s="128">
        <f>'Prop. Rates'!B48</f>
        <v>19.489999999999998</v>
      </c>
      <c r="N35" s="128">
        <f t="shared" si="28"/>
        <v>19.611180334413234</v>
      </c>
      <c r="O35" s="134">
        <f>'Prop. Rates'!D48</f>
        <v>19.61</v>
      </c>
      <c r="P35" s="128">
        <f t="shared" si="23"/>
        <v>78578.580339718086</v>
      </c>
      <c r="Q35" s="128">
        <f t="shared" si="24"/>
        <v>79062.388941091427</v>
      </c>
      <c r="R35" s="128">
        <f t="shared" si="29"/>
        <v>483.80860137334093</v>
      </c>
      <c r="S35" s="129">
        <f t="shared" si="25"/>
        <v>19.611180334413234</v>
      </c>
      <c r="T35" s="248">
        <f>((G35*$C$76)*(References!$C$53/References!$G$56))-L35</f>
        <v>0</v>
      </c>
      <c r="U35" s="110"/>
    </row>
    <row r="36" spans="1:21" s="28" customFormat="1" ht="15" customHeight="1">
      <c r="A36" s="260"/>
      <c r="B36" s="41"/>
      <c r="C36" s="162" t="s">
        <v>23</v>
      </c>
      <c r="D36" s="201">
        <f>+'Mason Co. Regulated - Price Out'!AG94</f>
        <v>342.60001823486505</v>
      </c>
      <c r="E36" s="40">
        <f>References!$B$10</f>
        <v>4.333333333333333</v>
      </c>
      <c r="F36" s="126">
        <f t="shared" si="21"/>
        <v>17815.20094821298</v>
      </c>
      <c r="G36" s="160">
        <f>References!B33</f>
        <v>324</v>
      </c>
      <c r="H36" s="42">
        <f t="shared" si="26"/>
        <v>5772125.1072210055</v>
      </c>
      <c r="I36" s="127">
        <f t="shared" si="22"/>
        <v>4446569.5793216377</v>
      </c>
      <c r="J36" s="128">
        <f>References!$C$53*'DF Calc (Mason Co.)'!I36</f>
        <v>2734.6402912828271</v>
      </c>
      <c r="K36" s="128">
        <f>J36/References!$G$56</f>
        <v>2797.8722030722602</v>
      </c>
      <c r="L36" s="128">
        <f t="shared" si="27"/>
        <v>0.15704971339955115</v>
      </c>
      <c r="M36" s="128">
        <f>'Prop. Rates'!B49</f>
        <v>25.76</v>
      </c>
      <c r="N36" s="128">
        <f t="shared" si="28"/>
        <v>25.917049713399553</v>
      </c>
      <c r="O36" s="134">
        <f>'Prop. Rates'!D49</f>
        <v>25.92</v>
      </c>
      <c r="P36" s="128">
        <f t="shared" si="23"/>
        <v>458919.5764259664</v>
      </c>
      <c r="Q36" s="128">
        <f t="shared" si="24"/>
        <v>461770.00857768045</v>
      </c>
      <c r="R36" s="128">
        <f t="shared" si="29"/>
        <v>2850.4321517140488</v>
      </c>
      <c r="S36" s="129">
        <f t="shared" si="25"/>
        <v>25.917049713399553</v>
      </c>
      <c r="T36" s="248">
        <f>((G36*$C$76)*(References!$C$53/References!$G$56))-L36</f>
        <v>0</v>
      </c>
      <c r="U36" s="110"/>
    </row>
    <row r="37" spans="1:21" s="28" customFormat="1" ht="15" customHeight="1">
      <c r="A37" s="260"/>
      <c r="B37" s="41"/>
      <c r="C37" s="162" t="s">
        <v>24</v>
      </c>
      <c r="D37" s="201">
        <f>+'Mason Co. Regulated - Price Out'!AG91</f>
        <v>19.999999999999996</v>
      </c>
      <c r="E37" s="40">
        <f>References!$B$11</f>
        <v>2.1666666666666665</v>
      </c>
      <c r="F37" s="126">
        <f t="shared" si="21"/>
        <v>519.99999999999989</v>
      </c>
      <c r="G37" s="160">
        <f>References!B31</f>
        <v>175</v>
      </c>
      <c r="H37" s="42">
        <f t="shared" si="26"/>
        <v>90999.999999999985</v>
      </c>
      <c r="I37" s="127">
        <f t="shared" si="22"/>
        <v>70102.054997398038</v>
      </c>
      <c r="J37" s="128">
        <f>References!$C$53*'DF Calc (Mason Co.)'!I37</f>
        <v>43.112763823400101</v>
      </c>
      <c r="K37" s="128">
        <f>J37/References!$G$56</f>
        <v>44.109641726417124</v>
      </c>
      <c r="L37" s="128">
        <f t="shared" si="27"/>
        <v>8.4826234089263722E-2</v>
      </c>
      <c r="M37" s="128">
        <f>'Prop. Rates'!B47</f>
        <v>17.53</v>
      </c>
      <c r="N37" s="128">
        <f t="shared" si="28"/>
        <v>17.614826234089264</v>
      </c>
      <c r="O37" s="134">
        <f>'Prop. Rates'!D47</f>
        <v>17.61</v>
      </c>
      <c r="P37" s="128">
        <f t="shared" si="23"/>
        <v>9115.5999999999985</v>
      </c>
      <c r="Q37" s="128">
        <f t="shared" si="24"/>
        <v>9157.1999999999971</v>
      </c>
      <c r="R37" s="128">
        <f t="shared" si="29"/>
        <v>41.599999999998545</v>
      </c>
      <c r="S37" s="129">
        <f t="shared" si="25"/>
        <v>17.614826234089264</v>
      </c>
      <c r="T37" s="248">
        <f>((G37*$C$76)*(References!$C$53/References!$G$56))-L37</f>
        <v>0</v>
      </c>
      <c r="U37" s="110"/>
    </row>
    <row r="38" spans="1:21" s="28" customFormat="1" ht="15" customHeight="1">
      <c r="A38" s="260"/>
      <c r="B38" s="41"/>
      <c r="C38" s="162" t="s">
        <v>25</v>
      </c>
      <c r="D38" s="201">
        <f>+'Mason Co. Regulated - Price Out'!AG92</f>
        <v>190.83341346153847</v>
      </c>
      <c r="E38" s="40">
        <f>References!$B$11</f>
        <v>2.1666666666666665</v>
      </c>
      <c r="F38" s="126">
        <f t="shared" si="21"/>
        <v>4961.6687499999998</v>
      </c>
      <c r="G38" s="160">
        <f>References!B32</f>
        <v>250</v>
      </c>
      <c r="H38" s="42">
        <f t="shared" si="26"/>
        <v>1240417.1875</v>
      </c>
      <c r="I38" s="127">
        <f t="shared" si="22"/>
        <v>955558.17470156937</v>
      </c>
      <c r="J38" s="128">
        <f>References!$C$53*'DF Calc (Mason Co.)'!I38</f>
        <v>587.6682774414694</v>
      </c>
      <c r="K38" s="128">
        <f>J38/References!$G$56</f>
        <v>601.25667837269225</v>
      </c>
      <c r="L38" s="128">
        <f t="shared" si="27"/>
        <v>0.12118033441323391</v>
      </c>
      <c r="M38" s="128">
        <f>'Prop. Rates'!B48</f>
        <v>19.489999999999998</v>
      </c>
      <c r="N38" s="128">
        <f t="shared" si="28"/>
        <v>19.611180334413234</v>
      </c>
      <c r="O38" s="134">
        <f>'Prop. Rates'!D48</f>
        <v>19.61</v>
      </c>
      <c r="P38" s="128">
        <f t="shared" si="23"/>
        <v>96702.923937499989</v>
      </c>
      <c r="Q38" s="128">
        <f t="shared" si="24"/>
        <v>97298.324187499995</v>
      </c>
      <c r="R38" s="128">
        <f t="shared" si="29"/>
        <v>595.40025000000605</v>
      </c>
      <c r="S38" s="129">
        <f t="shared" si="25"/>
        <v>19.611180334413234</v>
      </c>
      <c r="T38" s="248">
        <f>((G38*$C$76)*(References!$C$53/References!$G$56))-L38</f>
        <v>0</v>
      </c>
      <c r="U38" s="110"/>
    </row>
    <row r="39" spans="1:21" s="28" customFormat="1" ht="15" customHeight="1">
      <c r="A39" s="260"/>
      <c r="B39" s="41"/>
      <c r="C39" s="162" t="s">
        <v>26</v>
      </c>
      <c r="D39" s="201">
        <f>+'Mason Co. Regulated - Price Out'!AG93</f>
        <v>114.16681826450791</v>
      </c>
      <c r="E39" s="40">
        <f>References!$B$11</f>
        <v>2.1666666666666665</v>
      </c>
      <c r="F39" s="126">
        <f t="shared" si="21"/>
        <v>2968.3372748772053</v>
      </c>
      <c r="G39" s="160">
        <f>References!B33</f>
        <v>324</v>
      </c>
      <c r="H39" s="42">
        <f t="shared" si="26"/>
        <v>961741.27706021455</v>
      </c>
      <c r="I39" s="127">
        <f t="shared" si="22"/>
        <v>740879.55931585713</v>
      </c>
      <c r="J39" s="128">
        <f>References!$C$53*'DF Calc (Mason Co.)'!I39</f>
        <v>455.64092897925542</v>
      </c>
      <c r="K39" s="128">
        <f>J39/References!$G$56</f>
        <v>466.17651829266975</v>
      </c>
      <c r="L39" s="128">
        <f t="shared" si="27"/>
        <v>0.15704971339955115</v>
      </c>
      <c r="M39" s="128">
        <f>'Prop. Rates'!B49</f>
        <v>25.76</v>
      </c>
      <c r="N39" s="128">
        <f t="shared" si="28"/>
        <v>25.917049713399553</v>
      </c>
      <c r="O39" s="134">
        <f>'Prop. Rates'!D49</f>
        <v>25.92</v>
      </c>
      <c r="P39" s="128">
        <f t="shared" si="23"/>
        <v>76464.36820083682</v>
      </c>
      <c r="Q39" s="128">
        <f t="shared" si="24"/>
        <v>76939.302164817171</v>
      </c>
      <c r="R39" s="128">
        <f t="shared" si="29"/>
        <v>474.93396398035111</v>
      </c>
      <c r="S39" s="129">
        <f t="shared" si="25"/>
        <v>25.917049713399553</v>
      </c>
      <c r="T39" s="248">
        <f>((G39*$C$76)*(References!$C$53/References!$G$56))-L39</f>
        <v>0</v>
      </c>
      <c r="U39" s="110"/>
    </row>
    <row r="40" spans="1:21" s="28" customFormat="1">
      <c r="A40" s="260"/>
      <c r="B40" s="41"/>
      <c r="C40" s="135"/>
      <c r="D40" s="202"/>
      <c r="E40" s="136"/>
      <c r="F40" s="163"/>
      <c r="G40" s="160"/>
      <c r="H40" s="42"/>
      <c r="I40" s="127"/>
      <c r="J40" s="128"/>
      <c r="K40" s="128"/>
      <c r="L40" s="128"/>
      <c r="M40" s="134"/>
      <c r="N40" s="128"/>
      <c r="O40" s="134"/>
      <c r="P40" s="128"/>
      <c r="Q40" s="128"/>
      <c r="R40" s="128"/>
      <c r="S40" s="129"/>
    </row>
    <row r="41" spans="1:21" s="28" customFormat="1">
      <c r="A41" s="86"/>
      <c r="B41" s="72"/>
      <c r="C41" s="88" t="s">
        <v>19</v>
      </c>
      <c r="D41" s="89">
        <f>SUM(D33:D40)</f>
        <v>780.13367966817566</v>
      </c>
      <c r="E41" s="89"/>
      <c r="F41" s="89">
        <f>SUM(F33:F40)</f>
        <v>30756.945317867925</v>
      </c>
      <c r="G41" s="89"/>
      <c r="H41" s="89">
        <f>SUM(H33:H40)</f>
        <v>9094150.157975655</v>
      </c>
      <c r="I41" s="93">
        <f>SUM(I33:I40)</f>
        <v>7005699.060758302</v>
      </c>
      <c r="J41" s="94"/>
      <c r="K41" s="94"/>
      <c r="L41" s="94"/>
      <c r="M41" s="94"/>
      <c r="N41" s="94"/>
      <c r="O41" s="94"/>
      <c r="P41" s="94">
        <f>SUM(P33:P40)</f>
        <v>722634.68890402128</v>
      </c>
      <c r="Q41" s="94">
        <f>SUM(Q33:Q40)</f>
        <v>727089.10387108894</v>
      </c>
      <c r="R41" s="94">
        <f>SUM(R33:R40)</f>
        <v>4454.4149670677452</v>
      </c>
      <c r="S41" s="94"/>
    </row>
    <row r="42" spans="1:21">
      <c r="C42" s="44" t="s">
        <v>144</v>
      </c>
      <c r="D42" s="45">
        <f>D32+D41</f>
        <v>13336.588142223794</v>
      </c>
      <c r="E42" s="45"/>
      <c r="F42" s="45">
        <f>F32+F41</f>
        <v>485049.50669600244</v>
      </c>
      <c r="G42" s="45"/>
      <c r="H42" s="45">
        <f>H32+H41</f>
        <v>29757496.055255182</v>
      </c>
      <c r="I42" s="45">
        <f>I32+I41</f>
        <v>22923754.121432461</v>
      </c>
      <c r="J42" s="128"/>
      <c r="K42" s="46"/>
      <c r="L42" s="46"/>
      <c r="M42" s="46"/>
      <c r="N42" s="46"/>
      <c r="O42" s="46"/>
      <c r="P42" s="46">
        <f>P32+P41</f>
        <v>3283581.5490393913</v>
      </c>
      <c r="Q42" s="46">
        <f>Q32+Q41</f>
        <v>3298186.6701921285</v>
      </c>
      <c r="R42" s="46">
        <f>R32+R41</f>
        <v>14605.121152737531</v>
      </c>
      <c r="S42" s="46"/>
    </row>
    <row r="43" spans="1:21">
      <c r="J43" s="137"/>
    </row>
    <row r="44" spans="1:21">
      <c r="J44" s="137"/>
    </row>
    <row r="45" spans="1:21">
      <c r="A45" s="95"/>
      <c r="B45" s="96"/>
      <c r="C45" s="97" t="s">
        <v>145</v>
      </c>
      <c r="D45" s="98"/>
      <c r="E45" s="95"/>
      <c r="F45" s="95"/>
      <c r="G45" s="95"/>
      <c r="H45" s="95"/>
      <c r="I45" s="138"/>
      <c r="J45" s="139"/>
      <c r="K45" s="95"/>
      <c r="L45" s="95"/>
      <c r="M45" s="95"/>
      <c r="N45" s="95"/>
      <c r="O45" s="95"/>
      <c r="Q45" s="39" t="s">
        <v>122</v>
      </c>
      <c r="R45" s="51">
        <f>R32</f>
        <v>10150.706185669786</v>
      </c>
      <c r="S45" s="118">
        <f>R32/P32</f>
        <v>3.9636535781664853E-3</v>
      </c>
    </row>
    <row r="46" spans="1:21">
      <c r="A46" s="260"/>
      <c r="C46" s="39" t="s">
        <v>99</v>
      </c>
      <c r="E46" s="40">
        <f>References!$B$12</f>
        <v>1</v>
      </c>
      <c r="F46" s="126">
        <f t="shared" ref="F46:F67" si="30">E46*12</f>
        <v>12</v>
      </c>
      <c r="G46" s="39">
        <f>References!$B$46</f>
        <v>125</v>
      </c>
      <c r="H46" s="124">
        <f t="shared" ref="H46:H49" si="31">F46*G46</f>
        <v>1500</v>
      </c>
      <c r="I46" s="124">
        <f>$C$76*H46</f>
        <v>1155.5283790779899</v>
      </c>
      <c r="J46" s="128">
        <f>References!$C$53*'DF Calc (Mason Co.)'!I46</f>
        <v>0.71064995313296897</v>
      </c>
      <c r="K46" s="128">
        <f>J46/References!$G$56</f>
        <v>0.72708200647940346</v>
      </c>
      <c r="L46" s="128">
        <f>K46/F46</f>
        <v>6.0590167206616953E-2</v>
      </c>
      <c r="M46" s="128">
        <f>'Prop. Rates'!B34</f>
        <v>28</v>
      </c>
      <c r="N46" s="128">
        <f t="shared" ref="N46:N49" si="32">L46+M46</f>
        <v>28.060590167206616</v>
      </c>
      <c r="O46" s="128">
        <f>'Prop. Rates'!D34</f>
        <v>28.06</v>
      </c>
      <c r="P46" s="100"/>
      <c r="Q46" s="39" t="s">
        <v>123</v>
      </c>
      <c r="R46" s="51">
        <f>R41</f>
        <v>4454.4149670677452</v>
      </c>
      <c r="S46" s="118">
        <f>R41/P41</f>
        <v>6.1641311100405407E-3</v>
      </c>
    </row>
    <row r="47" spans="1:21">
      <c r="A47" s="260"/>
      <c r="C47" s="39" t="s">
        <v>100</v>
      </c>
      <c r="E47" s="40">
        <f>References!$B$12</f>
        <v>1</v>
      </c>
      <c r="F47" s="126">
        <f t="shared" si="30"/>
        <v>12</v>
      </c>
      <c r="G47" s="39">
        <f>References!$B$46</f>
        <v>125</v>
      </c>
      <c r="H47" s="124">
        <f t="shared" si="31"/>
        <v>1500</v>
      </c>
      <c r="I47" s="124">
        <f>$C$76*H47</f>
        <v>1155.5283790779899</v>
      </c>
      <c r="J47" s="128">
        <f>References!$C$53*'DF Calc (Mason Co.)'!I47</f>
        <v>0.71064995313296897</v>
      </c>
      <c r="K47" s="128">
        <f>J47/References!$G$56</f>
        <v>0.72708200647940346</v>
      </c>
      <c r="L47" s="128">
        <f>K47/F47</f>
        <v>6.0590167206616953E-2</v>
      </c>
      <c r="M47" s="128">
        <f>'Prop. Rates'!B35</f>
        <v>28</v>
      </c>
      <c r="N47" s="128">
        <f t="shared" si="32"/>
        <v>28.060590167206616</v>
      </c>
      <c r="O47" s="128">
        <f>'Prop. Rates'!D35</f>
        <v>28.06</v>
      </c>
      <c r="P47" s="100"/>
      <c r="R47" s="51">
        <f>SUM(R45:R46)</f>
        <v>14605.121152737531</v>
      </c>
      <c r="S47" s="118"/>
    </row>
    <row r="48" spans="1:21">
      <c r="A48" s="260"/>
      <c r="C48" s="39" t="s">
        <v>101</v>
      </c>
      <c r="E48" s="40">
        <f>References!$B$12</f>
        <v>1</v>
      </c>
      <c r="F48" s="126">
        <f t="shared" si="30"/>
        <v>12</v>
      </c>
      <c r="G48" s="39">
        <f>References!$B$46</f>
        <v>125</v>
      </c>
      <c r="H48" s="124">
        <f t="shared" si="31"/>
        <v>1500</v>
      </c>
      <c r="I48" s="124">
        <f>$C$76*H48</f>
        <v>1155.5283790779899</v>
      </c>
      <c r="J48" s="128">
        <f>References!$C$53*'DF Calc (Mason Co.)'!I48</f>
        <v>0.71064995313296897</v>
      </c>
      <c r="K48" s="128">
        <f>J48/References!$G$56</f>
        <v>0.72708200647940346</v>
      </c>
      <c r="L48" s="128">
        <f>K48/F48</f>
        <v>6.0590167206616953E-2</v>
      </c>
      <c r="M48" s="128">
        <f>'Prop. Rates'!B36</f>
        <v>28</v>
      </c>
      <c r="N48" s="128">
        <f t="shared" si="32"/>
        <v>28.060590167206616</v>
      </c>
      <c r="O48" s="128">
        <f>'Prop. Rates'!D36</f>
        <v>28.06</v>
      </c>
      <c r="P48" s="100"/>
      <c r="R48" s="51"/>
      <c r="S48" s="118"/>
    </row>
    <row r="49" spans="1:19">
      <c r="A49" s="260"/>
      <c r="C49" s="39" t="s">
        <v>102</v>
      </c>
      <c r="E49" s="40">
        <f>References!$B$12</f>
        <v>1</v>
      </c>
      <c r="F49" s="126">
        <f t="shared" si="30"/>
        <v>12</v>
      </c>
      <c r="G49" s="39">
        <f>References!$B$46</f>
        <v>125</v>
      </c>
      <c r="H49" s="124">
        <f t="shared" si="31"/>
        <v>1500</v>
      </c>
      <c r="I49" s="124">
        <f>$C$76*H49</f>
        <v>1155.5283790779899</v>
      </c>
      <c r="J49" s="128">
        <f>References!$C$53*'DF Calc (Mason Co.)'!I49</f>
        <v>0.71064995313296897</v>
      </c>
      <c r="K49" s="128">
        <f>J49/References!$G$56</f>
        <v>0.72708200647940346</v>
      </c>
      <c r="L49" s="128">
        <f>K49/F49</f>
        <v>6.0590167206616953E-2</v>
      </c>
      <c r="M49" s="128">
        <f>'Prop. Rates'!B37</f>
        <v>31.75</v>
      </c>
      <c r="N49" s="128">
        <f t="shared" si="32"/>
        <v>31.810590167206616</v>
      </c>
      <c r="O49" s="128">
        <f>'Prop. Rates'!D37</f>
        <v>31.81</v>
      </c>
      <c r="P49" s="100"/>
      <c r="Q49" s="39" t="s">
        <v>172</v>
      </c>
      <c r="R49" s="101">
        <f>+'11.2018-10.2019 Disposal'!O14</f>
        <v>4234.7005282602649</v>
      </c>
    </row>
    <row r="50" spans="1:19">
      <c r="A50" s="262"/>
      <c r="B50" s="2"/>
      <c r="C50" s="49"/>
      <c r="D50" s="140"/>
      <c r="E50" s="141"/>
      <c r="F50" s="142"/>
      <c r="G50" s="142"/>
      <c r="H50" s="143"/>
      <c r="I50" s="143"/>
      <c r="J50" s="144"/>
      <c r="K50" s="144"/>
      <c r="L50" s="144"/>
      <c r="M50" s="145"/>
      <c r="N50" s="144"/>
      <c r="O50" s="145"/>
      <c r="P50" s="100"/>
      <c r="Q50" s="79"/>
    </row>
    <row r="51" spans="1:19">
      <c r="A51" s="259" t="s">
        <v>123</v>
      </c>
      <c r="C51" s="146" t="s">
        <v>108</v>
      </c>
      <c r="D51" s="48"/>
      <c r="E51" s="40">
        <f>References!$B$12</f>
        <v>1</v>
      </c>
      <c r="F51" s="126">
        <f t="shared" si="30"/>
        <v>12</v>
      </c>
      <c r="G51" s="126">
        <f>References!B23</f>
        <v>37</v>
      </c>
      <c r="H51" s="124">
        <f t="shared" ref="H51:H59" si="33">F51*G51</f>
        <v>444</v>
      </c>
      <c r="I51" s="124">
        <f t="shared" ref="I51:I58" si="34">$C$76*H51</f>
        <v>342.03640020708502</v>
      </c>
      <c r="J51" s="128">
        <f>References!$C$53*'DF Calc (Mason Co.)'!I51</f>
        <v>0.21035238612735879</v>
      </c>
      <c r="K51" s="128">
        <f>J51/References!$G$56</f>
        <v>0.21521627391790341</v>
      </c>
      <c r="L51" s="128">
        <f t="shared" ref="L51:L58" si="35">K51/F51</f>
        <v>1.7934689493158618E-2</v>
      </c>
      <c r="M51" s="147">
        <f>'Prop. Rates'!B53</f>
        <v>4.78</v>
      </c>
      <c r="N51" s="128">
        <f t="shared" ref="N51:N67" si="36">L51+M51</f>
        <v>4.7979346894931592</v>
      </c>
      <c r="O51" s="147">
        <f>'Prop. Rates'!D53</f>
        <v>4.8</v>
      </c>
      <c r="P51" s="112"/>
      <c r="Q51" s="39" t="s">
        <v>173</v>
      </c>
      <c r="R51" s="119">
        <f>R49*References!B53</f>
        <v>5208.681649760143</v>
      </c>
      <c r="S51" s="118">
        <f>+References!B54</f>
        <v>1.2022285211611807E-2</v>
      </c>
    </row>
    <row r="52" spans="1:19">
      <c r="A52" s="260"/>
      <c r="C52" s="146" t="s">
        <v>109</v>
      </c>
      <c r="D52" s="48"/>
      <c r="E52" s="40">
        <f>References!$B$12</f>
        <v>1</v>
      </c>
      <c r="F52" s="126">
        <f t="shared" si="30"/>
        <v>12</v>
      </c>
      <c r="G52" s="126">
        <f>References!B24</f>
        <v>48</v>
      </c>
      <c r="H52" s="124">
        <f t="shared" si="33"/>
        <v>576</v>
      </c>
      <c r="I52" s="124">
        <f t="shared" si="34"/>
        <v>443.72289756594813</v>
      </c>
      <c r="J52" s="128">
        <f>References!$C$53*'DF Calc (Mason Co.)'!I52</f>
        <v>0.27288958200306007</v>
      </c>
      <c r="K52" s="128">
        <f>J52/References!$G$56</f>
        <v>0.2791994904880909</v>
      </c>
      <c r="L52" s="128">
        <f t="shared" si="35"/>
        <v>2.3266624207340908E-2</v>
      </c>
      <c r="M52" s="147">
        <f>'Prop. Rates'!B54</f>
        <v>5.65</v>
      </c>
      <c r="N52" s="128">
        <f t="shared" si="36"/>
        <v>5.6732666242073408</v>
      </c>
      <c r="O52" s="147">
        <f>'Prop. Rates'!D54</f>
        <v>5.67</v>
      </c>
      <c r="P52" s="112"/>
    </row>
    <row r="53" spans="1:19">
      <c r="A53" s="260"/>
      <c r="C53" s="146" t="s">
        <v>110</v>
      </c>
      <c r="D53" s="48"/>
      <c r="E53" s="40">
        <f>References!$B$12</f>
        <v>1</v>
      </c>
      <c r="F53" s="126">
        <f t="shared" si="30"/>
        <v>12</v>
      </c>
      <c r="G53" s="126">
        <f>References!B25</f>
        <v>51</v>
      </c>
      <c r="H53" s="124">
        <f t="shared" si="33"/>
        <v>612</v>
      </c>
      <c r="I53" s="124">
        <f t="shared" si="34"/>
        <v>471.45557866381989</v>
      </c>
      <c r="J53" s="128">
        <f>References!$C$53*'DF Calc (Mason Co.)'!I53</f>
        <v>0.28994518087825133</v>
      </c>
      <c r="K53" s="128">
        <f>J53/References!$G$56</f>
        <v>0.2966494586435966</v>
      </c>
      <c r="L53" s="128">
        <f t="shared" si="35"/>
        <v>2.4720788220299716E-2</v>
      </c>
      <c r="M53" s="147">
        <f>'Prop. Rates'!B55</f>
        <v>6.68</v>
      </c>
      <c r="N53" s="128">
        <f t="shared" si="36"/>
        <v>6.7047207882202997</v>
      </c>
      <c r="O53" s="147">
        <f>'Prop. Rates'!D55</f>
        <v>6.7</v>
      </c>
      <c r="P53" s="112"/>
    </row>
    <row r="54" spans="1:19">
      <c r="A54" s="260"/>
      <c r="C54" s="146" t="s">
        <v>111</v>
      </c>
      <c r="D54" s="48"/>
      <c r="E54" s="40">
        <f>References!$B$12</f>
        <v>1</v>
      </c>
      <c r="F54" s="126">
        <f t="shared" si="30"/>
        <v>12</v>
      </c>
      <c r="G54" s="126">
        <f>References!B26</f>
        <v>77</v>
      </c>
      <c r="H54" s="124">
        <f t="shared" si="33"/>
        <v>924</v>
      </c>
      <c r="I54" s="124">
        <f t="shared" si="34"/>
        <v>711.80548151204175</v>
      </c>
      <c r="J54" s="128">
        <f>References!$C$53*'DF Calc (Mason Co.)'!I54</f>
        <v>0.43776037112990884</v>
      </c>
      <c r="K54" s="128">
        <f>J54/References!$G$56</f>
        <v>0.44788251599131246</v>
      </c>
      <c r="L54" s="128">
        <f t="shared" si="35"/>
        <v>3.7323542999276038E-2</v>
      </c>
      <c r="M54" s="147">
        <f>'Prop. Rates'!B56</f>
        <v>8.3699999999999992</v>
      </c>
      <c r="N54" s="128">
        <f t="shared" si="36"/>
        <v>8.4073235429992756</v>
      </c>
      <c r="O54" s="147">
        <f>'Prop. Rates'!D56</f>
        <v>8.41</v>
      </c>
      <c r="P54" s="112"/>
    </row>
    <row r="55" spans="1:19">
      <c r="A55" s="260"/>
      <c r="C55" s="148" t="s">
        <v>159</v>
      </c>
      <c r="D55" s="48"/>
      <c r="E55" s="40">
        <f>References!$B$12</f>
        <v>1</v>
      </c>
      <c r="F55" s="126">
        <f t="shared" si="30"/>
        <v>12</v>
      </c>
      <c r="G55" s="126">
        <f>References!B23</f>
        <v>37</v>
      </c>
      <c r="H55" s="124">
        <f t="shared" si="33"/>
        <v>444</v>
      </c>
      <c r="I55" s="124">
        <f t="shared" si="34"/>
        <v>342.03640020708502</v>
      </c>
      <c r="J55" s="128">
        <f>References!$C$53*'DF Calc (Mason Co.)'!I55</f>
        <v>0.21035238612735879</v>
      </c>
      <c r="K55" s="128">
        <f>J55/References!$G$56</f>
        <v>0.21521627391790341</v>
      </c>
      <c r="L55" s="128">
        <f t="shared" si="35"/>
        <v>1.7934689493158618E-2</v>
      </c>
      <c r="M55" s="147">
        <f>'Prop. Rates'!B59</f>
        <v>14.92</v>
      </c>
      <c r="N55" s="128">
        <f t="shared" si="36"/>
        <v>14.937934689493158</v>
      </c>
      <c r="O55" s="147">
        <f>'Prop. Rates'!D59</f>
        <v>14.94</v>
      </c>
      <c r="P55" s="112"/>
    </row>
    <row r="56" spans="1:19">
      <c r="A56" s="260"/>
      <c r="C56" s="148" t="s">
        <v>160</v>
      </c>
      <c r="D56" s="48"/>
      <c r="E56" s="40">
        <f>References!$B$12</f>
        <v>1</v>
      </c>
      <c r="F56" s="126">
        <f t="shared" si="30"/>
        <v>12</v>
      </c>
      <c r="G56" s="126">
        <f>References!B24</f>
        <v>48</v>
      </c>
      <c r="H56" s="124">
        <f t="shared" si="33"/>
        <v>576</v>
      </c>
      <c r="I56" s="124">
        <f t="shared" si="34"/>
        <v>443.72289756594813</v>
      </c>
      <c r="J56" s="128">
        <f>References!$C$53*'DF Calc (Mason Co.)'!I56</f>
        <v>0.27288958200306007</v>
      </c>
      <c r="K56" s="128">
        <f>J56/References!$G$56</f>
        <v>0.2791994904880909</v>
      </c>
      <c r="L56" s="128">
        <f t="shared" si="35"/>
        <v>2.3266624207340908E-2</v>
      </c>
      <c r="M56" s="147">
        <f>'Prop. Rates'!B60</f>
        <v>15.78</v>
      </c>
      <c r="N56" s="128">
        <f t="shared" si="36"/>
        <v>15.803266624207341</v>
      </c>
      <c r="O56" s="147">
        <f>'Prop. Rates'!D60</f>
        <v>15.8</v>
      </c>
      <c r="P56" s="112"/>
    </row>
    <row r="57" spans="1:19">
      <c r="A57" s="260"/>
      <c r="C57" s="148" t="s">
        <v>161</v>
      </c>
      <c r="D57" s="48"/>
      <c r="E57" s="40">
        <f>References!$B$12</f>
        <v>1</v>
      </c>
      <c r="F57" s="126">
        <f t="shared" si="30"/>
        <v>12</v>
      </c>
      <c r="G57" s="126">
        <f>References!B25</f>
        <v>51</v>
      </c>
      <c r="H57" s="124">
        <f t="shared" si="33"/>
        <v>612</v>
      </c>
      <c r="I57" s="124">
        <f t="shared" si="34"/>
        <v>471.45557866381989</v>
      </c>
      <c r="J57" s="128">
        <f>References!$C$53*'DF Calc (Mason Co.)'!I57</f>
        <v>0.28994518087825133</v>
      </c>
      <c r="K57" s="128">
        <f>J57/References!$G$56</f>
        <v>0.2966494586435966</v>
      </c>
      <c r="L57" s="128">
        <f t="shared" si="35"/>
        <v>2.4720788220299716E-2</v>
      </c>
      <c r="M57" s="147">
        <f>'Prop. Rates'!B61</f>
        <v>16.82</v>
      </c>
      <c r="N57" s="128">
        <f t="shared" si="36"/>
        <v>16.8447207882203</v>
      </c>
      <c r="O57" s="147">
        <f>'Prop. Rates'!D61</f>
        <v>16.84</v>
      </c>
      <c r="P57" s="112"/>
    </row>
    <row r="58" spans="1:19">
      <c r="A58" s="260"/>
      <c r="C58" s="148" t="s">
        <v>162</v>
      </c>
      <c r="D58" s="48"/>
      <c r="E58" s="40">
        <f>References!$B$12</f>
        <v>1</v>
      </c>
      <c r="F58" s="126">
        <f t="shared" si="30"/>
        <v>12</v>
      </c>
      <c r="G58" s="126">
        <f>References!B26</f>
        <v>77</v>
      </c>
      <c r="H58" s="124">
        <f t="shared" si="33"/>
        <v>924</v>
      </c>
      <c r="I58" s="124">
        <f t="shared" si="34"/>
        <v>711.80548151204175</v>
      </c>
      <c r="J58" s="128">
        <f>References!$C$53*'DF Calc (Mason Co.)'!I58</f>
        <v>0.43776037112990884</v>
      </c>
      <c r="K58" s="128">
        <f>J58/References!$G$56</f>
        <v>0.44788251599131246</v>
      </c>
      <c r="L58" s="128">
        <f t="shared" si="35"/>
        <v>3.7323542999276038E-2</v>
      </c>
      <c r="M58" s="147">
        <f>'Prop. Rates'!B62</f>
        <v>18.510000000000002</v>
      </c>
      <c r="N58" s="128">
        <f t="shared" si="36"/>
        <v>18.547323542999276</v>
      </c>
      <c r="O58" s="147">
        <f>'Prop. Rates'!D62</f>
        <v>18.55</v>
      </c>
      <c r="P58" s="112"/>
    </row>
    <row r="59" spans="1:19">
      <c r="A59" s="260"/>
      <c r="C59" s="68" t="s">
        <v>27</v>
      </c>
      <c r="D59" s="64"/>
      <c r="E59" s="40">
        <f>References!$B$12</f>
        <v>1</v>
      </c>
      <c r="F59" s="126">
        <f t="shared" si="30"/>
        <v>12</v>
      </c>
      <c r="G59" s="126">
        <f>References!B46</f>
        <v>125</v>
      </c>
      <c r="H59" s="124">
        <f t="shared" si="33"/>
        <v>1500</v>
      </c>
      <c r="I59" s="124">
        <f t="shared" ref="I59:I67" si="37">$C$76*H59</f>
        <v>1155.5283790779899</v>
      </c>
      <c r="J59" s="128">
        <f>References!$C$53*'DF Calc (Mason Co.)'!I59</f>
        <v>0.71064995313296897</v>
      </c>
      <c r="K59" s="128">
        <f>J59/References!$G$56</f>
        <v>0.72708200647940346</v>
      </c>
      <c r="L59" s="128">
        <f>K59/F59</f>
        <v>6.0590167206616953E-2</v>
      </c>
      <c r="M59" s="147">
        <f>'Prop. Rates'!B50</f>
        <v>16.16</v>
      </c>
      <c r="N59" s="128">
        <f t="shared" si="36"/>
        <v>16.220590167206616</v>
      </c>
      <c r="O59" s="147">
        <f>'Prop. Rates'!D50</f>
        <v>16.22</v>
      </c>
      <c r="P59" s="112"/>
    </row>
    <row r="60" spans="1:19">
      <c r="A60" s="260"/>
      <c r="C60" s="146" t="s">
        <v>114</v>
      </c>
      <c r="D60" s="48"/>
      <c r="E60" s="40">
        <f>References!$B$12</f>
        <v>1</v>
      </c>
      <c r="F60" s="126">
        <f t="shared" si="30"/>
        <v>12</v>
      </c>
      <c r="G60" s="126">
        <f>References!$B$30</f>
        <v>29</v>
      </c>
      <c r="H60" s="124">
        <f>F60*G60</f>
        <v>348</v>
      </c>
      <c r="I60" s="124">
        <f t="shared" si="37"/>
        <v>268.08258394609368</v>
      </c>
      <c r="J60" s="128">
        <f>References!$C$53*'DF Calc (Mason Co.)'!I60</f>
        <v>0.1648707891268488</v>
      </c>
      <c r="K60" s="128">
        <f>J60/References!$G$56</f>
        <v>0.16868302550322159</v>
      </c>
      <c r="L60" s="128">
        <f>K60/F60</f>
        <v>1.4056918791935132E-2</v>
      </c>
      <c r="M60" s="147">
        <f>'Prop. Rates'!B64</f>
        <v>4.76</v>
      </c>
      <c r="N60" s="128">
        <f t="shared" si="36"/>
        <v>4.7740569187919348</v>
      </c>
      <c r="O60" s="147">
        <f>'Prop. Rates'!D64</f>
        <v>4.7699999999999996</v>
      </c>
      <c r="P60" s="112"/>
    </row>
    <row r="61" spans="1:19">
      <c r="A61" s="260"/>
      <c r="C61" s="146" t="s">
        <v>121</v>
      </c>
      <c r="D61" s="48"/>
      <c r="E61" s="48">
        <f>References!B10</f>
        <v>4.333333333333333</v>
      </c>
      <c r="F61" s="76">
        <f>E61*12</f>
        <v>52</v>
      </c>
      <c r="G61" s="126">
        <f>References!$B$30</f>
        <v>29</v>
      </c>
      <c r="H61" s="124">
        <f t="shared" ref="H61:H67" si="38">F61*G61</f>
        <v>1508</v>
      </c>
      <c r="I61" s="124">
        <f t="shared" si="37"/>
        <v>1161.6911970997392</v>
      </c>
      <c r="J61" s="128">
        <f>References!$C$53*'DF Calc (Mason Co.)'!I61</f>
        <v>0.71444008621634469</v>
      </c>
      <c r="K61" s="128">
        <f>J61/References!$G$56</f>
        <v>0.73095977718062688</v>
      </c>
      <c r="L61" s="128">
        <f>K61/F61*E61</f>
        <v>6.0913314765052233E-2</v>
      </c>
      <c r="M61" s="147">
        <f>'Prop. Rates'!B65</f>
        <v>19.09</v>
      </c>
      <c r="N61" s="128">
        <f t="shared" si="36"/>
        <v>19.150913314765052</v>
      </c>
      <c r="O61" s="147">
        <f>'Prop. Rates'!D65</f>
        <v>19.149999999999999</v>
      </c>
      <c r="P61" s="112"/>
    </row>
    <row r="62" spans="1:19">
      <c r="A62" s="260"/>
      <c r="C62" s="146" t="s">
        <v>115</v>
      </c>
      <c r="D62" s="48"/>
      <c r="E62" s="40">
        <f>References!$B$12</f>
        <v>1</v>
      </c>
      <c r="F62" s="126">
        <f t="shared" si="30"/>
        <v>12</v>
      </c>
      <c r="G62" s="126">
        <f>References!$B$30</f>
        <v>29</v>
      </c>
      <c r="H62" s="124">
        <f t="shared" si="38"/>
        <v>348</v>
      </c>
      <c r="I62" s="124">
        <f t="shared" si="37"/>
        <v>268.08258394609368</v>
      </c>
      <c r="J62" s="128">
        <f>References!$C$53*'DF Calc (Mason Co.)'!I62</f>
        <v>0.1648707891268488</v>
      </c>
      <c r="K62" s="128">
        <f>J62/References!$G$56</f>
        <v>0.16868302550322159</v>
      </c>
      <c r="L62" s="128">
        <f t="shared" ref="L62:L63" si="39">K62/F62</f>
        <v>1.4056918791935132E-2</v>
      </c>
      <c r="M62" s="147">
        <f>'Prop. Rates'!B66</f>
        <v>4.07</v>
      </c>
      <c r="N62" s="128">
        <f t="shared" si="36"/>
        <v>4.0840569187919353</v>
      </c>
      <c r="O62" s="104">
        <f>'Prop. Rates'!D66</f>
        <v>4.08</v>
      </c>
      <c r="P62" s="112"/>
    </row>
    <row r="63" spans="1:19">
      <c r="A63" s="260"/>
      <c r="C63" s="146" t="s">
        <v>116</v>
      </c>
      <c r="D63" s="48"/>
      <c r="E63" s="40">
        <f>References!$B$12</f>
        <v>1</v>
      </c>
      <c r="F63" s="126">
        <f t="shared" si="30"/>
        <v>12</v>
      </c>
      <c r="G63" s="126">
        <f>References!$B$30</f>
        <v>29</v>
      </c>
      <c r="H63" s="124">
        <f t="shared" si="38"/>
        <v>348</v>
      </c>
      <c r="I63" s="124">
        <f t="shared" si="37"/>
        <v>268.08258394609368</v>
      </c>
      <c r="J63" s="128">
        <f>References!$C$53*'DF Calc (Mason Co.)'!I63</f>
        <v>0.1648707891268488</v>
      </c>
      <c r="K63" s="128">
        <f>J63/References!$G$56</f>
        <v>0.16868302550322159</v>
      </c>
      <c r="L63" s="128">
        <f t="shared" si="39"/>
        <v>1.4056918791935132E-2</v>
      </c>
      <c r="M63" s="147">
        <f>'Prop. Rates'!B67</f>
        <v>4.4000000000000004</v>
      </c>
      <c r="N63" s="128">
        <f t="shared" si="36"/>
        <v>4.4140569187919354</v>
      </c>
      <c r="O63" s="104">
        <f>'Prop. Rates'!D67</f>
        <v>4.41</v>
      </c>
      <c r="P63" s="112"/>
    </row>
    <row r="64" spans="1:19">
      <c r="A64" s="260"/>
      <c r="C64" s="146" t="s">
        <v>117</v>
      </c>
      <c r="D64" s="48"/>
      <c r="E64" s="48">
        <f>References!$B$10</f>
        <v>4.333333333333333</v>
      </c>
      <c r="F64" s="76">
        <f t="shared" si="30"/>
        <v>52</v>
      </c>
      <c r="G64" s="126">
        <f>References!B23</f>
        <v>37</v>
      </c>
      <c r="H64" s="124">
        <f>F64*G64</f>
        <v>1924</v>
      </c>
      <c r="I64" s="124">
        <f t="shared" si="37"/>
        <v>1482.1577342307016</v>
      </c>
      <c r="J64" s="128">
        <f>References!$C$53*'DF Calc (Mason Co.)'!I64</f>
        <v>0.91152700655188812</v>
      </c>
      <c r="K64" s="128">
        <f>J64/References!$G$56</f>
        <v>0.93260385364424814</v>
      </c>
      <c r="L64" s="128">
        <f>K64/F64*E64</f>
        <v>7.771698780368734E-2</v>
      </c>
      <c r="M64" s="147">
        <f>'Prop. Rates'!B69</f>
        <v>20.53</v>
      </c>
      <c r="N64" s="128">
        <f t="shared" si="36"/>
        <v>20.607716987803688</v>
      </c>
      <c r="O64" s="104">
        <f>'Prop. Rates'!D69</f>
        <v>20.61</v>
      </c>
      <c r="P64" s="112"/>
    </row>
    <row r="65" spans="1:18">
      <c r="A65" s="260"/>
      <c r="C65" s="146" t="s">
        <v>118</v>
      </c>
      <c r="D65" s="48"/>
      <c r="E65" s="48">
        <f>References!$B$10</f>
        <v>4.333333333333333</v>
      </c>
      <c r="F65" s="76">
        <f t="shared" si="30"/>
        <v>52</v>
      </c>
      <c r="G65" s="126">
        <f>References!B24</f>
        <v>48</v>
      </c>
      <c r="H65" s="124">
        <f t="shared" si="38"/>
        <v>2496</v>
      </c>
      <c r="I65" s="124">
        <f t="shared" si="37"/>
        <v>1922.7992227857751</v>
      </c>
      <c r="J65" s="128">
        <f>References!$C$53*'DF Calc (Mason Co.)'!I65</f>
        <v>1.1825215220132601</v>
      </c>
      <c r="K65" s="128">
        <f>J65/References!$G$56</f>
        <v>1.2098644587817271</v>
      </c>
      <c r="L65" s="128">
        <f t="shared" ref="L65:L67" si="40">K65/F65*E65</f>
        <v>0.10082203823181057</v>
      </c>
      <c r="M65" s="147">
        <f>'Prop. Rates'!B70</f>
        <v>24.24</v>
      </c>
      <c r="N65" s="128">
        <f t="shared" si="36"/>
        <v>24.34082203823181</v>
      </c>
      <c r="O65" s="111">
        <f>'Prop. Rates'!D70</f>
        <v>24.34</v>
      </c>
      <c r="P65" s="112"/>
    </row>
    <row r="66" spans="1:18">
      <c r="A66" s="260"/>
      <c r="C66" s="146" t="s">
        <v>119</v>
      </c>
      <c r="D66" s="48"/>
      <c r="E66" s="48">
        <f>References!$B$10</f>
        <v>4.333333333333333</v>
      </c>
      <c r="F66" s="76">
        <f t="shared" si="30"/>
        <v>52</v>
      </c>
      <c r="G66" s="126">
        <f>References!B25</f>
        <v>51</v>
      </c>
      <c r="H66" s="124">
        <f t="shared" si="38"/>
        <v>2652</v>
      </c>
      <c r="I66" s="124">
        <f t="shared" si="37"/>
        <v>2042.9741742098861</v>
      </c>
      <c r="J66" s="128">
        <f>References!$C$53*'DF Calc (Mason Co.)'!I66</f>
        <v>1.2564291171390889</v>
      </c>
      <c r="K66" s="128">
        <f>J66/References!$G$56</f>
        <v>1.285480987455585</v>
      </c>
      <c r="L66" s="128">
        <f t="shared" si="40"/>
        <v>0.10712341562129875</v>
      </c>
      <c r="M66" s="147">
        <f>'Prop. Rates'!B71</f>
        <v>28.6</v>
      </c>
      <c r="N66" s="128">
        <f t="shared" si="36"/>
        <v>28.7071234156213</v>
      </c>
      <c r="O66" s="111">
        <f>'Prop. Rates'!D71</f>
        <v>28.71</v>
      </c>
      <c r="P66" s="112"/>
    </row>
    <row r="67" spans="1:18">
      <c r="A67" s="260"/>
      <c r="C67" s="146" t="s">
        <v>120</v>
      </c>
      <c r="D67" s="48"/>
      <c r="E67" s="48">
        <f>References!$B$10</f>
        <v>4.333333333333333</v>
      </c>
      <c r="F67" s="76">
        <f t="shared" si="30"/>
        <v>52</v>
      </c>
      <c r="G67" s="126">
        <f>References!B26</f>
        <v>77</v>
      </c>
      <c r="H67" s="124">
        <f t="shared" si="38"/>
        <v>4004</v>
      </c>
      <c r="I67" s="124">
        <f t="shared" si="37"/>
        <v>3084.4904198855143</v>
      </c>
      <c r="J67" s="128">
        <f>References!$C$53*'DF Calc (Mason Co.)'!I67</f>
        <v>1.896961608229605</v>
      </c>
      <c r="K67" s="128">
        <f>J67/References!$G$56</f>
        <v>1.9408242359623542</v>
      </c>
      <c r="L67" s="128">
        <f t="shared" si="40"/>
        <v>0.16173535299686284</v>
      </c>
      <c r="M67" s="147">
        <f>'Prop. Rates'!B72</f>
        <v>35.89</v>
      </c>
      <c r="N67" s="128">
        <f t="shared" si="36"/>
        <v>36.051735352996864</v>
      </c>
      <c r="O67" s="111">
        <f>'Prop. Rates'!D72</f>
        <v>36.049999999999997</v>
      </c>
      <c r="P67" s="112"/>
    </row>
    <row r="68" spans="1:18">
      <c r="A68" s="262"/>
      <c r="B68" s="1"/>
      <c r="C68" s="50"/>
      <c r="D68" s="140"/>
      <c r="E68" s="149"/>
      <c r="F68" s="143"/>
      <c r="G68" s="142"/>
      <c r="H68" s="143"/>
      <c r="I68" s="143"/>
      <c r="J68" s="144"/>
      <c r="K68" s="144"/>
      <c r="L68" s="144"/>
      <c r="M68" s="150"/>
      <c r="N68" s="144"/>
      <c r="O68" s="145"/>
    </row>
    <row r="69" spans="1:18">
      <c r="A69" s="28"/>
      <c r="B69" s="123"/>
      <c r="C69" s="28"/>
      <c r="D69" s="52"/>
      <c r="E69" s="136"/>
      <c r="F69" s="126"/>
      <c r="G69" s="126"/>
      <c r="H69" s="126"/>
      <c r="I69" s="127"/>
      <c r="J69" s="128"/>
      <c r="K69" s="128"/>
      <c r="L69" s="128"/>
      <c r="M69" s="134"/>
      <c r="N69" s="128"/>
      <c r="O69" s="134"/>
      <c r="R69" s="51"/>
    </row>
    <row r="70" spans="1:18">
      <c r="A70" s="53"/>
      <c r="C70" s="54"/>
    </row>
    <row r="71" spans="1:18">
      <c r="A71" s="53"/>
      <c r="B71" s="263" t="s">
        <v>146</v>
      </c>
      <c r="C71" s="263"/>
      <c r="D71" s="39"/>
      <c r="E71" s="28"/>
      <c r="F71" s="28"/>
      <c r="H71" s="124"/>
    </row>
    <row r="72" spans="1:18">
      <c r="A72" s="53"/>
      <c r="B72" s="39"/>
      <c r="C72" s="56" t="s">
        <v>19</v>
      </c>
      <c r="D72" s="39"/>
      <c r="E72" s="57"/>
      <c r="F72" s="57"/>
      <c r="H72" s="124"/>
      <c r="J72" s="58"/>
      <c r="P72" s="47"/>
    </row>
    <row r="73" spans="1:18">
      <c r="A73" s="53"/>
      <c r="B73" s="39" t="s">
        <v>147</v>
      </c>
      <c r="C73" s="151">
        <f>References!B59</f>
        <v>11461.877060716231</v>
      </c>
      <c r="D73" s="39"/>
      <c r="E73" s="124"/>
      <c r="F73" s="124"/>
      <c r="G73" s="59"/>
      <c r="H73" s="124"/>
      <c r="I73" s="126"/>
      <c r="J73" s="58"/>
      <c r="P73" s="47"/>
      <c r="Q73" s="58"/>
    </row>
    <row r="74" spans="1:18">
      <c r="A74" s="53"/>
      <c r="B74" s="39" t="s">
        <v>148</v>
      </c>
      <c r="C74" s="152">
        <f>C73*2000</f>
        <v>22923754.121432465</v>
      </c>
      <c r="D74" s="39"/>
      <c r="E74" s="152"/>
      <c r="F74" s="152"/>
      <c r="G74" s="152"/>
      <c r="H74" s="60"/>
      <c r="J74" s="58"/>
      <c r="Q74" s="147"/>
    </row>
    <row r="75" spans="1:18">
      <c r="A75" s="53"/>
      <c r="B75" s="39" t="s">
        <v>149</v>
      </c>
      <c r="C75" s="152">
        <f>F42</f>
        <v>485049.50669600244</v>
      </c>
      <c r="D75" s="39"/>
      <c r="E75" s="124"/>
      <c r="F75" s="124"/>
      <c r="G75" s="124"/>
      <c r="I75" s="126"/>
      <c r="J75" s="58"/>
      <c r="P75" s="47"/>
      <c r="Q75" s="147"/>
    </row>
    <row r="76" spans="1:18">
      <c r="B76" s="8" t="s">
        <v>150</v>
      </c>
      <c r="C76" s="153">
        <f>C74/$H$42</f>
        <v>0.77035225271865992</v>
      </c>
      <c r="D76" s="39"/>
      <c r="E76" s="153"/>
      <c r="F76" s="153"/>
      <c r="G76" s="153"/>
      <c r="H76" s="100"/>
      <c r="J76" s="58"/>
      <c r="M76" s="61"/>
      <c r="N76" s="61"/>
      <c r="O76" s="61"/>
      <c r="P76" s="62"/>
      <c r="Q76" s="147"/>
    </row>
    <row r="77" spans="1:18">
      <c r="E77" s="58"/>
      <c r="G77" s="63"/>
      <c r="H77" s="154"/>
      <c r="J77" s="58"/>
      <c r="M77" s="51"/>
      <c r="N77" s="155"/>
      <c r="O77" s="155"/>
      <c r="P77" s="55"/>
      <c r="Q77" s="62"/>
    </row>
    <row r="78" spans="1:18">
      <c r="D78" s="156"/>
      <c r="E78" s="157"/>
      <c r="G78" s="63"/>
      <c r="H78" s="154"/>
      <c r="J78" s="58"/>
      <c r="M78" s="51"/>
      <c r="N78" s="155"/>
      <c r="O78" s="155"/>
      <c r="P78" s="55"/>
      <c r="Q78" s="100"/>
    </row>
    <row r="79" spans="1:18">
      <c r="B79" s="261"/>
      <c r="C79" s="261"/>
      <c r="D79" s="261"/>
      <c r="E79" s="157"/>
      <c r="G79" s="63"/>
      <c r="H79" s="154"/>
      <c r="J79" s="58"/>
      <c r="M79" s="51"/>
      <c r="N79" s="155"/>
      <c r="O79" s="155"/>
      <c r="P79" s="55"/>
      <c r="Q79" s="100"/>
    </row>
    <row r="80" spans="1:18">
      <c r="B80" s="28"/>
      <c r="C80" s="66"/>
      <c r="D80" s="28"/>
      <c r="I80" s="39"/>
      <c r="Q80" s="100"/>
    </row>
    <row r="81" spans="2:9">
      <c r="B81" s="28"/>
      <c r="C81" s="64"/>
      <c r="D81" s="65"/>
      <c r="E81" s="58"/>
      <c r="I81" s="39"/>
    </row>
    <row r="82" spans="2:9">
      <c r="B82" s="67"/>
      <c r="C82" s="64"/>
      <c r="D82" s="65"/>
      <c r="I82" s="39"/>
    </row>
    <row r="83" spans="2:9">
      <c r="B83" s="67"/>
      <c r="C83" s="64"/>
      <c r="D83" s="65"/>
      <c r="I83" s="39"/>
    </row>
    <row r="84" spans="2:9">
      <c r="D84" s="39"/>
    </row>
  </sheetData>
  <mergeCells count="7">
    <mergeCell ref="D1:L2"/>
    <mergeCell ref="A6:A31"/>
    <mergeCell ref="B79:D79"/>
    <mergeCell ref="A33:A40"/>
    <mergeCell ref="A46:A50"/>
    <mergeCell ref="A51:A68"/>
    <mergeCell ref="B71:C71"/>
  </mergeCells>
  <pageMargins left="0.7" right="0.7" top="0.75" bottom="0.75" header="0.3" footer="0.3"/>
  <pageSetup scale="45" fitToHeight="0" orientation="landscape" r:id="rId1"/>
  <headerFooter>
    <oddFooter xml:space="preserve">&amp;L&amp;F - &amp;A
&amp;R&amp;P of &amp;N    </oddFooter>
  </headerFooter>
  <rowBreaks count="1" manualBreakCount="1">
    <brk id="43" max="1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AI245"/>
  <sheetViews>
    <sheetView view="pageBreakPreview" zoomScale="85" zoomScaleNormal="90" zoomScaleSheetLayoutView="85" workbookViewId="0">
      <pane xSplit="6" ySplit="9" topLeftCell="G10" activePane="bottomRight" state="frozen"/>
      <selection activeCell="E40" sqref="E40"/>
      <selection pane="topRight" activeCell="E40" sqref="E40"/>
      <selection pane="bottomLeft" activeCell="E40" sqref="E40"/>
      <selection pane="bottomRight" activeCell="E40" sqref="E40"/>
    </sheetView>
  </sheetViews>
  <sheetFormatPr defaultColWidth="10.28515625" defaultRowHeight="15" outlineLevelCol="1"/>
  <cols>
    <col min="1" max="1" width="20.5703125" style="181" hidden="1" customWidth="1"/>
    <col min="2" max="2" width="9.7109375" style="181" hidden="1" customWidth="1"/>
    <col min="3" max="3" width="27.7109375" style="179" customWidth="1"/>
    <col min="4" max="4" width="27.42578125" style="179" bestFit="1" customWidth="1"/>
    <col min="5" max="6" width="11.28515625" style="180" bestFit="1" customWidth="1"/>
    <col min="7" max="7" width="1.85546875" style="179" customWidth="1"/>
    <col min="8" max="13" width="12.7109375" style="179" customWidth="1"/>
    <col min="14" max="14" width="13.140625" style="179" customWidth="1"/>
    <col min="15" max="15" width="12.7109375" style="181" customWidth="1"/>
    <col min="16" max="16" width="12.42578125" style="181" customWidth="1"/>
    <col min="17" max="17" width="12.7109375" style="181" customWidth="1"/>
    <col min="18" max="19" width="11.5703125" style="181" customWidth="1"/>
    <col min="20" max="20" width="13.140625" style="181" customWidth="1"/>
    <col min="21" max="21" width="11.5703125" style="181" customWidth="1"/>
    <col min="22" max="32" width="9.7109375" style="181" customWidth="1" outlineLevel="1"/>
    <col min="33" max="33" width="12.28515625" style="181" bestFit="1" customWidth="1" outlineLevel="1"/>
    <col min="34" max="34" width="0" style="181" hidden="1" customWidth="1"/>
    <col min="35" max="35" width="10.28515625" style="176"/>
    <col min="36" max="16384" width="10.28515625" style="181"/>
  </cols>
  <sheetData>
    <row r="1" spans="1:35" ht="15" customHeight="1">
      <c r="A1" s="177" t="s">
        <v>209</v>
      </c>
      <c r="B1" s="177"/>
      <c r="C1" s="178" t="s">
        <v>91</v>
      </c>
      <c r="H1" s="253" t="s">
        <v>530</v>
      </c>
      <c r="I1" s="254"/>
      <c r="J1" s="254"/>
      <c r="K1" s="254"/>
      <c r="L1" s="254"/>
      <c r="M1" s="254"/>
      <c r="N1" s="254"/>
      <c r="O1" s="254"/>
      <c r="P1" s="255"/>
    </row>
    <row r="2" spans="1:35" ht="15.75" thickBot="1">
      <c r="C2" s="178" t="s">
        <v>210</v>
      </c>
      <c r="H2" s="256"/>
      <c r="I2" s="257"/>
      <c r="J2" s="257"/>
      <c r="K2" s="257"/>
      <c r="L2" s="257"/>
      <c r="M2" s="257"/>
      <c r="N2" s="257"/>
      <c r="O2" s="257"/>
      <c r="P2" s="258"/>
    </row>
    <row r="3" spans="1:35">
      <c r="C3" s="178" t="s">
        <v>211</v>
      </c>
      <c r="O3" s="182"/>
    </row>
    <row r="4" spans="1:35">
      <c r="D4" s="183"/>
      <c r="E4" s="184" t="s">
        <v>212</v>
      </c>
      <c r="F4" s="184" t="s">
        <v>212</v>
      </c>
      <c r="H4" s="185">
        <v>43344</v>
      </c>
      <c r="I4" s="185">
        <f t="shared" ref="I4:K4" si="0">EDATE(H4,1)</f>
        <v>43374</v>
      </c>
      <c r="J4" s="185">
        <f t="shared" si="0"/>
        <v>43405</v>
      </c>
      <c r="K4" s="185">
        <f t="shared" si="0"/>
        <v>43435</v>
      </c>
      <c r="L4" s="185">
        <v>43466</v>
      </c>
      <c r="M4" s="185">
        <f>EDATE(L4,1)</f>
        <v>43497</v>
      </c>
      <c r="N4" s="185">
        <f t="shared" ref="N4:S4" si="1">EDATE(M4,1)</f>
        <v>43525</v>
      </c>
      <c r="O4" s="185">
        <f t="shared" si="1"/>
        <v>43556</v>
      </c>
      <c r="P4" s="185">
        <f t="shared" si="1"/>
        <v>43586</v>
      </c>
      <c r="Q4" s="185">
        <f t="shared" si="1"/>
        <v>43617</v>
      </c>
      <c r="R4" s="185">
        <f t="shared" si="1"/>
        <v>43647</v>
      </c>
      <c r="S4" s="185">
        <f t="shared" si="1"/>
        <v>43678</v>
      </c>
      <c r="T4" s="183" t="s">
        <v>19</v>
      </c>
      <c r="V4" s="186">
        <f>+H4</f>
        <v>43344</v>
      </c>
      <c r="W4" s="186">
        <f>+I4</f>
        <v>43374</v>
      </c>
      <c r="X4" s="186">
        <f>+J4</f>
        <v>43405</v>
      </c>
      <c r="Y4" s="186">
        <f>+K4</f>
        <v>43435</v>
      </c>
      <c r="Z4" s="186">
        <f t="shared" ref="Z4:AG4" si="2">L4</f>
        <v>43466</v>
      </c>
      <c r="AA4" s="186">
        <f t="shared" si="2"/>
        <v>43497</v>
      </c>
      <c r="AB4" s="186">
        <f t="shared" si="2"/>
        <v>43525</v>
      </c>
      <c r="AC4" s="186">
        <f t="shared" si="2"/>
        <v>43556</v>
      </c>
      <c r="AD4" s="186">
        <f t="shared" si="2"/>
        <v>43586</v>
      </c>
      <c r="AE4" s="186">
        <f t="shared" si="2"/>
        <v>43617</v>
      </c>
      <c r="AF4" s="186">
        <f t="shared" si="2"/>
        <v>43647</v>
      </c>
      <c r="AG4" s="186">
        <f t="shared" si="2"/>
        <v>43678</v>
      </c>
    </row>
    <row r="5" spans="1:35">
      <c r="C5" s="187" t="s">
        <v>213</v>
      </c>
      <c r="D5" s="183" t="s">
        <v>214</v>
      </c>
      <c r="E5" s="188">
        <v>43101</v>
      </c>
      <c r="F5" s="188">
        <v>43466</v>
      </c>
      <c r="G5" s="183"/>
      <c r="H5" s="189" t="s">
        <v>215</v>
      </c>
      <c r="I5" s="189" t="s">
        <v>215</v>
      </c>
      <c r="J5" s="189" t="s">
        <v>215</v>
      </c>
      <c r="K5" s="189" t="s">
        <v>215</v>
      </c>
      <c r="L5" s="189" t="s">
        <v>215</v>
      </c>
      <c r="M5" s="189" t="s">
        <v>215</v>
      </c>
      <c r="N5" s="189" t="s">
        <v>215</v>
      </c>
      <c r="O5" s="189" t="s">
        <v>215</v>
      </c>
      <c r="P5" s="189" t="s">
        <v>215</v>
      </c>
      <c r="Q5" s="189" t="s">
        <v>215</v>
      </c>
      <c r="R5" s="189" t="s">
        <v>215</v>
      </c>
      <c r="S5" s="189" t="s">
        <v>215</v>
      </c>
      <c r="T5" s="183" t="s">
        <v>215</v>
      </c>
      <c r="V5" s="190" t="s">
        <v>216</v>
      </c>
      <c r="W5" s="190" t="s">
        <v>216</v>
      </c>
      <c r="X5" s="190" t="s">
        <v>216</v>
      </c>
      <c r="Y5" s="190" t="s">
        <v>216</v>
      </c>
      <c r="Z5" s="190" t="s">
        <v>216</v>
      </c>
      <c r="AA5" s="190" t="s">
        <v>216</v>
      </c>
      <c r="AB5" s="190" t="s">
        <v>216</v>
      </c>
      <c r="AC5" s="190" t="s">
        <v>216</v>
      </c>
      <c r="AD5" s="190" t="s">
        <v>216</v>
      </c>
      <c r="AE5" s="190" t="s">
        <v>216</v>
      </c>
      <c r="AF5" s="190" t="s">
        <v>216</v>
      </c>
      <c r="AG5" s="190" t="s">
        <v>216</v>
      </c>
    </row>
    <row r="7" spans="1:35">
      <c r="B7" s="181">
        <f>COUNTIF(C:C,C7)</f>
        <v>1</v>
      </c>
      <c r="C7" s="191" t="s">
        <v>217</v>
      </c>
      <c r="D7" s="191" t="s">
        <v>217</v>
      </c>
      <c r="G7" s="192"/>
      <c r="H7" s="192"/>
      <c r="I7" s="192"/>
      <c r="J7" s="192"/>
      <c r="K7" s="192"/>
      <c r="L7" s="192"/>
    </row>
    <row r="8" spans="1:35">
      <c r="C8" s="191"/>
      <c r="D8" s="193"/>
      <c r="G8" s="192"/>
      <c r="H8" s="192"/>
      <c r="I8" s="192"/>
      <c r="J8" s="192"/>
      <c r="K8" s="192"/>
      <c r="L8" s="192"/>
    </row>
    <row r="9" spans="1:35">
      <c r="A9" s="194" t="s">
        <v>218</v>
      </c>
      <c r="B9" s="194" t="s">
        <v>219</v>
      </c>
      <c r="C9" s="195" t="s">
        <v>220</v>
      </c>
      <c r="D9" s="195" t="s">
        <v>220</v>
      </c>
      <c r="G9" s="192"/>
      <c r="H9" s="192"/>
      <c r="I9" s="192"/>
      <c r="J9" s="192"/>
      <c r="K9" s="192"/>
      <c r="L9" s="192"/>
    </row>
    <row r="10" spans="1:35" s="214" customFormat="1">
      <c r="A10" s="214" t="str">
        <f>$A$1&amp;"Residential"&amp;C10</f>
        <v>MASON CO-REGULATEDResidential32RE1</v>
      </c>
      <c r="B10" s="214">
        <f t="shared" ref="B10:B73" si="3">COUNTIF(C:C,C10)</f>
        <v>1</v>
      </c>
      <c r="C10" s="215" t="s">
        <v>221</v>
      </c>
      <c r="D10" s="215" t="s">
        <v>406</v>
      </c>
      <c r="E10" s="216">
        <v>9.02</v>
      </c>
      <c r="F10" s="216">
        <v>9.1199999999999992</v>
      </c>
      <c r="G10" s="217"/>
      <c r="H10" s="218">
        <v>9.02</v>
      </c>
      <c r="I10" s="218">
        <v>9.02</v>
      </c>
      <c r="J10" s="218">
        <v>9.02</v>
      </c>
      <c r="K10" s="218">
        <v>9.02</v>
      </c>
      <c r="L10" s="218">
        <v>0</v>
      </c>
      <c r="M10" s="218">
        <v>0</v>
      </c>
      <c r="N10" s="218">
        <v>0</v>
      </c>
      <c r="O10" s="218">
        <v>0</v>
      </c>
      <c r="P10" s="218">
        <v>0</v>
      </c>
      <c r="Q10" s="218">
        <v>0</v>
      </c>
      <c r="R10" s="218">
        <v>0</v>
      </c>
      <c r="S10" s="218">
        <v>0</v>
      </c>
      <c r="T10" s="218">
        <f t="shared" ref="T10:T60" si="4">SUM(H10:S10)</f>
        <v>36.08</v>
      </c>
      <c r="U10" s="218"/>
      <c r="V10" s="218">
        <f>IFERROR(H10/$E10,0)</f>
        <v>1</v>
      </c>
      <c r="W10" s="218">
        <f>IFERROR(I10/$E10,0)</f>
        <v>1</v>
      </c>
      <c r="X10" s="218">
        <f>IFERROR(J10/$E10,0)</f>
        <v>1</v>
      </c>
      <c r="Y10" s="218">
        <f>IFERROR(K10/$E10,0)</f>
        <v>1</v>
      </c>
      <c r="Z10" s="218">
        <f t="shared" ref="Z10:AG41" si="5">IFERROR(L10/$F10,0)</f>
        <v>0</v>
      </c>
      <c r="AA10" s="218">
        <f t="shared" si="5"/>
        <v>0</v>
      </c>
      <c r="AB10" s="218">
        <f t="shared" si="5"/>
        <v>0</v>
      </c>
      <c r="AC10" s="218">
        <f t="shared" si="5"/>
        <v>0</v>
      </c>
      <c r="AD10" s="218">
        <f t="shared" si="5"/>
        <v>0</v>
      </c>
      <c r="AE10" s="218">
        <f t="shared" si="5"/>
        <v>0</v>
      </c>
      <c r="AF10" s="218">
        <f t="shared" si="5"/>
        <v>0</v>
      </c>
      <c r="AG10" s="218">
        <f t="shared" si="5"/>
        <v>0</v>
      </c>
      <c r="AH10" s="219">
        <f t="shared" ref="AH10:AH32" si="6">AVERAGE(V10:AG10)</f>
        <v>0.33333333333333331</v>
      </c>
      <c r="AI10" s="220"/>
    </row>
    <row r="11" spans="1:35" s="214" customFormat="1">
      <c r="A11" s="214" t="str">
        <f t="shared" ref="A11:A19" si="7">$A$1&amp;"Residential"&amp;C11</f>
        <v>MASON CO-REGULATEDResidential32RE2</v>
      </c>
      <c r="B11" s="214">
        <f t="shared" si="3"/>
        <v>1</v>
      </c>
      <c r="C11" s="215" t="s">
        <v>222</v>
      </c>
      <c r="D11" s="215" t="s">
        <v>407</v>
      </c>
      <c r="E11" s="216">
        <v>14.48</v>
      </c>
      <c r="F11" s="216">
        <v>14.63</v>
      </c>
      <c r="G11" s="217"/>
      <c r="H11" s="218">
        <v>14.48</v>
      </c>
      <c r="I11" s="218">
        <v>14.48</v>
      </c>
      <c r="J11" s="218">
        <v>14.48</v>
      </c>
      <c r="K11" s="218">
        <v>14.48</v>
      </c>
      <c r="L11" s="218">
        <v>14.63</v>
      </c>
      <c r="M11" s="218">
        <v>14.63</v>
      </c>
      <c r="N11" s="218">
        <v>14.63</v>
      </c>
      <c r="O11" s="218">
        <v>14.63</v>
      </c>
      <c r="P11" s="218">
        <v>0</v>
      </c>
      <c r="Q11" s="218">
        <v>0</v>
      </c>
      <c r="R11" s="218">
        <v>0</v>
      </c>
      <c r="S11" s="218">
        <v>0</v>
      </c>
      <c r="T11" s="218">
        <f t="shared" si="4"/>
        <v>116.43999999999998</v>
      </c>
      <c r="U11" s="218"/>
      <c r="V11" s="218">
        <f t="shared" ref="V11:Y74" si="8">IFERROR(H11/$E11,0)</f>
        <v>1</v>
      </c>
      <c r="W11" s="218">
        <f t="shared" si="8"/>
        <v>1</v>
      </c>
      <c r="X11" s="218">
        <f t="shared" si="8"/>
        <v>1</v>
      </c>
      <c r="Y11" s="218">
        <f t="shared" si="8"/>
        <v>1</v>
      </c>
      <c r="Z11" s="218">
        <f t="shared" si="5"/>
        <v>1</v>
      </c>
      <c r="AA11" s="218">
        <f t="shared" si="5"/>
        <v>1</v>
      </c>
      <c r="AB11" s="218">
        <f t="shared" si="5"/>
        <v>1</v>
      </c>
      <c r="AC11" s="218">
        <f t="shared" si="5"/>
        <v>1</v>
      </c>
      <c r="AD11" s="218">
        <f t="shared" si="5"/>
        <v>0</v>
      </c>
      <c r="AE11" s="218">
        <f t="shared" si="5"/>
        <v>0</v>
      </c>
      <c r="AF11" s="218">
        <f t="shared" si="5"/>
        <v>0</v>
      </c>
      <c r="AG11" s="218">
        <f t="shared" si="5"/>
        <v>0</v>
      </c>
      <c r="AH11" s="219">
        <f t="shared" si="6"/>
        <v>0.66666666666666663</v>
      </c>
      <c r="AI11" s="220"/>
    </row>
    <row r="12" spans="1:35" s="214" customFormat="1" ht="12">
      <c r="A12" s="214" t="str">
        <f>$A$1&amp;"Residential"&amp;C12</f>
        <v>MASON CO-REGULATEDResidential35RE1</v>
      </c>
      <c r="B12" s="214">
        <f t="shared" si="3"/>
        <v>1</v>
      </c>
      <c r="C12" s="215" t="s">
        <v>223</v>
      </c>
      <c r="D12" s="215" t="s">
        <v>408</v>
      </c>
      <c r="E12" s="216">
        <v>10.76</v>
      </c>
      <c r="F12" s="216">
        <v>10.87</v>
      </c>
      <c r="G12" s="217"/>
      <c r="H12" s="218">
        <v>23319.674999999999</v>
      </c>
      <c r="I12" s="218">
        <v>23267.014999999999</v>
      </c>
      <c r="J12" s="218">
        <v>22670.14</v>
      </c>
      <c r="K12" s="218">
        <v>22481.57</v>
      </c>
      <c r="L12" s="218">
        <v>22416.145</v>
      </c>
      <c r="M12" s="218">
        <v>22445.725000000002</v>
      </c>
      <c r="N12" s="218">
        <v>22447.679999999997</v>
      </c>
      <c r="O12" s="218">
        <v>22556.42</v>
      </c>
      <c r="P12" s="218">
        <v>23025.745000000003</v>
      </c>
      <c r="Q12" s="218">
        <v>23187.535</v>
      </c>
      <c r="R12" s="218">
        <v>22855.65</v>
      </c>
      <c r="S12" s="218">
        <v>22982.799999999999</v>
      </c>
      <c r="T12" s="218">
        <f t="shared" si="4"/>
        <v>273656.09999999998</v>
      </c>
      <c r="U12" s="218"/>
      <c r="V12" s="218">
        <f t="shared" si="8"/>
        <v>2167.2560408921931</v>
      </c>
      <c r="W12" s="218">
        <f t="shared" si="8"/>
        <v>2162.3619888475837</v>
      </c>
      <c r="X12" s="218">
        <f t="shared" si="8"/>
        <v>2106.8903345724907</v>
      </c>
      <c r="Y12" s="218">
        <f t="shared" si="8"/>
        <v>2089.3652416356877</v>
      </c>
      <c r="Z12" s="218">
        <f t="shared" si="5"/>
        <v>2062.2028518859247</v>
      </c>
      <c r="AA12" s="218">
        <f t="shared" si="5"/>
        <v>2064.9241030358789</v>
      </c>
      <c r="AB12" s="218">
        <f t="shared" si="5"/>
        <v>2065.103955841766</v>
      </c>
      <c r="AC12" s="218">
        <f t="shared" si="5"/>
        <v>2075.1076356945723</v>
      </c>
      <c r="AD12" s="218">
        <f t="shared" si="5"/>
        <v>2118.2838086476545</v>
      </c>
      <c r="AE12" s="218">
        <f t="shared" si="5"/>
        <v>2133.1678932842688</v>
      </c>
      <c r="AF12" s="218">
        <f t="shared" si="5"/>
        <v>2102.6356945722173</v>
      </c>
      <c r="AG12" s="218">
        <f t="shared" si="5"/>
        <v>2114.333026678933</v>
      </c>
      <c r="AH12" s="219">
        <f t="shared" si="6"/>
        <v>2105.1360479657642</v>
      </c>
    </row>
    <row r="13" spans="1:35" s="214" customFormat="1">
      <c r="A13" s="214" t="str">
        <f>$A$1&amp;"Residential"&amp;C13</f>
        <v>MASON CO-REGULATEDResidential48RE1</v>
      </c>
      <c r="B13" s="214">
        <f t="shared" si="3"/>
        <v>1</v>
      </c>
      <c r="C13" s="215" t="s">
        <v>224</v>
      </c>
      <c r="D13" s="215" t="s">
        <v>409</v>
      </c>
      <c r="E13" s="216">
        <v>14.23</v>
      </c>
      <c r="F13" s="216">
        <v>14.37</v>
      </c>
      <c r="G13" s="217"/>
      <c r="H13" s="218">
        <v>7069.5</v>
      </c>
      <c r="I13" s="218">
        <v>7221.7599999999993</v>
      </c>
      <c r="J13" s="218">
        <v>7254.4949999999999</v>
      </c>
      <c r="K13" s="218">
        <v>7386.6849999999995</v>
      </c>
      <c r="L13" s="218">
        <v>7687.86</v>
      </c>
      <c r="M13" s="218">
        <v>7695.05</v>
      </c>
      <c r="N13" s="218">
        <v>7943.7400000000007</v>
      </c>
      <c r="O13" s="218">
        <v>8163.41</v>
      </c>
      <c r="P13" s="218">
        <v>8469.2549999999992</v>
      </c>
      <c r="Q13" s="218">
        <v>8603.364999999998</v>
      </c>
      <c r="R13" s="218">
        <v>8865.5850000000009</v>
      </c>
      <c r="S13" s="218">
        <v>8894.215000000002</v>
      </c>
      <c r="T13" s="218">
        <f t="shared" si="4"/>
        <v>95254.92</v>
      </c>
      <c r="U13" s="218"/>
      <c r="V13" s="218">
        <f t="shared" si="8"/>
        <v>496.80252986647923</v>
      </c>
      <c r="W13" s="218">
        <f t="shared" si="8"/>
        <v>507.50245959241033</v>
      </c>
      <c r="X13" s="218">
        <f t="shared" si="8"/>
        <v>509.80288123682357</v>
      </c>
      <c r="Y13" s="218">
        <f t="shared" si="8"/>
        <v>519.09241040056213</v>
      </c>
      <c r="Z13" s="218">
        <f t="shared" si="5"/>
        <v>534.99373695198335</v>
      </c>
      <c r="AA13" s="218">
        <f t="shared" si="5"/>
        <v>535.49408489909536</v>
      </c>
      <c r="AB13" s="218">
        <f t="shared" si="5"/>
        <v>552.80027835768976</v>
      </c>
      <c r="AC13" s="218">
        <f t="shared" si="5"/>
        <v>568.08698677800976</v>
      </c>
      <c r="AD13" s="218">
        <f t="shared" si="5"/>
        <v>589.37056367432149</v>
      </c>
      <c r="AE13" s="218">
        <f t="shared" si="5"/>
        <v>598.70320111343062</v>
      </c>
      <c r="AF13" s="218">
        <f t="shared" si="5"/>
        <v>616.95093945720259</v>
      </c>
      <c r="AG13" s="218">
        <f t="shared" si="5"/>
        <v>618.94328462073781</v>
      </c>
      <c r="AH13" s="219">
        <f t="shared" si="6"/>
        <v>554.04527974572886</v>
      </c>
      <c r="AI13" s="220"/>
    </row>
    <row r="14" spans="1:35" s="214" customFormat="1" ht="12.75" customHeight="1">
      <c r="A14" s="214" t="str">
        <f>$A$1&amp;"Residential"&amp;C14</f>
        <v>MASON CO-REGULATEDResidential64RE1</v>
      </c>
      <c r="B14" s="214">
        <f t="shared" si="3"/>
        <v>1</v>
      </c>
      <c r="C14" s="220" t="s">
        <v>225</v>
      </c>
      <c r="D14" s="215" t="s">
        <v>410</v>
      </c>
      <c r="E14" s="216">
        <v>16.989999999999998</v>
      </c>
      <c r="F14" s="216">
        <v>17.14</v>
      </c>
      <c r="G14" s="217"/>
      <c r="H14" s="218">
        <v>9694.5249999999996</v>
      </c>
      <c r="I14" s="218">
        <v>9722.0949999999993</v>
      </c>
      <c r="J14" s="218">
        <v>9980.7900000000009</v>
      </c>
      <c r="K14" s="218">
        <v>10195.750000000002</v>
      </c>
      <c r="L14" s="218">
        <v>10541.1</v>
      </c>
      <c r="M14" s="218">
        <v>10552.24</v>
      </c>
      <c r="N14" s="218">
        <v>10746.78</v>
      </c>
      <c r="O14" s="218">
        <v>10899.31</v>
      </c>
      <c r="P14" s="218">
        <v>11266.014999999999</v>
      </c>
      <c r="Q14" s="218">
        <v>11428.555</v>
      </c>
      <c r="R14" s="218">
        <v>11749.465</v>
      </c>
      <c r="S14" s="218">
        <v>11842.025</v>
      </c>
      <c r="T14" s="218">
        <f t="shared" si="4"/>
        <v>128618.65</v>
      </c>
      <c r="U14" s="218"/>
      <c r="V14" s="218">
        <f t="shared" si="8"/>
        <v>570.60182460270755</v>
      </c>
      <c r="W14" s="218">
        <f t="shared" si="8"/>
        <v>572.22454384932314</v>
      </c>
      <c r="X14" s="218">
        <f t="shared" si="8"/>
        <v>587.45085344320194</v>
      </c>
      <c r="Y14" s="218">
        <f t="shared" si="8"/>
        <v>600.10300176574469</v>
      </c>
      <c r="Z14" s="218">
        <f t="shared" si="5"/>
        <v>615</v>
      </c>
      <c r="AA14" s="218">
        <f t="shared" si="5"/>
        <v>615.64994165694281</v>
      </c>
      <c r="AB14" s="218">
        <f t="shared" si="5"/>
        <v>627</v>
      </c>
      <c r="AC14" s="218">
        <f t="shared" si="5"/>
        <v>635.89906651108515</v>
      </c>
      <c r="AD14" s="218">
        <f t="shared" si="5"/>
        <v>657.29375729288211</v>
      </c>
      <c r="AE14" s="218">
        <f t="shared" si="5"/>
        <v>666.77683780630105</v>
      </c>
      <c r="AF14" s="218">
        <f t="shared" si="5"/>
        <v>685.49970828471407</v>
      </c>
      <c r="AG14" s="218">
        <f t="shared" si="5"/>
        <v>690.89994165694281</v>
      </c>
      <c r="AH14" s="219">
        <f t="shared" si="6"/>
        <v>627.0332897391537</v>
      </c>
      <c r="AI14" s="220"/>
    </row>
    <row r="15" spans="1:35" s="214" customFormat="1">
      <c r="A15" s="214" t="str">
        <f>$A$1&amp;"Residential"&amp;C15</f>
        <v>MASON CO-REGULATEDResidential96RE1</v>
      </c>
      <c r="B15" s="214">
        <f t="shared" si="3"/>
        <v>1</v>
      </c>
      <c r="C15" s="220" t="s">
        <v>226</v>
      </c>
      <c r="D15" s="215" t="s">
        <v>411</v>
      </c>
      <c r="E15" s="216">
        <v>21.26</v>
      </c>
      <c r="F15" s="216">
        <v>21.48</v>
      </c>
      <c r="G15" s="217"/>
      <c r="H15" s="218">
        <v>5469.1350000000002</v>
      </c>
      <c r="I15" s="218">
        <v>5481.8950000000004</v>
      </c>
      <c r="J15" s="218">
        <v>5723.19</v>
      </c>
      <c r="K15" s="218">
        <v>5684.4699999999993</v>
      </c>
      <c r="L15" s="218">
        <v>5947.81</v>
      </c>
      <c r="M15" s="218">
        <v>6056.63</v>
      </c>
      <c r="N15" s="218">
        <v>6232.9</v>
      </c>
      <c r="O15" s="218">
        <v>6301.63</v>
      </c>
      <c r="P15" s="218">
        <v>6479.4449999999997</v>
      </c>
      <c r="Q15" s="218">
        <v>6591.1449999999995</v>
      </c>
      <c r="R15" s="218">
        <v>6856.42</v>
      </c>
      <c r="S15" s="218">
        <v>6907.98</v>
      </c>
      <c r="T15" s="218">
        <f t="shared" si="4"/>
        <v>73732.649999999994</v>
      </c>
      <c r="U15" s="218"/>
      <c r="V15" s="218">
        <f t="shared" si="8"/>
        <v>257.25</v>
      </c>
      <c r="W15" s="218">
        <f t="shared" si="8"/>
        <v>257.85018814675448</v>
      </c>
      <c r="X15" s="218">
        <f t="shared" si="8"/>
        <v>269.19990592662271</v>
      </c>
      <c r="Y15" s="218">
        <f t="shared" si="8"/>
        <v>267.37864534336779</v>
      </c>
      <c r="Z15" s="218">
        <f t="shared" si="5"/>
        <v>276.89990689013035</v>
      </c>
      <c r="AA15" s="218">
        <f t="shared" si="5"/>
        <v>281.96601489757916</v>
      </c>
      <c r="AB15" s="218">
        <f t="shared" si="5"/>
        <v>290.17225325884539</v>
      </c>
      <c r="AC15" s="218">
        <f t="shared" si="5"/>
        <v>293.3719739292365</v>
      </c>
      <c r="AD15" s="218">
        <f t="shared" si="5"/>
        <v>301.65013966480444</v>
      </c>
      <c r="AE15" s="218">
        <f t="shared" si="5"/>
        <v>306.85032588454374</v>
      </c>
      <c r="AF15" s="218">
        <f t="shared" si="5"/>
        <v>319.20018621973929</v>
      </c>
      <c r="AG15" s="218">
        <f t="shared" si="5"/>
        <v>321.60055865921782</v>
      </c>
      <c r="AH15" s="219">
        <f t="shared" si="6"/>
        <v>286.94917490173685</v>
      </c>
      <c r="AI15" s="220"/>
    </row>
    <row r="16" spans="1:35" s="214" customFormat="1">
      <c r="A16" s="214" t="str">
        <f>$A$1&amp;"Residential"&amp;C16</f>
        <v>MASON CO-REGULATEDResidential20RW1</v>
      </c>
      <c r="B16" s="214">
        <f t="shared" si="3"/>
        <v>1</v>
      </c>
      <c r="C16" s="220" t="s">
        <v>227</v>
      </c>
      <c r="D16" s="215" t="s">
        <v>412</v>
      </c>
      <c r="E16" s="216">
        <v>13.25</v>
      </c>
      <c r="F16" s="216">
        <v>13.36</v>
      </c>
      <c r="G16" s="217"/>
      <c r="H16" s="218">
        <v>140.78</v>
      </c>
      <c r="I16" s="218">
        <v>140.78</v>
      </c>
      <c r="J16" s="218">
        <v>132.5</v>
      </c>
      <c r="K16" s="218">
        <v>122.57</v>
      </c>
      <c r="L16" s="218">
        <v>106.88</v>
      </c>
      <c r="M16" s="218">
        <v>103.91</v>
      </c>
      <c r="N16" s="218">
        <v>93.52</v>
      </c>
      <c r="O16" s="218">
        <v>103.53999999999999</v>
      </c>
      <c r="P16" s="218">
        <v>120.24</v>
      </c>
      <c r="Q16" s="218">
        <v>120.24</v>
      </c>
      <c r="R16" s="218">
        <v>111.33499999999999</v>
      </c>
      <c r="S16" s="218">
        <v>111.33499999999999</v>
      </c>
      <c r="T16" s="218">
        <f t="shared" si="4"/>
        <v>1407.6299999999999</v>
      </c>
      <c r="U16" s="218"/>
      <c r="V16" s="218">
        <f t="shared" si="8"/>
        <v>10.624905660377358</v>
      </c>
      <c r="W16" s="218">
        <f t="shared" si="8"/>
        <v>10.624905660377358</v>
      </c>
      <c r="X16" s="218">
        <f t="shared" si="8"/>
        <v>10</v>
      </c>
      <c r="Y16" s="218">
        <f t="shared" si="8"/>
        <v>9.2505660377358492</v>
      </c>
      <c r="Z16" s="218">
        <f t="shared" si="5"/>
        <v>8</v>
      </c>
      <c r="AA16" s="218">
        <f t="shared" si="5"/>
        <v>7.7776946107784433</v>
      </c>
      <c r="AB16" s="218">
        <f t="shared" si="5"/>
        <v>7</v>
      </c>
      <c r="AC16" s="218">
        <f t="shared" si="5"/>
        <v>7.75</v>
      </c>
      <c r="AD16" s="218">
        <f t="shared" si="5"/>
        <v>9</v>
      </c>
      <c r="AE16" s="218">
        <f t="shared" si="5"/>
        <v>9</v>
      </c>
      <c r="AF16" s="218">
        <f t="shared" si="5"/>
        <v>8.3334580838323351</v>
      </c>
      <c r="AG16" s="218">
        <f t="shared" si="5"/>
        <v>8.3334580838323351</v>
      </c>
      <c r="AH16" s="219">
        <f t="shared" si="6"/>
        <v>8.8079156780778067</v>
      </c>
      <c r="AI16" s="220"/>
    </row>
    <row r="17" spans="1:35" s="214" customFormat="1">
      <c r="A17" s="214" t="str">
        <f t="shared" si="7"/>
        <v>MASON CO-REGULATEDResidential32RW1</v>
      </c>
      <c r="B17" s="214">
        <f t="shared" si="3"/>
        <v>1</v>
      </c>
      <c r="C17" s="215" t="s">
        <v>228</v>
      </c>
      <c r="D17" s="215" t="s">
        <v>413</v>
      </c>
      <c r="E17" s="216">
        <v>15.77</v>
      </c>
      <c r="F17" s="216">
        <v>15.97</v>
      </c>
      <c r="G17" s="217"/>
      <c r="H17" s="218">
        <v>31.54</v>
      </c>
      <c r="I17" s="218">
        <v>-78.169999999999987</v>
      </c>
      <c r="J17" s="218">
        <v>31.54</v>
      </c>
      <c r="K17" s="218">
        <v>9.86</v>
      </c>
      <c r="L17" s="218">
        <v>0</v>
      </c>
      <c r="M17" s="218">
        <v>0</v>
      </c>
      <c r="N17" s="218">
        <v>0</v>
      </c>
      <c r="O17" s="218">
        <v>0</v>
      </c>
      <c r="P17" s="218">
        <v>0</v>
      </c>
      <c r="Q17" s="218">
        <v>0</v>
      </c>
      <c r="R17" s="218">
        <v>5.2549999999999999</v>
      </c>
      <c r="S17" s="218">
        <v>5.2549999999999999</v>
      </c>
      <c r="T17" s="218">
        <f t="shared" si="4"/>
        <v>5.28000000000001</v>
      </c>
      <c r="U17" s="218"/>
      <c r="V17" s="218">
        <f t="shared" si="8"/>
        <v>2</v>
      </c>
      <c r="W17" s="218">
        <f t="shared" si="8"/>
        <v>-4.9568801521876971</v>
      </c>
      <c r="X17" s="218">
        <f t="shared" si="8"/>
        <v>2</v>
      </c>
      <c r="Y17" s="218">
        <f t="shared" si="8"/>
        <v>0.6252377932783767</v>
      </c>
      <c r="Z17" s="218">
        <f t="shared" si="5"/>
        <v>0</v>
      </c>
      <c r="AA17" s="218">
        <f t="shared" si="5"/>
        <v>0</v>
      </c>
      <c r="AB17" s="218">
        <f t="shared" si="5"/>
        <v>0</v>
      </c>
      <c r="AC17" s="218">
        <f t="shared" si="5"/>
        <v>0</v>
      </c>
      <c r="AD17" s="218">
        <f t="shared" si="5"/>
        <v>0</v>
      </c>
      <c r="AE17" s="218">
        <f t="shared" si="5"/>
        <v>0</v>
      </c>
      <c r="AF17" s="218">
        <f t="shared" si="5"/>
        <v>0.3290544771446462</v>
      </c>
      <c r="AG17" s="218">
        <f t="shared" si="5"/>
        <v>0.3290544771446462</v>
      </c>
      <c r="AH17" s="219">
        <f t="shared" si="6"/>
        <v>2.720554961499767E-2</v>
      </c>
      <c r="AI17" s="220"/>
    </row>
    <row r="18" spans="1:35" s="214" customFormat="1" hidden="1">
      <c r="A18" s="214" t="str">
        <f t="shared" si="7"/>
        <v>MASON CO-REGULATEDResidential32RW2</v>
      </c>
      <c r="B18" s="214">
        <f t="shared" si="3"/>
        <v>1</v>
      </c>
      <c r="C18" s="215" t="s">
        <v>229</v>
      </c>
      <c r="D18" s="215" t="e">
        <v>#N/A</v>
      </c>
      <c r="E18" s="216">
        <v>23.57</v>
      </c>
      <c r="F18" s="216">
        <v>23.86</v>
      </c>
      <c r="G18" s="217"/>
      <c r="H18" s="218">
        <v>0</v>
      </c>
      <c r="I18" s="218">
        <v>0</v>
      </c>
      <c r="J18" s="218">
        <v>0</v>
      </c>
      <c r="K18" s="218">
        <v>0</v>
      </c>
      <c r="L18" s="218">
        <v>0</v>
      </c>
      <c r="M18" s="218">
        <v>0</v>
      </c>
      <c r="N18" s="218">
        <v>0</v>
      </c>
      <c r="O18" s="218">
        <v>0</v>
      </c>
      <c r="P18" s="218">
        <v>0</v>
      </c>
      <c r="Q18" s="218">
        <v>0</v>
      </c>
      <c r="R18" s="218">
        <v>0</v>
      </c>
      <c r="S18" s="218">
        <v>0</v>
      </c>
      <c r="T18" s="218">
        <f t="shared" si="4"/>
        <v>0</v>
      </c>
      <c r="U18" s="218"/>
      <c r="V18" s="218">
        <f t="shared" si="8"/>
        <v>0</v>
      </c>
      <c r="W18" s="218">
        <f t="shared" si="8"/>
        <v>0</v>
      </c>
      <c r="X18" s="218">
        <f t="shared" si="8"/>
        <v>0</v>
      </c>
      <c r="Y18" s="218">
        <f t="shared" si="8"/>
        <v>0</v>
      </c>
      <c r="Z18" s="218">
        <f t="shared" si="5"/>
        <v>0</v>
      </c>
      <c r="AA18" s="218">
        <f t="shared" si="5"/>
        <v>0</v>
      </c>
      <c r="AB18" s="218">
        <f t="shared" si="5"/>
        <v>0</v>
      </c>
      <c r="AC18" s="218">
        <f t="shared" si="5"/>
        <v>0</v>
      </c>
      <c r="AD18" s="218">
        <f t="shared" si="5"/>
        <v>0</v>
      </c>
      <c r="AE18" s="218">
        <f t="shared" si="5"/>
        <v>0</v>
      </c>
      <c r="AF18" s="218">
        <f t="shared" si="5"/>
        <v>0</v>
      </c>
      <c r="AG18" s="218">
        <f t="shared" si="5"/>
        <v>0</v>
      </c>
      <c r="AH18" s="219">
        <f t="shared" si="6"/>
        <v>0</v>
      </c>
      <c r="AI18" s="220"/>
    </row>
    <row r="19" spans="1:35" s="214" customFormat="1" hidden="1">
      <c r="A19" s="214" t="str">
        <f t="shared" si="7"/>
        <v>MASON CO-REGULATEDResidential32RW3</v>
      </c>
      <c r="B19" s="214">
        <f t="shared" si="3"/>
        <v>1</v>
      </c>
      <c r="C19" s="215" t="s">
        <v>230</v>
      </c>
      <c r="D19" s="215" t="e">
        <v>#N/A</v>
      </c>
      <c r="E19" s="216">
        <v>31.83</v>
      </c>
      <c r="F19" s="216">
        <v>32.270000000000003</v>
      </c>
      <c r="G19" s="217"/>
      <c r="H19" s="218">
        <v>0</v>
      </c>
      <c r="I19" s="218">
        <v>0</v>
      </c>
      <c r="J19" s="218">
        <v>0</v>
      </c>
      <c r="K19" s="218">
        <v>0</v>
      </c>
      <c r="L19" s="218">
        <v>0</v>
      </c>
      <c r="M19" s="218">
        <v>0</v>
      </c>
      <c r="N19" s="218">
        <v>0</v>
      </c>
      <c r="O19" s="218">
        <v>0</v>
      </c>
      <c r="P19" s="218">
        <v>0</v>
      </c>
      <c r="Q19" s="218">
        <v>0</v>
      </c>
      <c r="R19" s="218">
        <v>0</v>
      </c>
      <c r="S19" s="218">
        <v>0</v>
      </c>
      <c r="T19" s="218">
        <f t="shared" si="4"/>
        <v>0</v>
      </c>
      <c r="U19" s="218"/>
      <c r="V19" s="218">
        <f t="shared" si="8"/>
        <v>0</v>
      </c>
      <c r="W19" s="218">
        <f t="shared" si="8"/>
        <v>0</v>
      </c>
      <c r="X19" s="218">
        <f t="shared" si="8"/>
        <v>0</v>
      </c>
      <c r="Y19" s="218">
        <f t="shared" si="8"/>
        <v>0</v>
      </c>
      <c r="Z19" s="218">
        <f t="shared" si="5"/>
        <v>0</v>
      </c>
      <c r="AA19" s="218">
        <f t="shared" si="5"/>
        <v>0</v>
      </c>
      <c r="AB19" s="218">
        <f t="shared" si="5"/>
        <v>0</v>
      </c>
      <c r="AC19" s="218">
        <f t="shared" si="5"/>
        <v>0</v>
      </c>
      <c r="AD19" s="218">
        <f t="shared" si="5"/>
        <v>0</v>
      </c>
      <c r="AE19" s="218">
        <f t="shared" si="5"/>
        <v>0</v>
      </c>
      <c r="AF19" s="218">
        <f t="shared" si="5"/>
        <v>0</v>
      </c>
      <c r="AG19" s="218">
        <f t="shared" si="5"/>
        <v>0</v>
      </c>
      <c r="AH19" s="219">
        <f t="shared" si="6"/>
        <v>0</v>
      </c>
      <c r="AI19" s="220"/>
    </row>
    <row r="20" spans="1:35" s="214" customFormat="1" hidden="1">
      <c r="A20" s="214" t="str">
        <f>$A$1&amp;"Residential"&amp;C20</f>
        <v>MASON CO-REGULATEDResidential32RW4</v>
      </c>
      <c r="B20" s="214">
        <f t="shared" si="3"/>
        <v>1</v>
      </c>
      <c r="C20" s="220" t="s">
        <v>231</v>
      </c>
      <c r="D20" s="215" t="e">
        <v>#N/A</v>
      </c>
      <c r="E20" s="216">
        <v>40.81</v>
      </c>
      <c r="F20" s="216">
        <v>41.37</v>
      </c>
      <c r="G20" s="217"/>
      <c r="H20" s="218">
        <v>0</v>
      </c>
      <c r="I20" s="218">
        <v>0</v>
      </c>
      <c r="J20" s="218">
        <v>0</v>
      </c>
      <c r="K20" s="218">
        <v>0</v>
      </c>
      <c r="L20" s="218">
        <v>0</v>
      </c>
      <c r="M20" s="218">
        <v>0</v>
      </c>
      <c r="N20" s="218">
        <v>0</v>
      </c>
      <c r="O20" s="218">
        <v>0</v>
      </c>
      <c r="P20" s="218">
        <v>0</v>
      </c>
      <c r="Q20" s="218">
        <v>0</v>
      </c>
      <c r="R20" s="218">
        <v>0</v>
      </c>
      <c r="S20" s="218">
        <v>0</v>
      </c>
      <c r="T20" s="218">
        <f t="shared" si="4"/>
        <v>0</v>
      </c>
      <c r="U20" s="218"/>
      <c r="V20" s="218">
        <f t="shared" si="8"/>
        <v>0</v>
      </c>
      <c r="W20" s="218">
        <f t="shared" si="8"/>
        <v>0</v>
      </c>
      <c r="X20" s="218">
        <f t="shared" si="8"/>
        <v>0</v>
      </c>
      <c r="Y20" s="218">
        <f t="shared" si="8"/>
        <v>0</v>
      </c>
      <c r="Z20" s="218">
        <f t="shared" si="5"/>
        <v>0</v>
      </c>
      <c r="AA20" s="218">
        <f t="shared" si="5"/>
        <v>0</v>
      </c>
      <c r="AB20" s="218">
        <f t="shared" si="5"/>
        <v>0</v>
      </c>
      <c r="AC20" s="218">
        <f t="shared" si="5"/>
        <v>0</v>
      </c>
      <c r="AD20" s="218">
        <f t="shared" si="5"/>
        <v>0</v>
      </c>
      <c r="AE20" s="218">
        <f t="shared" si="5"/>
        <v>0</v>
      </c>
      <c r="AF20" s="218">
        <f t="shared" si="5"/>
        <v>0</v>
      </c>
      <c r="AG20" s="218">
        <f t="shared" si="5"/>
        <v>0</v>
      </c>
      <c r="AH20" s="219">
        <f t="shared" si="6"/>
        <v>0</v>
      </c>
      <c r="AI20" s="220"/>
    </row>
    <row r="21" spans="1:35" s="214" customFormat="1" hidden="1">
      <c r="A21" s="214" t="str">
        <f>$A$1&amp;"Residential"&amp;C21</f>
        <v>MASON CO-REGULATEDResidential32RW5</v>
      </c>
      <c r="B21" s="214">
        <f t="shared" si="3"/>
        <v>1</v>
      </c>
      <c r="C21" s="220" t="s">
        <v>232</v>
      </c>
      <c r="D21" s="215" t="e">
        <v>#N/A</v>
      </c>
      <c r="E21" s="216">
        <v>48.82</v>
      </c>
      <c r="F21" s="216">
        <v>49.49</v>
      </c>
      <c r="G21" s="217"/>
      <c r="H21" s="218">
        <v>0</v>
      </c>
      <c r="I21" s="218">
        <v>0</v>
      </c>
      <c r="J21" s="218">
        <v>0</v>
      </c>
      <c r="K21" s="218">
        <v>0</v>
      </c>
      <c r="L21" s="218">
        <v>0</v>
      </c>
      <c r="M21" s="218">
        <v>0</v>
      </c>
      <c r="N21" s="218">
        <v>0</v>
      </c>
      <c r="O21" s="218">
        <v>0</v>
      </c>
      <c r="P21" s="218">
        <v>0</v>
      </c>
      <c r="Q21" s="218">
        <v>0</v>
      </c>
      <c r="R21" s="218">
        <v>0</v>
      </c>
      <c r="S21" s="218">
        <v>0</v>
      </c>
      <c r="T21" s="218">
        <f t="shared" si="4"/>
        <v>0</v>
      </c>
      <c r="U21" s="218"/>
      <c r="V21" s="218">
        <f t="shared" si="8"/>
        <v>0</v>
      </c>
      <c r="W21" s="218">
        <f t="shared" si="8"/>
        <v>0</v>
      </c>
      <c r="X21" s="218">
        <f t="shared" si="8"/>
        <v>0</v>
      </c>
      <c r="Y21" s="218">
        <f t="shared" si="8"/>
        <v>0</v>
      </c>
      <c r="Z21" s="218">
        <f t="shared" si="5"/>
        <v>0</v>
      </c>
      <c r="AA21" s="218">
        <f t="shared" si="5"/>
        <v>0</v>
      </c>
      <c r="AB21" s="218">
        <f t="shared" si="5"/>
        <v>0</v>
      </c>
      <c r="AC21" s="218">
        <f t="shared" si="5"/>
        <v>0</v>
      </c>
      <c r="AD21" s="218">
        <f t="shared" si="5"/>
        <v>0</v>
      </c>
      <c r="AE21" s="218">
        <f t="shared" si="5"/>
        <v>0</v>
      </c>
      <c r="AF21" s="218">
        <f t="shared" si="5"/>
        <v>0</v>
      </c>
      <c r="AG21" s="218">
        <f t="shared" si="5"/>
        <v>0</v>
      </c>
      <c r="AH21" s="219">
        <f t="shared" si="6"/>
        <v>0</v>
      </c>
      <c r="AI21" s="220"/>
    </row>
    <row r="22" spans="1:35" s="214" customFormat="1" hidden="1">
      <c r="A22" s="214" t="str">
        <f>$A$1&amp;"Residential"&amp;C22</f>
        <v>MASON CO-REGULATEDResidential32RW6</v>
      </c>
      <c r="B22" s="214">
        <f t="shared" si="3"/>
        <v>1</v>
      </c>
      <c r="C22" s="220" t="s">
        <v>233</v>
      </c>
      <c r="D22" s="215" t="e">
        <v>#N/A</v>
      </c>
      <c r="E22" s="216">
        <v>56.8</v>
      </c>
      <c r="F22" s="216">
        <v>57.7</v>
      </c>
      <c r="G22" s="216"/>
      <c r="H22" s="218">
        <v>0</v>
      </c>
      <c r="I22" s="218">
        <v>0</v>
      </c>
      <c r="J22" s="218">
        <v>0</v>
      </c>
      <c r="K22" s="218">
        <v>0</v>
      </c>
      <c r="L22" s="218">
        <v>0</v>
      </c>
      <c r="M22" s="218">
        <v>0</v>
      </c>
      <c r="N22" s="218">
        <v>0</v>
      </c>
      <c r="O22" s="218">
        <v>0</v>
      </c>
      <c r="P22" s="218">
        <v>0</v>
      </c>
      <c r="Q22" s="218">
        <v>0</v>
      </c>
      <c r="R22" s="218">
        <v>0</v>
      </c>
      <c r="S22" s="218">
        <v>0</v>
      </c>
      <c r="T22" s="218">
        <f t="shared" si="4"/>
        <v>0</v>
      </c>
      <c r="U22" s="218"/>
      <c r="V22" s="218">
        <f t="shared" si="8"/>
        <v>0</v>
      </c>
      <c r="W22" s="218">
        <f t="shared" si="8"/>
        <v>0</v>
      </c>
      <c r="X22" s="218">
        <f t="shared" si="8"/>
        <v>0</v>
      </c>
      <c r="Y22" s="218">
        <f t="shared" si="8"/>
        <v>0</v>
      </c>
      <c r="Z22" s="218">
        <f t="shared" si="5"/>
        <v>0</v>
      </c>
      <c r="AA22" s="218">
        <f t="shared" si="5"/>
        <v>0</v>
      </c>
      <c r="AB22" s="218">
        <f t="shared" si="5"/>
        <v>0</v>
      </c>
      <c r="AC22" s="218">
        <f t="shared" si="5"/>
        <v>0</v>
      </c>
      <c r="AD22" s="218">
        <f t="shared" si="5"/>
        <v>0</v>
      </c>
      <c r="AE22" s="218">
        <f t="shared" si="5"/>
        <v>0</v>
      </c>
      <c r="AF22" s="218">
        <f t="shared" si="5"/>
        <v>0</v>
      </c>
      <c r="AG22" s="218">
        <f t="shared" si="5"/>
        <v>0</v>
      </c>
      <c r="AH22" s="219">
        <f t="shared" si="6"/>
        <v>0</v>
      </c>
      <c r="AI22" s="220"/>
    </row>
    <row r="23" spans="1:35" s="214" customFormat="1" ht="12">
      <c r="A23" s="214" t="str">
        <f t="shared" ref="A23:A53" si="9">$A$1&amp;"Residential"&amp;C23</f>
        <v>MASON CO-REGULATEDResidential35RW1</v>
      </c>
      <c r="B23" s="214">
        <f t="shared" si="3"/>
        <v>1</v>
      </c>
      <c r="C23" s="215" t="s">
        <v>234</v>
      </c>
      <c r="D23" s="215" t="s">
        <v>414</v>
      </c>
      <c r="E23" s="216">
        <v>18.09</v>
      </c>
      <c r="F23" s="216">
        <v>18.3</v>
      </c>
      <c r="G23" s="217"/>
      <c r="H23" s="218">
        <v>54191.630000000005</v>
      </c>
      <c r="I23" s="218">
        <v>52862.159999999996</v>
      </c>
      <c r="J23" s="218">
        <v>50558.350000000006</v>
      </c>
      <c r="K23" s="218">
        <v>50596.46</v>
      </c>
      <c r="L23" s="218">
        <v>50300.885000000002</v>
      </c>
      <c r="M23" s="218">
        <v>50098.574999999997</v>
      </c>
      <c r="N23" s="218">
        <v>49489.100000000006</v>
      </c>
      <c r="O23" s="218">
        <v>49993.18</v>
      </c>
      <c r="P23" s="218">
        <v>51837.605000000003</v>
      </c>
      <c r="Q23" s="218">
        <v>52217.294999999998</v>
      </c>
      <c r="R23" s="218">
        <v>53464.225000000006</v>
      </c>
      <c r="S23" s="218">
        <v>53430.615000000005</v>
      </c>
      <c r="T23" s="218">
        <f t="shared" si="4"/>
        <v>619040.07999999996</v>
      </c>
      <c r="U23" s="218"/>
      <c r="V23" s="218">
        <f t="shared" si="8"/>
        <v>2995.6677722498621</v>
      </c>
      <c r="W23" s="218">
        <f t="shared" si="8"/>
        <v>2922.1757877280265</v>
      </c>
      <c r="X23" s="218">
        <f t="shared" si="8"/>
        <v>2794.8231066887788</v>
      </c>
      <c r="Y23" s="218">
        <f t="shared" si="8"/>
        <v>2796.9297954671088</v>
      </c>
      <c r="Z23" s="218">
        <f t="shared" si="5"/>
        <v>2748.6822404371583</v>
      </c>
      <c r="AA23" s="218">
        <f t="shared" si="5"/>
        <v>2737.6270491803275</v>
      </c>
      <c r="AB23" s="218">
        <f t="shared" si="5"/>
        <v>2704.322404371585</v>
      </c>
      <c r="AC23" s="218">
        <f t="shared" si="5"/>
        <v>2731.8677595628415</v>
      </c>
      <c r="AD23" s="218">
        <f t="shared" si="5"/>
        <v>2832.6560109289617</v>
      </c>
      <c r="AE23" s="218">
        <f t="shared" si="5"/>
        <v>2853.4040983606556</v>
      </c>
      <c r="AF23" s="218">
        <f t="shared" si="5"/>
        <v>2921.5423497267761</v>
      </c>
      <c r="AG23" s="218">
        <f t="shared" si="5"/>
        <v>2919.7057377049182</v>
      </c>
      <c r="AH23" s="219">
        <f t="shared" si="6"/>
        <v>2829.9503427005839</v>
      </c>
    </row>
    <row r="24" spans="1:35" s="214" customFormat="1">
      <c r="A24" s="214" t="str">
        <f t="shared" si="9"/>
        <v>MASON CO-REGULATEDResidential45RW1</v>
      </c>
      <c r="B24" s="214">
        <f t="shared" si="3"/>
        <v>1</v>
      </c>
      <c r="C24" s="215" t="s">
        <v>235</v>
      </c>
      <c r="D24" s="215" t="s">
        <v>415</v>
      </c>
      <c r="E24" s="216">
        <v>21.21</v>
      </c>
      <c r="F24" s="216">
        <v>21.49</v>
      </c>
      <c r="G24" s="217"/>
      <c r="H24" s="218">
        <v>127.26</v>
      </c>
      <c r="I24" s="218">
        <v>127.26</v>
      </c>
      <c r="J24" s="218">
        <v>127.26</v>
      </c>
      <c r="K24" s="218">
        <v>127.26</v>
      </c>
      <c r="L24" s="218">
        <v>-127.25000000000001</v>
      </c>
      <c r="M24" s="218">
        <v>21.49</v>
      </c>
      <c r="N24" s="218">
        <v>21.49</v>
      </c>
      <c r="O24" s="218">
        <v>21.49</v>
      </c>
      <c r="P24" s="218">
        <v>0</v>
      </c>
      <c r="Q24" s="218">
        <v>0</v>
      </c>
      <c r="R24" s="218">
        <v>0</v>
      </c>
      <c r="S24" s="218">
        <v>0</v>
      </c>
      <c r="T24" s="218">
        <f t="shared" si="4"/>
        <v>446.26000000000005</v>
      </c>
      <c r="U24" s="218"/>
      <c r="V24" s="218">
        <f t="shared" si="8"/>
        <v>6</v>
      </c>
      <c r="W24" s="218">
        <f t="shared" si="8"/>
        <v>6</v>
      </c>
      <c r="X24" s="218">
        <f t="shared" si="8"/>
        <v>6</v>
      </c>
      <c r="Y24" s="218">
        <f t="shared" si="8"/>
        <v>6</v>
      </c>
      <c r="Z24" s="218">
        <f t="shared" si="5"/>
        <v>-5.9213587715216391</v>
      </c>
      <c r="AA24" s="218">
        <f t="shared" si="5"/>
        <v>1</v>
      </c>
      <c r="AB24" s="218">
        <f t="shared" si="5"/>
        <v>1</v>
      </c>
      <c r="AC24" s="218">
        <f t="shared" si="5"/>
        <v>1</v>
      </c>
      <c r="AD24" s="218">
        <f t="shared" si="5"/>
        <v>0</v>
      </c>
      <c r="AE24" s="218">
        <f t="shared" si="5"/>
        <v>0</v>
      </c>
      <c r="AF24" s="218">
        <f t="shared" si="5"/>
        <v>0</v>
      </c>
      <c r="AG24" s="218">
        <f t="shared" si="5"/>
        <v>0</v>
      </c>
      <c r="AH24" s="219">
        <f t="shared" si="6"/>
        <v>1.75655343570653</v>
      </c>
      <c r="AI24" s="220"/>
    </row>
    <row r="25" spans="1:35" s="214" customFormat="1">
      <c r="A25" s="214" t="str">
        <f t="shared" si="9"/>
        <v>MASON CO-REGULATEDResidential48RW1</v>
      </c>
      <c r="B25" s="214">
        <f t="shared" si="3"/>
        <v>1</v>
      </c>
      <c r="C25" s="215" t="s">
        <v>236</v>
      </c>
      <c r="D25" s="215" t="s">
        <v>416</v>
      </c>
      <c r="E25" s="216">
        <v>22.97</v>
      </c>
      <c r="F25" s="216">
        <v>23.25</v>
      </c>
      <c r="G25" s="217"/>
      <c r="H25" s="218">
        <v>32018.29</v>
      </c>
      <c r="I25" s="218">
        <v>31422.82</v>
      </c>
      <c r="J25" s="218">
        <v>31148.300000000003</v>
      </c>
      <c r="K25" s="218">
        <v>30791.640000000003</v>
      </c>
      <c r="L25" s="218">
        <v>30847.355</v>
      </c>
      <c r="M25" s="218">
        <v>30661.885000000002</v>
      </c>
      <c r="N25" s="218">
        <v>30739.82</v>
      </c>
      <c r="O25" s="218">
        <v>30983.329999999998</v>
      </c>
      <c r="P25" s="218">
        <v>32726.635000000002</v>
      </c>
      <c r="Q25" s="218">
        <v>33020.334999999999</v>
      </c>
      <c r="R25" s="218">
        <v>33882.974999999999</v>
      </c>
      <c r="S25" s="218">
        <v>33959.965000000004</v>
      </c>
      <c r="T25" s="218">
        <f t="shared" si="4"/>
        <v>382203.35000000003</v>
      </c>
      <c r="U25" s="218"/>
      <c r="V25" s="218">
        <f t="shared" si="8"/>
        <v>1393.9177187636049</v>
      </c>
      <c r="W25" s="218">
        <f t="shared" si="8"/>
        <v>1367.9939050936005</v>
      </c>
      <c r="X25" s="218">
        <f t="shared" si="8"/>
        <v>1356.0426643447977</v>
      </c>
      <c r="Y25" s="218">
        <f t="shared" si="8"/>
        <v>1340.515454941228</v>
      </c>
      <c r="Z25" s="218">
        <f t="shared" si="5"/>
        <v>1326.7679569892473</v>
      </c>
      <c r="AA25" s="218">
        <f t="shared" si="5"/>
        <v>1318.7907526881722</v>
      </c>
      <c r="AB25" s="218">
        <f t="shared" si="5"/>
        <v>1322.1427956989248</v>
      </c>
      <c r="AC25" s="218">
        <f t="shared" si="5"/>
        <v>1332.6163440860214</v>
      </c>
      <c r="AD25" s="218">
        <f t="shared" si="5"/>
        <v>1407.5972043010754</v>
      </c>
      <c r="AE25" s="218">
        <f t="shared" si="5"/>
        <v>1420.2294623655914</v>
      </c>
      <c r="AF25" s="218">
        <f t="shared" si="5"/>
        <v>1457.3322580645161</v>
      </c>
      <c r="AG25" s="218">
        <f t="shared" si="5"/>
        <v>1460.6436559139786</v>
      </c>
      <c r="AH25" s="219">
        <f t="shared" si="6"/>
        <v>1375.3825144375633</v>
      </c>
      <c r="AI25" s="220"/>
    </row>
    <row r="26" spans="1:35" s="214" customFormat="1">
      <c r="A26" s="214" t="str">
        <f t="shared" si="9"/>
        <v>MASON CO-REGULATEDResidential64RW1</v>
      </c>
      <c r="B26" s="214">
        <f t="shared" si="3"/>
        <v>1</v>
      </c>
      <c r="C26" s="215" t="s">
        <v>237</v>
      </c>
      <c r="D26" s="215" t="s">
        <v>417</v>
      </c>
      <c r="E26" s="216">
        <v>28.09</v>
      </c>
      <c r="F26" s="216">
        <v>28.38</v>
      </c>
      <c r="G26" s="217"/>
      <c r="H26" s="218">
        <v>31018.275000000001</v>
      </c>
      <c r="I26" s="218">
        <v>30075.715</v>
      </c>
      <c r="J26" s="218">
        <v>30647.629999999997</v>
      </c>
      <c r="K26" s="218">
        <v>30219.35</v>
      </c>
      <c r="L26" s="218">
        <v>31291.764999999999</v>
      </c>
      <c r="M26" s="218">
        <v>31004.155000000002</v>
      </c>
      <c r="N26" s="218">
        <v>31881.52</v>
      </c>
      <c r="O26" s="218">
        <v>31938.190000000002</v>
      </c>
      <c r="P26" s="218">
        <v>33746.974999999999</v>
      </c>
      <c r="Q26" s="218">
        <v>33636.735000000001</v>
      </c>
      <c r="R26" s="218">
        <v>35746.560000000005</v>
      </c>
      <c r="S26" s="218">
        <v>35796.86</v>
      </c>
      <c r="T26" s="218">
        <f t="shared" si="4"/>
        <v>387003.72999999992</v>
      </c>
      <c r="U26" s="218"/>
      <c r="V26" s="218">
        <f t="shared" si="8"/>
        <v>1104.2461730153079</v>
      </c>
      <c r="W26" s="218">
        <f t="shared" si="8"/>
        <v>1070.6911712353151</v>
      </c>
      <c r="X26" s="218">
        <f t="shared" si="8"/>
        <v>1091.0512637949448</v>
      </c>
      <c r="Y26" s="218">
        <f t="shared" si="8"/>
        <v>1075.8045567817728</v>
      </c>
      <c r="Z26" s="218">
        <f t="shared" si="5"/>
        <v>1102.5991895701197</v>
      </c>
      <c r="AA26" s="218">
        <f t="shared" si="5"/>
        <v>1092.4649400986611</v>
      </c>
      <c r="AB26" s="218">
        <f t="shared" si="5"/>
        <v>1123.3798449612405</v>
      </c>
      <c r="AC26" s="218">
        <f t="shared" si="5"/>
        <v>1125.3766737138831</v>
      </c>
      <c r="AD26" s="218">
        <f t="shared" si="5"/>
        <v>1189.1111698379141</v>
      </c>
      <c r="AE26" s="218">
        <f t="shared" si="5"/>
        <v>1185.2267441860465</v>
      </c>
      <c r="AF26" s="218">
        <f t="shared" si="5"/>
        <v>1259.5687103594082</v>
      </c>
      <c r="AG26" s="218">
        <f t="shared" si="5"/>
        <v>1261.341085271318</v>
      </c>
      <c r="AH26" s="219">
        <f t="shared" si="6"/>
        <v>1140.0717935688276</v>
      </c>
      <c r="AI26" s="220"/>
    </row>
    <row r="27" spans="1:35" s="214" customFormat="1">
      <c r="A27" s="214" t="str">
        <f t="shared" si="9"/>
        <v>MASON CO-REGULATEDResidential96RW1</v>
      </c>
      <c r="B27" s="214">
        <f t="shared" si="3"/>
        <v>1</v>
      </c>
      <c r="C27" s="220" t="s">
        <v>238</v>
      </c>
      <c r="D27" s="215" t="s">
        <v>418</v>
      </c>
      <c r="E27" s="216">
        <v>34.979999999999997</v>
      </c>
      <c r="F27" s="216">
        <v>35.42</v>
      </c>
      <c r="G27" s="217"/>
      <c r="H27" s="218">
        <v>19083.37</v>
      </c>
      <c r="I27" s="218">
        <v>18514.77</v>
      </c>
      <c r="J27" s="218">
        <v>19179.544999999998</v>
      </c>
      <c r="K27" s="218">
        <v>18494.084999999999</v>
      </c>
      <c r="L27" s="218">
        <v>19561.984999999997</v>
      </c>
      <c r="M27" s="218">
        <v>19191.134999999998</v>
      </c>
      <c r="N27" s="218">
        <v>19814.25</v>
      </c>
      <c r="O27" s="218">
        <v>19334.390000000003</v>
      </c>
      <c r="P27" s="218">
        <v>20803.559999999998</v>
      </c>
      <c r="Q27" s="218">
        <v>20707.57</v>
      </c>
      <c r="R27" s="218">
        <v>22063.394999999997</v>
      </c>
      <c r="S27" s="218">
        <v>22290.935000000001</v>
      </c>
      <c r="T27" s="218">
        <f t="shared" si="4"/>
        <v>239038.99</v>
      </c>
      <c r="U27" s="218"/>
      <c r="V27" s="218">
        <f t="shared" si="8"/>
        <v>545.55088622069752</v>
      </c>
      <c r="W27" s="218">
        <f t="shared" si="8"/>
        <v>529.29588336192114</v>
      </c>
      <c r="X27" s="218">
        <f t="shared" si="8"/>
        <v>548.30031446540886</v>
      </c>
      <c r="Y27" s="218">
        <f t="shared" si="8"/>
        <v>528.7045454545455</v>
      </c>
      <c r="Z27" s="218">
        <f t="shared" si="5"/>
        <v>552.28642010163742</v>
      </c>
      <c r="AA27" s="218">
        <f t="shared" si="5"/>
        <v>541.81634669678135</v>
      </c>
      <c r="AB27" s="218">
        <f t="shared" si="5"/>
        <v>559.40852625635227</v>
      </c>
      <c r="AC27" s="218">
        <f t="shared" si="5"/>
        <v>545.86081309994358</v>
      </c>
      <c r="AD27" s="218">
        <f t="shared" si="5"/>
        <v>587.33935629587791</v>
      </c>
      <c r="AE27" s="218">
        <f t="shared" si="5"/>
        <v>584.62930547713154</v>
      </c>
      <c r="AF27" s="218">
        <f t="shared" si="5"/>
        <v>622.90782044042896</v>
      </c>
      <c r="AG27" s="218">
        <f t="shared" si="5"/>
        <v>629.33187464709204</v>
      </c>
      <c r="AH27" s="219">
        <f t="shared" si="6"/>
        <v>564.61934104315139</v>
      </c>
      <c r="AI27" s="220"/>
    </row>
    <row r="28" spans="1:35" s="214" customFormat="1">
      <c r="A28" s="214" t="str">
        <f t="shared" si="9"/>
        <v>MASON CO-REGULATEDResidential32RM1</v>
      </c>
      <c r="B28" s="214">
        <f t="shared" si="3"/>
        <v>1</v>
      </c>
      <c r="C28" s="215" t="s">
        <v>239</v>
      </c>
      <c r="D28" s="215" t="s">
        <v>419</v>
      </c>
      <c r="E28" s="216">
        <v>4.9800000000000004</v>
      </c>
      <c r="F28" s="216">
        <v>5.03</v>
      </c>
      <c r="G28" s="217"/>
      <c r="H28" s="218">
        <v>4.9800000000000004</v>
      </c>
      <c r="I28" s="218">
        <v>4.9800000000000004</v>
      </c>
      <c r="J28" s="218">
        <v>0</v>
      </c>
      <c r="K28" s="218">
        <v>4.9800000000000004</v>
      </c>
      <c r="L28" s="218">
        <v>0</v>
      </c>
      <c r="M28" s="218">
        <v>0</v>
      </c>
      <c r="N28" s="218">
        <v>0</v>
      </c>
      <c r="O28" s="218">
        <v>0</v>
      </c>
      <c r="P28" s="218">
        <v>0</v>
      </c>
      <c r="Q28" s="218">
        <v>0</v>
      </c>
      <c r="R28" s="218">
        <v>0</v>
      </c>
      <c r="S28" s="218">
        <v>0</v>
      </c>
      <c r="T28" s="218">
        <f t="shared" si="4"/>
        <v>14.940000000000001</v>
      </c>
      <c r="U28" s="218"/>
      <c r="V28" s="218">
        <f t="shared" si="8"/>
        <v>1</v>
      </c>
      <c r="W28" s="218">
        <f t="shared" si="8"/>
        <v>1</v>
      </c>
      <c r="X28" s="218">
        <f t="shared" si="8"/>
        <v>0</v>
      </c>
      <c r="Y28" s="218">
        <f t="shared" si="8"/>
        <v>1</v>
      </c>
      <c r="Z28" s="218">
        <f t="shared" si="5"/>
        <v>0</v>
      </c>
      <c r="AA28" s="218">
        <f t="shared" si="5"/>
        <v>0</v>
      </c>
      <c r="AB28" s="218">
        <f t="shared" si="5"/>
        <v>0</v>
      </c>
      <c r="AC28" s="218">
        <f t="shared" si="5"/>
        <v>0</v>
      </c>
      <c r="AD28" s="218">
        <f t="shared" si="5"/>
        <v>0</v>
      </c>
      <c r="AE28" s="218">
        <f t="shared" si="5"/>
        <v>0</v>
      </c>
      <c r="AF28" s="218">
        <f t="shared" si="5"/>
        <v>0</v>
      </c>
      <c r="AG28" s="218">
        <f t="shared" si="5"/>
        <v>0</v>
      </c>
      <c r="AH28" s="219">
        <f t="shared" si="6"/>
        <v>0.25</v>
      </c>
      <c r="AI28" s="220"/>
    </row>
    <row r="29" spans="1:35" s="214" customFormat="1">
      <c r="A29" s="214" t="str">
        <f t="shared" si="9"/>
        <v>MASON CO-REGULATEDResidential35RM1</v>
      </c>
      <c r="B29" s="214">
        <f t="shared" si="3"/>
        <v>1</v>
      </c>
      <c r="C29" s="220" t="s">
        <v>240</v>
      </c>
      <c r="D29" s="215" t="s">
        <v>420</v>
      </c>
      <c r="E29" s="216">
        <v>6.4</v>
      </c>
      <c r="F29" s="216">
        <v>6.45</v>
      </c>
      <c r="G29" s="217"/>
      <c r="H29" s="218">
        <v>1702.4</v>
      </c>
      <c r="I29" s="218">
        <v>1696</v>
      </c>
      <c r="J29" s="218">
        <v>1660.8</v>
      </c>
      <c r="K29" s="218">
        <v>1641.6</v>
      </c>
      <c r="L29" s="218">
        <v>1706.0250000000001</v>
      </c>
      <c r="M29" s="218">
        <v>1706.0249999999999</v>
      </c>
      <c r="N29" s="218">
        <v>1689.9</v>
      </c>
      <c r="O29" s="218">
        <v>1683.3600000000001</v>
      </c>
      <c r="P29" s="218">
        <v>1660.875</v>
      </c>
      <c r="Q29" s="218">
        <v>1667.3249999999998</v>
      </c>
      <c r="R29" s="218">
        <v>1612.5</v>
      </c>
      <c r="S29" s="218">
        <v>1612.5</v>
      </c>
      <c r="T29" s="218">
        <f t="shared" si="4"/>
        <v>20039.309999999998</v>
      </c>
      <c r="U29" s="218"/>
      <c r="V29" s="218">
        <f t="shared" si="8"/>
        <v>266</v>
      </c>
      <c r="W29" s="218">
        <f t="shared" si="8"/>
        <v>265</v>
      </c>
      <c r="X29" s="218">
        <f t="shared" si="8"/>
        <v>259.5</v>
      </c>
      <c r="Y29" s="218">
        <f t="shared" si="8"/>
        <v>256.49999999999994</v>
      </c>
      <c r="Z29" s="218">
        <f t="shared" si="5"/>
        <v>264.5</v>
      </c>
      <c r="AA29" s="218">
        <f t="shared" si="5"/>
        <v>264.49999999999994</v>
      </c>
      <c r="AB29" s="218">
        <f t="shared" si="5"/>
        <v>262</v>
      </c>
      <c r="AC29" s="218">
        <f t="shared" si="5"/>
        <v>260.98604651162793</v>
      </c>
      <c r="AD29" s="218">
        <f t="shared" si="5"/>
        <v>257.5</v>
      </c>
      <c r="AE29" s="218">
        <f t="shared" si="5"/>
        <v>258.49999999999994</v>
      </c>
      <c r="AF29" s="218">
        <f t="shared" si="5"/>
        <v>250</v>
      </c>
      <c r="AG29" s="218">
        <f t="shared" si="5"/>
        <v>250</v>
      </c>
      <c r="AH29" s="219">
        <f t="shared" si="6"/>
        <v>259.58217054263565</v>
      </c>
      <c r="AI29" s="220"/>
    </row>
    <row r="30" spans="1:35" s="214" customFormat="1">
      <c r="A30" s="214" t="str">
        <f t="shared" si="9"/>
        <v>MASON CO-REGULATEDResidential48RM1</v>
      </c>
      <c r="B30" s="214">
        <f t="shared" si="3"/>
        <v>1</v>
      </c>
      <c r="C30" s="220" t="s">
        <v>241</v>
      </c>
      <c r="D30" s="215" t="s">
        <v>421</v>
      </c>
      <c r="E30" s="216">
        <v>8.02</v>
      </c>
      <c r="F30" s="216">
        <v>8.08</v>
      </c>
      <c r="G30" s="217"/>
      <c r="H30" s="218">
        <v>308.77</v>
      </c>
      <c r="I30" s="218">
        <v>308.77</v>
      </c>
      <c r="J30" s="218">
        <v>324.81</v>
      </c>
      <c r="K30" s="218">
        <v>340.85</v>
      </c>
      <c r="L30" s="218">
        <v>327.24</v>
      </c>
      <c r="M30" s="218">
        <v>327.24</v>
      </c>
      <c r="N30" s="218">
        <v>339.36</v>
      </c>
      <c r="O30" s="218">
        <v>347.44</v>
      </c>
      <c r="P30" s="218">
        <v>371.68</v>
      </c>
      <c r="Q30" s="218">
        <v>363.6</v>
      </c>
      <c r="R30" s="218">
        <v>383.8</v>
      </c>
      <c r="S30" s="218">
        <v>367.64</v>
      </c>
      <c r="T30" s="218">
        <f t="shared" si="4"/>
        <v>4111.2</v>
      </c>
      <c r="U30" s="218"/>
      <c r="V30" s="218">
        <f t="shared" si="8"/>
        <v>38.5</v>
      </c>
      <c r="W30" s="218">
        <f t="shared" si="8"/>
        <v>38.5</v>
      </c>
      <c r="X30" s="218">
        <f t="shared" si="8"/>
        <v>40.5</v>
      </c>
      <c r="Y30" s="218">
        <f t="shared" si="8"/>
        <v>42.500000000000007</v>
      </c>
      <c r="Z30" s="218">
        <f t="shared" si="5"/>
        <v>40.5</v>
      </c>
      <c r="AA30" s="218">
        <f t="shared" si="5"/>
        <v>40.5</v>
      </c>
      <c r="AB30" s="218">
        <f t="shared" si="5"/>
        <v>42</v>
      </c>
      <c r="AC30" s="218">
        <f t="shared" si="5"/>
        <v>43</v>
      </c>
      <c r="AD30" s="218">
        <f t="shared" si="5"/>
        <v>46</v>
      </c>
      <c r="AE30" s="218">
        <f t="shared" si="5"/>
        <v>45</v>
      </c>
      <c r="AF30" s="218">
        <f t="shared" si="5"/>
        <v>47.5</v>
      </c>
      <c r="AG30" s="218">
        <f t="shared" si="5"/>
        <v>45.5</v>
      </c>
      <c r="AH30" s="219">
        <f t="shared" si="6"/>
        <v>42.5</v>
      </c>
      <c r="AI30" s="220"/>
    </row>
    <row r="31" spans="1:35" s="214" customFormat="1">
      <c r="A31" s="214" t="str">
        <f t="shared" si="9"/>
        <v>MASON CO-REGULATEDResidential64RM1</v>
      </c>
      <c r="B31" s="214">
        <f t="shared" si="3"/>
        <v>1</v>
      </c>
      <c r="C31" s="220" t="s">
        <v>242</v>
      </c>
      <c r="D31" s="215" t="s">
        <v>422</v>
      </c>
      <c r="E31" s="216">
        <v>9.4700000000000006</v>
      </c>
      <c r="F31" s="216">
        <v>9.5399999999999991</v>
      </c>
      <c r="G31" s="217"/>
      <c r="H31" s="218">
        <v>274.63</v>
      </c>
      <c r="I31" s="218">
        <v>293.57</v>
      </c>
      <c r="J31" s="218">
        <v>312.51</v>
      </c>
      <c r="K31" s="218">
        <v>321.98</v>
      </c>
      <c r="L31" s="218">
        <v>329.13</v>
      </c>
      <c r="M31" s="218">
        <v>348.21</v>
      </c>
      <c r="N31" s="218">
        <v>352.98</v>
      </c>
      <c r="O31" s="218">
        <v>362.52000000000004</v>
      </c>
      <c r="P31" s="218">
        <v>329.13</v>
      </c>
      <c r="Q31" s="218">
        <v>319.58999999999997</v>
      </c>
      <c r="R31" s="218">
        <v>295.74</v>
      </c>
      <c r="S31" s="218">
        <v>286.2</v>
      </c>
      <c r="T31" s="218">
        <f t="shared" si="4"/>
        <v>3826.1900000000005</v>
      </c>
      <c r="U31" s="218"/>
      <c r="V31" s="218">
        <f t="shared" si="8"/>
        <v>28.999999999999996</v>
      </c>
      <c r="W31" s="218">
        <f t="shared" si="8"/>
        <v>30.999999999999996</v>
      </c>
      <c r="X31" s="218">
        <f t="shared" si="8"/>
        <v>33</v>
      </c>
      <c r="Y31" s="218">
        <f t="shared" si="8"/>
        <v>34</v>
      </c>
      <c r="Z31" s="218">
        <f t="shared" si="5"/>
        <v>34.5</v>
      </c>
      <c r="AA31" s="218">
        <f t="shared" si="5"/>
        <v>36.5</v>
      </c>
      <c r="AB31" s="218">
        <f t="shared" si="5"/>
        <v>37.000000000000007</v>
      </c>
      <c r="AC31" s="218">
        <f t="shared" si="5"/>
        <v>38.000000000000007</v>
      </c>
      <c r="AD31" s="218">
        <f t="shared" si="5"/>
        <v>34.5</v>
      </c>
      <c r="AE31" s="218">
        <f t="shared" si="5"/>
        <v>33.5</v>
      </c>
      <c r="AF31" s="218">
        <f t="shared" si="5"/>
        <v>31.000000000000004</v>
      </c>
      <c r="AG31" s="218">
        <f t="shared" si="5"/>
        <v>30</v>
      </c>
      <c r="AH31" s="219">
        <f t="shared" si="6"/>
        <v>33.5</v>
      </c>
      <c r="AI31" s="220"/>
    </row>
    <row r="32" spans="1:35" s="214" customFormat="1">
      <c r="A32" s="214" t="str">
        <f t="shared" si="9"/>
        <v>MASON CO-REGULATEDResidential96RM1</v>
      </c>
      <c r="B32" s="214">
        <f t="shared" si="3"/>
        <v>1</v>
      </c>
      <c r="C32" s="220" t="s">
        <v>243</v>
      </c>
      <c r="D32" s="215" t="s">
        <v>423</v>
      </c>
      <c r="E32" s="216">
        <v>11.67</v>
      </c>
      <c r="F32" s="216">
        <v>11.77</v>
      </c>
      <c r="G32" s="217"/>
      <c r="H32" s="218">
        <v>285.91500000000002</v>
      </c>
      <c r="I32" s="218">
        <v>297.58500000000004</v>
      </c>
      <c r="J32" s="218">
        <v>274.245</v>
      </c>
      <c r="K32" s="218">
        <v>274.245</v>
      </c>
      <c r="L32" s="218">
        <v>306.02</v>
      </c>
      <c r="M32" s="218">
        <v>329.56</v>
      </c>
      <c r="N32" s="218">
        <v>370.755</v>
      </c>
      <c r="O32" s="218">
        <v>358.98500000000001</v>
      </c>
      <c r="P32" s="218">
        <v>376.64</v>
      </c>
      <c r="Q32" s="218">
        <v>353.09999999999997</v>
      </c>
      <c r="R32" s="218">
        <v>376.64</v>
      </c>
      <c r="S32" s="218">
        <v>388.40999999999997</v>
      </c>
      <c r="T32" s="218">
        <f t="shared" si="4"/>
        <v>3992.0999999999995</v>
      </c>
      <c r="U32" s="218"/>
      <c r="V32" s="218">
        <f t="shared" si="8"/>
        <v>24.500000000000004</v>
      </c>
      <c r="W32" s="218">
        <f t="shared" si="8"/>
        <v>25.500000000000004</v>
      </c>
      <c r="X32" s="218">
        <f t="shared" si="8"/>
        <v>23.5</v>
      </c>
      <c r="Y32" s="218">
        <f t="shared" si="8"/>
        <v>23.5</v>
      </c>
      <c r="Z32" s="218">
        <f t="shared" si="5"/>
        <v>26</v>
      </c>
      <c r="AA32" s="218">
        <f t="shared" si="5"/>
        <v>28</v>
      </c>
      <c r="AB32" s="218">
        <f t="shared" si="5"/>
        <v>31.5</v>
      </c>
      <c r="AC32" s="218">
        <f t="shared" si="5"/>
        <v>30.500000000000004</v>
      </c>
      <c r="AD32" s="218">
        <f t="shared" si="5"/>
        <v>32</v>
      </c>
      <c r="AE32" s="218">
        <f t="shared" si="5"/>
        <v>29.999999999999996</v>
      </c>
      <c r="AF32" s="218">
        <f t="shared" si="5"/>
        <v>32</v>
      </c>
      <c r="AG32" s="218">
        <f t="shared" si="5"/>
        <v>33</v>
      </c>
      <c r="AH32" s="219">
        <f t="shared" si="6"/>
        <v>28.333333333333332</v>
      </c>
      <c r="AI32" s="220"/>
    </row>
    <row r="33" spans="1:35" s="214" customFormat="1">
      <c r="A33" s="214" t="str">
        <f t="shared" si="9"/>
        <v>MASON CO-REGULATEDResidentialEXPUR</v>
      </c>
      <c r="B33" s="214">
        <f t="shared" si="3"/>
        <v>1</v>
      </c>
      <c r="C33" s="220" t="s">
        <v>244</v>
      </c>
      <c r="D33" s="215" t="s">
        <v>424</v>
      </c>
      <c r="E33" s="216">
        <v>4.46</v>
      </c>
      <c r="F33" s="216">
        <v>4.51</v>
      </c>
      <c r="G33" s="217"/>
      <c r="H33" s="218">
        <v>321.12</v>
      </c>
      <c r="I33" s="218">
        <v>396.94</v>
      </c>
      <c r="J33" s="218">
        <v>388.02</v>
      </c>
      <c r="K33" s="218">
        <v>430.39</v>
      </c>
      <c r="L33" s="218">
        <v>827.79</v>
      </c>
      <c r="M33" s="218">
        <v>277.39999999999998</v>
      </c>
      <c r="N33" s="218">
        <v>595.42999999999995</v>
      </c>
      <c r="O33" s="218">
        <v>721.8</v>
      </c>
      <c r="P33" s="218">
        <v>793.87</v>
      </c>
      <c r="Q33" s="218">
        <v>922.38</v>
      </c>
      <c r="R33" s="218">
        <v>1105.1199999999999</v>
      </c>
      <c r="S33" s="218">
        <v>661.3</v>
      </c>
      <c r="T33" s="218">
        <f t="shared" si="4"/>
        <v>7441.5599999999995</v>
      </c>
      <c r="U33" s="218"/>
      <c r="V33" s="218">
        <f t="shared" si="8"/>
        <v>72</v>
      </c>
      <c r="W33" s="218">
        <f t="shared" si="8"/>
        <v>89</v>
      </c>
      <c r="X33" s="218">
        <f t="shared" si="8"/>
        <v>87</v>
      </c>
      <c r="Y33" s="218">
        <f t="shared" si="8"/>
        <v>96.5</v>
      </c>
      <c r="Z33" s="218">
        <f t="shared" si="5"/>
        <v>183.54545454545453</v>
      </c>
      <c r="AA33" s="218">
        <f t="shared" si="5"/>
        <v>61.507760532150776</v>
      </c>
      <c r="AB33" s="218">
        <f t="shared" si="5"/>
        <v>132.02439024390245</v>
      </c>
      <c r="AC33" s="218">
        <f t="shared" si="5"/>
        <v>160.04434589800442</v>
      </c>
      <c r="AD33" s="218">
        <f t="shared" si="5"/>
        <v>176.02439024390245</v>
      </c>
      <c r="AE33" s="218">
        <f t="shared" si="5"/>
        <v>204.5188470066519</v>
      </c>
      <c r="AF33" s="218">
        <f t="shared" si="5"/>
        <v>245.03769401330376</v>
      </c>
      <c r="AG33" s="218">
        <f t="shared" si="5"/>
        <v>146.62971175166297</v>
      </c>
      <c r="AI33" s="220"/>
    </row>
    <row r="34" spans="1:35" s="214" customFormat="1">
      <c r="A34" s="214" t="str">
        <f t="shared" si="9"/>
        <v>MASON CO-REGULATEDResidentialEXTRAR</v>
      </c>
      <c r="B34" s="214">
        <f t="shared" si="3"/>
        <v>1</v>
      </c>
      <c r="C34" s="220" t="s">
        <v>245</v>
      </c>
      <c r="D34" s="215" t="s">
        <v>425</v>
      </c>
      <c r="E34" s="216">
        <v>4.46</v>
      </c>
      <c r="F34" s="216">
        <v>4.51</v>
      </c>
      <c r="G34" s="217"/>
      <c r="H34" s="218">
        <v>2591.2599999999998</v>
      </c>
      <c r="I34" s="218">
        <v>2519.9</v>
      </c>
      <c r="J34" s="218">
        <v>2720.6</v>
      </c>
      <c r="K34" s="218">
        <v>2124.5300000000002</v>
      </c>
      <c r="L34" s="218">
        <v>2462.6099999999997</v>
      </c>
      <c r="M34" s="218">
        <v>1326.3400000000001</v>
      </c>
      <c r="N34" s="218">
        <v>1853.71</v>
      </c>
      <c r="O34" s="218">
        <v>2209.9</v>
      </c>
      <c r="P34" s="218">
        <v>3093.86</v>
      </c>
      <c r="Q34" s="218">
        <v>3093.86</v>
      </c>
      <c r="R34" s="218">
        <v>3817.7200000000003</v>
      </c>
      <c r="S34" s="218">
        <v>3608.42</v>
      </c>
      <c r="T34" s="218">
        <f t="shared" si="4"/>
        <v>31422.710000000006</v>
      </c>
      <c r="U34" s="218"/>
      <c r="V34" s="218">
        <f t="shared" si="8"/>
        <v>581</v>
      </c>
      <c r="W34" s="218">
        <f t="shared" si="8"/>
        <v>565</v>
      </c>
      <c r="X34" s="218">
        <f t="shared" si="8"/>
        <v>610</v>
      </c>
      <c r="Y34" s="218">
        <f t="shared" si="8"/>
        <v>476.35201793721978</v>
      </c>
      <c r="Z34" s="218">
        <f t="shared" si="5"/>
        <v>546.0332594235033</v>
      </c>
      <c r="AA34" s="218">
        <f t="shared" si="5"/>
        <v>294.0886917960089</v>
      </c>
      <c r="AB34" s="218">
        <f t="shared" si="5"/>
        <v>411.02217294900225</v>
      </c>
      <c r="AC34" s="218">
        <f t="shared" si="5"/>
        <v>490.00000000000006</v>
      </c>
      <c r="AD34" s="218">
        <f t="shared" si="5"/>
        <v>686.00000000000011</v>
      </c>
      <c r="AE34" s="218">
        <f t="shared" si="5"/>
        <v>686.00000000000011</v>
      </c>
      <c r="AF34" s="218">
        <f t="shared" si="5"/>
        <v>846.50110864745022</v>
      </c>
      <c r="AG34" s="218">
        <f t="shared" si="5"/>
        <v>800.09312638580934</v>
      </c>
      <c r="AI34" s="220"/>
    </row>
    <row r="35" spans="1:35" s="214" customFormat="1" hidden="1">
      <c r="A35" s="214" t="str">
        <f>$A$1&amp;"Residential"&amp;C35</f>
        <v>MASON CO-REGULATEDResidential32ROCPU</v>
      </c>
      <c r="B35" s="214">
        <f t="shared" si="3"/>
        <v>1</v>
      </c>
      <c r="C35" s="220" t="s">
        <v>246</v>
      </c>
      <c r="D35" s="215" t="e">
        <v>#N/A</v>
      </c>
      <c r="E35" s="216">
        <v>4.9800000000000004</v>
      </c>
      <c r="F35" s="216">
        <v>5.03</v>
      </c>
      <c r="G35" s="217"/>
      <c r="H35" s="218">
        <v>0</v>
      </c>
      <c r="I35" s="218">
        <v>0</v>
      </c>
      <c r="J35" s="218">
        <v>0</v>
      </c>
      <c r="K35" s="218">
        <v>0</v>
      </c>
      <c r="L35" s="218">
        <v>0</v>
      </c>
      <c r="M35" s="218">
        <v>0</v>
      </c>
      <c r="N35" s="218">
        <v>0</v>
      </c>
      <c r="O35" s="218">
        <v>0</v>
      </c>
      <c r="P35" s="218">
        <v>0</v>
      </c>
      <c r="Q35" s="218">
        <v>0</v>
      </c>
      <c r="R35" s="218">
        <v>0</v>
      </c>
      <c r="S35" s="218">
        <v>0</v>
      </c>
      <c r="T35" s="218">
        <f t="shared" si="4"/>
        <v>0</v>
      </c>
      <c r="U35" s="218"/>
      <c r="V35" s="218">
        <f t="shared" si="8"/>
        <v>0</v>
      </c>
      <c r="W35" s="218">
        <f t="shared" si="8"/>
        <v>0</v>
      </c>
      <c r="X35" s="218">
        <f t="shared" si="8"/>
        <v>0</v>
      </c>
      <c r="Y35" s="218">
        <f t="shared" si="8"/>
        <v>0</v>
      </c>
      <c r="Z35" s="218">
        <f t="shared" si="5"/>
        <v>0</v>
      </c>
      <c r="AA35" s="218">
        <f t="shared" si="5"/>
        <v>0</v>
      </c>
      <c r="AB35" s="218">
        <f t="shared" si="5"/>
        <v>0</v>
      </c>
      <c r="AC35" s="218">
        <f t="shared" si="5"/>
        <v>0</v>
      </c>
      <c r="AD35" s="218">
        <f t="shared" si="5"/>
        <v>0</v>
      </c>
      <c r="AE35" s="218">
        <f t="shared" si="5"/>
        <v>0</v>
      </c>
      <c r="AF35" s="218">
        <f t="shared" si="5"/>
        <v>0</v>
      </c>
      <c r="AG35" s="218">
        <f t="shared" si="5"/>
        <v>0</v>
      </c>
      <c r="AI35" s="220"/>
    </row>
    <row r="36" spans="1:35" s="214" customFormat="1">
      <c r="A36" s="214" t="str">
        <f>$A$1&amp;"Residential"&amp;C36</f>
        <v>MASON CO-REGULATEDResidential35ROCC1</v>
      </c>
      <c r="B36" s="214">
        <f t="shared" si="3"/>
        <v>1</v>
      </c>
      <c r="C36" s="220" t="s">
        <v>247</v>
      </c>
      <c r="D36" s="215" t="s">
        <v>426</v>
      </c>
      <c r="E36" s="216">
        <v>6.4</v>
      </c>
      <c r="F36" s="216">
        <v>6.45</v>
      </c>
      <c r="G36" s="217"/>
      <c r="H36" s="218">
        <v>2278.4</v>
      </c>
      <c r="I36" s="218">
        <v>2073.6</v>
      </c>
      <c r="J36" s="218">
        <v>1231.24</v>
      </c>
      <c r="K36" s="218">
        <v>1433.6000000000001</v>
      </c>
      <c r="L36" s="218">
        <v>1812.15</v>
      </c>
      <c r="M36" s="218">
        <v>1328.7</v>
      </c>
      <c r="N36" s="218">
        <v>1699.575</v>
      </c>
      <c r="O36" s="218">
        <v>2034.9749999999999</v>
      </c>
      <c r="P36" s="218">
        <v>2754.1499999999996</v>
      </c>
      <c r="Q36" s="218">
        <v>2567.1</v>
      </c>
      <c r="R36" s="218">
        <v>3450.75</v>
      </c>
      <c r="S36" s="218">
        <v>3824.85</v>
      </c>
      <c r="T36" s="218">
        <f t="shared" si="4"/>
        <v>26489.089999999997</v>
      </c>
      <c r="U36" s="218"/>
      <c r="V36" s="218">
        <f t="shared" si="8"/>
        <v>356</v>
      </c>
      <c r="W36" s="218">
        <f t="shared" si="8"/>
        <v>323.99999999999994</v>
      </c>
      <c r="X36" s="218">
        <f t="shared" si="8"/>
        <v>192.38124999999999</v>
      </c>
      <c r="Y36" s="218">
        <f t="shared" si="8"/>
        <v>224</v>
      </c>
      <c r="Z36" s="218">
        <f t="shared" si="5"/>
        <v>280.95348837209303</v>
      </c>
      <c r="AA36" s="218">
        <f t="shared" si="5"/>
        <v>206</v>
      </c>
      <c r="AB36" s="218">
        <f t="shared" si="5"/>
        <v>263.5</v>
      </c>
      <c r="AC36" s="218">
        <f t="shared" si="5"/>
        <v>315.5</v>
      </c>
      <c r="AD36" s="218">
        <f t="shared" si="5"/>
        <v>426.99999999999994</v>
      </c>
      <c r="AE36" s="218">
        <f t="shared" si="5"/>
        <v>398</v>
      </c>
      <c r="AF36" s="218">
        <f t="shared" si="5"/>
        <v>535</v>
      </c>
      <c r="AG36" s="218">
        <f t="shared" si="5"/>
        <v>593</v>
      </c>
      <c r="AI36" s="220"/>
    </row>
    <row r="37" spans="1:35" s="214" customFormat="1">
      <c r="A37" s="214" t="str">
        <f>$A$1&amp;"Residential"&amp;C37</f>
        <v>MASON CO-REGULATEDResidential48ROCC1</v>
      </c>
      <c r="B37" s="214">
        <f t="shared" si="3"/>
        <v>1</v>
      </c>
      <c r="C37" s="220" t="s">
        <v>248</v>
      </c>
      <c r="D37" s="215" t="s">
        <v>427</v>
      </c>
      <c r="E37" s="216">
        <v>8.02</v>
      </c>
      <c r="F37" s="216">
        <v>8.08</v>
      </c>
      <c r="G37" s="217"/>
      <c r="H37" s="218">
        <v>240.6</v>
      </c>
      <c r="I37" s="218">
        <v>184.46</v>
      </c>
      <c r="J37" s="218">
        <v>144.35999999999999</v>
      </c>
      <c r="K37" s="218">
        <v>72.179999999999993</v>
      </c>
      <c r="L37" s="218">
        <v>105.03999999999999</v>
      </c>
      <c r="M37" s="218">
        <v>56.56</v>
      </c>
      <c r="N37" s="218">
        <v>105.03999999999999</v>
      </c>
      <c r="O37" s="218">
        <v>169.68</v>
      </c>
      <c r="P37" s="218">
        <v>258.56</v>
      </c>
      <c r="Q37" s="218">
        <v>298.95999999999998</v>
      </c>
      <c r="R37" s="218">
        <v>412.08</v>
      </c>
      <c r="S37" s="218">
        <v>424.2</v>
      </c>
      <c r="T37" s="218">
        <f t="shared" si="4"/>
        <v>2471.7199999999998</v>
      </c>
      <c r="U37" s="218"/>
      <c r="V37" s="218">
        <f t="shared" si="8"/>
        <v>30</v>
      </c>
      <c r="W37" s="218">
        <f t="shared" si="8"/>
        <v>23.000000000000004</v>
      </c>
      <c r="X37" s="218">
        <f t="shared" si="8"/>
        <v>18</v>
      </c>
      <c r="Y37" s="218">
        <f t="shared" si="8"/>
        <v>9</v>
      </c>
      <c r="Z37" s="218">
        <f t="shared" si="5"/>
        <v>12.999999999999998</v>
      </c>
      <c r="AA37" s="218">
        <f t="shared" si="5"/>
        <v>7</v>
      </c>
      <c r="AB37" s="218">
        <f t="shared" si="5"/>
        <v>12.999999999999998</v>
      </c>
      <c r="AC37" s="218">
        <f t="shared" si="5"/>
        <v>21</v>
      </c>
      <c r="AD37" s="218">
        <f t="shared" si="5"/>
        <v>32</v>
      </c>
      <c r="AE37" s="218">
        <f t="shared" si="5"/>
        <v>37</v>
      </c>
      <c r="AF37" s="218">
        <f t="shared" si="5"/>
        <v>51</v>
      </c>
      <c r="AG37" s="218">
        <f t="shared" si="5"/>
        <v>52.5</v>
      </c>
      <c r="AI37" s="220"/>
    </row>
    <row r="38" spans="1:35" s="214" customFormat="1">
      <c r="A38" s="214" t="str">
        <f>$A$1&amp;"Residential"&amp;C38</f>
        <v>MASON CO-REGULATEDResidential64ROCC1</v>
      </c>
      <c r="B38" s="214">
        <f t="shared" si="3"/>
        <v>1</v>
      </c>
      <c r="C38" s="220" t="s">
        <v>249</v>
      </c>
      <c r="D38" s="215" t="s">
        <v>428</v>
      </c>
      <c r="E38" s="216">
        <v>9.4700000000000006</v>
      </c>
      <c r="F38" s="216">
        <v>9.5399999999999991</v>
      </c>
      <c r="G38" s="217"/>
      <c r="H38" s="218">
        <v>274.63</v>
      </c>
      <c r="I38" s="218">
        <v>265.16000000000003</v>
      </c>
      <c r="J38" s="218">
        <v>217.81</v>
      </c>
      <c r="K38" s="218">
        <v>189.4</v>
      </c>
      <c r="L38" s="218">
        <v>162.18</v>
      </c>
      <c r="M38" s="218">
        <v>190.79999999999998</v>
      </c>
      <c r="N38" s="218">
        <v>248.04</v>
      </c>
      <c r="O38" s="218">
        <v>324.35999999999996</v>
      </c>
      <c r="P38" s="218">
        <v>362.52</v>
      </c>
      <c r="Q38" s="218">
        <v>324.36</v>
      </c>
      <c r="R38" s="218">
        <v>639.17999999999995</v>
      </c>
      <c r="S38" s="218">
        <v>496.08</v>
      </c>
      <c r="T38" s="218">
        <f t="shared" si="4"/>
        <v>3694.5199999999995</v>
      </c>
      <c r="U38" s="218"/>
      <c r="V38" s="218">
        <f t="shared" si="8"/>
        <v>28.999999999999996</v>
      </c>
      <c r="W38" s="218">
        <f t="shared" si="8"/>
        <v>28</v>
      </c>
      <c r="X38" s="218">
        <f t="shared" si="8"/>
        <v>23</v>
      </c>
      <c r="Y38" s="218">
        <f t="shared" si="8"/>
        <v>20</v>
      </c>
      <c r="Z38" s="218">
        <f t="shared" si="5"/>
        <v>17.000000000000004</v>
      </c>
      <c r="AA38" s="218">
        <f t="shared" si="5"/>
        <v>20</v>
      </c>
      <c r="AB38" s="218">
        <f t="shared" si="5"/>
        <v>26</v>
      </c>
      <c r="AC38" s="218">
        <f t="shared" si="5"/>
        <v>34</v>
      </c>
      <c r="AD38" s="218">
        <f t="shared" si="5"/>
        <v>38</v>
      </c>
      <c r="AE38" s="218">
        <f t="shared" si="5"/>
        <v>34.000000000000007</v>
      </c>
      <c r="AF38" s="218">
        <f t="shared" si="5"/>
        <v>67</v>
      </c>
      <c r="AG38" s="218">
        <f t="shared" si="5"/>
        <v>52</v>
      </c>
      <c r="AI38" s="220"/>
    </row>
    <row r="39" spans="1:35" s="214" customFormat="1">
      <c r="A39" s="214" t="str">
        <f>$A$1&amp;"Residential"&amp;C39</f>
        <v>MASON CO-REGULATEDResidential96ROCC1</v>
      </c>
      <c r="B39" s="214">
        <f t="shared" si="3"/>
        <v>1</v>
      </c>
      <c r="C39" s="220" t="s">
        <v>250</v>
      </c>
      <c r="D39" s="215" t="s">
        <v>429</v>
      </c>
      <c r="E39" s="216">
        <v>11.67</v>
      </c>
      <c r="F39" s="216">
        <v>11.77</v>
      </c>
      <c r="G39" s="217"/>
      <c r="H39" s="218">
        <v>758.55</v>
      </c>
      <c r="I39" s="218">
        <v>560.16</v>
      </c>
      <c r="J39" s="218">
        <v>968.6099999999999</v>
      </c>
      <c r="K39" s="218">
        <v>140.03999999999996</v>
      </c>
      <c r="L39" s="218">
        <v>400.18</v>
      </c>
      <c r="M39" s="218">
        <v>388.40999999999997</v>
      </c>
      <c r="N39" s="218">
        <v>459.03</v>
      </c>
      <c r="O39" s="218">
        <v>623.81000000000006</v>
      </c>
      <c r="P39" s="218">
        <v>835.67</v>
      </c>
      <c r="Q39" s="218">
        <v>800.36</v>
      </c>
      <c r="R39" s="218">
        <v>1212.31</v>
      </c>
      <c r="S39" s="218">
        <v>1065.75</v>
      </c>
      <c r="T39" s="218">
        <f t="shared" si="4"/>
        <v>8212.8799999999992</v>
      </c>
      <c r="U39" s="218"/>
      <c r="V39" s="218">
        <f t="shared" si="8"/>
        <v>65</v>
      </c>
      <c r="W39" s="218">
        <f t="shared" si="8"/>
        <v>48</v>
      </c>
      <c r="X39" s="218">
        <f t="shared" si="8"/>
        <v>82.999999999999986</v>
      </c>
      <c r="Y39" s="218">
        <f t="shared" si="8"/>
        <v>11.999999999999996</v>
      </c>
      <c r="Z39" s="218">
        <f t="shared" si="5"/>
        <v>34</v>
      </c>
      <c r="AA39" s="218">
        <f t="shared" si="5"/>
        <v>33</v>
      </c>
      <c r="AB39" s="218">
        <f t="shared" si="5"/>
        <v>39</v>
      </c>
      <c r="AC39" s="218">
        <f t="shared" si="5"/>
        <v>53.000000000000007</v>
      </c>
      <c r="AD39" s="218">
        <f t="shared" si="5"/>
        <v>71</v>
      </c>
      <c r="AE39" s="218">
        <f t="shared" si="5"/>
        <v>68</v>
      </c>
      <c r="AF39" s="218">
        <f t="shared" si="5"/>
        <v>103</v>
      </c>
      <c r="AG39" s="218">
        <f t="shared" si="5"/>
        <v>90.548003398470698</v>
      </c>
      <c r="AI39" s="220"/>
    </row>
    <row r="40" spans="1:35" s="214" customFormat="1" hidden="1">
      <c r="A40" s="214" t="str">
        <f t="shared" si="9"/>
        <v>MASON CO-REGULATEDResidentialDRVNRE1</v>
      </c>
      <c r="B40" s="214">
        <f t="shared" si="3"/>
        <v>1</v>
      </c>
      <c r="C40" s="220" t="s">
        <v>251</v>
      </c>
      <c r="D40" s="215" t="s">
        <v>430</v>
      </c>
      <c r="E40" s="216">
        <v>2.41</v>
      </c>
      <c r="F40" s="216">
        <v>2.41</v>
      </c>
      <c r="G40" s="217"/>
      <c r="H40" s="218">
        <v>219.91499999999999</v>
      </c>
      <c r="I40" s="218">
        <v>220.76499999999999</v>
      </c>
      <c r="J40" s="218">
        <v>221.24</v>
      </c>
      <c r="K40" s="218">
        <v>220.03</v>
      </c>
      <c r="L40" s="218">
        <v>217.26499999999999</v>
      </c>
      <c r="M40" s="218">
        <v>219.43499999999997</v>
      </c>
      <c r="N40" s="218">
        <v>210.27500000000001</v>
      </c>
      <c r="O40" s="218">
        <v>212.69499999999999</v>
      </c>
      <c r="P40" s="218">
        <v>207.74</v>
      </c>
      <c r="Q40" s="218">
        <v>207.86</v>
      </c>
      <c r="R40" s="218">
        <v>213.41</v>
      </c>
      <c r="S40" s="218">
        <v>213.9</v>
      </c>
      <c r="T40" s="218">
        <f t="shared" si="4"/>
        <v>2584.5299999999997</v>
      </c>
      <c r="U40" s="218"/>
      <c r="V40" s="218">
        <f t="shared" si="8"/>
        <v>91.251037344398327</v>
      </c>
      <c r="W40" s="218">
        <f t="shared" si="8"/>
        <v>91.603734439834014</v>
      </c>
      <c r="X40" s="218">
        <f t="shared" si="8"/>
        <v>91.800829875518673</v>
      </c>
      <c r="Y40" s="218">
        <f t="shared" si="8"/>
        <v>91.298755186721991</v>
      </c>
      <c r="Z40" s="218">
        <f t="shared" si="5"/>
        <v>90.151452282157663</v>
      </c>
      <c r="AA40" s="218">
        <f t="shared" si="5"/>
        <v>91.051867219917</v>
      </c>
      <c r="AB40" s="218">
        <f t="shared" si="5"/>
        <v>87.251037344398341</v>
      </c>
      <c r="AC40" s="218">
        <f t="shared" si="5"/>
        <v>88.255186721991691</v>
      </c>
      <c r="AD40" s="218">
        <f t="shared" si="5"/>
        <v>86.199170124481327</v>
      </c>
      <c r="AE40" s="218">
        <f t="shared" si="5"/>
        <v>86.248962655601659</v>
      </c>
      <c r="AF40" s="218">
        <f t="shared" si="5"/>
        <v>88.551867219917</v>
      </c>
      <c r="AG40" s="218">
        <f t="shared" si="5"/>
        <v>88.755186721991691</v>
      </c>
      <c r="AI40" s="220"/>
    </row>
    <row r="41" spans="1:35" s="214" customFormat="1" hidden="1">
      <c r="A41" s="214" t="str">
        <f t="shared" si="9"/>
        <v>MASON CO-REGULATEDResidentialDRVNRW1</v>
      </c>
      <c r="B41" s="214">
        <f t="shared" si="3"/>
        <v>1</v>
      </c>
      <c r="C41" s="220" t="s">
        <v>252</v>
      </c>
      <c r="D41" s="215" t="s">
        <v>431</v>
      </c>
      <c r="E41" s="216">
        <v>4.8099999999999996</v>
      </c>
      <c r="F41" s="216">
        <v>4.8099999999999996</v>
      </c>
      <c r="G41" s="217"/>
      <c r="H41" s="218">
        <v>441.51499999999999</v>
      </c>
      <c r="I41" s="218">
        <v>408.45499999999998</v>
      </c>
      <c r="J41" s="218">
        <v>394.42</v>
      </c>
      <c r="K41" s="218">
        <v>362.63</v>
      </c>
      <c r="L41" s="218">
        <v>380.39499999999998</v>
      </c>
      <c r="M41" s="218">
        <v>376.11500000000001</v>
      </c>
      <c r="N41" s="218">
        <v>375.185</v>
      </c>
      <c r="O41" s="218">
        <v>380.935</v>
      </c>
      <c r="P41" s="218">
        <v>403.90499999999997</v>
      </c>
      <c r="Q41" s="218">
        <v>400.83499999999998</v>
      </c>
      <c r="R41" s="218">
        <v>414.995</v>
      </c>
      <c r="S41" s="218">
        <v>407.10500000000002</v>
      </c>
      <c r="T41" s="218">
        <f t="shared" si="4"/>
        <v>4746.49</v>
      </c>
      <c r="U41" s="218"/>
      <c r="V41" s="218">
        <f t="shared" si="8"/>
        <v>91.79106029106029</v>
      </c>
      <c r="W41" s="218">
        <f t="shared" si="8"/>
        <v>84.917879417879419</v>
      </c>
      <c r="X41" s="218">
        <f t="shared" si="8"/>
        <v>82.000000000000014</v>
      </c>
      <c r="Y41" s="218">
        <f t="shared" si="8"/>
        <v>75.390852390852402</v>
      </c>
      <c r="Z41" s="218">
        <f t="shared" si="5"/>
        <v>79.084199584199581</v>
      </c>
      <c r="AA41" s="218">
        <f t="shared" si="5"/>
        <v>78.194386694386708</v>
      </c>
      <c r="AB41" s="218">
        <f t="shared" si="5"/>
        <v>78.001039501039514</v>
      </c>
      <c r="AC41" s="218">
        <f t="shared" si="5"/>
        <v>79.196465696465708</v>
      </c>
      <c r="AD41" s="218">
        <f t="shared" si="5"/>
        <v>83.971933471933468</v>
      </c>
      <c r="AE41" s="218">
        <f t="shared" si="5"/>
        <v>83.333679833679838</v>
      </c>
      <c r="AF41" s="218">
        <f t="shared" si="5"/>
        <v>86.277546777546789</v>
      </c>
      <c r="AG41" s="218">
        <f t="shared" ref="AG41:AG77" si="10">IFERROR(S41/$F41,0)</f>
        <v>84.637214137214144</v>
      </c>
      <c r="AI41" s="220"/>
    </row>
    <row r="42" spans="1:35" s="214" customFormat="1" hidden="1">
      <c r="A42" s="214" t="str">
        <f>$A$1&amp;"Residential"&amp;C42</f>
        <v>MASON CO-REGULATEDResidentialDRVNRM2</v>
      </c>
      <c r="B42" s="214">
        <f t="shared" si="3"/>
        <v>1</v>
      </c>
      <c r="C42" s="220" t="s">
        <v>253</v>
      </c>
      <c r="D42" s="215" t="s">
        <v>432</v>
      </c>
      <c r="E42" s="216">
        <v>1.4</v>
      </c>
      <c r="F42" s="216">
        <v>1.4</v>
      </c>
      <c r="G42" s="217"/>
      <c r="H42" s="218">
        <v>1.4</v>
      </c>
      <c r="I42" s="218">
        <v>1.4</v>
      </c>
      <c r="J42" s="218">
        <v>1.4</v>
      </c>
      <c r="K42" s="218">
        <v>1.4</v>
      </c>
      <c r="L42" s="218">
        <v>1.4</v>
      </c>
      <c r="M42" s="218">
        <v>1.4</v>
      </c>
      <c r="N42" s="218">
        <v>1.4</v>
      </c>
      <c r="O42" s="218">
        <v>1.4</v>
      </c>
      <c r="P42" s="218">
        <v>1.4</v>
      </c>
      <c r="Q42" s="218">
        <v>1.4</v>
      </c>
      <c r="R42" s="218">
        <v>1.4</v>
      </c>
      <c r="S42" s="218">
        <v>1.4</v>
      </c>
      <c r="T42" s="218">
        <f t="shared" si="4"/>
        <v>16.8</v>
      </c>
      <c r="U42" s="218"/>
      <c r="V42" s="218">
        <f t="shared" si="8"/>
        <v>1</v>
      </c>
      <c r="W42" s="218">
        <f t="shared" si="8"/>
        <v>1</v>
      </c>
      <c r="X42" s="218">
        <f t="shared" si="8"/>
        <v>1</v>
      </c>
      <c r="Y42" s="218">
        <f t="shared" si="8"/>
        <v>1</v>
      </c>
      <c r="Z42" s="218">
        <f t="shared" ref="Z42:AF77" si="11">IFERROR(L42/$F42,0)</f>
        <v>1</v>
      </c>
      <c r="AA42" s="218">
        <f t="shared" si="11"/>
        <v>1</v>
      </c>
      <c r="AB42" s="218">
        <f t="shared" si="11"/>
        <v>1</v>
      </c>
      <c r="AC42" s="218">
        <f t="shared" si="11"/>
        <v>1</v>
      </c>
      <c r="AD42" s="218">
        <f t="shared" si="11"/>
        <v>1</v>
      </c>
      <c r="AE42" s="218">
        <f t="shared" si="11"/>
        <v>1</v>
      </c>
      <c r="AF42" s="218">
        <f t="shared" si="11"/>
        <v>1</v>
      </c>
      <c r="AG42" s="218">
        <f t="shared" si="10"/>
        <v>1</v>
      </c>
      <c r="AI42" s="220"/>
    </row>
    <row r="43" spans="1:35" s="214" customFormat="1" hidden="1">
      <c r="A43" s="214" t="str">
        <f>$A$1&amp;"Residential"&amp;C43</f>
        <v>MASON CO-REGULATEDResidentialDRVNRW2</v>
      </c>
      <c r="B43" s="214">
        <f t="shared" si="3"/>
        <v>1</v>
      </c>
      <c r="C43" s="220" t="s">
        <v>254</v>
      </c>
      <c r="D43" s="215" t="s">
        <v>433</v>
      </c>
      <c r="E43" s="216">
        <v>6.06</v>
      </c>
      <c r="F43" s="216">
        <v>6.06</v>
      </c>
      <c r="G43" s="217"/>
      <c r="H43" s="218">
        <v>66.66</v>
      </c>
      <c r="I43" s="218">
        <v>66.66</v>
      </c>
      <c r="J43" s="218">
        <v>75.41</v>
      </c>
      <c r="K43" s="218">
        <v>75.41</v>
      </c>
      <c r="L43" s="218">
        <v>66.325000000000003</v>
      </c>
      <c r="M43" s="218">
        <v>72.385000000000005</v>
      </c>
      <c r="N43" s="218">
        <v>56.56</v>
      </c>
      <c r="O43" s="218">
        <v>61.11</v>
      </c>
      <c r="P43" s="218">
        <v>54.54</v>
      </c>
      <c r="Q43" s="218">
        <v>54.54</v>
      </c>
      <c r="R43" s="218">
        <v>59.255000000000003</v>
      </c>
      <c r="S43" s="218">
        <v>59.255000000000003</v>
      </c>
      <c r="T43" s="218">
        <f t="shared" si="4"/>
        <v>768.1099999999999</v>
      </c>
      <c r="U43" s="218"/>
      <c r="V43" s="218">
        <f t="shared" si="8"/>
        <v>11</v>
      </c>
      <c r="W43" s="218">
        <f t="shared" si="8"/>
        <v>11</v>
      </c>
      <c r="X43" s="218">
        <f t="shared" si="8"/>
        <v>12.443894389438944</v>
      </c>
      <c r="Y43" s="218">
        <f t="shared" si="8"/>
        <v>12.443894389438944</v>
      </c>
      <c r="Z43" s="218">
        <f t="shared" si="11"/>
        <v>10.944719471947195</v>
      </c>
      <c r="AA43" s="218">
        <f t="shared" si="11"/>
        <v>11.944719471947197</v>
      </c>
      <c r="AB43" s="218">
        <f t="shared" si="11"/>
        <v>9.3333333333333339</v>
      </c>
      <c r="AC43" s="218">
        <f t="shared" si="11"/>
        <v>10.084158415841586</v>
      </c>
      <c r="AD43" s="218">
        <f t="shared" si="11"/>
        <v>9</v>
      </c>
      <c r="AE43" s="218">
        <f t="shared" si="11"/>
        <v>9</v>
      </c>
      <c r="AF43" s="218">
        <f t="shared" si="11"/>
        <v>9.7780528052805291</v>
      </c>
      <c r="AG43" s="218">
        <f t="shared" si="10"/>
        <v>9.7780528052805291</v>
      </c>
      <c r="AI43" s="220"/>
    </row>
    <row r="44" spans="1:35" s="214" customFormat="1" hidden="1">
      <c r="A44" s="214" t="str">
        <f>$A$1&amp;"Residential"&amp;C44</f>
        <v>MASON CO-REGULATEDResidentialDRVNRM1</v>
      </c>
      <c r="B44" s="214">
        <f t="shared" si="3"/>
        <v>1</v>
      </c>
      <c r="C44" s="220" t="s">
        <v>255</v>
      </c>
      <c r="D44" s="215" t="s">
        <v>434</v>
      </c>
      <c r="E44" s="216">
        <v>1.1100000000000001</v>
      </c>
      <c r="F44" s="216">
        <v>1.1100000000000001</v>
      </c>
      <c r="G44" s="217"/>
      <c r="H44" s="218">
        <v>15.540000000000001</v>
      </c>
      <c r="I44" s="218">
        <v>12.41</v>
      </c>
      <c r="J44" s="218">
        <v>16.650000000000002</v>
      </c>
      <c r="K44" s="218">
        <v>8.5200000000000014</v>
      </c>
      <c r="L44" s="218">
        <v>14.43</v>
      </c>
      <c r="M44" s="218">
        <v>13.32</v>
      </c>
      <c r="N44" s="218">
        <v>13.32</v>
      </c>
      <c r="O44" s="218">
        <v>14.43</v>
      </c>
      <c r="P44" s="218">
        <v>14.43</v>
      </c>
      <c r="Q44" s="218">
        <v>11.1</v>
      </c>
      <c r="R44" s="218">
        <v>9.99</v>
      </c>
      <c r="S44" s="218">
        <v>9.99</v>
      </c>
      <c r="T44" s="218">
        <f t="shared" si="4"/>
        <v>154.13000000000002</v>
      </c>
      <c r="U44" s="218"/>
      <c r="V44" s="218">
        <f t="shared" si="8"/>
        <v>14</v>
      </c>
      <c r="W44" s="218">
        <f t="shared" si="8"/>
        <v>11.18018018018018</v>
      </c>
      <c r="X44" s="218">
        <f t="shared" si="8"/>
        <v>15</v>
      </c>
      <c r="Y44" s="218">
        <f t="shared" si="8"/>
        <v>7.6756756756756763</v>
      </c>
      <c r="Z44" s="218">
        <f t="shared" si="11"/>
        <v>12.999999999999998</v>
      </c>
      <c r="AA44" s="218">
        <f t="shared" si="11"/>
        <v>12</v>
      </c>
      <c r="AB44" s="218">
        <f t="shared" si="11"/>
        <v>12</v>
      </c>
      <c r="AC44" s="218">
        <f t="shared" si="11"/>
        <v>12.999999999999998</v>
      </c>
      <c r="AD44" s="218">
        <f t="shared" si="11"/>
        <v>12.999999999999998</v>
      </c>
      <c r="AE44" s="218">
        <f t="shared" si="11"/>
        <v>9.9999999999999982</v>
      </c>
      <c r="AF44" s="218">
        <f t="shared" si="11"/>
        <v>9</v>
      </c>
      <c r="AG44" s="218">
        <f t="shared" si="10"/>
        <v>9</v>
      </c>
      <c r="AI44" s="220"/>
    </row>
    <row r="45" spans="1:35" s="214" customFormat="1" hidden="1">
      <c r="A45" s="214" t="str">
        <f>$A$1&amp;"Residential"&amp;C45</f>
        <v>MASON CO-REGULATEDResidentialDRVNRE2</v>
      </c>
      <c r="B45" s="214">
        <f t="shared" si="3"/>
        <v>1</v>
      </c>
      <c r="C45" s="220" t="s">
        <v>256</v>
      </c>
      <c r="D45" s="215" t="s">
        <v>435</v>
      </c>
      <c r="E45" s="216">
        <v>3.04</v>
      </c>
      <c r="F45" s="216">
        <v>3.04</v>
      </c>
      <c r="G45" s="217"/>
      <c r="H45" s="218">
        <v>48.64</v>
      </c>
      <c r="I45" s="218">
        <v>48.64</v>
      </c>
      <c r="J45" s="218">
        <v>51.68</v>
      </c>
      <c r="K45" s="218">
        <v>53.199999999999996</v>
      </c>
      <c r="L45" s="218">
        <v>51.68</v>
      </c>
      <c r="M45" s="218">
        <v>51.68</v>
      </c>
      <c r="N45" s="218">
        <v>51.68</v>
      </c>
      <c r="O45" s="218">
        <v>51.68</v>
      </c>
      <c r="P45" s="218">
        <v>51.68</v>
      </c>
      <c r="Q45" s="218">
        <v>51.68</v>
      </c>
      <c r="R45" s="218">
        <v>51.68</v>
      </c>
      <c r="S45" s="218">
        <v>51.68</v>
      </c>
      <c r="T45" s="218">
        <f t="shared" si="4"/>
        <v>615.59999999999991</v>
      </c>
      <c r="U45" s="218"/>
      <c r="V45" s="218">
        <f t="shared" si="8"/>
        <v>16</v>
      </c>
      <c r="W45" s="218">
        <f t="shared" si="8"/>
        <v>16</v>
      </c>
      <c r="X45" s="218">
        <f t="shared" si="8"/>
        <v>17</v>
      </c>
      <c r="Y45" s="218">
        <f t="shared" si="8"/>
        <v>17.5</v>
      </c>
      <c r="Z45" s="218">
        <f t="shared" si="11"/>
        <v>17</v>
      </c>
      <c r="AA45" s="218">
        <f t="shared" si="11"/>
        <v>17</v>
      </c>
      <c r="AB45" s="218">
        <f t="shared" si="11"/>
        <v>17</v>
      </c>
      <c r="AC45" s="218">
        <f t="shared" si="11"/>
        <v>17</v>
      </c>
      <c r="AD45" s="218">
        <f t="shared" si="11"/>
        <v>17</v>
      </c>
      <c r="AE45" s="218">
        <f t="shared" si="11"/>
        <v>17</v>
      </c>
      <c r="AF45" s="218">
        <f t="shared" si="11"/>
        <v>17</v>
      </c>
      <c r="AG45" s="218">
        <f t="shared" si="10"/>
        <v>17</v>
      </c>
      <c r="AI45" s="220"/>
    </row>
    <row r="46" spans="1:35" s="214" customFormat="1" hidden="1">
      <c r="A46" s="214" t="str">
        <f>$A$1&amp;"Residential"&amp;C46</f>
        <v>MASON CO-REGULATEDResidentialDRVNROC1</v>
      </c>
      <c r="B46" s="214">
        <f t="shared" si="3"/>
        <v>1</v>
      </c>
      <c r="C46" s="220" t="s">
        <v>257</v>
      </c>
      <c r="D46" s="215" t="e">
        <v>#N/A</v>
      </c>
      <c r="E46" s="216">
        <v>1.1100000000000001</v>
      </c>
      <c r="F46" s="216">
        <v>1.1100000000000001</v>
      </c>
      <c r="G46" s="217"/>
      <c r="H46" s="218">
        <v>0</v>
      </c>
      <c r="I46" s="218">
        <v>0</v>
      </c>
      <c r="J46" s="218">
        <v>0</v>
      </c>
      <c r="K46" s="218">
        <v>0</v>
      </c>
      <c r="L46" s="218">
        <v>0</v>
      </c>
      <c r="M46" s="218">
        <v>0</v>
      </c>
      <c r="N46" s="218">
        <v>0</v>
      </c>
      <c r="O46" s="218">
        <v>0</v>
      </c>
      <c r="P46" s="218">
        <v>0</v>
      </c>
      <c r="Q46" s="218">
        <v>0</v>
      </c>
      <c r="R46" s="218">
        <v>0</v>
      </c>
      <c r="S46" s="218">
        <v>0</v>
      </c>
      <c r="T46" s="218">
        <f t="shared" si="4"/>
        <v>0</v>
      </c>
      <c r="U46" s="218"/>
      <c r="V46" s="218">
        <f t="shared" si="8"/>
        <v>0</v>
      </c>
      <c r="W46" s="218">
        <f t="shared" si="8"/>
        <v>0</v>
      </c>
      <c r="X46" s="218">
        <f t="shared" si="8"/>
        <v>0</v>
      </c>
      <c r="Y46" s="218">
        <f t="shared" si="8"/>
        <v>0</v>
      </c>
      <c r="Z46" s="218">
        <f t="shared" si="11"/>
        <v>0</v>
      </c>
      <c r="AA46" s="218">
        <f t="shared" si="11"/>
        <v>0</v>
      </c>
      <c r="AB46" s="218">
        <f t="shared" si="11"/>
        <v>0</v>
      </c>
      <c r="AC46" s="218">
        <f t="shared" si="11"/>
        <v>0</v>
      </c>
      <c r="AD46" s="218">
        <f t="shared" si="11"/>
        <v>0</v>
      </c>
      <c r="AE46" s="218">
        <f t="shared" si="11"/>
        <v>0</v>
      </c>
      <c r="AF46" s="218">
        <f t="shared" si="11"/>
        <v>0</v>
      </c>
      <c r="AG46" s="218">
        <f t="shared" si="10"/>
        <v>0</v>
      </c>
      <c r="AI46" s="220"/>
    </row>
    <row r="47" spans="1:35" s="214" customFormat="1" hidden="1">
      <c r="A47" s="214" t="str">
        <f t="shared" si="9"/>
        <v>MASON CO-REGULATEDResidentialWLKNRE1</v>
      </c>
      <c r="B47" s="214">
        <f t="shared" si="3"/>
        <v>1</v>
      </c>
      <c r="C47" s="220" t="s">
        <v>258</v>
      </c>
      <c r="D47" s="215" t="s">
        <v>436</v>
      </c>
      <c r="E47" s="216">
        <v>1.28</v>
      </c>
      <c r="F47" s="216">
        <v>1.28</v>
      </c>
      <c r="G47" s="217"/>
      <c r="H47" s="218">
        <v>61.76</v>
      </c>
      <c r="I47" s="218">
        <v>62.399999999999991</v>
      </c>
      <c r="J47" s="218">
        <v>58.24</v>
      </c>
      <c r="K47" s="218">
        <v>59.26</v>
      </c>
      <c r="L47" s="218">
        <v>55.424999999999997</v>
      </c>
      <c r="M47" s="218">
        <v>57.085000000000001</v>
      </c>
      <c r="N47" s="218">
        <v>57.6</v>
      </c>
      <c r="O47" s="218">
        <v>56.33</v>
      </c>
      <c r="P47" s="218">
        <v>54.465000000000003</v>
      </c>
      <c r="Q47" s="218">
        <v>55.105000000000004</v>
      </c>
      <c r="R47" s="218">
        <v>58.494999999999997</v>
      </c>
      <c r="S47" s="218">
        <v>58.875</v>
      </c>
      <c r="T47" s="218">
        <f t="shared" si="4"/>
        <v>695.04</v>
      </c>
      <c r="U47" s="218"/>
      <c r="V47" s="218">
        <f t="shared" si="8"/>
        <v>48.25</v>
      </c>
      <c r="W47" s="218">
        <f t="shared" si="8"/>
        <v>48.749999999999993</v>
      </c>
      <c r="X47" s="218">
        <f t="shared" si="8"/>
        <v>45.5</v>
      </c>
      <c r="Y47" s="218">
        <f t="shared" si="8"/>
        <v>46.296875</v>
      </c>
      <c r="Z47" s="218">
        <f t="shared" si="11"/>
        <v>43.30078125</v>
      </c>
      <c r="AA47" s="218">
        <f t="shared" si="11"/>
        <v>44.59765625</v>
      </c>
      <c r="AB47" s="218">
        <f t="shared" si="11"/>
        <v>45</v>
      </c>
      <c r="AC47" s="218">
        <f t="shared" si="11"/>
        <v>44.0078125</v>
      </c>
      <c r="AD47" s="218">
        <f t="shared" si="11"/>
        <v>42.55078125</v>
      </c>
      <c r="AE47" s="218">
        <f t="shared" si="11"/>
        <v>43.05078125</v>
      </c>
      <c r="AF47" s="218">
        <f t="shared" si="11"/>
        <v>45.69921875</v>
      </c>
      <c r="AG47" s="218">
        <f t="shared" si="10"/>
        <v>45.99609375</v>
      </c>
      <c r="AI47" s="220"/>
    </row>
    <row r="48" spans="1:35" s="214" customFormat="1" hidden="1">
      <c r="A48" s="214" t="str">
        <f>$A$1&amp;"Residential"&amp;C48</f>
        <v>MASON CO-REGULATEDResidentialWLKNRM1</v>
      </c>
      <c r="B48" s="214">
        <f t="shared" si="3"/>
        <v>1</v>
      </c>
      <c r="C48" s="220" t="s">
        <v>259</v>
      </c>
      <c r="D48" s="215" t="s">
        <v>437</v>
      </c>
      <c r="E48" s="216">
        <v>0.59</v>
      </c>
      <c r="F48" s="216">
        <v>0.59</v>
      </c>
      <c r="G48" s="217"/>
      <c r="H48" s="218">
        <v>8.85</v>
      </c>
      <c r="I48" s="218">
        <v>5.9</v>
      </c>
      <c r="J48" s="218">
        <v>4.72</v>
      </c>
      <c r="K48" s="218">
        <v>4.72</v>
      </c>
      <c r="L48" s="218">
        <v>5.9499999999999993</v>
      </c>
      <c r="M48" s="218">
        <v>3.54</v>
      </c>
      <c r="N48" s="218">
        <v>5.9</v>
      </c>
      <c r="O48" s="218">
        <v>5.31</v>
      </c>
      <c r="P48" s="218">
        <v>5.9</v>
      </c>
      <c r="Q48" s="218">
        <v>5.3100000000000005</v>
      </c>
      <c r="R48" s="218">
        <v>4.13</v>
      </c>
      <c r="S48" s="218">
        <v>4.72</v>
      </c>
      <c r="T48" s="218">
        <f t="shared" si="4"/>
        <v>64.95</v>
      </c>
      <c r="U48" s="218"/>
      <c r="V48" s="218">
        <f t="shared" si="8"/>
        <v>15</v>
      </c>
      <c r="W48" s="218">
        <f t="shared" si="8"/>
        <v>10.000000000000002</v>
      </c>
      <c r="X48" s="218">
        <f t="shared" si="8"/>
        <v>8</v>
      </c>
      <c r="Y48" s="218">
        <f t="shared" si="8"/>
        <v>8</v>
      </c>
      <c r="Z48" s="218">
        <f t="shared" si="11"/>
        <v>10.084745762711863</v>
      </c>
      <c r="AA48" s="218">
        <f t="shared" si="11"/>
        <v>6</v>
      </c>
      <c r="AB48" s="218">
        <f t="shared" si="11"/>
        <v>10.000000000000002</v>
      </c>
      <c r="AC48" s="218">
        <f t="shared" si="11"/>
        <v>9</v>
      </c>
      <c r="AD48" s="218">
        <f t="shared" si="11"/>
        <v>10.000000000000002</v>
      </c>
      <c r="AE48" s="218">
        <f t="shared" si="11"/>
        <v>9.0000000000000018</v>
      </c>
      <c r="AF48" s="218">
        <f t="shared" si="11"/>
        <v>7</v>
      </c>
      <c r="AG48" s="218">
        <f t="shared" si="10"/>
        <v>8</v>
      </c>
      <c r="AI48" s="220"/>
    </row>
    <row r="49" spans="1:35" s="214" customFormat="1" hidden="1">
      <c r="A49" s="214" t="str">
        <f>$A$1&amp;"Residential"&amp;C49</f>
        <v>MASON CO-REGULATEDResidentialWLKNRW1</v>
      </c>
      <c r="B49" s="214">
        <f t="shared" si="3"/>
        <v>1</v>
      </c>
      <c r="C49" s="220" t="s">
        <v>260</v>
      </c>
      <c r="D49" s="215" t="s">
        <v>438</v>
      </c>
      <c r="E49" s="216">
        <v>2.5499999999999998</v>
      </c>
      <c r="F49" s="216">
        <v>2.5499999999999998</v>
      </c>
      <c r="G49" s="217"/>
      <c r="H49" s="218">
        <v>123.285</v>
      </c>
      <c r="I49" s="218">
        <v>105.19499999999999</v>
      </c>
      <c r="J49" s="218">
        <v>100.09</v>
      </c>
      <c r="K49" s="218">
        <v>101.79</v>
      </c>
      <c r="L49" s="218">
        <v>99.734999999999999</v>
      </c>
      <c r="M49" s="218">
        <v>99.725000000000009</v>
      </c>
      <c r="N49" s="218">
        <v>104.27500000000001</v>
      </c>
      <c r="O49" s="218">
        <v>106.17500000000001</v>
      </c>
      <c r="P49" s="218">
        <v>123.43</v>
      </c>
      <c r="Q49" s="218">
        <v>129.72</v>
      </c>
      <c r="R49" s="218">
        <v>144.07499999999999</v>
      </c>
      <c r="S49" s="218">
        <v>154.27500000000001</v>
      </c>
      <c r="T49" s="218">
        <f t="shared" si="4"/>
        <v>1391.7700000000002</v>
      </c>
      <c r="U49" s="218"/>
      <c r="V49" s="218">
        <f t="shared" si="8"/>
        <v>48.347058823529416</v>
      </c>
      <c r="W49" s="218">
        <f t="shared" si="8"/>
        <v>41.252941176470586</v>
      </c>
      <c r="X49" s="218">
        <f t="shared" si="8"/>
        <v>39.250980392156869</v>
      </c>
      <c r="Y49" s="218">
        <f t="shared" si="8"/>
        <v>39.917647058823533</v>
      </c>
      <c r="Z49" s="218">
        <f t="shared" si="11"/>
        <v>39.111764705882358</v>
      </c>
      <c r="AA49" s="218">
        <f t="shared" si="11"/>
        <v>39.10784313725491</v>
      </c>
      <c r="AB49" s="218">
        <f t="shared" si="11"/>
        <v>40.892156862745104</v>
      </c>
      <c r="AC49" s="218">
        <f t="shared" si="11"/>
        <v>41.637254901960794</v>
      </c>
      <c r="AD49" s="218">
        <f t="shared" si="11"/>
        <v>48.40392156862746</v>
      </c>
      <c r="AE49" s="218">
        <f t="shared" si="11"/>
        <v>50.870588235294122</v>
      </c>
      <c r="AF49" s="218">
        <f t="shared" si="11"/>
        <v>56.5</v>
      </c>
      <c r="AG49" s="218">
        <f t="shared" si="10"/>
        <v>60.500000000000007</v>
      </c>
      <c r="AI49" s="220"/>
    </row>
    <row r="50" spans="1:35" s="214" customFormat="1" hidden="1">
      <c r="A50" s="214" t="str">
        <f>$A$1&amp;"Residential"&amp;C50</f>
        <v>MASON CO-REGULATEDResidentialWLKNRW2</v>
      </c>
      <c r="B50" s="214">
        <f t="shared" si="3"/>
        <v>1</v>
      </c>
      <c r="C50" s="220" t="s">
        <v>261</v>
      </c>
      <c r="D50" s="215" t="s">
        <v>439</v>
      </c>
      <c r="E50" s="216">
        <v>0.17</v>
      </c>
      <c r="F50" s="216">
        <v>0.17</v>
      </c>
      <c r="G50" s="217"/>
      <c r="H50" s="218">
        <v>23.8</v>
      </c>
      <c r="I50" s="218">
        <v>22.78</v>
      </c>
      <c r="J50" s="218">
        <v>23.12</v>
      </c>
      <c r="K50" s="218">
        <v>23.12</v>
      </c>
      <c r="L50" s="218">
        <v>23.12</v>
      </c>
      <c r="M50" s="218">
        <v>23.12</v>
      </c>
      <c r="N50" s="218">
        <v>27.029999999999998</v>
      </c>
      <c r="O50" s="218">
        <v>24.31</v>
      </c>
      <c r="P50" s="218">
        <v>25.16</v>
      </c>
      <c r="Q50" s="218">
        <v>23.1</v>
      </c>
      <c r="R50" s="218">
        <v>23.12</v>
      </c>
      <c r="S50" s="218">
        <v>23.8</v>
      </c>
      <c r="T50" s="218">
        <f t="shared" si="4"/>
        <v>285.58</v>
      </c>
      <c r="U50" s="218"/>
      <c r="V50" s="218">
        <f t="shared" si="8"/>
        <v>140</v>
      </c>
      <c r="W50" s="218">
        <f t="shared" si="8"/>
        <v>134</v>
      </c>
      <c r="X50" s="218">
        <f t="shared" si="8"/>
        <v>136</v>
      </c>
      <c r="Y50" s="218">
        <f t="shared" si="8"/>
        <v>136</v>
      </c>
      <c r="Z50" s="218">
        <f t="shared" si="11"/>
        <v>136</v>
      </c>
      <c r="AA50" s="218">
        <f t="shared" si="11"/>
        <v>136</v>
      </c>
      <c r="AB50" s="218">
        <f t="shared" si="11"/>
        <v>158.99999999999997</v>
      </c>
      <c r="AC50" s="218">
        <f t="shared" si="11"/>
        <v>142.99999999999997</v>
      </c>
      <c r="AD50" s="218">
        <f t="shared" si="11"/>
        <v>148</v>
      </c>
      <c r="AE50" s="218">
        <f t="shared" si="11"/>
        <v>135.88235294117646</v>
      </c>
      <c r="AF50" s="218">
        <f t="shared" si="11"/>
        <v>136</v>
      </c>
      <c r="AG50" s="218">
        <f t="shared" si="10"/>
        <v>140</v>
      </c>
      <c r="AI50" s="220"/>
    </row>
    <row r="51" spans="1:35" s="214" customFormat="1" hidden="1">
      <c r="A51" s="214" t="str">
        <f t="shared" si="9"/>
        <v>MASON CO-REGULATEDResidentialREDELIVER</v>
      </c>
      <c r="B51" s="214">
        <f t="shared" si="3"/>
        <v>1</v>
      </c>
      <c r="C51" s="220" t="s">
        <v>262</v>
      </c>
      <c r="D51" s="215" t="s">
        <v>440</v>
      </c>
      <c r="E51" s="216">
        <v>16.940000000000001</v>
      </c>
      <c r="F51" s="216">
        <v>16.940000000000001</v>
      </c>
      <c r="G51" s="217"/>
      <c r="H51" s="218">
        <v>124.58</v>
      </c>
      <c r="I51" s="218">
        <v>123.08</v>
      </c>
      <c r="J51" s="218">
        <v>70.760000000000005</v>
      </c>
      <c r="K51" s="218">
        <v>69.260000000000005</v>
      </c>
      <c r="L51" s="218">
        <v>195.34</v>
      </c>
      <c r="M51" s="218">
        <v>35.380000000000003</v>
      </c>
      <c r="N51" s="218">
        <v>52.32</v>
      </c>
      <c r="O51" s="218">
        <v>124.58</v>
      </c>
      <c r="P51" s="218">
        <v>140.02000000000001</v>
      </c>
      <c r="Q51" s="218">
        <v>141.52000000000001</v>
      </c>
      <c r="R51" s="218">
        <v>175.4</v>
      </c>
      <c r="S51" s="218">
        <v>195.34</v>
      </c>
      <c r="T51" s="218">
        <f t="shared" si="4"/>
        <v>1447.5800000000002</v>
      </c>
      <c r="U51" s="218"/>
      <c r="V51" s="218">
        <f t="shared" si="8"/>
        <v>7.3541912632821713</v>
      </c>
      <c r="W51" s="218">
        <f t="shared" si="8"/>
        <v>7.2656434474616285</v>
      </c>
      <c r="X51" s="218">
        <f t="shared" si="8"/>
        <v>4.1770956316410865</v>
      </c>
      <c r="Y51" s="218">
        <f t="shared" si="8"/>
        <v>4.0885478158205428</v>
      </c>
      <c r="Z51" s="218">
        <f t="shared" si="11"/>
        <v>11.531286894923259</v>
      </c>
      <c r="AA51" s="218">
        <f t="shared" si="11"/>
        <v>2.0885478158205433</v>
      </c>
      <c r="AB51" s="218">
        <f t="shared" si="11"/>
        <v>3.0885478158205428</v>
      </c>
      <c r="AC51" s="218">
        <f t="shared" si="11"/>
        <v>7.3541912632821713</v>
      </c>
      <c r="AD51" s="218">
        <f t="shared" si="11"/>
        <v>8.2656434474616294</v>
      </c>
      <c r="AE51" s="218">
        <f t="shared" si="11"/>
        <v>8.3541912632821731</v>
      </c>
      <c r="AF51" s="218">
        <f t="shared" si="11"/>
        <v>10.354191263282171</v>
      </c>
      <c r="AG51" s="218">
        <f t="shared" si="10"/>
        <v>11.531286894923259</v>
      </c>
      <c r="AI51" s="220"/>
    </row>
    <row r="52" spans="1:35" s="214" customFormat="1" hidden="1">
      <c r="A52" s="214" t="str">
        <f t="shared" si="9"/>
        <v>MASON CO-REGULATEDResidentialRESTART</v>
      </c>
      <c r="B52" s="214">
        <f t="shared" si="3"/>
        <v>1</v>
      </c>
      <c r="C52" s="220" t="s">
        <v>263</v>
      </c>
      <c r="D52" s="215" t="s">
        <v>441</v>
      </c>
      <c r="E52" s="216">
        <v>5.31</v>
      </c>
      <c r="F52" s="216">
        <v>5.31</v>
      </c>
      <c r="G52" s="217"/>
      <c r="H52" s="218">
        <v>22.18</v>
      </c>
      <c r="I52" s="218">
        <v>837.2</v>
      </c>
      <c r="J52" s="218">
        <v>16.399999999999999</v>
      </c>
      <c r="K52" s="218">
        <v>617.28000000000009</v>
      </c>
      <c r="L52" s="218">
        <v>32.799999999999997</v>
      </c>
      <c r="M52" s="218">
        <v>753.79</v>
      </c>
      <c r="N52" s="218">
        <v>27.019999999999996</v>
      </c>
      <c r="O52" s="218">
        <v>616.75</v>
      </c>
      <c r="P52" s="218">
        <v>44.36</v>
      </c>
      <c r="Q52" s="218">
        <v>743.64</v>
      </c>
      <c r="R52" s="218">
        <v>71.849999999999994</v>
      </c>
      <c r="S52" s="218">
        <v>807.75</v>
      </c>
      <c r="T52" s="218">
        <f t="shared" si="4"/>
        <v>4591.0199999999995</v>
      </c>
      <c r="U52" s="218"/>
      <c r="V52" s="218">
        <f t="shared" si="8"/>
        <v>4.1770244821092284</v>
      </c>
      <c r="W52" s="218">
        <f t="shared" si="8"/>
        <v>157.66478342749531</v>
      </c>
      <c r="X52" s="218">
        <f t="shared" si="8"/>
        <v>3.0885122410546137</v>
      </c>
      <c r="Y52" s="218">
        <f t="shared" si="8"/>
        <v>116.2485875706215</v>
      </c>
      <c r="Z52" s="218">
        <f t="shared" si="11"/>
        <v>6.1770244821092275</v>
      </c>
      <c r="AA52" s="218">
        <f t="shared" si="11"/>
        <v>141.95668549905838</v>
      </c>
      <c r="AB52" s="218">
        <f t="shared" si="11"/>
        <v>5.0885122410546133</v>
      </c>
      <c r="AC52" s="218">
        <f t="shared" si="11"/>
        <v>116.14877589453862</v>
      </c>
      <c r="AD52" s="218">
        <f t="shared" si="11"/>
        <v>8.3540489642184568</v>
      </c>
      <c r="AE52" s="218">
        <f t="shared" si="11"/>
        <v>140.045197740113</v>
      </c>
      <c r="AF52" s="218">
        <f t="shared" si="11"/>
        <v>13.531073446327683</v>
      </c>
      <c r="AG52" s="218">
        <f t="shared" si="10"/>
        <v>152.11864406779662</v>
      </c>
      <c r="AI52" s="220"/>
    </row>
    <row r="53" spans="1:35" s="214" customFormat="1" hidden="1">
      <c r="A53" s="214" t="str">
        <f t="shared" si="9"/>
        <v>MASON CO-REGULATEDResidentialTRIPRCARTS</v>
      </c>
      <c r="B53" s="214">
        <f t="shared" si="3"/>
        <v>1</v>
      </c>
      <c r="C53" s="220" t="s">
        <v>264</v>
      </c>
      <c r="D53" s="215" t="s">
        <v>442</v>
      </c>
      <c r="E53" s="216">
        <v>9.25</v>
      </c>
      <c r="F53" s="216">
        <v>9.25</v>
      </c>
      <c r="G53" s="217"/>
      <c r="H53" s="218">
        <v>0</v>
      </c>
      <c r="I53" s="218">
        <v>0</v>
      </c>
      <c r="J53" s="218">
        <v>0</v>
      </c>
      <c r="K53" s="218">
        <v>0</v>
      </c>
      <c r="L53" s="218">
        <v>0</v>
      </c>
      <c r="M53" s="218">
        <v>0</v>
      </c>
      <c r="N53" s="218">
        <v>0</v>
      </c>
      <c r="O53" s="218">
        <v>0</v>
      </c>
      <c r="P53" s="218">
        <v>0</v>
      </c>
      <c r="Q53" s="218">
        <v>9.25</v>
      </c>
      <c r="R53" s="218">
        <v>9.25</v>
      </c>
      <c r="S53" s="218">
        <v>0</v>
      </c>
      <c r="T53" s="218">
        <f t="shared" si="4"/>
        <v>18.5</v>
      </c>
      <c r="U53" s="218"/>
      <c r="V53" s="218">
        <f t="shared" si="8"/>
        <v>0</v>
      </c>
      <c r="W53" s="218">
        <f t="shared" si="8"/>
        <v>0</v>
      </c>
      <c r="X53" s="218">
        <f t="shared" si="8"/>
        <v>0</v>
      </c>
      <c r="Y53" s="218">
        <f t="shared" si="8"/>
        <v>0</v>
      </c>
      <c r="Z53" s="218">
        <f t="shared" si="11"/>
        <v>0</v>
      </c>
      <c r="AA53" s="218">
        <f t="shared" si="11"/>
        <v>0</v>
      </c>
      <c r="AB53" s="218">
        <f t="shared" si="11"/>
        <v>0</v>
      </c>
      <c r="AC53" s="218">
        <f t="shared" si="11"/>
        <v>0</v>
      </c>
      <c r="AD53" s="218">
        <f t="shared" si="11"/>
        <v>0</v>
      </c>
      <c r="AE53" s="218">
        <f t="shared" si="11"/>
        <v>1</v>
      </c>
      <c r="AF53" s="218">
        <f t="shared" si="11"/>
        <v>1</v>
      </c>
      <c r="AG53" s="218">
        <f t="shared" si="10"/>
        <v>0</v>
      </c>
      <c r="AI53" s="220"/>
    </row>
    <row r="54" spans="1:35" s="214" customFormat="1" hidden="1">
      <c r="A54" s="214" t="str">
        <f>$A$1&amp;"Residential"&amp;C54</f>
        <v>MASON CO-REGULATEDResidentialSTAIR-RES</v>
      </c>
      <c r="B54" s="214">
        <f t="shared" si="3"/>
        <v>1</v>
      </c>
      <c r="C54" s="220" t="s">
        <v>265</v>
      </c>
      <c r="D54" s="215" t="s">
        <v>443</v>
      </c>
      <c r="E54" s="216">
        <v>0.1</v>
      </c>
      <c r="F54" s="216">
        <v>0.1</v>
      </c>
      <c r="G54" s="217"/>
      <c r="H54" s="218">
        <v>7.2</v>
      </c>
      <c r="I54" s="218">
        <v>7.2</v>
      </c>
      <c r="J54" s="218">
        <v>7.2</v>
      </c>
      <c r="K54" s="218">
        <v>7.2</v>
      </c>
      <c r="L54" s="218">
        <v>7.2</v>
      </c>
      <c r="M54" s="218">
        <v>7.2</v>
      </c>
      <c r="N54" s="218">
        <v>7.2</v>
      </c>
      <c r="O54" s="218">
        <v>7.2</v>
      </c>
      <c r="P54" s="218">
        <v>7.2</v>
      </c>
      <c r="Q54" s="218">
        <v>7.2</v>
      </c>
      <c r="R54" s="218">
        <v>7.2</v>
      </c>
      <c r="S54" s="218">
        <v>7.2</v>
      </c>
      <c r="T54" s="218">
        <f t="shared" si="4"/>
        <v>86.40000000000002</v>
      </c>
      <c r="U54" s="218"/>
      <c r="V54" s="218">
        <f t="shared" si="8"/>
        <v>72</v>
      </c>
      <c r="W54" s="218">
        <f t="shared" si="8"/>
        <v>72</v>
      </c>
      <c r="X54" s="218">
        <f t="shared" si="8"/>
        <v>72</v>
      </c>
      <c r="Y54" s="218">
        <f t="shared" si="8"/>
        <v>72</v>
      </c>
      <c r="Z54" s="218">
        <f t="shared" si="11"/>
        <v>72</v>
      </c>
      <c r="AA54" s="218">
        <f t="shared" si="11"/>
        <v>72</v>
      </c>
      <c r="AB54" s="218">
        <f t="shared" si="11"/>
        <v>72</v>
      </c>
      <c r="AC54" s="218">
        <f t="shared" si="11"/>
        <v>72</v>
      </c>
      <c r="AD54" s="218">
        <f t="shared" si="11"/>
        <v>72</v>
      </c>
      <c r="AE54" s="218">
        <f t="shared" si="11"/>
        <v>72</v>
      </c>
      <c r="AF54" s="218">
        <f t="shared" si="11"/>
        <v>72</v>
      </c>
      <c r="AG54" s="218">
        <f t="shared" si="10"/>
        <v>72</v>
      </c>
      <c r="AI54" s="220"/>
    </row>
    <row r="55" spans="1:35" s="214" customFormat="1">
      <c r="A55" s="214" t="str">
        <f t="shared" ref="A55" si="12">$A$1&amp;"Residential"&amp;C55</f>
        <v>MASON CO-REGULATEDResidentialOFOWR</v>
      </c>
      <c r="B55" s="214">
        <f t="shared" si="3"/>
        <v>1</v>
      </c>
      <c r="C55" s="220" t="s">
        <v>266</v>
      </c>
      <c r="D55" s="215" t="s">
        <v>444</v>
      </c>
      <c r="E55" s="216">
        <v>4.46</v>
      </c>
      <c r="F55" s="216">
        <v>4.51</v>
      </c>
      <c r="G55" s="217"/>
      <c r="H55" s="218">
        <v>999.04000000000008</v>
      </c>
      <c r="I55" s="218">
        <v>1007.9599999999999</v>
      </c>
      <c r="J55" s="218">
        <v>1498.56</v>
      </c>
      <c r="K55" s="218">
        <v>1342.46</v>
      </c>
      <c r="L55" s="218">
        <v>1880.72</v>
      </c>
      <c r="M55" s="218">
        <v>1073.43</v>
      </c>
      <c r="N55" s="218">
        <v>1583.01</v>
      </c>
      <c r="O55" s="218">
        <v>2006.9499999999998</v>
      </c>
      <c r="P55" s="218">
        <v>3229.16</v>
      </c>
      <c r="Q55" s="218">
        <v>3238.18</v>
      </c>
      <c r="R55" s="218">
        <v>3594.4700000000003</v>
      </c>
      <c r="S55" s="218">
        <v>1975.6100000000001</v>
      </c>
      <c r="T55" s="218">
        <f t="shared" si="4"/>
        <v>23429.550000000003</v>
      </c>
      <c r="U55" s="218"/>
      <c r="V55" s="218">
        <f t="shared" si="8"/>
        <v>224.00000000000003</v>
      </c>
      <c r="W55" s="218">
        <f t="shared" si="8"/>
        <v>225.99999999999997</v>
      </c>
      <c r="X55" s="218">
        <f t="shared" si="8"/>
        <v>336</v>
      </c>
      <c r="Y55" s="218">
        <f t="shared" si="8"/>
        <v>301</v>
      </c>
      <c r="Z55" s="218">
        <f t="shared" si="11"/>
        <v>417.01108647450116</v>
      </c>
      <c r="AA55" s="218">
        <f t="shared" si="11"/>
        <v>238.01108647450113</v>
      </c>
      <c r="AB55" s="218">
        <f t="shared" si="11"/>
        <v>351</v>
      </c>
      <c r="AC55" s="218">
        <f t="shared" si="11"/>
        <v>445</v>
      </c>
      <c r="AD55" s="218">
        <f t="shared" si="11"/>
        <v>716</v>
      </c>
      <c r="AE55" s="218">
        <f t="shared" si="11"/>
        <v>718</v>
      </c>
      <c r="AF55" s="218">
        <f t="shared" si="11"/>
        <v>797.00000000000011</v>
      </c>
      <c r="AG55" s="218">
        <f t="shared" si="10"/>
        <v>438.05099778270517</v>
      </c>
      <c r="AI55" s="220"/>
    </row>
    <row r="56" spans="1:35" s="214" customFormat="1" hidden="1">
      <c r="A56" s="214" t="str">
        <f>$A$1&amp;"Residential"&amp;C56</f>
        <v>MASON CO-REGULATEDResidentialSTMCLNREF</v>
      </c>
      <c r="B56" s="214">
        <f t="shared" si="3"/>
        <v>1</v>
      </c>
      <c r="C56" s="220" t="s">
        <v>267</v>
      </c>
      <c r="D56" s="215" t="e">
        <v>#N/A</v>
      </c>
      <c r="E56" s="216">
        <v>15</v>
      </c>
      <c r="F56" s="216">
        <v>15</v>
      </c>
      <c r="G56" s="217"/>
      <c r="H56" s="218">
        <v>0</v>
      </c>
      <c r="I56" s="218">
        <v>0</v>
      </c>
      <c r="J56" s="218">
        <v>0</v>
      </c>
      <c r="K56" s="218">
        <v>0</v>
      </c>
      <c r="L56" s="218">
        <v>0</v>
      </c>
      <c r="M56" s="218">
        <v>0</v>
      </c>
      <c r="N56" s="218">
        <v>0</v>
      </c>
      <c r="O56" s="218">
        <v>0</v>
      </c>
      <c r="P56" s="218">
        <v>0</v>
      </c>
      <c r="Q56" s="218">
        <v>0</v>
      </c>
      <c r="R56" s="218">
        <v>0</v>
      </c>
      <c r="S56" s="218">
        <v>0</v>
      </c>
      <c r="T56" s="218">
        <f t="shared" si="4"/>
        <v>0</v>
      </c>
      <c r="U56" s="218"/>
      <c r="V56" s="218">
        <f t="shared" si="8"/>
        <v>0</v>
      </c>
      <c r="W56" s="218">
        <f t="shared" si="8"/>
        <v>0</v>
      </c>
      <c r="X56" s="218">
        <f t="shared" si="8"/>
        <v>0</v>
      </c>
      <c r="Y56" s="218">
        <f t="shared" si="8"/>
        <v>0</v>
      </c>
      <c r="Z56" s="218">
        <f t="shared" si="11"/>
        <v>0</v>
      </c>
      <c r="AA56" s="218">
        <f t="shared" si="11"/>
        <v>0</v>
      </c>
      <c r="AB56" s="218">
        <f t="shared" si="11"/>
        <v>0</v>
      </c>
      <c r="AC56" s="218">
        <f t="shared" si="11"/>
        <v>0</v>
      </c>
      <c r="AD56" s="218">
        <f t="shared" si="11"/>
        <v>0</v>
      </c>
      <c r="AE56" s="218">
        <f t="shared" si="11"/>
        <v>0</v>
      </c>
      <c r="AF56" s="218">
        <f t="shared" si="11"/>
        <v>0</v>
      </c>
      <c r="AG56" s="218">
        <f t="shared" si="10"/>
        <v>0</v>
      </c>
      <c r="AI56" s="220"/>
    </row>
    <row r="57" spans="1:35" s="214" customFormat="1" hidden="1">
      <c r="A57" s="214" t="str">
        <f t="shared" ref="A57" si="13">$A$1&amp;"Residential"&amp;C57</f>
        <v>MASON CO-REGULATEDResidentialTRIPRCANS</v>
      </c>
      <c r="B57" s="214">
        <f t="shared" si="3"/>
        <v>1</v>
      </c>
      <c r="C57" s="220" t="s">
        <v>268</v>
      </c>
      <c r="D57" s="215" t="e">
        <v>#N/A</v>
      </c>
      <c r="E57" s="216">
        <v>8.75</v>
      </c>
      <c r="F57" s="216">
        <v>8.75</v>
      </c>
      <c r="G57" s="217"/>
      <c r="H57" s="218">
        <v>0</v>
      </c>
      <c r="I57" s="218">
        <v>0</v>
      </c>
      <c r="J57" s="218">
        <v>0</v>
      </c>
      <c r="K57" s="218">
        <v>0</v>
      </c>
      <c r="L57" s="218">
        <v>0</v>
      </c>
      <c r="M57" s="218">
        <v>0</v>
      </c>
      <c r="N57" s="218">
        <v>0</v>
      </c>
      <c r="O57" s="218">
        <v>0</v>
      </c>
      <c r="P57" s="218">
        <v>0</v>
      </c>
      <c r="Q57" s="218">
        <v>0</v>
      </c>
      <c r="R57" s="218">
        <v>0</v>
      </c>
      <c r="S57" s="218">
        <v>0</v>
      </c>
      <c r="T57" s="218">
        <f t="shared" si="4"/>
        <v>0</v>
      </c>
      <c r="U57" s="218"/>
      <c r="V57" s="218">
        <f t="shared" si="8"/>
        <v>0</v>
      </c>
      <c r="W57" s="218">
        <f t="shared" si="8"/>
        <v>0</v>
      </c>
      <c r="X57" s="218">
        <f t="shared" si="8"/>
        <v>0</v>
      </c>
      <c r="Y57" s="218">
        <f t="shared" si="8"/>
        <v>0</v>
      </c>
      <c r="Z57" s="218">
        <f t="shared" si="11"/>
        <v>0</v>
      </c>
      <c r="AA57" s="218">
        <f t="shared" si="11"/>
        <v>0</v>
      </c>
      <c r="AB57" s="218">
        <f t="shared" si="11"/>
        <v>0</v>
      </c>
      <c r="AC57" s="218">
        <f t="shared" si="11"/>
        <v>0</v>
      </c>
      <c r="AD57" s="218">
        <f t="shared" si="11"/>
        <v>0</v>
      </c>
      <c r="AE57" s="218">
        <f t="shared" si="11"/>
        <v>0</v>
      </c>
      <c r="AF57" s="218">
        <f t="shared" si="11"/>
        <v>0</v>
      </c>
      <c r="AG57" s="218">
        <f t="shared" si="10"/>
        <v>0</v>
      </c>
      <c r="AI57" s="220"/>
    </row>
    <row r="58" spans="1:35" s="214" customFormat="1" hidden="1">
      <c r="A58" s="214" t="str">
        <f>$A$1&amp;"Residential"&amp;C58</f>
        <v>MASON CO-REGULATEDResidentialSUNKENR</v>
      </c>
      <c r="B58" s="214">
        <f t="shared" si="3"/>
        <v>1</v>
      </c>
      <c r="C58" s="220" t="s">
        <v>269</v>
      </c>
      <c r="D58" s="215" t="e">
        <v>#N/A</v>
      </c>
      <c r="E58" s="216">
        <v>0.16500000000000001</v>
      </c>
      <c r="F58" s="216">
        <v>0.16500000000000001</v>
      </c>
      <c r="G58" s="217"/>
      <c r="H58" s="218">
        <v>0</v>
      </c>
      <c r="I58" s="218">
        <v>0</v>
      </c>
      <c r="J58" s="218">
        <v>0</v>
      </c>
      <c r="K58" s="218">
        <v>0</v>
      </c>
      <c r="L58" s="218">
        <v>0</v>
      </c>
      <c r="M58" s="218">
        <v>0</v>
      </c>
      <c r="N58" s="218">
        <v>0</v>
      </c>
      <c r="O58" s="218">
        <v>0</v>
      </c>
      <c r="P58" s="218">
        <v>0</v>
      </c>
      <c r="Q58" s="218">
        <v>0</v>
      </c>
      <c r="R58" s="218">
        <v>0</v>
      </c>
      <c r="S58" s="218">
        <v>0</v>
      </c>
      <c r="T58" s="218">
        <f t="shared" si="4"/>
        <v>0</v>
      </c>
      <c r="U58" s="218"/>
      <c r="V58" s="218">
        <f t="shared" si="8"/>
        <v>0</v>
      </c>
      <c r="W58" s="218">
        <f t="shared" si="8"/>
        <v>0</v>
      </c>
      <c r="X58" s="218">
        <f t="shared" si="8"/>
        <v>0</v>
      </c>
      <c r="Y58" s="218">
        <f t="shared" si="8"/>
        <v>0</v>
      </c>
      <c r="Z58" s="218">
        <f t="shared" si="11"/>
        <v>0</v>
      </c>
      <c r="AA58" s="218">
        <f t="shared" si="11"/>
        <v>0</v>
      </c>
      <c r="AB58" s="218">
        <f t="shared" si="11"/>
        <v>0</v>
      </c>
      <c r="AC58" s="218">
        <f t="shared" si="11"/>
        <v>0</v>
      </c>
      <c r="AD58" s="218">
        <f t="shared" si="11"/>
        <v>0</v>
      </c>
      <c r="AE58" s="218">
        <f t="shared" si="11"/>
        <v>0</v>
      </c>
      <c r="AF58" s="218">
        <f t="shared" si="11"/>
        <v>0</v>
      </c>
      <c r="AG58" s="218">
        <f t="shared" si="10"/>
        <v>0</v>
      </c>
      <c r="AI58" s="220"/>
    </row>
    <row r="59" spans="1:35" s="214" customFormat="1" hidden="1">
      <c r="A59" s="214" t="str">
        <f>$A$1&amp;"Residential"&amp;C59</f>
        <v>MASON CO-REGULATEDResidentialADJOTHR</v>
      </c>
      <c r="B59" s="214">
        <f t="shared" si="3"/>
        <v>1</v>
      </c>
      <c r="C59" s="220" t="s">
        <v>270</v>
      </c>
      <c r="D59" s="215" t="s">
        <v>445</v>
      </c>
      <c r="E59" s="216" t="e">
        <v>#N/A</v>
      </c>
      <c r="F59" s="216" t="e">
        <v>#N/A</v>
      </c>
      <c r="G59" s="217"/>
      <c r="H59" s="218">
        <v>0</v>
      </c>
      <c r="I59" s="218">
        <v>-0.77</v>
      </c>
      <c r="J59" s="218">
        <v>-0.5</v>
      </c>
      <c r="K59" s="218">
        <v>3.96</v>
      </c>
      <c r="L59" s="218">
        <v>-74.66</v>
      </c>
      <c r="M59" s="218">
        <v>-5.55</v>
      </c>
      <c r="N59" s="218">
        <v>0</v>
      </c>
      <c r="O59" s="218">
        <v>5.2</v>
      </c>
      <c r="P59" s="218">
        <v>0.01</v>
      </c>
      <c r="Q59" s="218">
        <v>-11.16</v>
      </c>
      <c r="R59" s="218">
        <v>0</v>
      </c>
      <c r="S59" s="218">
        <v>-4.7</v>
      </c>
      <c r="T59" s="218">
        <f t="shared" si="4"/>
        <v>-88.169999999999987</v>
      </c>
      <c r="U59" s="218"/>
      <c r="V59" s="218">
        <f t="shared" si="8"/>
        <v>0</v>
      </c>
      <c r="W59" s="218">
        <f t="shared" si="8"/>
        <v>0</v>
      </c>
      <c r="X59" s="218">
        <f t="shared" si="8"/>
        <v>0</v>
      </c>
      <c r="Y59" s="218">
        <f t="shared" si="8"/>
        <v>0</v>
      </c>
      <c r="Z59" s="218">
        <f t="shared" si="11"/>
        <v>0</v>
      </c>
      <c r="AA59" s="218">
        <f t="shared" si="11"/>
        <v>0</v>
      </c>
      <c r="AB59" s="218">
        <f t="shared" si="11"/>
        <v>0</v>
      </c>
      <c r="AC59" s="218">
        <f t="shared" si="11"/>
        <v>0</v>
      </c>
      <c r="AD59" s="218">
        <f t="shared" si="11"/>
        <v>0</v>
      </c>
      <c r="AE59" s="218">
        <f t="shared" si="11"/>
        <v>0</v>
      </c>
      <c r="AF59" s="218">
        <f t="shared" si="11"/>
        <v>0</v>
      </c>
      <c r="AG59" s="218">
        <f t="shared" si="10"/>
        <v>0</v>
      </c>
      <c r="AI59" s="220"/>
    </row>
    <row r="60" spans="1:35" s="214" customFormat="1" hidden="1">
      <c r="A60" s="214" t="str">
        <f>$A$1&amp;"Residential"&amp;C60</f>
        <v>MASON CO-REGULATEDResidentialADJRES</v>
      </c>
      <c r="B60" s="214">
        <f t="shared" si="3"/>
        <v>1</v>
      </c>
      <c r="C60" s="220" t="s">
        <v>271</v>
      </c>
      <c r="D60" s="215" t="e">
        <v>#N/A</v>
      </c>
      <c r="E60" s="216" t="e">
        <v>#N/A</v>
      </c>
      <c r="F60" s="216" t="e">
        <v>#N/A</v>
      </c>
      <c r="G60" s="217"/>
      <c r="H60" s="218">
        <v>0</v>
      </c>
      <c r="I60" s="218">
        <v>0</v>
      </c>
      <c r="J60" s="218">
        <v>0</v>
      </c>
      <c r="K60" s="218">
        <v>0</v>
      </c>
      <c r="L60" s="218">
        <v>0</v>
      </c>
      <c r="M60" s="218">
        <v>0</v>
      </c>
      <c r="N60" s="218">
        <v>0</v>
      </c>
      <c r="O60" s="218">
        <v>0</v>
      </c>
      <c r="P60" s="218">
        <v>0</v>
      </c>
      <c r="Q60" s="218">
        <v>0</v>
      </c>
      <c r="R60" s="218">
        <v>0</v>
      </c>
      <c r="S60" s="218">
        <v>0</v>
      </c>
      <c r="T60" s="218">
        <f t="shared" si="4"/>
        <v>0</v>
      </c>
      <c r="U60" s="218"/>
      <c r="V60" s="218">
        <f t="shared" si="8"/>
        <v>0</v>
      </c>
      <c r="W60" s="218">
        <f t="shared" si="8"/>
        <v>0</v>
      </c>
      <c r="X60" s="218">
        <f t="shared" si="8"/>
        <v>0</v>
      </c>
      <c r="Y60" s="218">
        <f t="shared" si="8"/>
        <v>0</v>
      </c>
      <c r="Z60" s="218">
        <f t="shared" si="11"/>
        <v>0</v>
      </c>
      <c r="AA60" s="218">
        <f t="shared" si="11"/>
        <v>0</v>
      </c>
      <c r="AB60" s="218">
        <f t="shared" si="11"/>
        <v>0</v>
      </c>
      <c r="AC60" s="218">
        <f t="shared" si="11"/>
        <v>0</v>
      </c>
      <c r="AD60" s="218">
        <f t="shared" si="11"/>
        <v>0</v>
      </c>
      <c r="AE60" s="218">
        <f t="shared" si="11"/>
        <v>0</v>
      </c>
      <c r="AF60" s="218">
        <f t="shared" si="11"/>
        <v>0</v>
      </c>
      <c r="AG60" s="218">
        <f t="shared" si="10"/>
        <v>0</v>
      </c>
      <c r="AI60" s="220"/>
    </row>
    <row r="61" spans="1:35" s="214" customFormat="1">
      <c r="B61" s="214">
        <f t="shared" si="3"/>
        <v>0</v>
      </c>
      <c r="C61" s="221"/>
      <c r="D61" s="222" t="s">
        <v>272</v>
      </c>
      <c r="E61" s="217"/>
      <c r="F61" s="217"/>
      <c r="G61" s="217"/>
      <c r="H61" s="196">
        <f t="shared" ref="H61:K61" si="14">SUM(H10:H60)</f>
        <v>193393.10000000003</v>
      </c>
      <c r="I61" s="196">
        <f t="shared" si="14"/>
        <v>190312</v>
      </c>
      <c r="J61" s="196">
        <f t="shared" si="14"/>
        <v>188259.63499999992</v>
      </c>
      <c r="K61" s="196">
        <f t="shared" si="14"/>
        <v>186057.23500000004</v>
      </c>
      <c r="L61" s="196">
        <f t="shared" ref="L61:T61" si="15">SUM(L10:L60)</f>
        <v>189984.65499999991</v>
      </c>
      <c r="M61" s="196">
        <f t="shared" si="15"/>
        <v>186906.72500000001</v>
      </c>
      <c r="N61" s="196">
        <f t="shared" si="15"/>
        <v>189712.02499999999</v>
      </c>
      <c r="O61" s="196">
        <f t="shared" si="15"/>
        <v>192821.40499999991</v>
      </c>
      <c r="P61" s="196">
        <f t="shared" si="15"/>
        <v>203675.82999999996</v>
      </c>
      <c r="Q61" s="196">
        <f t="shared" si="15"/>
        <v>205292.69</v>
      </c>
      <c r="R61" s="196">
        <f t="shared" si="15"/>
        <v>213745.42499999996</v>
      </c>
      <c r="S61" s="196">
        <f t="shared" si="15"/>
        <v>212923.53499999997</v>
      </c>
      <c r="T61" s="196">
        <f t="shared" si="15"/>
        <v>2353084.2600000002</v>
      </c>
      <c r="V61" s="218">
        <f t="shared" si="8"/>
        <v>0</v>
      </c>
      <c r="W61" s="218">
        <f t="shared" si="8"/>
        <v>0</v>
      </c>
      <c r="X61" s="218">
        <f t="shared" si="8"/>
        <v>0</v>
      </c>
      <c r="Y61" s="218">
        <f t="shared" si="8"/>
        <v>0</v>
      </c>
      <c r="Z61" s="218">
        <f t="shared" si="11"/>
        <v>0</v>
      </c>
      <c r="AA61" s="218">
        <f t="shared" si="11"/>
        <v>0</v>
      </c>
      <c r="AB61" s="218">
        <f t="shared" si="11"/>
        <v>0</v>
      </c>
      <c r="AC61" s="218">
        <f t="shared" si="11"/>
        <v>0</v>
      </c>
      <c r="AD61" s="218">
        <f t="shared" si="11"/>
        <v>0</v>
      </c>
      <c r="AE61" s="218">
        <f t="shared" si="11"/>
        <v>0</v>
      </c>
      <c r="AF61" s="218">
        <f t="shared" si="11"/>
        <v>0</v>
      </c>
      <c r="AG61" s="218"/>
      <c r="AI61" s="220"/>
    </row>
    <row r="62" spans="1:35" s="214" customFormat="1">
      <c r="C62" s="221"/>
      <c r="D62" s="222"/>
      <c r="E62" s="217"/>
      <c r="F62" s="217"/>
      <c r="G62" s="217"/>
      <c r="H62" s="197"/>
      <c r="I62" s="197"/>
      <c r="J62" s="197"/>
      <c r="K62" s="197"/>
      <c r="L62" s="197"/>
      <c r="M62" s="197"/>
      <c r="N62" s="197"/>
      <c r="O62" s="197"/>
      <c r="P62" s="197"/>
      <c r="Q62" s="197"/>
      <c r="R62" s="197"/>
      <c r="S62" s="197"/>
      <c r="T62" s="197"/>
      <c r="V62" s="218"/>
      <c r="W62" s="218"/>
      <c r="X62" s="218"/>
      <c r="Y62" s="218"/>
      <c r="Z62" s="218"/>
      <c r="AA62" s="218"/>
      <c r="AB62" s="218"/>
      <c r="AC62" s="218"/>
      <c r="AD62" s="218"/>
      <c r="AE62" s="218"/>
      <c r="AF62" s="218"/>
      <c r="AG62" s="218"/>
      <c r="AI62" s="220"/>
    </row>
    <row r="63" spans="1:35" s="214" customFormat="1" hidden="1">
      <c r="C63" s="221"/>
      <c r="D63" s="221"/>
      <c r="E63" s="217"/>
      <c r="F63" s="217"/>
      <c r="G63" s="217"/>
      <c r="H63" s="198"/>
      <c r="I63" s="198"/>
      <c r="J63" s="198"/>
      <c r="K63" s="198"/>
      <c r="L63" s="198"/>
      <c r="M63" s="218"/>
      <c r="N63" s="223"/>
      <c r="V63" s="218"/>
      <c r="W63" s="218"/>
      <c r="X63" s="218"/>
      <c r="Y63" s="218"/>
      <c r="Z63" s="218"/>
      <c r="AA63" s="218"/>
      <c r="AB63" s="218"/>
      <c r="AC63" s="218"/>
      <c r="AD63" s="218"/>
      <c r="AE63" s="218"/>
      <c r="AF63" s="218"/>
      <c r="AG63" s="218"/>
      <c r="AI63" s="220"/>
    </row>
    <row r="64" spans="1:35" s="214" customFormat="1" hidden="1">
      <c r="B64" s="214">
        <f t="shared" si="3"/>
        <v>1</v>
      </c>
      <c r="C64" s="224" t="s">
        <v>273</v>
      </c>
      <c r="D64" s="224" t="s">
        <v>273</v>
      </c>
      <c r="E64" s="217"/>
      <c r="F64" s="217"/>
      <c r="G64" s="217"/>
      <c r="H64" s="198"/>
      <c r="I64" s="198"/>
      <c r="J64" s="198"/>
      <c r="K64" s="198"/>
      <c r="L64" s="198"/>
      <c r="M64" s="218"/>
      <c r="N64" s="218"/>
      <c r="V64" s="218">
        <f t="shared" si="8"/>
        <v>0</v>
      </c>
      <c r="W64" s="218">
        <f t="shared" si="8"/>
        <v>0</v>
      </c>
      <c r="X64" s="218">
        <f t="shared" si="8"/>
        <v>0</v>
      </c>
      <c r="Y64" s="218">
        <f t="shared" si="8"/>
        <v>0</v>
      </c>
      <c r="Z64" s="218">
        <f t="shared" si="11"/>
        <v>0</v>
      </c>
      <c r="AA64" s="218">
        <f t="shared" si="11"/>
        <v>0</v>
      </c>
      <c r="AB64" s="218">
        <f t="shared" si="11"/>
        <v>0</v>
      </c>
      <c r="AC64" s="218">
        <f t="shared" si="11"/>
        <v>0</v>
      </c>
      <c r="AD64" s="218">
        <f t="shared" si="11"/>
        <v>0</v>
      </c>
      <c r="AE64" s="218">
        <f t="shared" si="11"/>
        <v>0</v>
      </c>
      <c r="AF64" s="218">
        <f t="shared" si="11"/>
        <v>0</v>
      </c>
      <c r="AG64" s="218">
        <f t="shared" si="10"/>
        <v>0</v>
      </c>
      <c r="AI64" s="220"/>
    </row>
    <row r="65" spans="1:35" s="214" customFormat="1" ht="15.75" hidden="1" customHeight="1">
      <c r="A65" s="214" t="str">
        <f t="shared" ref="A65:A69" si="16">$A$1&amp;"Residential"&amp;C65</f>
        <v>MASON CO-REGULATEDResidentialDRVNRE1RECY</v>
      </c>
      <c r="B65" s="214">
        <f t="shared" si="3"/>
        <v>1</v>
      </c>
      <c r="C65" s="225" t="s">
        <v>274</v>
      </c>
      <c r="D65" s="215" t="s">
        <v>446</v>
      </c>
      <c r="E65" s="216">
        <v>2.63</v>
      </c>
      <c r="F65" s="216">
        <v>2.63</v>
      </c>
      <c r="G65" s="217"/>
      <c r="H65" s="218">
        <v>302.45499999999998</v>
      </c>
      <c r="I65" s="218">
        <v>289.26499999999999</v>
      </c>
      <c r="J65" s="218">
        <v>289.3</v>
      </c>
      <c r="K65" s="218">
        <v>287.98</v>
      </c>
      <c r="L65" s="218">
        <v>282.73</v>
      </c>
      <c r="M65" s="218">
        <v>281.41000000000003</v>
      </c>
      <c r="N65" s="218">
        <v>274.185</v>
      </c>
      <c r="O65" s="218">
        <v>278.14499999999998</v>
      </c>
      <c r="P65" s="218">
        <v>284.7</v>
      </c>
      <c r="Q65" s="218">
        <v>283.39999999999998</v>
      </c>
      <c r="R65" s="218">
        <v>299.16500000000002</v>
      </c>
      <c r="S65" s="218">
        <v>295.22500000000002</v>
      </c>
      <c r="T65" s="218">
        <f t="shared" ref="T65:T75" si="17">SUM(H65:S65)</f>
        <v>3447.96</v>
      </c>
      <c r="U65" s="218"/>
      <c r="V65" s="218">
        <f t="shared" si="8"/>
        <v>115.00190114068441</v>
      </c>
      <c r="W65" s="218">
        <f t="shared" si="8"/>
        <v>109.98669201520913</v>
      </c>
      <c r="X65" s="218">
        <f t="shared" si="8"/>
        <v>110.00000000000001</v>
      </c>
      <c r="Y65" s="218">
        <f t="shared" si="8"/>
        <v>109.4980988593156</v>
      </c>
      <c r="Z65" s="218">
        <f t="shared" si="11"/>
        <v>107.50190114068442</v>
      </c>
      <c r="AA65" s="218">
        <f t="shared" si="11"/>
        <v>107.00000000000001</v>
      </c>
      <c r="AB65" s="218">
        <f t="shared" si="11"/>
        <v>104.25285171102662</v>
      </c>
      <c r="AC65" s="218">
        <f t="shared" si="11"/>
        <v>105.75855513307985</v>
      </c>
      <c r="AD65" s="218">
        <f t="shared" si="11"/>
        <v>108.25095057034221</v>
      </c>
      <c r="AE65" s="218">
        <f t="shared" si="11"/>
        <v>107.75665399239543</v>
      </c>
      <c r="AF65" s="218">
        <f t="shared" si="11"/>
        <v>113.75095057034221</v>
      </c>
      <c r="AG65" s="218">
        <f t="shared" si="10"/>
        <v>112.25285171102662</v>
      </c>
      <c r="AI65" s="220"/>
    </row>
    <row r="66" spans="1:35" s="214" customFormat="1" ht="12.75" hidden="1">
      <c r="A66" s="214" t="str">
        <f>$A$1&amp;"Residential"&amp;C66</f>
        <v>MASON CO-REGULATEDResidentialDRVNRE1RECYMA</v>
      </c>
      <c r="B66" s="214">
        <f t="shared" si="3"/>
        <v>1</v>
      </c>
      <c r="C66" s="225" t="s">
        <v>275</v>
      </c>
      <c r="D66" s="215" t="s">
        <v>446</v>
      </c>
      <c r="E66" s="216">
        <v>2.63</v>
      </c>
      <c r="F66" s="216">
        <v>2.63</v>
      </c>
      <c r="G66" s="217"/>
      <c r="H66" s="218">
        <v>63.12</v>
      </c>
      <c r="I66" s="218">
        <v>63.12</v>
      </c>
      <c r="J66" s="218">
        <v>63.12</v>
      </c>
      <c r="K66" s="218">
        <v>65.75</v>
      </c>
      <c r="L66" s="218">
        <v>61.81</v>
      </c>
      <c r="M66" s="218">
        <v>63.12</v>
      </c>
      <c r="N66" s="218">
        <v>63.12</v>
      </c>
      <c r="O66" s="218">
        <v>63.12</v>
      </c>
      <c r="P66" s="218">
        <v>64.87</v>
      </c>
      <c r="Q66" s="218">
        <v>65.75</v>
      </c>
      <c r="R66" s="218">
        <v>65.75</v>
      </c>
      <c r="S66" s="218">
        <v>65.75</v>
      </c>
      <c r="T66" s="218">
        <f t="shared" si="17"/>
        <v>768.4</v>
      </c>
      <c r="U66" s="218"/>
      <c r="V66" s="218">
        <f t="shared" si="8"/>
        <v>24</v>
      </c>
      <c r="W66" s="218">
        <f t="shared" si="8"/>
        <v>24</v>
      </c>
      <c r="X66" s="218">
        <f t="shared" si="8"/>
        <v>24</v>
      </c>
      <c r="Y66" s="218">
        <f t="shared" si="8"/>
        <v>25</v>
      </c>
      <c r="Z66" s="218">
        <f t="shared" si="11"/>
        <v>23.501901140684414</v>
      </c>
      <c r="AA66" s="218">
        <f t="shared" si="11"/>
        <v>24</v>
      </c>
      <c r="AB66" s="218">
        <f t="shared" si="11"/>
        <v>24</v>
      </c>
      <c r="AC66" s="218">
        <f t="shared" si="11"/>
        <v>24</v>
      </c>
      <c r="AD66" s="218">
        <f t="shared" si="11"/>
        <v>24.665399239543728</v>
      </c>
      <c r="AE66" s="218">
        <f t="shared" si="11"/>
        <v>25</v>
      </c>
      <c r="AF66" s="218">
        <f t="shared" si="11"/>
        <v>25</v>
      </c>
      <c r="AG66" s="218">
        <f t="shared" si="10"/>
        <v>25</v>
      </c>
    </row>
    <row r="67" spans="1:35" s="214" customFormat="1" ht="15.75" hidden="1" customHeight="1">
      <c r="A67" s="214" t="str">
        <f t="shared" si="16"/>
        <v>MASON CO-REGULATEDResidentialDRVNRE2RECY</v>
      </c>
      <c r="B67" s="214">
        <f t="shared" si="3"/>
        <v>1</v>
      </c>
      <c r="C67" s="225" t="s">
        <v>276</v>
      </c>
      <c r="D67" s="215" t="s">
        <v>447</v>
      </c>
      <c r="E67" s="216">
        <v>3.3</v>
      </c>
      <c r="F67" s="216">
        <v>3.3</v>
      </c>
      <c r="G67" s="217"/>
      <c r="H67" s="218">
        <v>69.3</v>
      </c>
      <c r="I67" s="218">
        <v>69.3</v>
      </c>
      <c r="J67" s="218">
        <v>75.900000000000006</v>
      </c>
      <c r="K67" s="218">
        <v>82.5</v>
      </c>
      <c r="L67" s="218">
        <v>75.900000000000006</v>
      </c>
      <c r="M67" s="218">
        <v>79.2</v>
      </c>
      <c r="N67" s="218">
        <v>72.599999999999994</v>
      </c>
      <c r="O67" s="218">
        <v>72.599999999999994</v>
      </c>
      <c r="P67" s="218">
        <v>72.599999999999994</v>
      </c>
      <c r="Q67" s="218">
        <v>72.599999999999994</v>
      </c>
      <c r="R67" s="218">
        <v>75.075000000000003</v>
      </c>
      <c r="S67" s="218">
        <v>75.075000000000003</v>
      </c>
      <c r="T67" s="218">
        <f t="shared" si="17"/>
        <v>892.65000000000009</v>
      </c>
      <c r="U67" s="218"/>
      <c r="V67" s="218">
        <f t="shared" si="8"/>
        <v>21</v>
      </c>
      <c r="W67" s="218">
        <f t="shared" si="8"/>
        <v>21</v>
      </c>
      <c r="X67" s="218">
        <f t="shared" si="8"/>
        <v>23.000000000000004</v>
      </c>
      <c r="Y67" s="218">
        <f t="shared" si="8"/>
        <v>25</v>
      </c>
      <c r="Z67" s="218">
        <f t="shared" si="11"/>
        <v>23.000000000000004</v>
      </c>
      <c r="AA67" s="218">
        <f t="shared" si="11"/>
        <v>24.000000000000004</v>
      </c>
      <c r="AB67" s="218">
        <f t="shared" si="11"/>
        <v>22</v>
      </c>
      <c r="AC67" s="218">
        <f t="shared" si="11"/>
        <v>22</v>
      </c>
      <c r="AD67" s="218">
        <f t="shared" si="11"/>
        <v>22</v>
      </c>
      <c r="AE67" s="218">
        <f t="shared" si="11"/>
        <v>22</v>
      </c>
      <c r="AF67" s="218">
        <f t="shared" si="11"/>
        <v>22.750000000000004</v>
      </c>
      <c r="AG67" s="218">
        <f t="shared" si="10"/>
        <v>22.750000000000004</v>
      </c>
      <c r="AI67" s="220"/>
    </row>
    <row r="68" spans="1:35" s="214" customFormat="1" ht="15.75" hidden="1" customHeight="1">
      <c r="A68" s="214" t="str">
        <f t="shared" si="16"/>
        <v>MASON CO-REGULATEDResidentialDRVNRE2RECYMA</v>
      </c>
      <c r="B68" s="214">
        <f t="shared" si="3"/>
        <v>1</v>
      </c>
      <c r="C68" s="225" t="s">
        <v>277</v>
      </c>
      <c r="D68" s="215" t="s">
        <v>447</v>
      </c>
      <c r="E68" s="216">
        <v>3.3</v>
      </c>
      <c r="F68" s="216">
        <v>3.3</v>
      </c>
      <c r="G68" s="217"/>
      <c r="H68" s="218">
        <v>9.9</v>
      </c>
      <c r="I68" s="218">
        <v>9.9</v>
      </c>
      <c r="J68" s="218">
        <v>9.9</v>
      </c>
      <c r="K68" s="218">
        <v>9.9</v>
      </c>
      <c r="L68" s="218">
        <v>13.2</v>
      </c>
      <c r="M68" s="218">
        <v>13.2</v>
      </c>
      <c r="N68" s="218">
        <v>13.2</v>
      </c>
      <c r="O68" s="218">
        <v>13.2</v>
      </c>
      <c r="P68" s="218">
        <v>13.2</v>
      </c>
      <c r="Q68" s="218">
        <v>13.2</v>
      </c>
      <c r="R68" s="218">
        <v>13.2</v>
      </c>
      <c r="S68" s="218">
        <v>16.5</v>
      </c>
      <c r="T68" s="218">
        <f t="shared" si="17"/>
        <v>148.5</v>
      </c>
      <c r="U68" s="218"/>
      <c r="V68" s="218">
        <f t="shared" si="8"/>
        <v>3.0000000000000004</v>
      </c>
      <c r="W68" s="218">
        <f t="shared" si="8"/>
        <v>3.0000000000000004</v>
      </c>
      <c r="X68" s="218">
        <f t="shared" si="8"/>
        <v>3.0000000000000004</v>
      </c>
      <c r="Y68" s="218">
        <f t="shared" si="8"/>
        <v>3.0000000000000004</v>
      </c>
      <c r="Z68" s="218">
        <f t="shared" si="11"/>
        <v>4</v>
      </c>
      <c r="AA68" s="218">
        <f t="shared" si="11"/>
        <v>4</v>
      </c>
      <c r="AB68" s="218">
        <f t="shared" si="11"/>
        <v>4</v>
      </c>
      <c r="AC68" s="218">
        <f t="shared" si="11"/>
        <v>4</v>
      </c>
      <c r="AD68" s="218">
        <f t="shared" si="11"/>
        <v>4</v>
      </c>
      <c r="AE68" s="218">
        <f t="shared" si="11"/>
        <v>4</v>
      </c>
      <c r="AF68" s="218">
        <f t="shared" si="11"/>
        <v>4</v>
      </c>
      <c r="AG68" s="218">
        <f t="shared" si="10"/>
        <v>5</v>
      </c>
      <c r="AI68" s="220"/>
    </row>
    <row r="69" spans="1:35" s="214" customFormat="1" ht="15.75" hidden="1" customHeight="1">
      <c r="A69" s="214" t="str">
        <f t="shared" si="16"/>
        <v>MASON CO-REGULATEDResidentialDRVNRM1RECYMA</v>
      </c>
      <c r="B69" s="214">
        <f t="shared" si="3"/>
        <v>1</v>
      </c>
      <c r="C69" s="225" t="s">
        <v>278</v>
      </c>
      <c r="D69" s="215" t="s">
        <v>448</v>
      </c>
      <c r="E69" s="216" t="e">
        <v>#N/A</v>
      </c>
      <c r="F69" s="216" t="e">
        <v>#N/A</v>
      </c>
      <c r="G69" s="217"/>
      <c r="H69" s="218">
        <v>2.2000000000000002</v>
      </c>
      <c r="I69" s="218">
        <v>2.2000000000000002</v>
      </c>
      <c r="J69" s="218">
        <v>2.2000000000000002</v>
      </c>
      <c r="K69" s="218">
        <v>1.1000000000000001</v>
      </c>
      <c r="L69" s="218">
        <v>1.1000000000000001</v>
      </c>
      <c r="M69" s="218">
        <v>1.1000000000000001</v>
      </c>
      <c r="N69" s="218">
        <v>1.1000000000000001</v>
      </c>
      <c r="O69" s="218">
        <v>1.1000000000000001</v>
      </c>
      <c r="P69" s="218">
        <v>1.1000000000000001</v>
      </c>
      <c r="Q69" s="218">
        <v>1.1000000000000001</v>
      </c>
      <c r="R69" s="218">
        <v>1.1000000000000001</v>
      </c>
      <c r="S69" s="218">
        <v>1.1000000000000001</v>
      </c>
      <c r="T69" s="218">
        <f t="shared" si="17"/>
        <v>16.5</v>
      </c>
      <c r="U69" s="218"/>
      <c r="V69" s="218">
        <f t="shared" si="8"/>
        <v>0</v>
      </c>
      <c r="W69" s="218">
        <f t="shared" si="8"/>
        <v>0</v>
      </c>
      <c r="X69" s="218">
        <f t="shared" si="8"/>
        <v>0</v>
      </c>
      <c r="Y69" s="218">
        <f t="shared" si="8"/>
        <v>0</v>
      </c>
      <c r="Z69" s="218">
        <f t="shared" si="11"/>
        <v>0</v>
      </c>
      <c r="AA69" s="218">
        <f t="shared" si="11"/>
        <v>0</v>
      </c>
      <c r="AB69" s="218">
        <f t="shared" si="11"/>
        <v>0</v>
      </c>
      <c r="AC69" s="218">
        <f t="shared" si="11"/>
        <v>0</v>
      </c>
      <c r="AD69" s="218">
        <f t="shared" si="11"/>
        <v>0</v>
      </c>
      <c r="AE69" s="218">
        <f t="shared" si="11"/>
        <v>0</v>
      </c>
      <c r="AF69" s="218">
        <f t="shared" si="11"/>
        <v>0</v>
      </c>
      <c r="AG69" s="218">
        <f t="shared" si="10"/>
        <v>0</v>
      </c>
      <c r="AI69" s="220"/>
    </row>
    <row r="70" spans="1:35" s="214" customFormat="1" ht="12" hidden="1">
      <c r="A70" s="214" t="str">
        <f>$A$1&amp;"Residential"&amp;C70</f>
        <v>MASON CO-REGULATEDResidentialRECYR</v>
      </c>
      <c r="B70" s="214">
        <f t="shared" si="3"/>
        <v>1</v>
      </c>
      <c r="C70" s="215" t="s">
        <v>279</v>
      </c>
      <c r="D70" s="215" t="s">
        <v>449</v>
      </c>
      <c r="E70" s="216">
        <v>9.16</v>
      </c>
      <c r="F70" s="216">
        <v>8.33</v>
      </c>
      <c r="G70" s="217"/>
      <c r="H70" s="218">
        <v>90335.919999999984</v>
      </c>
      <c r="I70" s="218">
        <v>89475.109999999986</v>
      </c>
      <c r="J70" s="218">
        <v>80024.709999999992</v>
      </c>
      <c r="K70" s="218">
        <v>79677.78</v>
      </c>
      <c r="L70" s="218">
        <v>79477.289999999994</v>
      </c>
      <c r="M70" s="218">
        <v>79247.62999999999</v>
      </c>
      <c r="N70" s="218">
        <v>79665.899999999994</v>
      </c>
      <c r="O70" s="218">
        <v>80480.81</v>
      </c>
      <c r="P70" s="218">
        <v>83489.185000000012</v>
      </c>
      <c r="Q70" s="218">
        <v>84087.475000000006</v>
      </c>
      <c r="R70" s="218">
        <v>85872.23</v>
      </c>
      <c r="S70" s="218">
        <v>86094.070000000022</v>
      </c>
      <c r="T70" s="218">
        <f t="shared" si="17"/>
        <v>997928.11</v>
      </c>
      <c r="U70" s="218"/>
      <c r="V70" s="218">
        <f t="shared" si="8"/>
        <v>9861.9999999999982</v>
      </c>
      <c r="W70" s="218">
        <f t="shared" si="8"/>
        <v>9768.0251091703049</v>
      </c>
      <c r="X70" s="218">
        <f t="shared" si="8"/>
        <v>8736.3220524017452</v>
      </c>
      <c r="Y70" s="218">
        <f t="shared" si="8"/>
        <v>8698.4475982532749</v>
      </c>
      <c r="Z70" s="218">
        <f t="shared" si="11"/>
        <v>9541.0912364945962</v>
      </c>
      <c r="AA70" s="218">
        <f t="shared" si="11"/>
        <v>9513.5210084033606</v>
      </c>
      <c r="AB70" s="218">
        <f t="shared" si="11"/>
        <v>9563.733493397358</v>
      </c>
      <c r="AC70" s="218">
        <f t="shared" si="11"/>
        <v>9661.5618247298917</v>
      </c>
      <c r="AD70" s="218">
        <f t="shared" si="11"/>
        <v>10022.711284513807</v>
      </c>
      <c r="AE70" s="218">
        <f t="shared" si="11"/>
        <v>10094.534813925571</v>
      </c>
      <c r="AF70" s="218">
        <f t="shared" si="11"/>
        <v>10308.791116446579</v>
      </c>
      <c r="AG70" s="218">
        <f t="shared" si="10"/>
        <v>10335.422569027614</v>
      </c>
      <c r="AH70" s="219">
        <f t="shared" ref="AH70:AH75" si="18">AVERAGE(V70:AG70)</f>
        <v>9675.5135088970073</v>
      </c>
    </row>
    <row r="71" spans="1:35" s="214" customFormat="1" ht="15.75" hidden="1" customHeight="1">
      <c r="A71" s="214" t="str">
        <f t="shared" ref="A71:A73" si="19">$A$1&amp;"Residential"&amp;C71</f>
        <v>MASON CO-REGULATEDResidentialRECYONLY</v>
      </c>
      <c r="B71" s="214">
        <f t="shared" si="3"/>
        <v>1</v>
      </c>
      <c r="C71" s="220" t="s">
        <v>280</v>
      </c>
      <c r="D71" s="215" t="s">
        <v>450</v>
      </c>
      <c r="E71" s="216">
        <v>9.81</v>
      </c>
      <c r="F71" s="216">
        <v>8.83</v>
      </c>
      <c r="G71" s="217"/>
      <c r="H71" s="218">
        <v>564.07500000000005</v>
      </c>
      <c r="I71" s="218">
        <v>544.45500000000004</v>
      </c>
      <c r="J71" s="218">
        <v>467.995</v>
      </c>
      <c r="K71" s="218">
        <v>467.995</v>
      </c>
      <c r="L71" s="218">
        <v>472.40499999999997</v>
      </c>
      <c r="M71" s="218">
        <v>472.41499999999996</v>
      </c>
      <c r="N71" s="218">
        <v>485.65499999999997</v>
      </c>
      <c r="O71" s="218">
        <v>485.65499999999997</v>
      </c>
      <c r="P71" s="218">
        <v>461.37</v>
      </c>
      <c r="Q71" s="218">
        <v>456.95000000000005</v>
      </c>
      <c r="R71" s="218">
        <v>452.54</v>
      </c>
      <c r="S71" s="218">
        <v>443.72</v>
      </c>
      <c r="T71" s="218">
        <f t="shared" si="17"/>
        <v>5775.23</v>
      </c>
      <c r="U71" s="218"/>
      <c r="V71" s="218">
        <f t="shared" si="8"/>
        <v>57.5</v>
      </c>
      <c r="W71" s="218">
        <f t="shared" si="8"/>
        <v>55.5</v>
      </c>
      <c r="X71" s="218">
        <f t="shared" si="8"/>
        <v>47.705912334352696</v>
      </c>
      <c r="Y71" s="218">
        <f t="shared" si="8"/>
        <v>47.705912334352696</v>
      </c>
      <c r="Z71" s="218">
        <f t="shared" si="11"/>
        <v>53.5</v>
      </c>
      <c r="AA71" s="218">
        <f t="shared" si="11"/>
        <v>53.501132502831254</v>
      </c>
      <c r="AB71" s="218">
        <f t="shared" si="11"/>
        <v>55.000566251415627</v>
      </c>
      <c r="AC71" s="218">
        <f t="shared" si="11"/>
        <v>55.000566251415627</v>
      </c>
      <c r="AD71" s="218">
        <f t="shared" si="11"/>
        <v>52.250283125707817</v>
      </c>
      <c r="AE71" s="218">
        <f t="shared" si="11"/>
        <v>51.74971687429219</v>
      </c>
      <c r="AF71" s="218">
        <f t="shared" si="11"/>
        <v>51.250283125707817</v>
      </c>
      <c r="AG71" s="218">
        <f t="shared" si="10"/>
        <v>50.251415628539071</v>
      </c>
      <c r="AH71" s="219">
        <f t="shared" si="18"/>
        <v>52.576315702384569</v>
      </c>
      <c r="AI71" s="220"/>
    </row>
    <row r="72" spans="1:35" s="214" customFormat="1" hidden="1">
      <c r="A72" s="214" t="str">
        <f>$A$1&amp;"COMMERCIAL RECYCLE"&amp;C72</f>
        <v>MASON CO-REGULATEDCOMMERCIAL RECYCLERECYCRMA</v>
      </c>
      <c r="B72" s="214">
        <f t="shared" si="3"/>
        <v>1</v>
      </c>
      <c r="C72" s="215" t="s">
        <v>281</v>
      </c>
      <c r="D72" s="215" t="s">
        <v>451</v>
      </c>
      <c r="E72" s="216">
        <v>9.16</v>
      </c>
      <c r="F72" s="216">
        <v>8.33</v>
      </c>
      <c r="G72" s="217"/>
      <c r="H72" s="218">
        <v>4882.6200000000008</v>
      </c>
      <c r="I72" s="218">
        <v>4705.7299999999996</v>
      </c>
      <c r="J72" s="218">
        <v>4219.17</v>
      </c>
      <c r="K72" s="218">
        <v>4184.1900000000005</v>
      </c>
      <c r="L72" s="218">
        <v>4149.17</v>
      </c>
      <c r="M72" s="218">
        <v>4115.04</v>
      </c>
      <c r="N72" s="218">
        <v>4081.71</v>
      </c>
      <c r="O72" s="218">
        <v>4125.4799999999996</v>
      </c>
      <c r="P72" s="218">
        <v>4265.01</v>
      </c>
      <c r="Q72" s="218">
        <v>4381.6000000000004</v>
      </c>
      <c r="R72" s="218">
        <v>4439.8999999999996</v>
      </c>
      <c r="S72" s="218">
        <v>4477.38</v>
      </c>
      <c r="T72" s="218">
        <f t="shared" si="17"/>
        <v>52027</v>
      </c>
      <c r="U72" s="218"/>
      <c r="V72" s="218">
        <f t="shared" si="8"/>
        <v>533.03711790393027</v>
      </c>
      <c r="W72" s="218">
        <f t="shared" si="8"/>
        <v>513.725982532751</v>
      </c>
      <c r="X72" s="218">
        <f t="shared" si="8"/>
        <v>460.60807860262008</v>
      </c>
      <c r="Y72" s="218">
        <f t="shared" si="8"/>
        <v>456.7893013100437</v>
      </c>
      <c r="Z72" s="218">
        <f t="shared" si="11"/>
        <v>498.09963985594237</v>
      </c>
      <c r="AA72" s="218">
        <f t="shared" si="11"/>
        <v>494.00240096038414</v>
      </c>
      <c r="AB72" s="218">
        <f t="shared" si="11"/>
        <v>490.0012004801921</v>
      </c>
      <c r="AC72" s="218">
        <f t="shared" si="11"/>
        <v>495.25570228091232</v>
      </c>
      <c r="AD72" s="218">
        <f t="shared" si="11"/>
        <v>512.00600240096037</v>
      </c>
      <c r="AE72" s="218">
        <f t="shared" si="11"/>
        <v>526.00240096038419</v>
      </c>
      <c r="AF72" s="218">
        <f t="shared" si="11"/>
        <v>533.00120048019198</v>
      </c>
      <c r="AG72" s="218">
        <f t="shared" si="10"/>
        <v>537.50060024009599</v>
      </c>
      <c r="AH72" s="219">
        <f t="shared" si="18"/>
        <v>504.16913566736736</v>
      </c>
      <c r="AI72" s="220"/>
    </row>
    <row r="73" spans="1:35" s="214" customFormat="1" hidden="1">
      <c r="A73" s="214" t="str">
        <f t="shared" si="19"/>
        <v>MASON CO-REGULATEDResidentialRECYRNB</v>
      </c>
      <c r="B73" s="214">
        <f t="shared" si="3"/>
        <v>1</v>
      </c>
      <c r="C73" s="226" t="s">
        <v>282</v>
      </c>
      <c r="D73" s="215" t="s">
        <v>452</v>
      </c>
      <c r="E73" s="216">
        <v>9.16</v>
      </c>
      <c r="F73" s="216">
        <v>8.33</v>
      </c>
      <c r="G73" s="217"/>
      <c r="H73" s="218">
        <v>100.76</v>
      </c>
      <c r="I73" s="218">
        <v>100.76</v>
      </c>
      <c r="J73" s="218">
        <v>74.97</v>
      </c>
      <c r="K73" s="218">
        <v>66.64</v>
      </c>
      <c r="L73" s="218">
        <v>66.64</v>
      </c>
      <c r="M73" s="218">
        <v>66.64</v>
      </c>
      <c r="N73" s="218">
        <v>68.724999999999994</v>
      </c>
      <c r="O73" s="218">
        <v>68.724999999999994</v>
      </c>
      <c r="P73" s="218">
        <v>91.63</v>
      </c>
      <c r="Q73" s="218">
        <v>91.63</v>
      </c>
      <c r="R73" s="218">
        <v>99.96</v>
      </c>
      <c r="S73" s="218">
        <v>99.96</v>
      </c>
      <c r="T73" s="218">
        <f t="shared" si="17"/>
        <v>997.04000000000008</v>
      </c>
      <c r="U73" s="218"/>
      <c r="V73" s="218">
        <f t="shared" si="8"/>
        <v>11</v>
      </c>
      <c r="W73" s="218">
        <f t="shared" si="8"/>
        <v>11</v>
      </c>
      <c r="X73" s="218">
        <f t="shared" si="8"/>
        <v>8.1844978165938862</v>
      </c>
      <c r="Y73" s="218">
        <f t="shared" si="8"/>
        <v>7.2751091703056767</v>
      </c>
      <c r="Z73" s="218">
        <f t="shared" si="11"/>
        <v>8</v>
      </c>
      <c r="AA73" s="218">
        <f t="shared" si="11"/>
        <v>8</v>
      </c>
      <c r="AB73" s="218">
        <f t="shared" si="11"/>
        <v>8.2503001200480188</v>
      </c>
      <c r="AC73" s="218">
        <f t="shared" si="11"/>
        <v>8.2503001200480188</v>
      </c>
      <c r="AD73" s="218">
        <f t="shared" si="11"/>
        <v>11</v>
      </c>
      <c r="AE73" s="218">
        <f t="shared" si="11"/>
        <v>11</v>
      </c>
      <c r="AF73" s="218">
        <f t="shared" si="11"/>
        <v>12</v>
      </c>
      <c r="AG73" s="218">
        <f t="shared" si="10"/>
        <v>12</v>
      </c>
      <c r="AH73" s="219">
        <f t="shared" si="18"/>
        <v>9.6633506022496345</v>
      </c>
      <c r="AI73" s="220"/>
    </row>
    <row r="74" spans="1:35" s="214" customFormat="1" hidden="1">
      <c r="A74" s="214" t="str">
        <f>$A$1&amp;"COMMERCIAL RECYCLE"&amp;C74</f>
        <v>MASON CO-REGULATEDCOMMERCIAL RECYCLERECYRNBMA</v>
      </c>
      <c r="B74" s="214">
        <v>1</v>
      </c>
      <c r="C74" s="215" t="s">
        <v>283</v>
      </c>
      <c r="D74" s="215" t="s">
        <v>284</v>
      </c>
      <c r="E74" s="216">
        <v>9.16</v>
      </c>
      <c r="F74" s="216">
        <v>8.33</v>
      </c>
      <c r="G74" s="217"/>
      <c r="H74" s="218">
        <v>18.32</v>
      </c>
      <c r="I74" s="218">
        <v>9.16</v>
      </c>
      <c r="J74" s="218">
        <v>16.66</v>
      </c>
      <c r="K74" s="218">
        <v>8.33</v>
      </c>
      <c r="L74" s="218">
        <v>16.66</v>
      </c>
      <c r="M74" s="218">
        <v>8.33</v>
      </c>
      <c r="N74" s="218">
        <v>8.33</v>
      </c>
      <c r="O74" s="218">
        <v>16.66</v>
      </c>
      <c r="P74" s="218">
        <v>8.33</v>
      </c>
      <c r="Q74" s="218">
        <v>18.739999999999998</v>
      </c>
      <c r="R74" s="218">
        <v>16.66</v>
      </c>
      <c r="S74" s="218">
        <v>24.99</v>
      </c>
      <c r="T74" s="218">
        <f t="shared" si="17"/>
        <v>171.17</v>
      </c>
      <c r="U74" s="218"/>
      <c r="V74" s="218">
        <f t="shared" si="8"/>
        <v>2</v>
      </c>
      <c r="W74" s="218">
        <f t="shared" si="8"/>
        <v>1</v>
      </c>
      <c r="X74" s="218">
        <f t="shared" si="8"/>
        <v>1.8187772925764192</v>
      </c>
      <c r="Y74" s="218">
        <f t="shared" ref="Y74:Y137" si="20">IFERROR(K74/$E74,0)</f>
        <v>0.90938864628820959</v>
      </c>
      <c r="Z74" s="218">
        <f t="shared" si="11"/>
        <v>2</v>
      </c>
      <c r="AA74" s="218">
        <f t="shared" si="11"/>
        <v>1</v>
      </c>
      <c r="AB74" s="218">
        <f t="shared" si="11"/>
        <v>1</v>
      </c>
      <c r="AC74" s="218">
        <f t="shared" si="11"/>
        <v>2</v>
      </c>
      <c r="AD74" s="218">
        <f t="shared" si="11"/>
        <v>1</v>
      </c>
      <c r="AE74" s="218">
        <f t="shared" si="11"/>
        <v>2.2496998799519807</v>
      </c>
      <c r="AF74" s="218">
        <f t="shared" si="11"/>
        <v>2</v>
      </c>
      <c r="AG74" s="218">
        <f t="shared" si="10"/>
        <v>3</v>
      </c>
      <c r="AH74" s="219">
        <f t="shared" si="18"/>
        <v>1.6648221515680508</v>
      </c>
      <c r="AI74" s="220"/>
    </row>
    <row r="75" spans="1:35" s="214" customFormat="1" hidden="1">
      <c r="A75" s="214" t="str">
        <f>$A$1&amp;"COMMERCIAL RECYCLE"&amp;C75</f>
        <v>MASON CO-REGULATEDCOMMERCIAL RECYCLERECYONLYMA</v>
      </c>
      <c r="B75" s="214">
        <f>COUNTIF(C:C,C75)</f>
        <v>1</v>
      </c>
      <c r="C75" s="215" t="s">
        <v>285</v>
      </c>
      <c r="D75" s="215" t="e">
        <v>#N/A</v>
      </c>
      <c r="E75" s="216">
        <v>10.31</v>
      </c>
      <c r="F75" s="216">
        <v>8.83</v>
      </c>
      <c r="G75" s="217"/>
      <c r="H75" s="218">
        <v>0</v>
      </c>
      <c r="I75" s="218">
        <v>0</v>
      </c>
      <c r="J75" s="218">
        <v>0</v>
      </c>
      <c r="K75" s="218">
        <v>0</v>
      </c>
      <c r="L75" s="218">
        <v>0</v>
      </c>
      <c r="M75" s="218">
        <v>0</v>
      </c>
      <c r="N75" s="218">
        <v>0</v>
      </c>
      <c r="O75" s="218">
        <v>0</v>
      </c>
      <c r="P75" s="218">
        <v>0</v>
      </c>
      <c r="Q75" s="218">
        <v>0</v>
      </c>
      <c r="R75" s="218">
        <v>0</v>
      </c>
      <c r="S75" s="218">
        <v>0</v>
      </c>
      <c r="T75" s="218">
        <f t="shared" si="17"/>
        <v>0</v>
      </c>
      <c r="U75" s="218"/>
      <c r="V75" s="218">
        <f t="shared" ref="V75:Y138" si="21">IFERROR(H75/$E75,0)</f>
        <v>0</v>
      </c>
      <c r="W75" s="218">
        <f t="shared" si="21"/>
        <v>0</v>
      </c>
      <c r="X75" s="218">
        <f t="shared" si="21"/>
        <v>0</v>
      </c>
      <c r="Y75" s="218">
        <f t="shared" si="20"/>
        <v>0</v>
      </c>
      <c r="Z75" s="218">
        <f t="shared" si="11"/>
        <v>0</v>
      </c>
      <c r="AA75" s="218">
        <f t="shared" si="11"/>
        <v>0</v>
      </c>
      <c r="AB75" s="218">
        <f t="shared" si="11"/>
        <v>0</v>
      </c>
      <c r="AC75" s="218">
        <f t="shared" si="11"/>
        <v>0</v>
      </c>
      <c r="AD75" s="218">
        <f t="shared" si="11"/>
        <v>0</v>
      </c>
      <c r="AE75" s="218">
        <f t="shared" si="11"/>
        <v>0</v>
      </c>
      <c r="AF75" s="218">
        <f t="shared" si="11"/>
        <v>0</v>
      </c>
      <c r="AG75" s="218">
        <f t="shared" si="10"/>
        <v>0</v>
      </c>
      <c r="AH75" s="219">
        <f t="shared" si="18"/>
        <v>0</v>
      </c>
      <c r="AI75" s="220"/>
    </row>
    <row r="76" spans="1:35" s="214" customFormat="1" ht="15.75" hidden="1" customHeight="1">
      <c r="C76" s="220"/>
      <c r="D76" s="215"/>
      <c r="E76" s="217"/>
      <c r="F76" s="217"/>
      <c r="G76" s="217"/>
      <c r="H76" s="218"/>
      <c r="I76" s="218"/>
      <c r="J76" s="218"/>
      <c r="K76" s="218"/>
      <c r="L76" s="218"/>
      <c r="M76" s="218"/>
      <c r="N76" s="218"/>
      <c r="O76" s="218"/>
      <c r="P76" s="218"/>
      <c r="Q76" s="218"/>
      <c r="R76" s="218"/>
      <c r="S76" s="218"/>
      <c r="T76" s="218"/>
      <c r="U76" s="218"/>
      <c r="V76" s="218">
        <f t="shared" si="21"/>
        <v>0</v>
      </c>
      <c r="W76" s="218">
        <f t="shared" si="21"/>
        <v>0</v>
      </c>
      <c r="X76" s="218">
        <f t="shared" si="21"/>
        <v>0</v>
      </c>
      <c r="Y76" s="218">
        <f t="shared" si="20"/>
        <v>0</v>
      </c>
      <c r="Z76" s="218">
        <f t="shared" si="11"/>
        <v>0</v>
      </c>
      <c r="AA76" s="218">
        <f t="shared" si="11"/>
        <v>0</v>
      </c>
      <c r="AB76" s="218">
        <f t="shared" si="11"/>
        <v>0</v>
      </c>
      <c r="AC76" s="218">
        <f t="shared" si="11"/>
        <v>0</v>
      </c>
      <c r="AD76" s="218">
        <f t="shared" si="11"/>
        <v>0</v>
      </c>
      <c r="AE76" s="218">
        <f t="shared" si="11"/>
        <v>0</v>
      </c>
      <c r="AF76" s="218">
        <f t="shared" si="11"/>
        <v>0</v>
      </c>
      <c r="AG76" s="218">
        <f t="shared" si="10"/>
        <v>0</v>
      </c>
      <c r="AI76" s="220"/>
    </row>
    <row r="77" spans="1:35" s="214" customFormat="1" ht="15.75" hidden="1" customHeight="1">
      <c r="B77" s="214">
        <f t="shared" ref="B77:B140" si="22">COUNTIF(C:C,C77)</f>
        <v>0</v>
      </c>
      <c r="C77" s="220"/>
      <c r="D77" s="220"/>
      <c r="E77" s="217"/>
      <c r="F77" s="217"/>
      <c r="G77" s="217"/>
      <c r="H77" s="216"/>
      <c r="I77" s="216"/>
      <c r="J77" s="216"/>
      <c r="K77" s="216"/>
      <c r="L77" s="216"/>
      <c r="M77" s="218"/>
      <c r="N77" s="218"/>
      <c r="V77" s="218">
        <f t="shared" si="21"/>
        <v>0</v>
      </c>
      <c r="W77" s="218">
        <f t="shared" si="21"/>
        <v>0</v>
      </c>
      <c r="X77" s="218">
        <f t="shared" si="21"/>
        <v>0</v>
      </c>
      <c r="Y77" s="218">
        <f t="shared" si="20"/>
        <v>0</v>
      </c>
      <c r="Z77" s="218">
        <f t="shared" si="11"/>
        <v>0</v>
      </c>
      <c r="AA77" s="218">
        <f t="shared" si="11"/>
        <v>0</v>
      </c>
      <c r="AB77" s="218">
        <f t="shared" si="11"/>
        <v>0</v>
      </c>
      <c r="AC77" s="218">
        <f t="shared" si="11"/>
        <v>0</v>
      </c>
      <c r="AD77" s="218">
        <f t="shared" si="11"/>
        <v>0</v>
      </c>
      <c r="AE77" s="218">
        <f t="shared" si="11"/>
        <v>0</v>
      </c>
      <c r="AF77" s="218">
        <f t="shared" si="11"/>
        <v>0</v>
      </c>
      <c r="AG77" s="218">
        <f t="shared" si="10"/>
        <v>0</v>
      </c>
      <c r="AI77" s="220"/>
    </row>
    <row r="78" spans="1:35" s="214" customFormat="1" hidden="1">
      <c r="B78" s="214">
        <f t="shared" si="22"/>
        <v>0</v>
      </c>
      <c r="C78" s="221"/>
      <c r="D78" s="222" t="s">
        <v>286</v>
      </c>
      <c r="E78" s="217"/>
      <c r="F78" s="217"/>
      <c r="G78" s="217"/>
      <c r="H78" s="196">
        <f t="shared" ref="H78:T78" si="23">SUM(H65:H75)</f>
        <v>96348.669999999984</v>
      </c>
      <c r="I78" s="196">
        <f t="shared" si="23"/>
        <v>95268.999999999985</v>
      </c>
      <c r="J78" s="196">
        <f t="shared" si="23"/>
        <v>85243.924999999988</v>
      </c>
      <c r="K78" s="196">
        <f t="shared" si="23"/>
        <v>84852.164999999994</v>
      </c>
      <c r="L78" s="196">
        <f t="shared" si="23"/>
        <v>84616.904999999999</v>
      </c>
      <c r="M78" s="196">
        <f t="shared" si="23"/>
        <v>84348.084999999977</v>
      </c>
      <c r="N78" s="196">
        <f t="shared" si="23"/>
        <v>84734.525000000009</v>
      </c>
      <c r="O78" s="196">
        <f t="shared" si="23"/>
        <v>85605.494999999995</v>
      </c>
      <c r="P78" s="196">
        <f t="shared" si="23"/>
        <v>88751.99500000001</v>
      </c>
      <c r="Q78" s="196">
        <f t="shared" si="23"/>
        <v>89472.445000000022</v>
      </c>
      <c r="R78" s="196">
        <f t="shared" si="23"/>
        <v>91335.579999999987</v>
      </c>
      <c r="S78" s="196">
        <f t="shared" si="23"/>
        <v>91593.770000000033</v>
      </c>
      <c r="T78" s="196">
        <f t="shared" si="23"/>
        <v>1062172.56</v>
      </c>
      <c r="U78" s="227">
        <f>T78-SUM(L78:S78)</f>
        <v>361713.76</v>
      </c>
      <c r="V78" s="196">
        <f t="shared" ref="V78:Y78" si="24">SUM(V65:V75)</f>
        <v>10628.539019044612</v>
      </c>
      <c r="W78" s="196">
        <f t="shared" si="24"/>
        <v>10507.237783718265</v>
      </c>
      <c r="X78" s="196">
        <f t="shared" si="24"/>
        <v>9414.6393184478875</v>
      </c>
      <c r="Y78" s="196">
        <f t="shared" si="24"/>
        <v>9373.6254085735818</v>
      </c>
      <c r="Z78" s="196">
        <f t="shared" ref="Z78:AG78" si="25">SUM(Z65:Z75)</f>
        <v>10260.694678631908</v>
      </c>
      <c r="AA78" s="196">
        <f t="shared" si="25"/>
        <v>10229.024541866576</v>
      </c>
      <c r="AB78" s="196">
        <f t="shared" si="25"/>
        <v>10272.238411960039</v>
      </c>
      <c r="AC78" s="196">
        <f t="shared" si="25"/>
        <v>10377.826948515347</v>
      </c>
      <c r="AD78" s="196">
        <f t="shared" si="25"/>
        <v>10757.883919850361</v>
      </c>
      <c r="AE78" s="196">
        <f t="shared" si="25"/>
        <v>10844.293285632595</v>
      </c>
      <c r="AF78" s="196">
        <f t="shared" si="25"/>
        <v>11072.54355062282</v>
      </c>
      <c r="AG78" s="196">
        <f t="shared" si="25"/>
        <v>11103.177436607275</v>
      </c>
      <c r="AI78" s="220"/>
    </row>
    <row r="79" spans="1:35" s="214" customFormat="1" hidden="1">
      <c r="B79" s="214">
        <f t="shared" si="22"/>
        <v>0</v>
      </c>
      <c r="C79" s="221"/>
      <c r="D79" s="222"/>
      <c r="E79" s="217"/>
      <c r="F79" s="217"/>
      <c r="G79" s="217"/>
      <c r="H79" s="198"/>
      <c r="I79" s="198"/>
      <c r="J79" s="198"/>
      <c r="K79" s="198"/>
      <c r="L79" s="198"/>
      <c r="M79" s="198"/>
      <c r="N79" s="198"/>
      <c r="O79" s="198"/>
      <c r="P79" s="198"/>
      <c r="Q79" s="198"/>
      <c r="R79" s="198"/>
      <c r="S79" s="198"/>
      <c r="V79" s="218">
        <f t="shared" si="21"/>
        <v>0</v>
      </c>
      <c r="W79" s="218">
        <f t="shared" si="21"/>
        <v>0</v>
      </c>
      <c r="X79" s="218">
        <f t="shared" si="21"/>
        <v>0</v>
      </c>
      <c r="Y79" s="218">
        <f t="shared" si="20"/>
        <v>0</v>
      </c>
      <c r="Z79" s="218">
        <f t="shared" ref="Z79:AG110" si="26">IFERROR(L79/$F79,0)</f>
        <v>0</v>
      </c>
      <c r="AA79" s="218">
        <f t="shared" si="26"/>
        <v>0</v>
      </c>
      <c r="AB79" s="218">
        <f t="shared" si="26"/>
        <v>0</v>
      </c>
      <c r="AC79" s="218">
        <f t="shared" si="26"/>
        <v>0</v>
      </c>
      <c r="AD79" s="218">
        <f t="shared" si="26"/>
        <v>0</v>
      </c>
      <c r="AE79" s="218">
        <f t="shared" si="26"/>
        <v>0</v>
      </c>
      <c r="AF79" s="218">
        <f t="shared" si="26"/>
        <v>0</v>
      </c>
      <c r="AG79" s="218">
        <f t="shared" si="26"/>
        <v>0</v>
      </c>
      <c r="AI79" s="220"/>
    </row>
    <row r="80" spans="1:35" s="214" customFormat="1" hidden="1">
      <c r="B80" s="214">
        <f t="shared" si="22"/>
        <v>0</v>
      </c>
      <c r="C80" s="221"/>
      <c r="D80" s="222"/>
      <c r="E80" s="217"/>
      <c r="F80" s="217"/>
      <c r="G80" s="217"/>
      <c r="H80" s="198"/>
      <c r="I80" s="198"/>
      <c r="J80" s="198"/>
      <c r="K80" s="198"/>
      <c r="L80" s="198"/>
      <c r="M80" s="218"/>
      <c r="N80" s="218"/>
      <c r="V80" s="218">
        <f t="shared" si="21"/>
        <v>0</v>
      </c>
      <c r="W80" s="218">
        <f t="shared" si="21"/>
        <v>0</v>
      </c>
      <c r="X80" s="218">
        <f t="shared" si="21"/>
        <v>0</v>
      </c>
      <c r="Y80" s="218">
        <f t="shared" si="20"/>
        <v>0</v>
      </c>
      <c r="Z80" s="218">
        <f t="shared" si="26"/>
        <v>0</v>
      </c>
      <c r="AA80" s="218">
        <f t="shared" si="26"/>
        <v>0</v>
      </c>
      <c r="AB80" s="218">
        <f t="shared" si="26"/>
        <v>0</v>
      </c>
      <c r="AC80" s="218">
        <f t="shared" si="26"/>
        <v>0</v>
      </c>
      <c r="AD80" s="218">
        <f t="shared" si="26"/>
        <v>0</v>
      </c>
      <c r="AE80" s="218">
        <f t="shared" si="26"/>
        <v>0</v>
      </c>
      <c r="AF80" s="218">
        <f t="shared" si="26"/>
        <v>0</v>
      </c>
      <c r="AG80" s="218">
        <f t="shared" si="26"/>
        <v>0</v>
      </c>
      <c r="AI80" s="220"/>
    </row>
    <row r="81" spans="1:35" s="214" customFormat="1" hidden="1">
      <c r="B81" s="214">
        <f t="shared" si="22"/>
        <v>1</v>
      </c>
      <c r="C81" s="224" t="s">
        <v>287</v>
      </c>
      <c r="D81" s="224" t="s">
        <v>287</v>
      </c>
      <c r="E81" s="217"/>
      <c r="F81" s="217"/>
      <c r="G81" s="217"/>
      <c r="H81" s="198"/>
      <c r="I81" s="198"/>
      <c r="J81" s="198"/>
      <c r="K81" s="198"/>
      <c r="L81" s="198"/>
      <c r="M81" s="218"/>
      <c r="N81" s="218"/>
      <c r="V81" s="218">
        <f t="shared" si="21"/>
        <v>0</v>
      </c>
      <c r="W81" s="218">
        <f t="shared" si="21"/>
        <v>0</v>
      </c>
      <c r="X81" s="218">
        <f t="shared" si="21"/>
        <v>0</v>
      </c>
      <c r="Y81" s="218">
        <f t="shared" si="20"/>
        <v>0</v>
      </c>
      <c r="Z81" s="218">
        <f t="shared" si="26"/>
        <v>0</v>
      </c>
      <c r="AA81" s="218">
        <f t="shared" si="26"/>
        <v>0</v>
      </c>
      <c r="AB81" s="218">
        <f t="shared" si="26"/>
        <v>0</v>
      </c>
      <c r="AC81" s="218">
        <f t="shared" si="26"/>
        <v>0</v>
      </c>
      <c r="AD81" s="218">
        <f t="shared" si="26"/>
        <v>0</v>
      </c>
      <c r="AE81" s="218">
        <f t="shared" si="26"/>
        <v>0</v>
      </c>
      <c r="AF81" s="218">
        <f t="shared" si="26"/>
        <v>0</v>
      </c>
      <c r="AG81" s="218">
        <f t="shared" si="26"/>
        <v>0</v>
      </c>
      <c r="AI81" s="220"/>
    </row>
    <row r="82" spans="1:35" s="214" customFormat="1" ht="11.25" hidden="1" customHeight="1">
      <c r="A82" s="214" t="str">
        <f t="shared" ref="A82:A83" si="27">$A$1&amp;"Residential"&amp;C82</f>
        <v>MASON CO-REGULATEDResidential</v>
      </c>
      <c r="B82" s="214">
        <f t="shared" si="22"/>
        <v>0</v>
      </c>
      <c r="C82" s="215"/>
      <c r="D82" s="215" t="e">
        <v>#N/A</v>
      </c>
      <c r="E82" s="217"/>
      <c r="F82" s="217"/>
      <c r="G82" s="217"/>
      <c r="H82" s="218"/>
      <c r="I82" s="218"/>
      <c r="J82" s="218"/>
      <c r="K82" s="218"/>
      <c r="L82" s="218"/>
      <c r="M82" s="218"/>
      <c r="N82" s="218"/>
      <c r="O82" s="218"/>
      <c r="P82" s="218"/>
      <c r="Q82" s="218"/>
      <c r="R82" s="218"/>
      <c r="S82" s="218"/>
      <c r="T82" s="218">
        <f>SUM(H82:S82)</f>
        <v>0</v>
      </c>
      <c r="U82" s="218"/>
      <c r="V82" s="218">
        <f t="shared" si="21"/>
        <v>0</v>
      </c>
      <c r="W82" s="218">
        <f t="shared" si="21"/>
        <v>0</v>
      </c>
      <c r="X82" s="218">
        <f t="shared" si="21"/>
        <v>0</v>
      </c>
      <c r="Y82" s="218">
        <f t="shared" si="20"/>
        <v>0</v>
      </c>
      <c r="Z82" s="218">
        <f t="shared" si="26"/>
        <v>0</v>
      </c>
      <c r="AA82" s="218">
        <f t="shared" si="26"/>
        <v>0</v>
      </c>
      <c r="AB82" s="218">
        <f t="shared" si="26"/>
        <v>0</v>
      </c>
      <c r="AC82" s="218">
        <f t="shared" si="26"/>
        <v>0</v>
      </c>
      <c r="AD82" s="218">
        <f t="shared" si="26"/>
        <v>0</v>
      </c>
      <c r="AE82" s="218">
        <f t="shared" si="26"/>
        <v>0</v>
      </c>
      <c r="AF82" s="218">
        <f t="shared" si="26"/>
        <v>0</v>
      </c>
      <c r="AG82" s="218">
        <f t="shared" si="26"/>
        <v>0</v>
      </c>
      <c r="AI82" s="220"/>
    </row>
    <row r="83" spans="1:35" s="214" customFormat="1" hidden="1">
      <c r="A83" s="214" t="str">
        <f t="shared" si="27"/>
        <v>MASON CO-REGULATEDResidential</v>
      </c>
      <c r="B83" s="214">
        <f t="shared" si="22"/>
        <v>0</v>
      </c>
      <c r="C83" s="220"/>
      <c r="D83" s="215" t="e">
        <v>#N/A</v>
      </c>
      <c r="E83" s="217"/>
      <c r="F83" s="217"/>
      <c r="G83" s="216"/>
      <c r="H83" s="218"/>
      <c r="I83" s="218"/>
      <c r="J83" s="218"/>
      <c r="K83" s="218"/>
      <c r="L83" s="218"/>
      <c r="M83" s="218"/>
      <c r="N83" s="218"/>
      <c r="O83" s="218"/>
      <c r="P83" s="218"/>
      <c r="Q83" s="218"/>
      <c r="R83" s="218"/>
      <c r="S83" s="218"/>
      <c r="T83" s="218">
        <f>SUM(H83:S83)</f>
        <v>0</v>
      </c>
      <c r="V83" s="218">
        <f t="shared" si="21"/>
        <v>0</v>
      </c>
      <c r="W83" s="218">
        <f t="shared" si="21"/>
        <v>0</v>
      </c>
      <c r="X83" s="218">
        <f t="shared" si="21"/>
        <v>0</v>
      </c>
      <c r="Y83" s="218">
        <f t="shared" si="20"/>
        <v>0</v>
      </c>
      <c r="Z83" s="218">
        <f t="shared" si="26"/>
        <v>0</v>
      </c>
      <c r="AA83" s="218">
        <f t="shared" si="26"/>
        <v>0</v>
      </c>
      <c r="AB83" s="218">
        <f t="shared" si="26"/>
        <v>0</v>
      </c>
      <c r="AC83" s="218">
        <f t="shared" si="26"/>
        <v>0</v>
      </c>
      <c r="AD83" s="218">
        <f t="shared" si="26"/>
        <v>0</v>
      </c>
      <c r="AE83" s="218">
        <f t="shared" si="26"/>
        <v>0</v>
      </c>
      <c r="AF83" s="218">
        <f t="shared" si="26"/>
        <v>0</v>
      </c>
      <c r="AG83" s="218">
        <f t="shared" si="26"/>
        <v>0</v>
      </c>
      <c r="AI83" s="220"/>
    </row>
    <row r="84" spans="1:35" s="214" customFormat="1" hidden="1">
      <c r="B84" s="214">
        <f t="shared" si="22"/>
        <v>0</v>
      </c>
      <c r="C84" s="220"/>
      <c r="D84" s="221"/>
      <c r="E84" s="217"/>
      <c r="F84" s="217"/>
      <c r="G84" s="216"/>
      <c r="H84" s="216"/>
      <c r="I84" s="216"/>
      <c r="J84" s="216"/>
      <c r="K84" s="216"/>
      <c r="L84" s="216"/>
      <c r="M84" s="218"/>
      <c r="N84" s="218"/>
      <c r="V84" s="218">
        <f t="shared" si="21"/>
        <v>0</v>
      </c>
      <c r="W84" s="218">
        <f t="shared" si="21"/>
        <v>0</v>
      </c>
      <c r="X84" s="218">
        <f t="shared" si="21"/>
        <v>0</v>
      </c>
      <c r="Y84" s="218">
        <f t="shared" si="20"/>
        <v>0</v>
      </c>
      <c r="Z84" s="218">
        <f t="shared" si="26"/>
        <v>0</v>
      </c>
      <c r="AA84" s="218">
        <f t="shared" si="26"/>
        <v>0</v>
      </c>
      <c r="AB84" s="218">
        <f t="shared" si="26"/>
        <v>0</v>
      </c>
      <c r="AC84" s="218">
        <f t="shared" si="26"/>
        <v>0</v>
      </c>
      <c r="AD84" s="218">
        <f t="shared" si="26"/>
        <v>0</v>
      </c>
      <c r="AE84" s="218">
        <f t="shared" si="26"/>
        <v>0</v>
      </c>
      <c r="AF84" s="218">
        <f t="shared" si="26"/>
        <v>0</v>
      </c>
      <c r="AG84" s="218">
        <f t="shared" si="26"/>
        <v>0</v>
      </c>
      <c r="AI84" s="220"/>
    </row>
    <row r="85" spans="1:35" s="214" customFormat="1" hidden="1">
      <c r="B85" s="214">
        <f t="shared" si="22"/>
        <v>0</v>
      </c>
      <c r="C85" s="221"/>
      <c r="D85" s="222" t="s">
        <v>288</v>
      </c>
      <c r="E85" s="217"/>
      <c r="F85" s="217"/>
      <c r="G85" s="199"/>
      <c r="H85" s="196"/>
      <c r="I85" s="196"/>
      <c r="J85" s="196"/>
      <c r="K85" s="196"/>
      <c r="L85" s="196"/>
      <c r="M85" s="196"/>
      <c r="N85" s="196"/>
      <c r="O85" s="196"/>
      <c r="P85" s="196"/>
      <c r="Q85" s="196"/>
      <c r="R85" s="196"/>
      <c r="S85" s="196"/>
      <c r="T85" s="196">
        <f t="shared" ref="T85" si="28">SUM(T82:T83)</f>
        <v>0</v>
      </c>
      <c r="U85" s="227">
        <f>T85-SUM(L85:S85)</f>
        <v>0</v>
      </c>
      <c r="V85" s="218">
        <f t="shared" si="21"/>
        <v>0</v>
      </c>
      <c r="W85" s="218">
        <f t="shared" si="21"/>
        <v>0</v>
      </c>
      <c r="X85" s="218">
        <f t="shared" si="21"/>
        <v>0</v>
      </c>
      <c r="Y85" s="218">
        <f t="shared" si="20"/>
        <v>0</v>
      </c>
      <c r="Z85" s="218">
        <f t="shared" si="26"/>
        <v>0</v>
      </c>
      <c r="AA85" s="218">
        <f t="shared" si="26"/>
        <v>0</v>
      </c>
      <c r="AB85" s="218">
        <f t="shared" si="26"/>
        <v>0</v>
      </c>
      <c r="AC85" s="218">
        <f t="shared" si="26"/>
        <v>0</v>
      </c>
      <c r="AD85" s="218">
        <f t="shared" si="26"/>
        <v>0</v>
      </c>
      <c r="AE85" s="218">
        <f t="shared" si="26"/>
        <v>0</v>
      </c>
      <c r="AF85" s="218">
        <f t="shared" si="26"/>
        <v>0</v>
      </c>
      <c r="AG85" s="218">
        <f t="shared" si="26"/>
        <v>0</v>
      </c>
      <c r="AI85" s="220"/>
    </row>
    <row r="86" spans="1:35" s="214" customFormat="1" hidden="1">
      <c r="B86" s="214">
        <f t="shared" si="22"/>
        <v>0</v>
      </c>
      <c r="C86" s="221"/>
      <c r="D86" s="222"/>
      <c r="E86" s="217"/>
      <c r="F86" s="217"/>
      <c r="G86" s="199"/>
      <c r="H86" s="198"/>
      <c r="I86" s="198"/>
      <c r="J86" s="198"/>
      <c r="K86" s="198"/>
      <c r="L86" s="198"/>
      <c r="M86" s="218"/>
      <c r="N86" s="218"/>
      <c r="V86" s="218">
        <f t="shared" si="21"/>
        <v>0</v>
      </c>
      <c r="W86" s="218">
        <f t="shared" si="21"/>
        <v>0</v>
      </c>
      <c r="X86" s="218">
        <f t="shared" si="21"/>
        <v>0</v>
      </c>
      <c r="Y86" s="218">
        <f t="shared" si="20"/>
        <v>0</v>
      </c>
      <c r="Z86" s="218">
        <f t="shared" si="26"/>
        <v>0</v>
      </c>
      <c r="AA86" s="218">
        <f t="shared" si="26"/>
        <v>0</v>
      </c>
      <c r="AB86" s="218">
        <f t="shared" si="26"/>
        <v>0</v>
      </c>
      <c r="AC86" s="218">
        <f t="shared" si="26"/>
        <v>0</v>
      </c>
      <c r="AD86" s="218">
        <f t="shared" si="26"/>
        <v>0</v>
      </c>
      <c r="AE86" s="218">
        <f t="shared" si="26"/>
        <v>0</v>
      </c>
      <c r="AF86" s="218">
        <f t="shared" si="26"/>
        <v>0</v>
      </c>
      <c r="AG86" s="218">
        <f t="shared" si="26"/>
        <v>0</v>
      </c>
      <c r="AI86" s="220"/>
    </row>
    <row r="87" spans="1:35" s="214" customFormat="1" hidden="1">
      <c r="B87" s="214">
        <f t="shared" si="22"/>
        <v>0</v>
      </c>
      <c r="E87" s="217"/>
      <c r="F87" s="217"/>
      <c r="G87" s="216"/>
      <c r="H87" s="227"/>
      <c r="I87" s="227"/>
      <c r="J87" s="227"/>
      <c r="K87" s="227"/>
      <c r="L87" s="227"/>
      <c r="V87" s="218">
        <f t="shared" si="21"/>
        <v>0</v>
      </c>
      <c r="W87" s="218">
        <f t="shared" si="21"/>
        <v>0</v>
      </c>
      <c r="X87" s="218">
        <f t="shared" si="21"/>
        <v>0</v>
      </c>
      <c r="Y87" s="218">
        <f t="shared" si="20"/>
        <v>0</v>
      </c>
      <c r="Z87" s="218">
        <f t="shared" si="26"/>
        <v>0</v>
      </c>
      <c r="AA87" s="218">
        <f t="shared" si="26"/>
        <v>0</v>
      </c>
      <c r="AB87" s="218">
        <f t="shared" si="26"/>
        <v>0</v>
      </c>
      <c r="AC87" s="218">
        <f t="shared" si="26"/>
        <v>0</v>
      </c>
      <c r="AD87" s="218">
        <f t="shared" si="26"/>
        <v>0</v>
      </c>
      <c r="AE87" s="218">
        <f t="shared" si="26"/>
        <v>0</v>
      </c>
      <c r="AF87" s="218">
        <f t="shared" si="26"/>
        <v>0</v>
      </c>
      <c r="AG87" s="218">
        <f t="shared" si="26"/>
        <v>0</v>
      </c>
      <c r="AI87" s="220"/>
    </row>
    <row r="88" spans="1:35" s="214" customFormat="1" hidden="1">
      <c r="B88" s="214">
        <f t="shared" si="22"/>
        <v>1</v>
      </c>
      <c r="C88" s="228" t="s">
        <v>289</v>
      </c>
      <c r="D88" s="228" t="s">
        <v>289</v>
      </c>
      <c r="E88" s="217"/>
      <c r="F88" s="217"/>
      <c r="G88" s="229"/>
      <c r="H88" s="230"/>
      <c r="I88" s="230"/>
      <c r="J88" s="230"/>
      <c r="K88" s="230"/>
      <c r="L88" s="230"/>
      <c r="V88" s="218">
        <f t="shared" si="21"/>
        <v>0</v>
      </c>
      <c r="W88" s="218">
        <f t="shared" si="21"/>
        <v>0</v>
      </c>
      <c r="X88" s="218">
        <f t="shared" si="21"/>
        <v>0</v>
      </c>
      <c r="Y88" s="218">
        <f t="shared" si="20"/>
        <v>0</v>
      </c>
      <c r="Z88" s="218">
        <f t="shared" si="26"/>
        <v>0</v>
      </c>
      <c r="AA88" s="218">
        <f t="shared" si="26"/>
        <v>0</v>
      </c>
      <c r="AB88" s="218">
        <f t="shared" si="26"/>
        <v>0</v>
      </c>
      <c r="AC88" s="218">
        <f t="shared" si="26"/>
        <v>0</v>
      </c>
      <c r="AD88" s="218">
        <f t="shared" si="26"/>
        <v>0</v>
      </c>
      <c r="AE88" s="218">
        <f t="shared" si="26"/>
        <v>0</v>
      </c>
      <c r="AF88" s="218">
        <f t="shared" si="26"/>
        <v>0</v>
      </c>
      <c r="AG88" s="218">
        <f t="shared" si="26"/>
        <v>0</v>
      </c>
      <c r="AI88" s="220"/>
    </row>
    <row r="89" spans="1:35" s="214" customFormat="1">
      <c r="B89" s="214">
        <f t="shared" si="22"/>
        <v>0</v>
      </c>
      <c r="C89" s="228"/>
      <c r="D89" s="228"/>
      <c r="E89" s="217"/>
      <c r="F89" s="217"/>
      <c r="G89" s="229"/>
      <c r="H89" s="231"/>
      <c r="I89" s="231"/>
      <c r="J89" s="231"/>
      <c r="K89" s="231"/>
      <c r="L89" s="231"/>
      <c r="O89" s="232"/>
      <c r="V89" s="218">
        <f t="shared" si="21"/>
        <v>0</v>
      </c>
      <c r="W89" s="218">
        <f t="shared" si="21"/>
        <v>0</v>
      </c>
      <c r="X89" s="218">
        <f t="shared" si="21"/>
        <v>0</v>
      </c>
      <c r="Y89" s="218">
        <f t="shared" si="20"/>
        <v>0</v>
      </c>
      <c r="Z89" s="218">
        <f t="shared" si="26"/>
        <v>0</v>
      </c>
      <c r="AA89" s="218">
        <f t="shared" si="26"/>
        <v>0</v>
      </c>
      <c r="AB89" s="218">
        <f t="shared" si="26"/>
        <v>0</v>
      </c>
      <c r="AC89" s="218">
        <f t="shared" si="26"/>
        <v>0</v>
      </c>
      <c r="AD89" s="218">
        <f t="shared" si="26"/>
        <v>0</v>
      </c>
      <c r="AE89" s="218">
        <f t="shared" si="26"/>
        <v>0</v>
      </c>
      <c r="AF89" s="218">
        <f t="shared" si="26"/>
        <v>0</v>
      </c>
      <c r="AG89" s="218"/>
      <c r="AI89" s="220"/>
    </row>
    <row r="90" spans="1:35" s="214" customFormat="1">
      <c r="B90" s="214">
        <f t="shared" si="22"/>
        <v>1</v>
      </c>
      <c r="C90" s="233" t="s">
        <v>290</v>
      </c>
      <c r="D90" s="233" t="s">
        <v>290</v>
      </c>
      <c r="E90" s="217"/>
      <c r="F90" s="217"/>
      <c r="G90" s="229"/>
      <c r="H90" s="230"/>
      <c r="I90" s="230"/>
      <c r="J90" s="230"/>
      <c r="K90" s="230"/>
      <c r="L90" s="230"/>
      <c r="V90" s="218">
        <f t="shared" si="21"/>
        <v>0</v>
      </c>
      <c r="W90" s="218">
        <f t="shared" si="21"/>
        <v>0</v>
      </c>
      <c r="X90" s="218">
        <f t="shared" si="21"/>
        <v>0</v>
      </c>
      <c r="Y90" s="218">
        <f t="shared" si="20"/>
        <v>0</v>
      </c>
      <c r="Z90" s="218">
        <f t="shared" si="26"/>
        <v>0</v>
      </c>
      <c r="AA90" s="218">
        <f t="shared" si="26"/>
        <v>0</v>
      </c>
      <c r="AB90" s="218">
        <f t="shared" si="26"/>
        <v>0</v>
      </c>
      <c r="AC90" s="218">
        <f t="shared" si="26"/>
        <v>0</v>
      </c>
      <c r="AD90" s="218">
        <f t="shared" si="26"/>
        <v>0</v>
      </c>
      <c r="AE90" s="218">
        <f t="shared" si="26"/>
        <v>0</v>
      </c>
      <c r="AF90" s="218">
        <f t="shared" si="26"/>
        <v>0</v>
      </c>
      <c r="AG90" s="218"/>
      <c r="AI90" s="220"/>
    </row>
    <row r="91" spans="1:35" s="214" customFormat="1">
      <c r="A91" s="214" t="str">
        <f t="shared" ref="A91:A105" si="29">$A$1&amp;"Commercial - Rearload"&amp;C91</f>
        <v>MASON CO-REGULATEDCommercial - RearloadR1YDEM</v>
      </c>
      <c r="B91" s="214">
        <f t="shared" si="22"/>
        <v>1</v>
      </c>
      <c r="C91" s="215" t="s">
        <v>291</v>
      </c>
      <c r="D91" s="215" t="s">
        <v>453</v>
      </c>
      <c r="E91" s="216">
        <v>37.020000000000003</v>
      </c>
      <c r="F91" s="216">
        <v>37.520000000000003</v>
      </c>
      <c r="G91" s="217"/>
      <c r="H91" s="218">
        <v>647.85</v>
      </c>
      <c r="I91" s="218">
        <v>728.06</v>
      </c>
      <c r="J91" s="218">
        <v>703.38</v>
      </c>
      <c r="K91" s="218">
        <v>721.89</v>
      </c>
      <c r="L91" s="218">
        <v>750.4</v>
      </c>
      <c r="M91" s="218">
        <v>750.4</v>
      </c>
      <c r="N91" s="218">
        <v>750.4</v>
      </c>
      <c r="O91" s="218">
        <v>731.64</v>
      </c>
      <c r="P91" s="218">
        <v>712.88</v>
      </c>
      <c r="Q91" s="218">
        <v>712.88</v>
      </c>
      <c r="R91" s="218">
        <v>750.4</v>
      </c>
      <c r="S91" s="218">
        <v>750.4</v>
      </c>
      <c r="T91" s="218">
        <f t="shared" ref="T91:T123" si="30">SUM(H91:S91)</f>
        <v>8710.58</v>
      </c>
      <c r="U91" s="218"/>
      <c r="V91" s="218">
        <f t="shared" si="21"/>
        <v>17.5</v>
      </c>
      <c r="W91" s="218">
        <f t="shared" si="21"/>
        <v>19.666666666666664</v>
      </c>
      <c r="X91" s="218">
        <f t="shared" si="21"/>
        <v>19</v>
      </c>
      <c r="Y91" s="218">
        <f t="shared" si="20"/>
        <v>19.499999999999996</v>
      </c>
      <c r="Z91" s="218">
        <f t="shared" si="26"/>
        <v>19.999999999999996</v>
      </c>
      <c r="AA91" s="218">
        <f t="shared" si="26"/>
        <v>19.999999999999996</v>
      </c>
      <c r="AB91" s="218">
        <f t="shared" si="26"/>
        <v>19.999999999999996</v>
      </c>
      <c r="AC91" s="218">
        <f t="shared" si="26"/>
        <v>19.499999999999996</v>
      </c>
      <c r="AD91" s="218">
        <f t="shared" si="26"/>
        <v>19</v>
      </c>
      <c r="AE91" s="218">
        <f t="shared" si="26"/>
        <v>19</v>
      </c>
      <c r="AF91" s="218">
        <f t="shared" si="26"/>
        <v>19.999999999999996</v>
      </c>
      <c r="AG91" s="218">
        <f t="shared" si="26"/>
        <v>19.999999999999996</v>
      </c>
      <c r="AH91" s="219">
        <f t="shared" ref="AH91:AH97" si="31">AVERAGE(V91:AG91)</f>
        <v>19.430555555555554</v>
      </c>
      <c r="AI91" s="220"/>
    </row>
    <row r="92" spans="1:35" s="214" customFormat="1">
      <c r="A92" s="214" t="str">
        <f t="shared" si="29"/>
        <v>MASON CO-REGULATEDCommercial - RearloadR1.5YDEM</v>
      </c>
      <c r="B92" s="214">
        <f t="shared" si="22"/>
        <v>1</v>
      </c>
      <c r="C92" s="215" t="s">
        <v>292</v>
      </c>
      <c r="D92" s="215" t="s">
        <v>454</v>
      </c>
      <c r="E92" s="216">
        <v>40.880000000000003</v>
      </c>
      <c r="F92" s="216">
        <v>41.6</v>
      </c>
      <c r="G92" s="217"/>
      <c r="H92" s="218">
        <v>7583.24</v>
      </c>
      <c r="I92" s="218">
        <v>7797.4100000000008</v>
      </c>
      <c r="J92" s="218">
        <v>7685.44</v>
      </c>
      <c r="K92" s="218">
        <v>7716.0999999999995</v>
      </c>
      <c r="L92" s="218">
        <v>8042.66</v>
      </c>
      <c r="M92" s="218">
        <v>8070.4</v>
      </c>
      <c r="N92" s="218">
        <v>7924.8</v>
      </c>
      <c r="O92" s="218">
        <v>8008</v>
      </c>
      <c r="P92" s="218">
        <v>7980.27</v>
      </c>
      <c r="Q92" s="218">
        <v>8132.8</v>
      </c>
      <c r="R92" s="218">
        <v>7994.13</v>
      </c>
      <c r="S92" s="218">
        <v>7938.67</v>
      </c>
      <c r="T92" s="218">
        <f t="shared" si="30"/>
        <v>94873.920000000013</v>
      </c>
      <c r="U92" s="218"/>
      <c r="V92" s="218">
        <f t="shared" si="21"/>
        <v>185.49999999999997</v>
      </c>
      <c r="W92" s="218">
        <f t="shared" si="21"/>
        <v>190.73899217221137</v>
      </c>
      <c r="X92" s="218">
        <f t="shared" si="21"/>
        <v>187.99999999999997</v>
      </c>
      <c r="Y92" s="218">
        <f t="shared" si="20"/>
        <v>188.74999999999997</v>
      </c>
      <c r="Z92" s="218">
        <f t="shared" si="26"/>
        <v>193.33317307692306</v>
      </c>
      <c r="AA92" s="218">
        <f t="shared" si="26"/>
        <v>193.99999999999997</v>
      </c>
      <c r="AB92" s="218">
        <f t="shared" si="26"/>
        <v>190.5</v>
      </c>
      <c r="AC92" s="218">
        <f t="shared" si="26"/>
        <v>192.5</v>
      </c>
      <c r="AD92" s="218">
        <f t="shared" si="26"/>
        <v>191.83341346153847</v>
      </c>
      <c r="AE92" s="218">
        <f t="shared" si="26"/>
        <v>195.5</v>
      </c>
      <c r="AF92" s="218">
        <f t="shared" si="26"/>
        <v>192.16658653846153</v>
      </c>
      <c r="AG92" s="218">
        <f t="shared" si="26"/>
        <v>190.83341346153847</v>
      </c>
      <c r="AH92" s="219">
        <f t="shared" si="31"/>
        <v>191.13796489255606</v>
      </c>
      <c r="AI92" s="220"/>
    </row>
    <row r="93" spans="1:35" s="214" customFormat="1">
      <c r="A93" s="214" t="str">
        <f t="shared" si="29"/>
        <v>MASON CO-REGULATEDCommercial - RearloadR2YDEM</v>
      </c>
      <c r="B93" s="214">
        <f t="shared" si="22"/>
        <v>1</v>
      </c>
      <c r="C93" s="215" t="s">
        <v>293</v>
      </c>
      <c r="D93" s="215" t="s">
        <v>455</v>
      </c>
      <c r="E93" s="216">
        <v>54.03</v>
      </c>
      <c r="F93" s="216">
        <v>54.97</v>
      </c>
      <c r="G93" s="217"/>
      <c r="H93" s="218">
        <v>5808.24</v>
      </c>
      <c r="I93" s="218">
        <v>5871.28</v>
      </c>
      <c r="J93" s="218">
        <v>5898.29</v>
      </c>
      <c r="K93" s="218">
        <v>6132.41</v>
      </c>
      <c r="L93" s="218">
        <v>6229.93</v>
      </c>
      <c r="M93" s="218">
        <v>6184.13</v>
      </c>
      <c r="N93" s="218">
        <v>5991.74</v>
      </c>
      <c r="O93" s="218">
        <v>6486.48</v>
      </c>
      <c r="P93" s="218">
        <v>6523.14</v>
      </c>
      <c r="Q93" s="218">
        <v>5936.78</v>
      </c>
      <c r="R93" s="218">
        <v>6416.83</v>
      </c>
      <c r="S93" s="218">
        <v>6275.75</v>
      </c>
      <c r="T93" s="218">
        <f t="shared" si="30"/>
        <v>73755</v>
      </c>
      <c r="U93" s="218"/>
      <c r="V93" s="218">
        <f t="shared" si="21"/>
        <v>107.50027762354247</v>
      </c>
      <c r="W93" s="218">
        <f t="shared" si="21"/>
        <v>108.66703683138996</v>
      </c>
      <c r="X93" s="218">
        <f t="shared" si="21"/>
        <v>109.16694429020914</v>
      </c>
      <c r="Y93" s="218">
        <f t="shared" si="20"/>
        <v>113.50009254118082</v>
      </c>
      <c r="Z93" s="218">
        <f t="shared" si="26"/>
        <v>113.33327269419684</v>
      </c>
      <c r="AA93" s="218">
        <f t="shared" si="26"/>
        <v>112.50009095870475</v>
      </c>
      <c r="AB93" s="218">
        <f t="shared" si="26"/>
        <v>109.00018191740949</v>
      </c>
      <c r="AC93" s="218">
        <f t="shared" si="26"/>
        <v>118.00036383481898</v>
      </c>
      <c r="AD93" s="218">
        <f t="shared" si="26"/>
        <v>118.66727305803167</v>
      </c>
      <c r="AE93" s="218">
        <f t="shared" si="26"/>
        <v>108.00036383481898</v>
      </c>
      <c r="AF93" s="218">
        <f t="shared" si="26"/>
        <v>116.73330907767874</v>
      </c>
      <c r="AG93" s="218">
        <f t="shared" si="26"/>
        <v>114.16681826450791</v>
      </c>
      <c r="AH93" s="219">
        <f t="shared" si="31"/>
        <v>112.43633541054079</v>
      </c>
      <c r="AI93" s="220"/>
    </row>
    <row r="94" spans="1:35" s="214" customFormat="1">
      <c r="A94" s="214" t="str">
        <f t="shared" si="29"/>
        <v>MASON CO-REGULATEDCommercial - RearloadR2YDWM</v>
      </c>
      <c r="B94" s="214">
        <f t="shared" si="22"/>
        <v>1</v>
      </c>
      <c r="C94" s="215" t="s">
        <v>294</v>
      </c>
      <c r="D94" s="215" t="s">
        <v>456</v>
      </c>
      <c r="E94" s="216">
        <v>107.82</v>
      </c>
      <c r="F94" s="216">
        <v>109.68</v>
      </c>
      <c r="G94" s="217"/>
      <c r="H94" s="218">
        <v>34422.29</v>
      </c>
      <c r="I94" s="218">
        <v>29262.34</v>
      </c>
      <c r="J94" s="218">
        <v>28049.38</v>
      </c>
      <c r="K94" s="218">
        <v>27278.46</v>
      </c>
      <c r="L94" s="218">
        <v>27622.91</v>
      </c>
      <c r="M94" s="218">
        <v>27858.720000000001</v>
      </c>
      <c r="N94" s="218">
        <v>27453</v>
      </c>
      <c r="O94" s="218">
        <v>28719.71</v>
      </c>
      <c r="P94" s="218">
        <v>31461.72</v>
      </c>
      <c r="Q94" s="218">
        <v>35596.65</v>
      </c>
      <c r="R94" s="218">
        <v>37181.51</v>
      </c>
      <c r="S94" s="218">
        <v>37576.370000000003</v>
      </c>
      <c r="T94" s="218">
        <f t="shared" si="30"/>
        <v>372483.06</v>
      </c>
      <c r="U94" s="218"/>
      <c r="V94" s="218">
        <f t="shared" si="21"/>
        <v>319.25700241142647</v>
      </c>
      <c r="W94" s="218">
        <f t="shared" si="21"/>
        <v>271.39992580226306</v>
      </c>
      <c r="X94" s="218">
        <f t="shared" si="21"/>
        <v>260.1500649230199</v>
      </c>
      <c r="Y94" s="218">
        <f t="shared" si="20"/>
        <v>253</v>
      </c>
      <c r="Z94" s="218">
        <f t="shared" si="26"/>
        <v>251.85001823486505</v>
      </c>
      <c r="AA94" s="218">
        <f t="shared" si="26"/>
        <v>254</v>
      </c>
      <c r="AB94" s="218">
        <f t="shared" si="26"/>
        <v>250.30087527352296</v>
      </c>
      <c r="AC94" s="218">
        <f t="shared" si="26"/>
        <v>261.85001823486505</v>
      </c>
      <c r="AD94" s="218">
        <f t="shared" si="26"/>
        <v>286.85010940919034</v>
      </c>
      <c r="AE94" s="218">
        <f t="shared" si="26"/>
        <v>324.5500547045952</v>
      </c>
      <c r="AF94" s="218">
        <f t="shared" si="26"/>
        <v>338.99990882567471</v>
      </c>
      <c r="AG94" s="218">
        <f t="shared" si="26"/>
        <v>342.60001823486505</v>
      </c>
      <c r="AH94" s="219">
        <f t="shared" si="31"/>
        <v>284.56733300452402</v>
      </c>
      <c r="AI94" s="220"/>
    </row>
    <row r="95" spans="1:35" s="214" customFormat="1">
      <c r="A95" s="214" t="str">
        <f t="shared" si="29"/>
        <v>MASON CO-REGULATEDCommercial - RearloadR1.5YDWM</v>
      </c>
      <c r="B95" s="214">
        <f t="shared" si="22"/>
        <v>1</v>
      </c>
      <c r="C95" s="215" t="s">
        <v>295</v>
      </c>
      <c r="D95" s="215" t="s">
        <v>457</v>
      </c>
      <c r="E95" s="216">
        <v>81.58</v>
      </c>
      <c r="F95" s="216">
        <v>83.01</v>
      </c>
      <c r="G95" s="217"/>
      <c r="H95" s="218">
        <v>7056.7</v>
      </c>
      <c r="I95" s="218">
        <v>5853.3600000000006</v>
      </c>
      <c r="J95" s="218">
        <v>5808.5</v>
      </c>
      <c r="K95" s="218">
        <v>5282.31</v>
      </c>
      <c r="L95" s="218">
        <v>4947.3999999999996</v>
      </c>
      <c r="M95" s="218">
        <v>4897.59</v>
      </c>
      <c r="N95" s="218">
        <v>5001.3599999999997</v>
      </c>
      <c r="O95" s="218">
        <v>5096.8100000000004</v>
      </c>
      <c r="P95" s="218">
        <v>5337.55</v>
      </c>
      <c r="Q95" s="218">
        <v>5478.67</v>
      </c>
      <c r="R95" s="218">
        <v>6055.59</v>
      </c>
      <c r="S95" s="218">
        <v>6436.05</v>
      </c>
      <c r="T95" s="218">
        <f t="shared" si="30"/>
        <v>67251.89</v>
      </c>
      <c r="U95" s="218"/>
      <c r="V95" s="218">
        <f t="shared" si="21"/>
        <v>86.500367737190487</v>
      </c>
      <c r="W95" s="218">
        <f t="shared" si="21"/>
        <v>71.749938710468257</v>
      </c>
      <c r="X95" s="218">
        <f t="shared" si="21"/>
        <v>71.200049031625397</v>
      </c>
      <c r="Y95" s="218">
        <f t="shared" si="20"/>
        <v>64.750061289531757</v>
      </c>
      <c r="Z95" s="218">
        <f t="shared" si="26"/>
        <v>59.600048186965417</v>
      </c>
      <c r="AA95" s="218">
        <f t="shared" si="26"/>
        <v>59</v>
      </c>
      <c r="AB95" s="218">
        <f t="shared" si="26"/>
        <v>60.250090350560164</v>
      </c>
      <c r="AC95" s="218">
        <f t="shared" si="26"/>
        <v>61.399951813034576</v>
      </c>
      <c r="AD95" s="218">
        <f t="shared" si="26"/>
        <v>64.300084327189495</v>
      </c>
      <c r="AE95" s="218">
        <f t="shared" si="26"/>
        <v>66.000120467413566</v>
      </c>
      <c r="AF95" s="218">
        <f t="shared" si="26"/>
        <v>72.950126490784243</v>
      </c>
      <c r="AG95" s="218">
        <f t="shared" si="26"/>
        <v>77.533429707264176</v>
      </c>
      <c r="AH95" s="219">
        <f t="shared" si="31"/>
        <v>67.936189009335621</v>
      </c>
      <c r="AI95" s="220"/>
    </row>
    <row r="96" spans="1:35" s="214" customFormat="1">
      <c r="A96" s="214" t="str">
        <f t="shared" si="29"/>
        <v>MASON CO-REGULATEDCommercial - RearloadR1YDWM</v>
      </c>
      <c r="B96" s="214">
        <f t="shared" si="22"/>
        <v>1</v>
      </c>
      <c r="C96" s="215" t="s">
        <v>296</v>
      </c>
      <c r="D96" s="215" t="s">
        <v>458</v>
      </c>
      <c r="E96" s="216">
        <v>73.87</v>
      </c>
      <c r="F96" s="216">
        <v>74.87</v>
      </c>
      <c r="G96" s="217"/>
      <c r="H96" s="218">
        <v>147.74</v>
      </c>
      <c r="I96" s="218">
        <v>147.74</v>
      </c>
      <c r="J96" s="218">
        <v>147.74</v>
      </c>
      <c r="K96" s="218">
        <v>147.74</v>
      </c>
      <c r="L96" s="218">
        <v>149.74</v>
      </c>
      <c r="M96" s="218">
        <v>149.74</v>
      </c>
      <c r="N96" s="218">
        <v>149.74</v>
      </c>
      <c r="O96" s="218">
        <v>149.74</v>
      </c>
      <c r="P96" s="218">
        <v>74.87</v>
      </c>
      <c r="Q96" s="218">
        <v>74.87</v>
      </c>
      <c r="R96" s="218">
        <v>74.87</v>
      </c>
      <c r="S96" s="218">
        <v>74.87</v>
      </c>
      <c r="T96" s="218">
        <f t="shared" si="30"/>
        <v>1489.3999999999996</v>
      </c>
      <c r="U96" s="218"/>
      <c r="V96" s="218">
        <f t="shared" si="21"/>
        <v>2</v>
      </c>
      <c r="W96" s="218">
        <f t="shared" si="21"/>
        <v>2</v>
      </c>
      <c r="X96" s="218">
        <f t="shared" si="21"/>
        <v>2</v>
      </c>
      <c r="Y96" s="218">
        <f t="shared" si="20"/>
        <v>2</v>
      </c>
      <c r="Z96" s="218">
        <f t="shared" si="26"/>
        <v>2</v>
      </c>
      <c r="AA96" s="218">
        <f t="shared" si="26"/>
        <v>2</v>
      </c>
      <c r="AB96" s="218">
        <f t="shared" si="26"/>
        <v>2</v>
      </c>
      <c r="AC96" s="218">
        <f t="shared" si="26"/>
        <v>2</v>
      </c>
      <c r="AD96" s="218">
        <f t="shared" si="26"/>
        <v>1</v>
      </c>
      <c r="AE96" s="218">
        <f t="shared" si="26"/>
        <v>1</v>
      </c>
      <c r="AF96" s="218">
        <f t="shared" si="26"/>
        <v>1</v>
      </c>
      <c r="AG96" s="218">
        <f t="shared" si="26"/>
        <v>1</v>
      </c>
      <c r="AH96" s="219">
        <f t="shared" si="31"/>
        <v>1.6666666666666667</v>
      </c>
      <c r="AI96" s="220"/>
    </row>
    <row r="97" spans="1:35" s="214" customFormat="1" hidden="1">
      <c r="A97" s="214" t="str">
        <f t="shared" si="29"/>
        <v>MASON CO-REGULATEDCommercial - RearloadR2YDEK</v>
      </c>
      <c r="B97" s="214">
        <f t="shared" si="22"/>
        <v>1</v>
      </c>
      <c r="C97" s="215" t="s">
        <v>297</v>
      </c>
      <c r="D97" s="215" t="s">
        <v>455</v>
      </c>
      <c r="E97" s="216" t="e">
        <v>#N/A</v>
      </c>
      <c r="F97" s="216">
        <v>48.13</v>
      </c>
      <c r="G97" s="217"/>
      <c r="H97" s="218">
        <v>0</v>
      </c>
      <c r="I97" s="218">
        <v>0</v>
      </c>
      <c r="J97" s="218">
        <v>0</v>
      </c>
      <c r="K97" s="218">
        <v>0</v>
      </c>
      <c r="L97" s="218">
        <v>0</v>
      </c>
      <c r="M97" s="218">
        <v>0</v>
      </c>
      <c r="N97" s="218">
        <v>0</v>
      </c>
      <c r="O97" s="218">
        <v>0</v>
      </c>
      <c r="P97" s="218">
        <v>0</v>
      </c>
      <c r="Q97" s="218">
        <v>0</v>
      </c>
      <c r="R97" s="218">
        <v>0</v>
      </c>
      <c r="S97" s="218">
        <v>0</v>
      </c>
      <c r="T97" s="218">
        <f t="shared" si="30"/>
        <v>0</v>
      </c>
      <c r="U97" s="218"/>
      <c r="V97" s="218">
        <f t="shared" si="21"/>
        <v>0</v>
      </c>
      <c r="W97" s="218">
        <f t="shared" si="21"/>
        <v>0</v>
      </c>
      <c r="X97" s="218">
        <f t="shared" si="21"/>
        <v>0</v>
      </c>
      <c r="Y97" s="218">
        <f t="shared" si="20"/>
        <v>0</v>
      </c>
      <c r="Z97" s="218">
        <f t="shared" si="26"/>
        <v>0</v>
      </c>
      <c r="AA97" s="218">
        <f t="shared" si="26"/>
        <v>0</v>
      </c>
      <c r="AB97" s="218">
        <f t="shared" si="26"/>
        <v>0</v>
      </c>
      <c r="AC97" s="218">
        <f t="shared" si="26"/>
        <v>0</v>
      </c>
      <c r="AD97" s="218">
        <f t="shared" si="26"/>
        <v>0</v>
      </c>
      <c r="AE97" s="218">
        <f t="shared" si="26"/>
        <v>0</v>
      </c>
      <c r="AF97" s="218">
        <f t="shared" si="26"/>
        <v>0</v>
      </c>
      <c r="AG97" s="218">
        <f t="shared" si="26"/>
        <v>0</v>
      </c>
      <c r="AH97" s="219">
        <f t="shared" si="31"/>
        <v>0</v>
      </c>
      <c r="AI97" s="220"/>
    </row>
    <row r="98" spans="1:35" s="214" customFormat="1" hidden="1">
      <c r="A98" s="214" t="str">
        <f t="shared" si="29"/>
        <v>MASON CO-REGULATEDCommercial - RearloadR1YDRENTM</v>
      </c>
      <c r="B98" s="214">
        <f t="shared" si="22"/>
        <v>1</v>
      </c>
      <c r="C98" s="215" t="s">
        <v>298</v>
      </c>
      <c r="D98" s="215" t="s">
        <v>459</v>
      </c>
      <c r="E98" s="216">
        <v>8.4700000000000006</v>
      </c>
      <c r="F98" s="216">
        <v>8.4700000000000006</v>
      </c>
      <c r="G98" s="217"/>
      <c r="H98" s="218">
        <v>171.38</v>
      </c>
      <c r="I98" s="218">
        <v>175.61</v>
      </c>
      <c r="J98" s="218">
        <v>178.44</v>
      </c>
      <c r="K98" s="218">
        <v>181.26</v>
      </c>
      <c r="L98" s="218">
        <v>185.77</v>
      </c>
      <c r="M98" s="218">
        <v>186.34</v>
      </c>
      <c r="N98" s="218">
        <v>186.34</v>
      </c>
      <c r="O98" s="218">
        <v>180.69</v>
      </c>
      <c r="P98" s="218">
        <v>169.4</v>
      </c>
      <c r="Q98" s="218">
        <v>169.4</v>
      </c>
      <c r="R98" s="218">
        <v>177.87</v>
      </c>
      <c r="S98" s="218">
        <v>177.87</v>
      </c>
      <c r="T98" s="218">
        <f t="shared" si="30"/>
        <v>2140.37</v>
      </c>
      <c r="U98" s="218"/>
      <c r="V98" s="218">
        <f t="shared" si="21"/>
        <v>20.233766233766232</v>
      </c>
      <c r="W98" s="218">
        <f t="shared" si="21"/>
        <v>20.733175914994096</v>
      </c>
      <c r="X98" s="218">
        <f t="shared" si="21"/>
        <v>21.06729634002361</v>
      </c>
      <c r="Y98" s="218">
        <f t="shared" si="20"/>
        <v>21.400236127508851</v>
      </c>
      <c r="Z98" s="218">
        <f t="shared" si="26"/>
        <v>21.932703659976386</v>
      </c>
      <c r="AA98" s="218">
        <f t="shared" si="26"/>
        <v>22</v>
      </c>
      <c r="AB98" s="218">
        <f t="shared" si="26"/>
        <v>22</v>
      </c>
      <c r="AC98" s="218">
        <f t="shared" si="26"/>
        <v>21.332939787485241</v>
      </c>
      <c r="AD98" s="218">
        <f t="shared" si="26"/>
        <v>20</v>
      </c>
      <c r="AE98" s="218">
        <f t="shared" si="26"/>
        <v>20</v>
      </c>
      <c r="AF98" s="218">
        <f t="shared" si="26"/>
        <v>21</v>
      </c>
      <c r="AG98" s="218">
        <f t="shared" si="26"/>
        <v>21</v>
      </c>
      <c r="AI98" s="220"/>
    </row>
    <row r="99" spans="1:35" s="214" customFormat="1" hidden="1">
      <c r="A99" s="214" t="str">
        <f t="shared" si="29"/>
        <v>MASON CO-REGULATEDCommercial - RearloadR1.5YDRENTM</v>
      </c>
      <c r="B99" s="214">
        <f t="shared" si="22"/>
        <v>1</v>
      </c>
      <c r="C99" s="215" t="s">
        <v>299</v>
      </c>
      <c r="D99" s="215" t="s">
        <v>460</v>
      </c>
      <c r="E99" s="216">
        <v>9.5399999999999991</v>
      </c>
      <c r="F99" s="216">
        <v>9.5399999999999991</v>
      </c>
      <c r="G99" s="217"/>
      <c r="H99" s="218">
        <v>2553.86</v>
      </c>
      <c r="I99" s="218">
        <v>2495.0300000000002</v>
      </c>
      <c r="J99" s="218">
        <v>2437.46</v>
      </c>
      <c r="K99" s="218">
        <v>2406.63</v>
      </c>
      <c r="L99" s="218">
        <v>2400.58</v>
      </c>
      <c r="M99" s="218">
        <v>2401.86</v>
      </c>
      <c r="N99" s="218">
        <v>2398.36</v>
      </c>
      <c r="O99" s="218">
        <v>2404.39</v>
      </c>
      <c r="P99" s="218">
        <v>2411.0700000000002</v>
      </c>
      <c r="Q99" s="218">
        <v>2439.06</v>
      </c>
      <c r="R99" s="218">
        <v>2439.06</v>
      </c>
      <c r="S99" s="218">
        <v>2447.33</v>
      </c>
      <c r="T99" s="218">
        <f t="shared" si="30"/>
        <v>29234.690000000002</v>
      </c>
      <c r="U99" s="218"/>
      <c r="V99" s="218">
        <f t="shared" si="21"/>
        <v>267.70020964360589</v>
      </c>
      <c r="W99" s="218">
        <f t="shared" si="21"/>
        <v>261.53354297693926</v>
      </c>
      <c r="X99" s="218">
        <f t="shared" si="21"/>
        <v>255.49895178197067</v>
      </c>
      <c r="Y99" s="218">
        <f t="shared" si="20"/>
        <v>252.26729559748432</v>
      </c>
      <c r="Z99" s="218">
        <f t="shared" si="26"/>
        <v>251.63312368972748</v>
      </c>
      <c r="AA99" s="218">
        <f t="shared" si="26"/>
        <v>251.76729559748432</v>
      </c>
      <c r="AB99" s="218">
        <f t="shared" si="26"/>
        <v>251.40041928721178</v>
      </c>
      <c r="AC99" s="218">
        <f t="shared" si="26"/>
        <v>252.03249475890985</v>
      </c>
      <c r="AD99" s="218">
        <f t="shared" si="26"/>
        <v>252.73270440251576</v>
      </c>
      <c r="AE99" s="218">
        <f t="shared" si="26"/>
        <v>255.66666666666669</v>
      </c>
      <c r="AF99" s="218">
        <f t="shared" si="26"/>
        <v>255.66666666666669</v>
      </c>
      <c r="AG99" s="218">
        <f t="shared" si="26"/>
        <v>256.5335429769392</v>
      </c>
      <c r="AI99" s="220"/>
    </row>
    <row r="100" spans="1:35" s="214" customFormat="1" hidden="1">
      <c r="A100" s="214" t="str">
        <f t="shared" si="29"/>
        <v>MASON CO-REGULATEDCommercial - RearloadR2YDRENTM</v>
      </c>
      <c r="B100" s="214">
        <f t="shared" si="22"/>
        <v>1</v>
      </c>
      <c r="C100" s="215" t="s">
        <v>300</v>
      </c>
      <c r="D100" s="215" t="s">
        <v>461</v>
      </c>
      <c r="E100" s="216">
        <v>13.77</v>
      </c>
      <c r="F100" s="216">
        <v>13.77</v>
      </c>
      <c r="G100" s="217"/>
      <c r="H100" s="218">
        <v>5002.8999999999996</v>
      </c>
      <c r="I100" s="218">
        <v>4655.34</v>
      </c>
      <c r="J100" s="218">
        <v>4529.41</v>
      </c>
      <c r="K100" s="218">
        <v>4518.3999999999996</v>
      </c>
      <c r="L100" s="218">
        <v>4529.42</v>
      </c>
      <c r="M100" s="218">
        <v>4552.37</v>
      </c>
      <c r="N100" s="218">
        <v>4595.96</v>
      </c>
      <c r="O100" s="218">
        <v>4683.18</v>
      </c>
      <c r="P100" s="218">
        <v>4944.37</v>
      </c>
      <c r="Q100" s="218">
        <v>5173.3900000000003</v>
      </c>
      <c r="R100" s="218">
        <v>5289.06</v>
      </c>
      <c r="S100" s="218">
        <v>5301.45</v>
      </c>
      <c r="T100" s="218">
        <f t="shared" si="30"/>
        <v>57775.249999999993</v>
      </c>
      <c r="U100" s="218"/>
      <c r="V100" s="218">
        <f t="shared" si="21"/>
        <v>363.31880900508349</v>
      </c>
      <c r="W100" s="218">
        <f t="shared" si="21"/>
        <v>338.07843137254906</v>
      </c>
      <c r="X100" s="218">
        <f t="shared" si="21"/>
        <v>328.93318809005086</v>
      </c>
      <c r="Y100" s="218">
        <f t="shared" si="20"/>
        <v>328.13362381989833</v>
      </c>
      <c r="Z100" s="218">
        <f t="shared" si="26"/>
        <v>328.93391430646335</v>
      </c>
      <c r="AA100" s="218">
        <f t="shared" si="26"/>
        <v>330.60058097312998</v>
      </c>
      <c r="AB100" s="218">
        <f t="shared" si="26"/>
        <v>333.76615831517796</v>
      </c>
      <c r="AC100" s="218">
        <f t="shared" si="26"/>
        <v>340.10021786492376</v>
      </c>
      <c r="AD100" s="218">
        <f t="shared" si="26"/>
        <v>359.06826434277417</v>
      </c>
      <c r="AE100" s="218">
        <f t="shared" si="26"/>
        <v>375.70007262164131</v>
      </c>
      <c r="AF100" s="218">
        <f t="shared" si="26"/>
        <v>384.10021786492376</v>
      </c>
      <c r="AG100" s="218">
        <f t="shared" si="26"/>
        <v>385</v>
      </c>
      <c r="AI100" s="220"/>
    </row>
    <row r="101" spans="1:35" s="214" customFormat="1" hidden="1">
      <c r="A101" s="214" t="str">
        <f t="shared" si="29"/>
        <v>MASON CO-REGULATEDCommercial - RearloadR2YDRENTT</v>
      </c>
      <c r="B101" s="214">
        <f t="shared" si="22"/>
        <v>1</v>
      </c>
      <c r="C101" s="215" t="s">
        <v>301</v>
      </c>
      <c r="D101" s="215" t="s">
        <v>462</v>
      </c>
      <c r="E101" s="216">
        <v>20.63</v>
      </c>
      <c r="F101" s="216">
        <v>20.63</v>
      </c>
      <c r="G101" s="217"/>
      <c r="H101" s="218">
        <v>39.200000000000003</v>
      </c>
      <c r="I101" s="218">
        <v>20.63</v>
      </c>
      <c r="J101" s="218">
        <v>13.07</v>
      </c>
      <c r="K101" s="218">
        <v>19.940000000000001</v>
      </c>
      <c r="L101" s="218">
        <v>4.8099999999999996</v>
      </c>
      <c r="M101" s="218">
        <v>0</v>
      </c>
      <c r="N101" s="218">
        <v>4.8099999999999996</v>
      </c>
      <c r="O101" s="218">
        <v>22.69</v>
      </c>
      <c r="P101" s="218">
        <v>8.94</v>
      </c>
      <c r="Q101" s="218">
        <v>116.23</v>
      </c>
      <c r="R101" s="218">
        <v>107.96</v>
      </c>
      <c r="S101" s="218">
        <v>33</v>
      </c>
      <c r="T101" s="218">
        <f t="shared" si="30"/>
        <v>391.28</v>
      </c>
      <c r="U101" s="218"/>
      <c r="V101" s="218">
        <f t="shared" si="21"/>
        <v>1.9001454192922931</v>
      </c>
      <c r="W101" s="218">
        <f t="shared" si="21"/>
        <v>1</v>
      </c>
      <c r="X101" s="218">
        <f t="shared" si="21"/>
        <v>0.63354338342220073</v>
      </c>
      <c r="Y101" s="218">
        <f t="shared" si="20"/>
        <v>0.96655356277266125</v>
      </c>
      <c r="Z101" s="218">
        <f t="shared" si="26"/>
        <v>0.23315559864275326</v>
      </c>
      <c r="AA101" s="218">
        <f t="shared" si="26"/>
        <v>0</v>
      </c>
      <c r="AB101" s="218">
        <f t="shared" si="26"/>
        <v>0.23315559864275326</v>
      </c>
      <c r="AC101" s="218">
        <f t="shared" si="26"/>
        <v>1.0998545807077074</v>
      </c>
      <c r="AD101" s="218">
        <f t="shared" si="26"/>
        <v>0.433349491032477</v>
      </c>
      <c r="AE101" s="218">
        <f t="shared" si="26"/>
        <v>5.6340281143965107</v>
      </c>
      <c r="AF101" s="218">
        <f t="shared" si="26"/>
        <v>5.2331555986427531</v>
      </c>
      <c r="AG101" s="218">
        <f t="shared" si="26"/>
        <v>1.5996122152205527</v>
      </c>
      <c r="AI101" s="220"/>
    </row>
    <row r="102" spans="1:35" s="214" customFormat="1" ht="12" hidden="1">
      <c r="A102" s="214" t="str">
        <f t="shared" si="29"/>
        <v>MASON CO-REGULATEDCommercial - RearloadCDELC</v>
      </c>
      <c r="B102" s="214">
        <f t="shared" si="22"/>
        <v>1</v>
      </c>
      <c r="C102" s="215" t="s">
        <v>302</v>
      </c>
      <c r="D102" s="215" t="s">
        <v>463</v>
      </c>
      <c r="E102" s="216">
        <v>27</v>
      </c>
      <c r="F102" s="216">
        <v>27</v>
      </c>
      <c r="G102" s="217"/>
      <c r="H102" s="218">
        <v>135</v>
      </c>
      <c r="I102" s="218">
        <v>81</v>
      </c>
      <c r="J102" s="218">
        <v>243</v>
      </c>
      <c r="K102" s="218">
        <v>162</v>
      </c>
      <c r="L102" s="218">
        <v>270</v>
      </c>
      <c r="M102" s="218">
        <v>81</v>
      </c>
      <c r="N102" s="218">
        <v>324</v>
      </c>
      <c r="O102" s="218">
        <v>243</v>
      </c>
      <c r="P102" s="218">
        <v>1107</v>
      </c>
      <c r="Q102" s="218">
        <v>594</v>
      </c>
      <c r="R102" s="218">
        <v>540</v>
      </c>
      <c r="S102" s="218">
        <v>324</v>
      </c>
      <c r="T102" s="218">
        <f t="shared" si="30"/>
        <v>4104</v>
      </c>
      <c r="U102" s="218"/>
      <c r="V102" s="218">
        <f t="shared" si="21"/>
        <v>5</v>
      </c>
      <c r="W102" s="218">
        <f t="shared" si="21"/>
        <v>3</v>
      </c>
      <c r="X102" s="218">
        <f t="shared" si="21"/>
        <v>9</v>
      </c>
      <c r="Y102" s="218">
        <f t="shared" si="20"/>
        <v>6</v>
      </c>
      <c r="Z102" s="218">
        <f t="shared" si="26"/>
        <v>10</v>
      </c>
      <c r="AA102" s="218">
        <f t="shared" si="26"/>
        <v>3</v>
      </c>
      <c r="AB102" s="218">
        <f t="shared" si="26"/>
        <v>12</v>
      </c>
      <c r="AC102" s="218">
        <f t="shared" si="26"/>
        <v>9</v>
      </c>
      <c r="AD102" s="218">
        <f t="shared" si="26"/>
        <v>41</v>
      </c>
      <c r="AE102" s="218">
        <f t="shared" si="26"/>
        <v>22</v>
      </c>
      <c r="AF102" s="218">
        <f t="shared" si="26"/>
        <v>20</v>
      </c>
      <c r="AG102" s="218">
        <f t="shared" si="26"/>
        <v>12</v>
      </c>
    </row>
    <row r="103" spans="1:35" s="214" customFormat="1">
      <c r="A103" s="214" t="str">
        <f t="shared" si="29"/>
        <v>MASON CO-REGULATEDCommercial - RearloadCOMCAN</v>
      </c>
      <c r="B103" s="214">
        <f t="shared" si="22"/>
        <v>1</v>
      </c>
      <c r="C103" s="215" t="s">
        <v>303</v>
      </c>
      <c r="D103" s="215" t="s">
        <v>464</v>
      </c>
      <c r="E103" s="216">
        <v>4.68</v>
      </c>
      <c r="F103" s="216">
        <v>4.72</v>
      </c>
      <c r="G103" s="217"/>
      <c r="H103" s="218">
        <v>266.76</v>
      </c>
      <c r="I103" s="218">
        <v>421.2</v>
      </c>
      <c r="J103" s="218">
        <v>599.04</v>
      </c>
      <c r="K103" s="218">
        <v>322.92</v>
      </c>
      <c r="L103" s="218">
        <v>179.36</v>
      </c>
      <c r="M103" s="218">
        <v>94.4</v>
      </c>
      <c r="N103" s="218">
        <v>127.44</v>
      </c>
      <c r="O103" s="218">
        <v>47.2</v>
      </c>
      <c r="P103" s="218">
        <v>42.48</v>
      </c>
      <c r="Q103" s="218">
        <v>14.16</v>
      </c>
      <c r="R103" s="218">
        <v>47.2</v>
      </c>
      <c r="S103" s="218">
        <v>160.47999999999999</v>
      </c>
      <c r="T103" s="218">
        <f t="shared" si="30"/>
        <v>2322.64</v>
      </c>
      <c r="U103" s="218"/>
      <c r="V103" s="218">
        <f t="shared" si="21"/>
        <v>57</v>
      </c>
      <c r="W103" s="218">
        <f t="shared" si="21"/>
        <v>90</v>
      </c>
      <c r="X103" s="218">
        <f t="shared" si="21"/>
        <v>128</v>
      </c>
      <c r="Y103" s="218">
        <f t="shared" si="20"/>
        <v>69.000000000000014</v>
      </c>
      <c r="Z103" s="218">
        <f t="shared" si="26"/>
        <v>38.000000000000007</v>
      </c>
      <c r="AA103" s="218">
        <f t="shared" si="26"/>
        <v>20.000000000000004</v>
      </c>
      <c r="AB103" s="218">
        <f t="shared" si="26"/>
        <v>27</v>
      </c>
      <c r="AC103" s="218">
        <f t="shared" si="26"/>
        <v>10.000000000000002</v>
      </c>
      <c r="AD103" s="218">
        <f t="shared" si="26"/>
        <v>9</v>
      </c>
      <c r="AE103" s="218">
        <f t="shared" si="26"/>
        <v>3</v>
      </c>
      <c r="AF103" s="218">
        <f t="shared" si="26"/>
        <v>10.000000000000002</v>
      </c>
      <c r="AG103" s="218">
        <f t="shared" si="26"/>
        <v>34</v>
      </c>
      <c r="AI103" s="220"/>
    </row>
    <row r="104" spans="1:35" s="214" customFormat="1" hidden="1">
      <c r="A104" s="214" t="str">
        <f t="shared" si="29"/>
        <v>MASON CO-REGULATEDCommercial - RearloadR2YDRENTTM</v>
      </c>
      <c r="B104" s="214">
        <f t="shared" si="22"/>
        <v>1</v>
      </c>
      <c r="C104" s="215" t="s">
        <v>304</v>
      </c>
      <c r="D104" s="215" t="s">
        <v>465</v>
      </c>
      <c r="E104" s="216">
        <v>20.63</v>
      </c>
      <c r="F104" s="216">
        <v>20.63</v>
      </c>
      <c r="G104" s="217"/>
      <c r="H104" s="218">
        <v>85.96</v>
      </c>
      <c r="I104" s="218">
        <v>46.76</v>
      </c>
      <c r="J104" s="218">
        <v>68.08</v>
      </c>
      <c r="K104" s="218">
        <v>61.89</v>
      </c>
      <c r="L104" s="218">
        <v>52.95</v>
      </c>
      <c r="M104" s="218">
        <v>20.63</v>
      </c>
      <c r="N104" s="218">
        <v>20.63</v>
      </c>
      <c r="O104" s="218">
        <v>61.89</v>
      </c>
      <c r="P104" s="218">
        <v>97.65</v>
      </c>
      <c r="Q104" s="218">
        <v>87.33</v>
      </c>
      <c r="R104" s="218">
        <v>129.28</v>
      </c>
      <c r="S104" s="218">
        <v>174.67</v>
      </c>
      <c r="T104" s="218">
        <f t="shared" si="30"/>
        <v>907.71999999999991</v>
      </c>
      <c r="U104" s="218"/>
      <c r="V104" s="218">
        <f t="shared" si="21"/>
        <v>4.1667474551623851</v>
      </c>
      <c r="W104" s="218">
        <f t="shared" si="21"/>
        <v>2.266602035870092</v>
      </c>
      <c r="X104" s="218">
        <f t="shared" si="21"/>
        <v>3.3000484730974309</v>
      </c>
      <c r="Y104" s="218">
        <f t="shared" si="20"/>
        <v>3</v>
      </c>
      <c r="Z104" s="218">
        <f t="shared" si="26"/>
        <v>2.5666505089675233</v>
      </c>
      <c r="AA104" s="218">
        <f t="shared" si="26"/>
        <v>1</v>
      </c>
      <c r="AB104" s="218">
        <f t="shared" si="26"/>
        <v>1</v>
      </c>
      <c r="AC104" s="218">
        <f t="shared" si="26"/>
        <v>3</v>
      </c>
      <c r="AD104" s="218">
        <f t="shared" si="26"/>
        <v>4.7333979641299084</v>
      </c>
      <c r="AE104" s="218">
        <f t="shared" si="26"/>
        <v>4.2331555986427531</v>
      </c>
      <c r="AF104" s="218">
        <f t="shared" si="26"/>
        <v>6.2666020358700925</v>
      </c>
      <c r="AG104" s="218">
        <f t="shared" si="26"/>
        <v>8.4667959282598151</v>
      </c>
      <c r="AI104" s="220"/>
    </row>
    <row r="105" spans="1:35" s="214" customFormat="1" hidden="1">
      <c r="A105" s="214" t="str">
        <f t="shared" si="29"/>
        <v>MASON CO-REGULATEDCommercial - RearloadR1.5YDRENTT</v>
      </c>
      <c r="B105" s="214">
        <f t="shared" si="22"/>
        <v>1</v>
      </c>
      <c r="C105" s="215" t="s">
        <v>305</v>
      </c>
      <c r="D105" s="215" t="s">
        <v>466</v>
      </c>
      <c r="E105" s="216">
        <v>15.77</v>
      </c>
      <c r="F105" s="216">
        <v>15.77</v>
      </c>
      <c r="G105" s="217"/>
      <c r="H105" s="218">
        <v>0</v>
      </c>
      <c r="I105" s="218">
        <v>0</v>
      </c>
      <c r="J105" s="218">
        <v>15.24</v>
      </c>
      <c r="K105" s="218">
        <v>0</v>
      </c>
      <c r="L105" s="218">
        <v>0</v>
      </c>
      <c r="M105" s="218">
        <v>0</v>
      </c>
      <c r="N105" s="218">
        <v>0</v>
      </c>
      <c r="O105" s="218">
        <v>3.68</v>
      </c>
      <c r="P105" s="218">
        <v>41.53</v>
      </c>
      <c r="Q105" s="218">
        <v>2.1</v>
      </c>
      <c r="R105" s="218">
        <v>17.87</v>
      </c>
      <c r="S105" s="218">
        <v>15.77</v>
      </c>
      <c r="T105" s="218">
        <f t="shared" si="30"/>
        <v>96.19</v>
      </c>
      <c r="U105" s="218"/>
      <c r="V105" s="218">
        <f t="shared" si="21"/>
        <v>0</v>
      </c>
      <c r="W105" s="218">
        <f t="shared" si="21"/>
        <v>0</v>
      </c>
      <c r="X105" s="218">
        <f t="shared" si="21"/>
        <v>0.96639188332276482</v>
      </c>
      <c r="Y105" s="218">
        <f t="shared" si="20"/>
        <v>0</v>
      </c>
      <c r="Z105" s="218">
        <f t="shared" si="26"/>
        <v>0</v>
      </c>
      <c r="AA105" s="218">
        <f t="shared" si="26"/>
        <v>0</v>
      </c>
      <c r="AB105" s="218">
        <f t="shared" si="26"/>
        <v>0</v>
      </c>
      <c r="AC105" s="218">
        <f t="shared" si="26"/>
        <v>0.23335447051363351</v>
      </c>
      <c r="AD105" s="218">
        <f t="shared" si="26"/>
        <v>2.6334812935954344</v>
      </c>
      <c r="AE105" s="218">
        <f t="shared" si="26"/>
        <v>0.13316423589093215</v>
      </c>
      <c r="AF105" s="218">
        <f t="shared" si="26"/>
        <v>1.1331642358909322</v>
      </c>
      <c r="AG105" s="218">
        <f t="shared" si="26"/>
        <v>1</v>
      </c>
      <c r="AI105" s="220"/>
    </row>
    <row r="106" spans="1:35" s="214" customFormat="1" hidden="1">
      <c r="A106" s="214" t="str">
        <f>$A$1&amp;"Commercial - Rearload"&amp;C106</f>
        <v>MASON CO-REGULATEDCommercial - RearloadROLLOUTOC</v>
      </c>
      <c r="B106" s="214">
        <f t="shared" si="22"/>
        <v>1</v>
      </c>
      <c r="C106" s="215" t="s">
        <v>306</v>
      </c>
      <c r="D106" s="215" t="s">
        <v>467</v>
      </c>
      <c r="E106" s="216">
        <v>3.6</v>
      </c>
      <c r="F106" s="216">
        <v>3.6</v>
      </c>
      <c r="G106" s="217"/>
      <c r="H106" s="218">
        <v>388.8</v>
      </c>
      <c r="I106" s="218">
        <v>486</v>
      </c>
      <c r="J106" s="218">
        <v>550.79999999999995</v>
      </c>
      <c r="K106" s="218">
        <v>489.18</v>
      </c>
      <c r="L106" s="218">
        <v>363.6</v>
      </c>
      <c r="M106" s="218">
        <v>187.2</v>
      </c>
      <c r="N106" s="218">
        <v>230.4</v>
      </c>
      <c r="O106" s="218">
        <v>410.4</v>
      </c>
      <c r="P106" s="218">
        <v>550.79999999999995</v>
      </c>
      <c r="Q106" s="218">
        <v>363.6</v>
      </c>
      <c r="R106" s="218">
        <v>291.60000000000002</v>
      </c>
      <c r="S106" s="218">
        <v>435.6</v>
      </c>
      <c r="T106" s="218">
        <f t="shared" si="30"/>
        <v>4747.9800000000005</v>
      </c>
      <c r="U106" s="218"/>
      <c r="V106" s="218">
        <f t="shared" si="21"/>
        <v>108</v>
      </c>
      <c r="W106" s="218">
        <f t="shared" si="21"/>
        <v>135</v>
      </c>
      <c r="X106" s="218">
        <f t="shared" si="21"/>
        <v>152.99999999999997</v>
      </c>
      <c r="Y106" s="218">
        <f t="shared" si="20"/>
        <v>135.88333333333333</v>
      </c>
      <c r="Z106" s="218">
        <f t="shared" si="26"/>
        <v>101</v>
      </c>
      <c r="AA106" s="218">
        <f t="shared" si="26"/>
        <v>51.999999999999993</v>
      </c>
      <c r="AB106" s="218">
        <f t="shared" si="26"/>
        <v>64</v>
      </c>
      <c r="AC106" s="218">
        <f t="shared" si="26"/>
        <v>113.99999999999999</v>
      </c>
      <c r="AD106" s="218">
        <f t="shared" si="26"/>
        <v>152.99999999999997</v>
      </c>
      <c r="AE106" s="218">
        <f t="shared" si="26"/>
        <v>101</v>
      </c>
      <c r="AF106" s="218">
        <f t="shared" si="26"/>
        <v>81</v>
      </c>
      <c r="AG106" s="218">
        <f t="shared" si="26"/>
        <v>121</v>
      </c>
      <c r="AI106" s="220"/>
    </row>
    <row r="107" spans="1:35" s="214" customFormat="1" hidden="1">
      <c r="A107" s="214" t="str">
        <f>$A$1&amp;"SURC"&amp;C107</f>
        <v>MASON CO-REGULATEDSURCFUEL-COM MASON</v>
      </c>
      <c r="B107" s="214">
        <f t="shared" si="22"/>
        <v>1</v>
      </c>
      <c r="C107" s="215" t="s">
        <v>307</v>
      </c>
      <c r="D107" s="215" t="s">
        <v>468</v>
      </c>
      <c r="E107" s="216" t="e">
        <v>#N/A</v>
      </c>
      <c r="F107" s="216" t="e">
        <v>#N/A</v>
      </c>
      <c r="G107" s="217"/>
      <c r="H107" s="218">
        <v>0</v>
      </c>
      <c r="I107" s="218">
        <v>0</v>
      </c>
      <c r="J107" s="218">
        <v>0</v>
      </c>
      <c r="K107" s="218">
        <v>0</v>
      </c>
      <c r="L107" s="218">
        <v>0</v>
      </c>
      <c r="M107" s="218">
        <v>0</v>
      </c>
      <c r="N107" s="218">
        <v>0</v>
      </c>
      <c r="O107" s="218">
        <v>0</v>
      </c>
      <c r="P107" s="218">
        <v>0</v>
      </c>
      <c r="Q107" s="218">
        <v>0</v>
      </c>
      <c r="R107" s="218">
        <v>0</v>
      </c>
      <c r="S107" s="218">
        <v>0</v>
      </c>
      <c r="T107" s="218">
        <f t="shared" si="30"/>
        <v>0</v>
      </c>
      <c r="U107" s="218"/>
      <c r="V107" s="218">
        <f t="shared" si="21"/>
        <v>0</v>
      </c>
      <c r="W107" s="218">
        <f t="shared" si="21"/>
        <v>0</v>
      </c>
      <c r="X107" s="218">
        <f t="shared" si="21"/>
        <v>0</v>
      </c>
      <c r="Y107" s="218">
        <f t="shared" si="20"/>
        <v>0</v>
      </c>
      <c r="Z107" s="218">
        <f t="shared" si="26"/>
        <v>0</v>
      </c>
      <c r="AA107" s="218">
        <f t="shared" si="26"/>
        <v>0</v>
      </c>
      <c r="AB107" s="218">
        <f t="shared" si="26"/>
        <v>0</v>
      </c>
      <c r="AC107" s="218">
        <f t="shared" si="26"/>
        <v>0</v>
      </c>
      <c r="AD107" s="218">
        <f t="shared" si="26"/>
        <v>0</v>
      </c>
      <c r="AE107" s="218">
        <f t="shared" si="26"/>
        <v>0</v>
      </c>
      <c r="AF107" s="218">
        <f t="shared" si="26"/>
        <v>0</v>
      </c>
      <c r="AG107" s="218">
        <f t="shared" si="26"/>
        <v>0</v>
      </c>
      <c r="AI107" s="220"/>
    </row>
    <row r="108" spans="1:35" s="214" customFormat="1" hidden="1">
      <c r="A108" s="214" t="str">
        <f t="shared" ref="A108:A122" si="32">$A$1&amp;"SURC"&amp;C108</f>
        <v>MASON CO-REGULATEDSURCFUEL-RES MASON</v>
      </c>
      <c r="B108" s="214">
        <f t="shared" si="22"/>
        <v>1</v>
      </c>
      <c r="C108" s="215" t="s">
        <v>308</v>
      </c>
      <c r="D108" s="215" t="s">
        <v>468</v>
      </c>
      <c r="E108" s="216" t="e">
        <v>#N/A</v>
      </c>
      <c r="F108" s="216" t="e">
        <v>#N/A</v>
      </c>
      <c r="G108" s="217"/>
      <c r="H108" s="218">
        <v>0</v>
      </c>
      <c r="I108" s="218">
        <v>0</v>
      </c>
      <c r="J108" s="218">
        <v>0</v>
      </c>
      <c r="K108" s="218">
        <v>0</v>
      </c>
      <c r="L108" s="218">
        <v>0</v>
      </c>
      <c r="M108" s="218">
        <v>0</v>
      </c>
      <c r="N108" s="218">
        <v>0</v>
      </c>
      <c r="O108" s="218">
        <v>0</v>
      </c>
      <c r="P108" s="218">
        <v>0</v>
      </c>
      <c r="Q108" s="218">
        <v>0</v>
      </c>
      <c r="R108" s="218">
        <v>0</v>
      </c>
      <c r="S108" s="218">
        <v>0</v>
      </c>
      <c r="T108" s="218">
        <f t="shared" si="30"/>
        <v>0</v>
      </c>
      <c r="U108" s="218"/>
      <c r="V108" s="218">
        <f t="shared" si="21"/>
        <v>0</v>
      </c>
      <c r="W108" s="218">
        <f t="shared" si="21"/>
        <v>0</v>
      </c>
      <c r="X108" s="218">
        <f t="shared" si="21"/>
        <v>0</v>
      </c>
      <c r="Y108" s="218">
        <f t="shared" si="20"/>
        <v>0</v>
      </c>
      <c r="Z108" s="218">
        <f t="shared" si="26"/>
        <v>0</v>
      </c>
      <c r="AA108" s="218">
        <f t="shared" si="26"/>
        <v>0</v>
      </c>
      <c r="AB108" s="218">
        <f t="shared" si="26"/>
        <v>0</v>
      </c>
      <c r="AC108" s="218">
        <f t="shared" si="26"/>
        <v>0</v>
      </c>
      <c r="AD108" s="218">
        <f t="shared" si="26"/>
        <v>0</v>
      </c>
      <c r="AE108" s="218">
        <f t="shared" si="26"/>
        <v>0</v>
      </c>
      <c r="AF108" s="218">
        <f t="shared" si="26"/>
        <v>0</v>
      </c>
      <c r="AG108" s="218">
        <f t="shared" si="26"/>
        <v>0</v>
      </c>
      <c r="AI108" s="220"/>
    </row>
    <row r="109" spans="1:35" s="214" customFormat="1" hidden="1">
      <c r="A109" s="214" t="str">
        <f t="shared" si="32"/>
        <v>MASON CO-REGULATEDSURCFUEL-RECY MASON</v>
      </c>
      <c r="B109" s="214">
        <f t="shared" si="22"/>
        <v>1</v>
      </c>
      <c r="C109" s="215" t="s">
        <v>309</v>
      </c>
      <c r="D109" s="215" t="s">
        <v>468</v>
      </c>
      <c r="E109" s="216" t="e">
        <v>#N/A</v>
      </c>
      <c r="F109" s="216" t="e">
        <v>#N/A</v>
      </c>
      <c r="G109" s="217"/>
      <c r="H109" s="218">
        <v>0</v>
      </c>
      <c r="I109" s="218">
        <v>0</v>
      </c>
      <c r="J109" s="218">
        <v>0</v>
      </c>
      <c r="K109" s="218">
        <v>0</v>
      </c>
      <c r="L109" s="218">
        <v>0</v>
      </c>
      <c r="M109" s="218">
        <v>0</v>
      </c>
      <c r="N109" s="218">
        <v>0</v>
      </c>
      <c r="O109" s="218">
        <v>0</v>
      </c>
      <c r="P109" s="218">
        <v>0</v>
      </c>
      <c r="Q109" s="218">
        <v>0</v>
      </c>
      <c r="R109" s="218">
        <v>0</v>
      </c>
      <c r="S109" s="218">
        <v>0</v>
      </c>
      <c r="T109" s="218">
        <f t="shared" si="30"/>
        <v>0</v>
      </c>
      <c r="U109" s="218"/>
      <c r="V109" s="218">
        <f t="shared" si="21"/>
        <v>0</v>
      </c>
      <c r="W109" s="218">
        <f t="shared" si="21"/>
        <v>0</v>
      </c>
      <c r="X109" s="218">
        <f t="shared" si="21"/>
        <v>0</v>
      </c>
      <c r="Y109" s="218">
        <f t="shared" si="20"/>
        <v>0</v>
      </c>
      <c r="Z109" s="218">
        <f t="shared" si="26"/>
        <v>0</v>
      </c>
      <c r="AA109" s="218">
        <f t="shared" si="26"/>
        <v>0</v>
      </c>
      <c r="AB109" s="218">
        <f t="shared" si="26"/>
        <v>0</v>
      </c>
      <c r="AC109" s="218">
        <f t="shared" si="26"/>
        <v>0</v>
      </c>
      <c r="AD109" s="218">
        <f t="shared" si="26"/>
        <v>0</v>
      </c>
      <c r="AE109" s="218">
        <f t="shared" si="26"/>
        <v>0</v>
      </c>
      <c r="AF109" s="218">
        <f t="shared" si="26"/>
        <v>0</v>
      </c>
      <c r="AG109" s="218">
        <f t="shared" si="26"/>
        <v>0</v>
      </c>
      <c r="AI109" s="220"/>
    </row>
    <row r="110" spans="1:35" s="214" customFormat="1" hidden="1">
      <c r="A110" s="214" t="str">
        <f t="shared" ref="A110:A115" si="33">$A$1&amp;"Commercial - Rearload"&amp;C110</f>
        <v>MASON CO-REGULATEDCommercial - RearloadR1YDPU</v>
      </c>
      <c r="B110" s="214">
        <f t="shared" si="22"/>
        <v>1</v>
      </c>
      <c r="C110" s="215" t="s">
        <v>310</v>
      </c>
      <c r="D110" s="215" t="s">
        <v>469</v>
      </c>
      <c r="E110" s="216">
        <v>17.059999999999999</v>
      </c>
      <c r="F110" s="216">
        <v>17.29</v>
      </c>
      <c r="G110" s="217"/>
      <c r="H110" s="218">
        <v>0</v>
      </c>
      <c r="I110" s="218">
        <v>0</v>
      </c>
      <c r="J110" s="218">
        <v>0</v>
      </c>
      <c r="K110" s="218">
        <v>0</v>
      </c>
      <c r="L110" s="218">
        <v>0</v>
      </c>
      <c r="M110" s="218">
        <v>0</v>
      </c>
      <c r="N110" s="218">
        <v>34.58</v>
      </c>
      <c r="O110" s="218">
        <v>0</v>
      </c>
      <c r="P110" s="218">
        <v>0</v>
      </c>
      <c r="Q110" s="218">
        <v>0</v>
      </c>
      <c r="R110" s="218">
        <v>0</v>
      </c>
      <c r="S110" s="218">
        <v>0</v>
      </c>
      <c r="T110" s="218">
        <f t="shared" si="30"/>
        <v>34.58</v>
      </c>
      <c r="U110" s="218"/>
      <c r="V110" s="218">
        <f t="shared" si="21"/>
        <v>0</v>
      </c>
      <c r="W110" s="218">
        <f t="shared" si="21"/>
        <v>0</v>
      </c>
      <c r="X110" s="218">
        <f t="shared" si="21"/>
        <v>0</v>
      </c>
      <c r="Y110" s="218">
        <f t="shared" si="20"/>
        <v>0</v>
      </c>
      <c r="Z110" s="218">
        <f t="shared" si="26"/>
        <v>0</v>
      </c>
      <c r="AA110" s="218">
        <f t="shared" si="26"/>
        <v>0</v>
      </c>
      <c r="AB110" s="218">
        <f t="shared" si="26"/>
        <v>2</v>
      </c>
      <c r="AC110" s="218">
        <f t="shared" si="26"/>
        <v>0</v>
      </c>
      <c r="AD110" s="218">
        <f t="shared" si="26"/>
        <v>0</v>
      </c>
      <c r="AE110" s="218">
        <f t="shared" si="26"/>
        <v>0</v>
      </c>
      <c r="AF110" s="218">
        <f t="shared" si="26"/>
        <v>0</v>
      </c>
      <c r="AG110" s="218">
        <f t="shared" ref="AG110:AG173" si="34">IFERROR(S110/$F110,0)</f>
        <v>0</v>
      </c>
      <c r="AI110" s="220"/>
    </row>
    <row r="111" spans="1:35" s="214" customFormat="1" hidden="1">
      <c r="A111" s="214" t="str">
        <f>$A$1&amp;"Commercial - Rearload"&amp;C111</f>
        <v>MASON CO-REGULATEDCommercial - RearloadR1.5YDPU</v>
      </c>
      <c r="B111" s="214">
        <f t="shared" si="22"/>
        <v>1</v>
      </c>
      <c r="C111" s="215" t="s">
        <v>311</v>
      </c>
      <c r="D111" s="215" t="s">
        <v>470</v>
      </c>
      <c r="E111" s="216">
        <v>18.84</v>
      </c>
      <c r="F111" s="216">
        <v>19.170000000000002</v>
      </c>
      <c r="G111" s="217"/>
      <c r="H111" s="218">
        <v>113.04</v>
      </c>
      <c r="I111" s="218">
        <v>56.52</v>
      </c>
      <c r="J111" s="218">
        <v>150.72</v>
      </c>
      <c r="K111" s="218">
        <v>37.68</v>
      </c>
      <c r="L111" s="218">
        <v>134.19</v>
      </c>
      <c r="M111" s="218">
        <v>76.680000000000007</v>
      </c>
      <c r="N111" s="218">
        <v>57.51</v>
      </c>
      <c r="O111" s="218">
        <v>95.85</v>
      </c>
      <c r="P111" s="218">
        <v>249.21</v>
      </c>
      <c r="Q111" s="218">
        <v>172.53</v>
      </c>
      <c r="R111" s="218">
        <v>191.7</v>
      </c>
      <c r="S111" s="218">
        <v>153.36000000000001</v>
      </c>
      <c r="T111" s="218">
        <f t="shared" si="30"/>
        <v>1488.9900000000002</v>
      </c>
      <c r="U111" s="218"/>
      <c r="V111" s="218">
        <f t="shared" si="21"/>
        <v>6</v>
      </c>
      <c r="W111" s="218">
        <f t="shared" si="21"/>
        <v>3</v>
      </c>
      <c r="X111" s="218">
        <f t="shared" si="21"/>
        <v>8</v>
      </c>
      <c r="Y111" s="218">
        <f t="shared" si="20"/>
        <v>2</v>
      </c>
      <c r="Z111" s="218">
        <f t="shared" ref="Z111:AF142" si="35">IFERROR(L111/$F111,0)</f>
        <v>6.9999999999999991</v>
      </c>
      <c r="AA111" s="218">
        <f t="shared" si="35"/>
        <v>4</v>
      </c>
      <c r="AB111" s="218">
        <f t="shared" si="35"/>
        <v>2.9999999999999996</v>
      </c>
      <c r="AC111" s="218">
        <f t="shared" si="35"/>
        <v>4.9999999999999991</v>
      </c>
      <c r="AD111" s="218">
        <f t="shared" si="35"/>
        <v>13</v>
      </c>
      <c r="AE111" s="218">
        <f t="shared" si="35"/>
        <v>9</v>
      </c>
      <c r="AF111" s="218">
        <f t="shared" si="35"/>
        <v>9.9999999999999982</v>
      </c>
      <c r="AG111" s="218">
        <f t="shared" si="34"/>
        <v>8</v>
      </c>
      <c r="AI111" s="220"/>
    </row>
    <row r="112" spans="1:35" s="214" customFormat="1" hidden="1">
      <c r="A112" s="214" t="str">
        <f>$A$1&amp;"Commercial - Rearload"&amp;C112</f>
        <v>MASON CO-REGULATEDCommercial - RearloadR2YDPU</v>
      </c>
      <c r="B112" s="214">
        <f t="shared" si="22"/>
        <v>1</v>
      </c>
      <c r="C112" s="215" t="s">
        <v>312</v>
      </c>
      <c r="D112" s="215" t="s">
        <v>471</v>
      </c>
      <c r="E112" s="216">
        <v>24.9</v>
      </c>
      <c r="F112" s="216">
        <v>25.33</v>
      </c>
      <c r="G112" s="217"/>
      <c r="H112" s="218">
        <v>348.6</v>
      </c>
      <c r="I112" s="218">
        <v>323.7</v>
      </c>
      <c r="J112" s="218">
        <v>273.89999999999998</v>
      </c>
      <c r="K112" s="218">
        <v>249</v>
      </c>
      <c r="L112" s="218">
        <v>202.64</v>
      </c>
      <c r="M112" s="218">
        <v>75.989999999999995</v>
      </c>
      <c r="N112" s="218">
        <v>126.65</v>
      </c>
      <c r="O112" s="218">
        <v>151.97999999999999</v>
      </c>
      <c r="P112" s="218">
        <v>506.6</v>
      </c>
      <c r="Q112" s="218">
        <v>177.31</v>
      </c>
      <c r="R112" s="218">
        <v>962.54</v>
      </c>
      <c r="S112" s="218">
        <v>709.24</v>
      </c>
      <c r="T112" s="218">
        <f t="shared" si="30"/>
        <v>4108.1499999999996</v>
      </c>
      <c r="U112" s="218"/>
      <c r="V112" s="218">
        <f t="shared" si="21"/>
        <v>14.000000000000002</v>
      </c>
      <c r="W112" s="218">
        <f t="shared" si="21"/>
        <v>13</v>
      </c>
      <c r="X112" s="218">
        <f t="shared" si="21"/>
        <v>11</v>
      </c>
      <c r="Y112" s="218">
        <f t="shared" si="20"/>
        <v>10</v>
      </c>
      <c r="Z112" s="218">
        <f t="shared" si="35"/>
        <v>8</v>
      </c>
      <c r="AA112" s="218">
        <f t="shared" si="35"/>
        <v>3</v>
      </c>
      <c r="AB112" s="218">
        <f t="shared" si="35"/>
        <v>5.0000000000000009</v>
      </c>
      <c r="AC112" s="218">
        <f t="shared" si="35"/>
        <v>6</v>
      </c>
      <c r="AD112" s="218">
        <f t="shared" si="35"/>
        <v>20.000000000000004</v>
      </c>
      <c r="AE112" s="218">
        <f t="shared" si="35"/>
        <v>7.0000000000000009</v>
      </c>
      <c r="AF112" s="218">
        <f t="shared" si="35"/>
        <v>38</v>
      </c>
      <c r="AG112" s="218">
        <f t="shared" si="34"/>
        <v>28.000000000000004</v>
      </c>
      <c r="AI112" s="220"/>
    </row>
    <row r="113" spans="1:35" s="214" customFormat="1" hidden="1">
      <c r="A113" s="214" t="str">
        <f t="shared" si="33"/>
        <v>MASON CO-REGULATEDCommercial - RearloadR1.5YDRENTTM</v>
      </c>
      <c r="B113" s="214">
        <f t="shared" si="22"/>
        <v>1</v>
      </c>
      <c r="C113" s="215" t="s">
        <v>313</v>
      </c>
      <c r="D113" s="215" t="s">
        <v>472</v>
      </c>
      <c r="E113" s="216">
        <v>15.77</v>
      </c>
      <c r="F113" s="216">
        <v>15.77</v>
      </c>
      <c r="G113" s="217"/>
      <c r="H113" s="218">
        <v>47.31</v>
      </c>
      <c r="I113" s="218">
        <v>31.54</v>
      </c>
      <c r="J113" s="218">
        <v>-224.73</v>
      </c>
      <c r="K113" s="218">
        <v>15.77</v>
      </c>
      <c r="L113" s="218">
        <v>15.77</v>
      </c>
      <c r="M113" s="218">
        <v>15.77</v>
      </c>
      <c r="N113" s="218">
        <v>19.45</v>
      </c>
      <c r="O113" s="218">
        <v>15.77</v>
      </c>
      <c r="P113" s="218">
        <v>31.54</v>
      </c>
      <c r="Q113" s="218">
        <v>94.62</v>
      </c>
      <c r="R113" s="218">
        <v>110.39</v>
      </c>
      <c r="S113" s="218">
        <v>121.96</v>
      </c>
      <c r="T113" s="218">
        <f t="shared" si="30"/>
        <v>295.16000000000003</v>
      </c>
      <c r="U113" s="218"/>
      <c r="V113" s="218">
        <f t="shared" si="21"/>
        <v>3.0000000000000004</v>
      </c>
      <c r="W113" s="218">
        <f t="shared" si="21"/>
        <v>2</v>
      </c>
      <c r="X113" s="218">
        <f t="shared" si="21"/>
        <v>-14.250475586556753</v>
      </c>
      <c r="Y113" s="218">
        <f t="shared" si="20"/>
        <v>1</v>
      </c>
      <c r="Z113" s="218">
        <f t="shared" si="35"/>
        <v>1</v>
      </c>
      <c r="AA113" s="218">
        <f t="shared" si="35"/>
        <v>1</v>
      </c>
      <c r="AB113" s="218">
        <f t="shared" si="35"/>
        <v>1.2333544705136334</v>
      </c>
      <c r="AC113" s="218">
        <f t="shared" si="35"/>
        <v>1</v>
      </c>
      <c r="AD113" s="218">
        <f t="shared" si="35"/>
        <v>2</v>
      </c>
      <c r="AE113" s="218">
        <f t="shared" si="35"/>
        <v>6.0000000000000009</v>
      </c>
      <c r="AF113" s="218">
        <f t="shared" si="35"/>
        <v>7</v>
      </c>
      <c r="AG113" s="218">
        <f t="shared" si="34"/>
        <v>7.7336715282181352</v>
      </c>
      <c r="AI113" s="220"/>
    </row>
    <row r="114" spans="1:35" s="214" customFormat="1" hidden="1">
      <c r="A114" s="214" t="str">
        <f t="shared" si="33"/>
        <v>MASON CO-REGULATEDCommercial - RearloadDAMAGE</v>
      </c>
      <c r="B114" s="214">
        <f t="shared" si="22"/>
        <v>1</v>
      </c>
      <c r="C114" s="215" t="s">
        <v>314</v>
      </c>
      <c r="D114" s="215" t="s">
        <v>473</v>
      </c>
      <c r="E114" s="216" t="e">
        <v>#N/A</v>
      </c>
      <c r="F114" s="216" t="e">
        <v>#N/A</v>
      </c>
      <c r="G114" s="217"/>
      <c r="H114" s="218">
        <v>46</v>
      </c>
      <c r="I114" s="218">
        <v>0</v>
      </c>
      <c r="J114" s="218">
        <v>0</v>
      </c>
      <c r="K114" s="218">
        <v>0</v>
      </c>
      <c r="L114" s="218">
        <v>0</v>
      </c>
      <c r="M114" s="218">
        <v>0</v>
      </c>
      <c r="N114" s="218">
        <v>0</v>
      </c>
      <c r="O114" s="218">
        <v>0</v>
      </c>
      <c r="P114" s="218">
        <v>0</v>
      </c>
      <c r="Q114" s="218">
        <v>0</v>
      </c>
      <c r="R114" s="218">
        <v>0</v>
      </c>
      <c r="S114" s="218">
        <v>85</v>
      </c>
      <c r="T114" s="218">
        <f t="shared" si="30"/>
        <v>131</v>
      </c>
      <c r="U114" s="218"/>
      <c r="V114" s="218">
        <f t="shared" si="21"/>
        <v>0</v>
      </c>
      <c r="W114" s="218">
        <f t="shared" si="21"/>
        <v>0</v>
      </c>
      <c r="X114" s="218">
        <f t="shared" si="21"/>
        <v>0</v>
      </c>
      <c r="Y114" s="218">
        <f t="shared" si="20"/>
        <v>0</v>
      </c>
      <c r="Z114" s="218">
        <f t="shared" si="35"/>
        <v>0</v>
      </c>
      <c r="AA114" s="218">
        <f t="shared" si="35"/>
        <v>0</v>
      </c>
      <c r="AB114" s="218">
        <f t="shared" si="35"/>
        <v>0</v>
      </c>
      <c r="AC114" s="218">
        <f t="shared" si="35"/>
        <v>0</v>
      </c>
      <c r="AD114" s="218">
        <f t="shared" si="35"/>
        <v>0</v>
      </c>
      <c r="AE114" s="218">
        <f t="shared" si="35"/>
        <v>0</v>
      </c>
      <c r="AF114" s="218">
        <f t="shared" si="35"/>
        <v>0</v>
      </c>
      <c r="AG114" s="218">
        <f t="shared" si="34"/>
        <v>0</v>
      </c>
      <c r="AI114" s="220"/>
    </row>
    <row r="115" spans="1:35" s="214" customFormat="1" hidden="1">
      <c r="A115" s="214" t="str">
        <f t="shared" si="33"/>
        <v>MASON CO-REGULATEDCommercial - RearloadCTRIPCAN</v>
      </c>
      <c r="B115" s="214">
        <f t="shared" si="22"/>
        <v>1</v>
      </c>
      <c r="C115" s="215" t="s">
        <v>315</v>
      </c>
      <c r="D115" s="215" t="e">
        <v>#N/A</v>
      </c>
      <c r="E115" s="216" t="e">
        <v>#N/A</v>
      </c>
      <c r="F115" s="216" t="e">
        <v>#N/A</v>
      </c>
      <c r="G115" s="217"/>
      <c r="H115" s="218">
        <v>0</v>
      </c>
      <c r="I115" s="218">
        <v>0</v>
      </c>
      <c r="J115" s="218">
        <v>0</v>
      </c>
      <c r="K115" s="218">
        <v>0</v>
      </c>
      <c r="L115" s="218">
        <v>0</v>
      </c>
      <c r="M115" s="218">
        <v>0</v>
      </c>
      <c r="N115" s="218">
        <v>0</v>
      </c>
      <c r="O115" s="218">
        <v>0</v>
      </c>
      <c r="P115" s="218">
        <v>0</v>
      </c>
      <c r="Q115" s="218">
        <v>0</v>
      </c>
      <c r="R115" s="218">
        <v>0</v>
      </c>
      <c r="S115" s="218">
        <v>0</v>
      </c>
      <c r="T115" s="218">
        <f t="shared" si="30"/>
        <v>0</v>
      </c>
      <c r="U115" s="218"/>
      <c r="V115" s="218">
        <f t="shared" si="21"/>
        <v>0</v>
      </c>
      <c r="W115" s="218">
        <f t="shared" si="21"/>
        <v>0</v>
      </c>
      <c r="X115" s="218">
        <f t="shared" si="21"/>
        <v>0</v>
      </c>
      <c r="Y115" s="218">
        <f t="shared" si="20"/>
        <v>0</v>
      </c>
      <c r="Z115" s="218">
        <f t="shared" si="35"/>
        <v>0</v>
      </c>
      <c r="AA115" s="218">
        <f t="shared" si="35"/>
        <v>0</v>
      </c>
      <c r="AB115" s="218">
        <f t="shared" si="35"/>
        <v>0</v>
      </c>
      <c r="AC115" s="218">
        <f t="shared" si="35"/>
        <v>0</v>
      </c>
      <c r="AD115" s="218">
        <f t="shared" si="35"/>
        <v>0</v>
      </c>
      <c r="AE115" s="218">
        <f t="shared" si="35"/>
        <v>0</v>
      </c>
      <c r="AF115" s="218">
        <f t="shared" si="35"/>
        <v>0</v>
      </c>
      <c r="AG115" s="218">
        <f t="shared" si="34"/>
        <v>0</v>
      </c>
      <c r="AI115" s="220"/>
    </row>
    <row r="116" spans="1:35" s="214" customFormat="1" hidden="1">
      <c r="A116" s="214" t="str">
        <f>$A$1&amp;"Commercial - Rearload"&amp;C116</f>
        <v>MASON CO-REGULATEDCommercial - RearloadCTRIP</v>
      </c>
      <c r="B116" s="214">
        <f t="shared" si="22"/>
        <v>1</v>
      </c>
      <c r="C116" s="215" t="s">
        <v>316</v>
      </c>
      <c r="D116" s="215" t="s">
        <v>474</v>
      </c>
      <c r="E116" s="216">
        <v>17.39</v>
      </c>
      <c r="F116" s="216">
        <v>17.39</v>
      </c>
      <c r="G116" s="217"/>
      <c r="H116" s="216">
        <v>0</v>
      </c>
      <c r="I116" s="216">
        <v>0</v>
      </c>
      <c r="J116" s="216">
        <v>0</v>
      </c>
      <c r="K116" s="216">
        <v>0</v>
      </c>
      <c r="L116" s="216">
        <v>0</v>
      </c>
      <c r="M116" s="218">
        <v>0</v>
      </c>
      <c r="N116" s="218">
        <v>0</v>
      </c>
      <c r="O116" s="218">
        <v>0</v>
      </c>
      <c r="P116" s="218">
        <v>0</v>
      </c>
      <c r="Q116" s="218">
        <v>0</v>
      </c>
      <c r="R116" s="218">
        <v>0</v>
      </c>
      <c r="S116" s="218">
        <v>0</v>
      </c>
      <c r="T116" s="218">
        <f t="shared" si="30"/>
        <v>0</v>
      </c>
      <c r="U116" s="218"/>
      <c r="V116" s="218">
        <f t="shared" si="21"/>
        <v>0</v>
      </c>
      <c r="W116" s="218">
        <f t="shared" si="21"/>
        <v>0</v>
      </c>
      <c r="X116" s="218">
        <f t="shared" si="21"/>
        <v>0</v>
      </c>
      <c r="Y116" s="218">
        <f t="shared" si="20"/>
        <v>0</v>
      </c>
      <c r="Z116" s="218">
        <f t="shared" si="35"/>
        <v>0</v>
      </c>
      <c r="AA116" s="218">
        <f t="shared" si="35"/>
        <v>0</v>
      </c>
      <c r="AB116" s="218">
        <f t="shared" si="35"/>
        <v>0</v>
      </c>
      <c r="AC116" s="218">
        <f t="shared" si="35"/>
        <v>0</v>
      </c>
      <c r="AD116" s="218">
        <f t="shared" si="35"/>
        <v>0</v>
      </c>
      <c r="AE116" s="218">
        <f t="shared" si="35"/>
        <v>0</v>
      </c>
      <c r="AF116" s="218">
        <f t="shared" si="35"/>
        <v>0</v>
      </c>
      <c r="AG116" s="218">
        <f t="shared" si="34"/>
        <v>0</v>
      </c>
      <c r="AI116" s="220"/>
    </row>
    <row r="117" spans="1:35" s="214" customFormat="1" hidden="1">
      <c r="A117" s="214" t="str">
        <f t="shared" ref="A117:A119" si="36">$A$1&amp;"Commercial - Rearload"&amp;C117</f>
        <v>MASON CO-REGULATEDCommercial - RearloadCEXYD</v>
      </c>
      <c r="B117" s="214">
        <f t="shared" si="22"/>
        <v>1</v>
      </c>
      <c r="C117" s="215" t="s">
        <v>317</v>
      </c>
      <c r="D117" s="215" t="s">
        <v>475</v>
      </c>
      <c r="E117" s="216">
        <v>15.68</v>
      </c>
      <c r="F117" s="216">
        <v>15.98</v>
      </c>
      <c r="G117" s="217"/>
      <c r="H117" s="218">
        <v>1066.24</v>
      </c>
      <c r="I117" s="218">
        <v>799.68</v>
      </c>
      <c r="J117" s="218">
        <v>1756.16</v>
      </c>
      <c r="K117" s="218">
        <v>1572.68</v>
      </c>
      <c r="L117" s="218">
        <v>1621.97</v>
      </c>
      <c r="M117" s="218">
        <v>495.38</v>
      </c>
      <c r="N117" s="218">
        <v>862.92</v>
      </c>
      <c r="O117" s="218">
        <v>1214.48</v>
      </c>
      <c r="P117" s="218">
        <v>1326.34</v>
      </c>
      <c r="Q117" s="218">
        <v>910.86</v>
      </c>
      <c r="R117" s="218">
        <v>671.16</v>
      </c>
      <c r="S117" s="218">
        <v>1294.3800000000001</v>
      </c>
      <c r="T117" s="218">
        <f t="shared" si="30"/>
        <v>13592.25</v>
      </c>
      <c r="U117" s="218"/>
      <c r="V117" s="218">
        <f t="shared" si="21"/>
        <v>68</v>
      </c>
      <c r="W117" s="218">
        <f t="shared" si="21"/>
        <v>51</v>
      </c>
      <c r="X117" s="218">
        <f t="shared" si="21"/>
        <v>112.00000000000001</v>
      </c>
      <c r="Y117" s="218">
        <f t="shared" si="20"/>
        <v>100.29846938775511</v>
      </c>
      <c r="Z117" s="218">
        <f t="shared" si="35"/>
        <v>101.5</v>
      </c>
      <c r="AA117" s="218">
        <f t="shared" si="35"/>
        <v>31</v>
      </c>
      <c r="AB117" s="218">
        <f t="shared" si="35"/>
        <v>53.999999999999993</v>
      </c>
      <c r="AC117" s="218">
        <f t="shared" si="35"/>
        <v>76</v>
      </c>
      <c r="AD117" s="218">
        <f t="shared" si="35"/>
        <v>82.999999999999986</v>
      </c>
      <c r="AE117" s="218">
        <f t="shared" si="35"/>
        <v>57</v>
      </c>
      <c r="AF117" s="218">
        <f t="shared" si="35"/>
        <v>42</v>
      </c>
      <c r="AG117" s="218">
        <f t="shared" si="34"/>
        <v>81</v>
      </c>
      <c r="AI117" s="220"/>
    </row>
    <row r="118" spans="1:35" s="214" customFormat="1" ht="14.25" hidden="1" customHeight="1">
      <c r="A118" s="214" t="str">
        <f t="shared" si="36"/>
        <v>MASON CO-REGULATEDCommercial - RearloadCLSECOL</v>
      </c>
      <c r="B118" s="214">
        <f t="shared" si="22"/>
        <v>1</v>
      </c>
      <c r="C118" s="215" t="s">
        <v>318</v>
      </c>
      <c r="D118" s="215" t="s">
        <v>476</v>
      </c>
      <c r="E118" s="216">
        <v>27.61</v>
      </c>
      <c r="F118" s="216">
        <v>27.78</v>
      </c>
      <c r="G118" s="217"/>
      <c r="H118" s="216">
        <v>27.61</v>
      </c>
      <c r="I118" s="216">
        <v>27.61</v>
      </c>
      <c r="J118" s="216">
        <v>220.88</v>
      </c>
      <c r="K118" s="216">
        <v>0</v>
      </c>
      <c r="L118" s="216">
        <v>0</v>
      </c>
      <c r="M118" s="218">
        <v>0</v>
      </c>
      <c r="N118" s="218">
        <v>263.91000000000003</v>
      </c>
      <c r="O118" s="218">
        <v>444.48</v>
      </c>
      <c r="P118" s="218">
        <v>333.36</v>
      </c>
      <c r="Q118" s="218">
        <v>250.02</v>
      </c>
      <c r="R118" s="218">
        <v>0</v>
      </c>
      <c r="S118" s="218">
        <v>0</v>
      </c>
      <c r="T118" s="218">
        <f t="shared" si="30"/>
        <v>1567.87</v>
      </c>
      <c r="U118" s="218"/>
      <c r="V118" s="218">
        <f t="shared" si="21"/>
        <v>1</v>
      </c>
      <c r="W118" s="218">
        <f t="shared" si="21"/>
        <v>1</v>
      </c>
      <c r="X118" s="218">
        <f t="shared" si="21"/>
        <v>8</v>
      </c>
      <c r="Y118" s="218">
        <f t="shared" si="20"/>
        <v>0</v>
      </c>
      <c r="Z118" s="218">
        <f t="shared" si="35"/>
        <v>0</v>
      </c>
      <c r="AA118" s="218">
        <f t="shared" si="35"/>
        <v>0</v>
      </c>
      <c r="AB118" s="218">
        <f t="shared" si="35"/>
        <v>9.5</v>
      </c>
      <c r="AC118" s="218">
        <f t="shared" si="35"/>
        <v>16</v>
      </c>
      <c r="AD118" s="218">
        <f t="shared" si="35"/>
        <v>12</v>
      </c>
      <c r="AE118" s="218">
        <f t="shared" si="35"/>
        <v>9</v>
      </c>
      <c r="AF118" s="218">
        <f t="shared" si="35"/>
        <v>0</v>
      </c>
      <c r="AG118" s="218">
        <f t="shared" si="34"/>
        <v>0</v>
      </c>
      <c r="AI118" s="220"/>
    </row>
    <row r="119" spans="1:35" s="214" customFormat="1" ht="14.25" hidden="1" customHeight="1">
      <c r="A119" s="214" t="str">
        <f t="shared" si="36"/>
        <v>MASON CO-REGULATEDCommercial - RearloadCLSE1COL</v>
      </c>
      <c r="B119" s="214">
        <f t="shared" si="22"/>
        <v>1</v>
      </c>
      <c r="C119" s="215" t="s">
        <v>319</v>
      </c>
      <c r="D119" s="215" t="s">
        <v>477</v>
      </c>
      <c r="E119" s="216">
        <v>27.61</v>
      </c>
      <c r="F119" s="216">
        <v>27.78</v>
      </c>
      <c r="G119" s="217"/>
      <c r="H119" s="216">
        <v>0</v>
      </c>
      <c r="I119" s="216">
        <v>0</v>
      </c>
      <c r="J119" s="216">
        <v>0</v>
      </c>
      <c r="K119" s="216">
        <v>0</v>
      </c>
      <c r="L119" s="216">
        <v>0</v>
      </c>
      <c r="M119" s="218">
        <v>0</v>
      </c>
      <c r="N119" s="218">
        <v>0</v>
      </c>
      <c r="O119" s="218">
        <v>0</v>
      </c>
      <c r="P119" s="218">
        <v>0</v>
      </c>
      <c r="Q119" s="218">
        <v>0</v>
      </c>
      <c r="R119" s="218">
        <v>250.02</v>
      </c>
      <c r="S119" s="218">
        <v>0</v>
      </c>
      <c r="T119" s="218">
        <f t="shared" si="30"/>
        <v>250.02</v>
      </c>
      <c r="U119" s="218"/>
      <c r="V119" s="218">
        <f t="shared" si="21"/>
        <v>0</v>
      </c>
      <c r="W119" s="218">
        <f t="shared" si="21"/>
        <v>0</v>
      </c>
      <c r="X119" s="218">
        <f t="shared" si="21"/>
        <v>0</v>
      </c>
      <c r="Y119" s="218">
        <f t="shared" si="20"/>
        <v>0</v>
      </c>
      <c r="Z119" s="218">
        <f t="shared" si="35"/>
        <v>0</v>
      </c>
      <c r="AA119" s="218">
        <f t="shared" si="35"/>
        <v>0</v>
      </c>
      <c r="AB119" s="218">
        <f t="shared" si="35"/>
        <v>0</v>
      </c>
      <c r="AC119" s="218">
        <f t="shared" si="35"/>
        <v>0</v>
      </c>
      <c r="AD119" s="218">
        <f t="shared" si="35"/>
        <v>0</v>
      </c>
      <c r="AE119" s="218">
        <f t="shared" si="35"/>
        <v>0</v>
      </c>
      <c r="AF119" s="218">
        <f t="shared" si="35"/>
        <v>9</v>
      </c>
      <c r="AG119" s="218">
        <f t="shared" si="34"/>
        <v>0</v>
      </c>
      <c r="AI119" s="220"/>
    </row>
    <row r="120" spans="1:35" s="214" customFormat="1" hidden="1">
      <c r="A120" s="214" t="str">
        <f>$A$1&amp;"Commercial - Rearload"&amp;C120</f>
        <v>MASON CO-REGULATEDCommercial - RearloadUNLOCKREF</v>
      </c>
      <c r="B120" s="214">
        <f t="shared" si="22"/>
        <v>1</v>
      </c>
      <c r="C120" s="215" t="s">
        <v>320</v>
      </c>
      <c r="D120" s="215" t="s">
        <v>478</v>
      </c>
      <c r="E120" s="216">
        <v>2.5299999999999998</v>
      </c>
      <c r="F120" s="216">
        <v>2.5299999999999998</v>
      </c>
      <c r="G120" s="217"/>
      <c r="H120" s="218">
        <v>306.14</v>
      </c>
      <c r="I120" s="218">
        <v>273.23999999999995</v>
      </c>
      <c r="J120" s="218">
        <v>288.45999999999998</v>
      </c>
      <c r="K120" s="218">
        <v>253</v>
      </c>
      <c r="L120" s="218">
        <v>242.88</v>
      </c>
      <c r="M120" s="218">
        <v>245.41</v>
      </c>
      <c r="N120" s="218">
        <v>242.88</v>
      </c>
      <c r="O120" s="218">
        <v>247.94</v>
      </c>
      <c r="P120" s="218">
        <v>275.74</v>
      </c>
      <c r="Q120" s="218">
        <v>250.47</v>
      </c>
      <c r="R120" s="218">
        <v>280.83999999999997</v>
      </c>
      <c r="S120" s="218">
        <v>258.06</v>
      </c>
      <c r="T120" s="218">
        <f t="shared" si="30"/>
        <v>3165.0599999999995</v>
      </c>
      <c r="U120" s="218"/>
      <c r="V120" s="218">
        <f t="shared" si="21"/>
        <v>121.00395256916997</v>
      </c>
      <c r="W120" s="218">
        <f t="shared" si="21"/>
        <v>107.99999999999999</v>
      </c>
      <c r="X120" s="218">
        <f t="shared" si="21"/>
        <v>114.01581027667984</v>
      </c>
      <c r="Y120" s="218">
        <f t="shared" si="20"/>
        <v>100.00000000000001</v>
      </c>
      <c r="Z120" s="218">
        <f t="shared" si="35"/>
        <v>96</v>
      </c>
      <c r="AA120" s="218">
        <f t="shared" si="35"/>
        <v>97</v>
      </c>
      <c r="AB120" s="218">
        <f t="shared" si="35"/>
        <v>96</v>
      </c>
      <c r="AC120" s="218">
        <f t="shared" si="35"/>
        <v>98</v>
      </c>
      <c r="AD120" s="218">
        <f t="shared" si="35"/>
        <v>108.98814229249012</v>
      </c>
      <c r="AE120" s="218">
        <f t="shared" si="35"/>
        <v>99.000000000000014</v>
      </c>
      <c r="AF120" s="218">
        <f t="shared" si="35"/>
        <v>111.00395256916995</v>
      </c>
      <c r="AG120" s="218">
        <f t="shared" si="34"/>
        <v>102.00000000000001</v>
      </c>
      <c r="AI120" s="220"/>
    </row>
    <row r="121" spans="1:35" s="214" customFormat="1" hidden="1">
      <c r="A121" s="214" t="str">
        <f>$A$1&amp;"COMMERCIAL  FRONTLOAD"&amp;C121</f>
        <v>MASON CO-REGULATEDCOMMERCIAL  FRONTLOADWASHREF</v>
      </c>
      <c r="B121" s="214">
        <f t="shared" si="22"/>
        <v>1</v>
      </c>
      <c r="C121" s="215" t="s">
        <v>321</v>
      </c>
      <c r="D121" s="215" t="e">
        <v>#N/A</v>
      </c>
      <c r="E121" s="216" t="e">
        <v>#N/A</v>
      </c>
      <c r="F121" s="216" t="e">
        <v>#N/A</v>
      </c>
      <c r="G121" s="217"/>
      <c r="H121" s="218">
        <v>0</v>
      </c>
      <c r="I121" s="218">
        <v>0</v>
      </c>
      <c r="J121" s="218">
        <v>0</v>
      </c>
      <c r="K121" s="218">
        <v>0</v>
      </c>
      <c r="L121" s="218">
        <v>0</v>
      </c>
      <c r="M121" s="218">
        <v>0</v>
      </c>
      <c r="N121" s="218">
        <v>0</v>
      </c>
      <c r="O121" s="218">
        <v>0</v>
      </c>
      <c r="P121" s="218">
        <v>0</v>
      </c>
      <c r="Q121" s="218">
        <v>0</v>
      </c>
      <c r="R121" s="218">
        <v>0</v>
      </c>
      <c r="S121" s="218">
        <v>0</v>
      </c>
      <c r="T121" s="218">
        <f t="shared" si="30"/>
        <v>0</v>
      </c>
      <c r="U121" s="218"/>
      <c r="V121" s="218">
        <f t="shared" si="21"/>
        <v>0</v>
      </c>
      <c r="W121" s="218">
        <f t="shared" si="21"/>
        <v>0</v>
      </c>
      <c r="X121" s="218">
        <f t="shared" si="21"/>
        <v>0</v>
      </c>
      <c r="Y121" s="218">
        <f t="shared" si="20"/>
        <v>0</v>
      </c>
      <c r="Z121" s="218">
        <f t="shared" si="35"/>
        <v>0</v>
      </c>
      <c r="AA121" s="218">
        <f t="shared" si="35"/>
        <v>0</v>
      </c>
      <c r="AB121" s="218">
        <f t="shared" si="35"/>
        <v>0</v>
      </c>
      <c r="AC121" s="218">
        <f t="shared" si="35"/>
        <v>0</v>
      </c>
      <c r="AD121" s="218">
        <f t="shared" si="35"/>
        <v>0</v>
      </c>
      <c r="AE121" s="218">
        <f t="shared" si="35"/>
        <v>0</v>
      </c>
      <c r="AF121" s="218">
        <f t="shared" si="35"/>
        <v>0</v>
      </c>
      <c r="AG121" s="218">
        <f t="shared" si="34"/>
        <v>0</v>
      </c>
      <c r="AI121" s="220"/>
    </row>
    <row r="122" spans="1:35" s="214" customFormat="1" hidden="1">
      <c r="A122" s="214" t="str">
        <f t="shared" si="32"/>
        <v>MASON CO-REGULATEDSURCFUEL-ACCTG MASON</v>
      </c>
      <c r="B122" s="214">
        <f t="shared" si="22"/>
        <v>1</v>
      </c>
      <c r="C122" s="215" t="s">
        <v>322</v>
      </c>
      <c r="D122" s="215" t="s">
        <v>468</v>
      </c>
      <c r="E122" s="216" t="e">
        <v>#N/A</v>
      </c>
      <c r="F122" s="216" t="e">
        <v>#N/A</v>
      </c>
      <c r="G122" s="217"/>
      <c r="H122" s="218">
        <v>0</v>
      </c>
      <c r="I122" s="218">
        <v>0</v>
      </c>
      <c r="J122" s="218">
        <v>0</v>
      </c>
      <c r="K122" s="218">
        <v>0</v>
      </c>
      <c r="L122" s="218">
        <v>0</v>
      </c>
      <c r="M122" s="218">
        <v>0</v>
      </c>
      <c r="N122" s="218">
        <v>0</v>
      </c>
      <c r="O122" s="218">
        <v>0</v>
      </c>
      <c r="P122" s="218">
        <v>0</v>
      </c>
      <c r="Q122" s="218">
        <v>0</v>
      </c>
      <c r="R122" s="218">
        <v>0</v>
      </c>
      <c r="S122" s="218">
        <v>0</v>
      </c>
      <c r="T122" s="218">
        <f t="shared" si="30"/>
        <v>0</v>
      </c>
      <c r="U122" s="218"/>
      <c r="V122" s="218">
        <f t="shared" si="21"/>
        <v>0</v>
      </c>
      <c r="W122" s="218">
        <f t="shared" si="21"/>
        <v>0</v>
      </c>
      <c r="X122" s="218">
        <f t="shared" si="21"/>
        <v>0</v>
      </c>
      <c r="Y122" s="218">
        <f t="shared" si="20"/>
        <v>0</v>
      </c>
      <c r="Z122" s="218">
        <f t="shared" si="35"/>
        <v>0</v>
      </c>
      <c r="AA122" s="218">
        <f t="shared" si="35"/>
        <v>0</v>
      </c>
      <c r="AB122" s="218">
        <f t="shared" si="35"/>
        <v>0</v>
      </c>
      <c r="AC122" s="218">
        <f t="shared" si="35"/>
        <v>0</v>
      </c>
      <c r="AD122" s="218">
        <f t="shared" si="35"/>
        <v>0</v>
      </c>
      <c r="AE122" s="218">
        <f t="shared" si="35"/>
        <v>0</v>
      </c>
      <c r="AF122" s="218">
        <f t="shared" si="35"/>
        <v>0</v>
      </c>
      <c r="AG122" s="218">
        <f t="shared" si="34"/>
        <v>0</v>
      </c>
      <c r="AI122" s="220"/>
    </row>
    <row r="123" spans="1:35" s="214" customFormat="1" hidden="1">
      <c r="A123" s="214" t="str">
        <f>$A$1&amp;"COMMERCIAL  FRONTLOAD"&amp;C123</f>
        <v>MASON CO-REGULATEDCOMMERCIAL  FRONTLOADTARPREF</v>
      </c>
      <c r="B123" s="214">
        <f t="shared" si="22"/>
        <v>1</v>
      </c>
      <c r="C123" s="215" t="s">
        <v>323</v>
      </c>
      <c r="D123" s="215" t="s">
        <v>479</v>
      </c>
      <c r="E123" s="216">
        <v>11.12</v>
      </c>
      <c r="F123" s="216">
        <v>11.12</v>
      </c>
      <c r="G123" s="217"/>
      <c r="H123" s="218">
        <v>0</v>
      </c>
      <c r="I123" s="218">
        <v>0</v>
      </c>
      <c r="J123" s="218">
        <v>0</v>
      </c>
      <c r="K123" s="218">
        <v>0</v>
      </c>
      <c r="L123" s="218">
        <v>0</v>
      </c>
      <c r="M123" s="218">
        <v>0</v>
      </c>
      <c r="N123" s="218">
        <v>0</v>
      </c>
      <c r="O123" s="218">
        <v>11.12</v>
      </c>
      <c r="P123" s="218">
        <v>0</v>
      </c>
      <c r="Q123" s="218">
        <v>0</v>
      </c>
      <c r="R123" s="218">
        <v>0</v>
      </c>
      <c r="S123" s="218">
        <v>0</v>
      </c>
      <c r="T123" s="218">
        <f t="shared" si="30"/>
        <v>11.12</v>
      </c>
      <c r="U123" s="218"/>
      <c r="V123" s="218">
        <f t="shared" si="21"/>
        <v>0</v>
      </c>
      <c r="W123" s="218">
        <f t="shared" si="21"/>
        <v>0</v>
      </c>
      <c r="X123" s="218">
        <f t="shared" si="21"/>
        <v>0</v>
      </c>
      <c r="Y123" s="218">
        <f t="shared" si="20"/>
        <v>0</v>
      </c>
      <c r="Z123" s="218">
        <f t="shared" si="35"/>
        <v>0</v>
      </c>
      <c r="AA123" s="218">
        <f t="shared" si="35"/>
        <v>0</v>
      </c>
      <c r="AB123" s="218">
        <f t="shared" si="35"/>
        <v>0</v>
      </c>
      <c r="AC123" s="218">
        <f t="shared" si="35"/>
        <v>1</v>
      </c>
      <c r="AD123" s="218">
        <f t="shared" si="35"/>
        <v>0</v>
      </c>
      <c r="AE123" s="218">
        <f t="shared" si="35"/>
        <v>0</v>
      </c>
      <c r="AF123" s="218">
        <f t="shared" si="35"/>
        <v>0</v>
      </c>
      <c r="AG123" s="218">
        <f t="shared" si="34"/>
        <v>0</v>
      </c>
      <c r="AI123" s="220"/>
    </row>
    <row r="124" spans="1:35" s="214" customFormat="1">
      <c r="C124" s="221"/>
      <c r="D124" s="222" t="s">
        <v>324</v>
      </c>
      <c r="E124" s="217"/>
      <c r="F124" s="217"/>
      <c r="G124" s="217"/>
      <c r="H124" s="196">
        <f t="shared" ref="H124:K124" si="37">SUM(H90:H123)</f>
        <v>66264.86</v>
      </c>
      <c r="I124" s="196">
        <f t="shared" si="37"/>
        <v>59554.049999999988</v>
      </c>
      <c r="J124" s="196">
        <f t="shared" si="37"/>
        <v>59392.660000000011</v>
      </c>
      <c r="K124" s="196">
        <f t="shared" si="37"/>
        <v>57569.259999999995</v>
      </c>
      <c r="L124" s="196">
        <f>SUM(L90:L123)</f>
        <v>57946.979999999989</v>
      </c>
      <c r="M124" s="196">
        <f t="shared" ref="M124:T124" si="38">SUM(M90:M123)</f>
        <v>56344.009999999995</v>
      </c>
      <c r="N124" s="196">
        <f t="shared" si="38"/>
        <v>56766.879999999997</v>
      </c>
      <c r="O124" s="196">
        <f t="shared" si="38"/>
        <v>59431.12000000001</v>
      </c>
      <c r="P124" s="196">
        <f t="shared" si="38"/>
        <v>64186.460000000014</v>
      </c>
      <c r="Q124" s="196">
        <f t="shared" si="38"/>
        <v>66747.73000000001</v>
      </c>
      <c r="R124" s="196">
        <f t="shared" si="38"/>
        <v>69979.88</v>
      </c>
      <c r="S124" s="196">
        <f t="shared" si="38"/>
        <v>70744.280000000028</v>
      </c>
      <c r="T124" s="196">
        <f t="shared" si="38"/>
        <v>744928.17000000016</v>
      </c>
      <c r="U124" s="227">
        <f>T124-SUM(L124:S124)</f>
        <v>242780.83000000007</v>
      </c>
      <c r="V124" s="218">
        <f t="shared" si="21"/>
        <v>0</v>
      </c>
      <c r="W124" s="218">
        <f t="shared" si="21"/>
        <v>0</v>
      </c>
      <c r="X124" s="218">
        <f t="shared" si="21"/>
        <v>0</v>
      </c>
      <c r="Y124" s="218">
        <f t="shared" si="20"/>
        <v>0</v>
      </c>
      <c r="Z124" s="218">
        <f t="shared" si="35"/>
        <v>0</v>
      </c>
      <c r="AA124" s="218">
        <f t="shared" si="35"/>
        <v>0</v>
      </c>
      <c r="AB124" s="218">
        <f t="shared" si="35"/>
        <v>0</v>
      </c>
      <c r="AC124" s="218">
        <f t="shared" si="35"/>
        <v>0</v>
      </c>
      <c r="AD124" s="218">
        <f t="shared" si="35"/>
        <v>0</v>
      </c>
      <c r="AE124" s="218">
        <f t="shared" si="35"/>
        <v>0</v>
      </c>
      <c r="AF124" s="218">
        <f t="shared" si="35"/>
        <v>0</v>
      </c>
      <c r="AG124" s="218"/>
      <c r="AI124" s="220"/>
    </row>
    <row r="125" spans="1:35" s="214" customFormat="1">
      <c r="C125" s="221"/>
      <c r="D125" s="221"/>
      <c r="E125" s="217"/>
      <c r="F125" s="217"/>
      <c r="G125" s="217"/>
      <c r="H125" s="198"/>
      <c r="I125" s="198"/>
      <c r="J125" s="198"/>
      <c r="K125" s="198"/>
      <c r="L125" s="198"/>
      <c r="M125" s="234"/>
      <c r="N125" s="234"/>
      <c r="O125" s="221"/>
      <c r="P125" s="221"/>
      <c r="Q125" s="221"/>
      <c r="R125" s="221"/>
      <c r="S125" s="221"/>
      <c r="T125" s="221"/>
      <c r="V125" s="218">
        <f t="shared" si="21"/>
        <v>0</v>
      </c>
      <c r="W125" s="218">
        <f t="shared" si="21"/>
        <v>0</v>
      </c>
      <c r="X125" s="218">
        <f t="shared" si="21"/>
        <v>0</v>
      </c>
      <c r="Y125" s="218">
        <f t="shared" si="20"/>
        <v>0</v>
      </c>
      <c r="Z125" s="218">
        <f t="shared" si="35"/>
        <v>0</v>
      </c>
      <c r="AA125" s="218">
        <f t="shared" si="35"/>
        <v>0</v>
      </c>
      <c r="AB125" s="218">
        <f t="shared" si="35"/>
        <v>0</v>
      </c>
      <c r="AC125" s="218">
        <f t="shared" si="35"/>
        <v>0</v>
      </c>
      <c r="AD125" s="218">
        <f t="shared" si="35"/>
        <v>0</v>
      </c>
      <c r="AE125" s="218">
        <f t="shared" si="35"/>
        <v>0</v>
      </c>
      <c r="AF125" s="218">
        <f t="shared" si="35"/>
        <v>0</v>
      </c>
      <c r="AG125" s="218"/>
      <c r="AI125" s="220"/>
    </row>
    <row r="126" spans="1:35" s="214" customFormat="1" hidden="1">
      <c r="B126" s="214">
        <f t="shared" si="22"/>
        <v>0</v>
      </c>
      <c r="C126" s="221"/>
      <c r="D126" s="221"/>
      <c r="E126" s="217"/>
      <c r="F126" s="217"/>
      <c r="G126" s="217"/>
      <c r="H126" s="198"/>
      <c r="I126" s="198"/>
      <c r="J126" s="198"/>
      <c r="K126" s="198"/>
      <c r="L126" s="198"/>
      <c r="M126" s="218"/>
      <c r="N126" s="218"/>
      <c r="V126" s="218">
        <f t="shared" si="21"/>
        <v>0</v>
      </c>
      <c r="W126" s="218">
        <f t="shared" si="21"/>
        <v>0</v>
      </c>
      <c r="X126" s="218">
        <f t="shared" si="21"/>
        <v>0</v>
      </c>
      <c r="Y126" s="218">
        <f t="shared" si="20"/>
        <v>0</v>
      </c>
      <c r="Z126" s="218">
        <f t="shared" si="35"/>
        <v>0</v>
      </c>
      <c r="AA126" s="218">
        <f t="shared" si="35"/>
        <v>0</v>
      </c>
      <c r="AB126" s="218">
        <f t="shared" si="35"/>
        <v>0</v>
      </c>
      <c r="AC126" s="218">
        <f t="shared" si="35"/>
        <v>0</v>
      </c>
      <c r="AD126" s="218">
        <f t="shared" si="35"/>
        <v>0</v>
      </c>
      <c r="AE126" s="218">
        <f t="shared" si="35"/>
        <v>0</v>
      </c>
      <c r="AF126" s="218">
        <f t="shared" si="35"/>
        <v>0</v>
      </c>
      <c r="AG126" s="218">
        <f t="shared" si="34"/>
        <v>0</v>
      </c>
      <c r="AI126" s="220"/>
    </row>
    <row r="127" spans="1:35" s="214" customFormat="1" hidden="1">
      <c r="A127" s="214" t="str">
        <f t="shared" ref="A127" si="39">$A$1&amp;"Commercial rECYCLE"&amp;C127</f>
        <v>MASON CO-REGULATEDCommercial rECYCLERECYLOCK</v>
      </c>
      <c r="B127" s="214">
        <f t="shared" si="22"/>
        <v>1</v>
      </c>
      <c r="C127" s="215" t="s">
        <v>325</v>
      </c>
      <c r="D127" s="215" t="s">
        <v>480</v>
      </c>
      <c r="E127" s="216">
        <v>2.5299999999999998</v>
      </c>
      <c r="F127" s="216">
        <v>0</v>
      </c>
      <c r="G127" s="217"/>
      <c r="H127" s="216">
        <v>2.5299999999999998</v>
      </c>
      <c r="I127" s="216">
        <v>0</v>
      </c>
      <c r="J127" s="216">
        <v>0</v>
      </c>
      <c r="K127" s="216">
        <v>0</v>
      </c>
      <c r="L127" s="216">
        <v>0</v>
      </c>
      <c r="M127" s="218">
        <v>0</v>
      </c>
      <c r="N127" s="218">
        <v>0</v>
      </c>
      <c r="O127" s="218">
        <v>0</v>
      </c>
      <c r="P127" s="218">
        <v>0</v>
      </c>
      <c r="Q127" s="218">
        <v>0</v>
      </c>
      <c r="R127" s="218">
        <v>0</v>
      </c>
      <c r="S127" s="218">
        <v>0</v>
      </c>
      <c r="T127" s="218">
        <f t="shared" ref="T127:T145" si="40">SUM(H127:S127)</f>
        <v>2.5299999999999998</v>
      </c>
      <c r="U127" s="218"/>
      <c r="V127" s="218">
        <f t="shared" si="21"/>
        <v>1</v>
      </c>
      <c r="W127" s="218">
        <f t="shared" si="21"/>
        <v>0</v>
      </c>
      <c r="X127" s="218">
        <f t="shared" si="21"/>
        <v>0</v>
      </c>
      <c r="Y127" s="218">
        <f t="shared" si="20"/>
        <v>0</v>
      </c>
      <c r="Z127" s="218">
        <f t="shared" si="35"/>
        <v>0</v>
      </c>
      <c r="AA127" s="218">
        <f t="shared" si="35"/>
        <v>0</v>
      </c>
      <c r="AB127" s="218">
        <f t="shared" si="35"/>
        <v>0</v>
      </c>
      <c r="AC127" s="218">
        <f t="shared" si="35"/>
        <v>0</v>
      </c>
      <c r="AD127" s="218">
        <f t="shared" si="35"/>
        <v>0</v>
      </c>
      <c r="AE127" s="218">
        <f t="shared" si="35"/>
        <v>0</v>
      </c>
      <c r="AF127" s="218">
        <f t="shared" si="35"/>
        <v>0</v>
      </c>
      <c r="AG127" s="218">
        <f t="shared" si="34"/>
        <v>0</v>
      </c>
      <c r="AI127" s="220"/>
    </row>
    <row r="128" spans="1:35" s="214" customFormat="1" hidden="1">
      <c r="A128" s="214" t="str">
        <f>$A$1&amp;"Commercial rECYCLE"&amp;C128</f>
        <v>MASON CO-REGULATEDCommercial rECYCLEROLLOUTOCC</v>
      </c>
      <c r="B128" s="214">
        <f t="shared" si="22"/>
        <v>1</v>
      </c>
      <c r="C128" s="215" t="s">
        <v>326</v>
      </c>
      <c r="D128" s="215" t="s">
        <v>481</v>
      </c>
      <c r="E128" s="216">
        <v>3.6</v>
      </c>
      <c r="F128" s="216">
        <v>0</v>
      </c>
      <c r="G128" s="217"/>
      <c r="H128" s="216">
        <v>43.2</v>
      </c>
      <c r="I128" s="216">
        <v>0</v>
      </c>
      <c r="J128" s="216">
        <v>0</v>
      </c>
      <c r="K128" s="216">
        <v>0</v>
      </c>
      <c r="L128" s="216">
        <v>0</v>
      </c>
      <c r="M128" s="218">
        <v>0</v>
      </c>
      <c r="N128" s="218">
        <v>0</v>
      </c>
      <c r="O128" s="218">
        <v>0</v>
      </c>
      <c r="P128" s="218">
        <v>0</v>
      </c>
      <c r="Q128" s="218">
        <v>0</v>
      </c>
      <c r="R128" s="218">
        <v>0</v>
      </c>
      <c r="S128" s="218">
        <v>0</v>
      </c>
      <c r="T128" s="218">
        <f t="shared" si="40"/>
        <v>43.2</v>
      </c>
      <c r="U128" s="218"/>
      <c r="V128" s="218">
        <f t="shared" si="21"/>
        <v>12</v>
      </c>
      <c r="W128" s="218">
        <f t="shared" si="21"/>
        <v>0</v>
      </c>
      <c r="X128" s="218">
        <f t="shared" si="21"/>
        <v>0</v>
      </c>
      <c r="Y128" s="218">
        <f t="shared" si="20"/>
        <v>0</v>
      </c>
      <c r="Z128" s="218">
        <f t="shared" si="35"/>
        <v>0</v>
      </c>
      <c r="AA128" s="218">
        <f t="shared" si="35"/>
        <v>0</v>
      </c>
      <c r="AB128" s="218">
        <f t="shared" si="35"/>
        <v>0</v>
      </c>
      <c r="AC128" s="218">
        <f t="shared" si="35"/>
        <v>0</v>
      </c>
      <c r="AD128" s="218">
        <f t="shared" si="35"/>
        <v>0</v>
      </c>
      <c r="AE128" s="218">
        <f t="shared" si="35"/>
        <v>0</v>
      </c>
      <c r="AF128" s="218">
        <f t="shared" si="35"/>
        <v>0</v>
      </c>
      <c r="AG128" s="218">
        <f t="shared" si="34"/>
        <v>0</v>
      </c>
      <c r="AI128" s="220"/>
    </row>
    <row r="129" spans="1:35" s="214" customFormat="1" hidden="1">
      <c r="A129" s="214" t="str">
        <f>$A$1&amp;"Commercial rECYCLE"&amp;C129</f>
        <v>MASON CO-REGULATEDCommercial rECYCLE96CRCOGE1</v>
      </c>
      <c r="B129" s="214">
        <f t="shared" si="22"/>
        <v>1</v>
      </c>
      <c r="C129" s="215" t="s">
        <v>327</v>
      </c>
      <c r="D129" s="215" t="s">
        <v>482</v>
      </c>
      <c r="E129" s="216">
        <v>21.65</v>
      </c>
      <c r="F129" s="216">
        <v>23.82</v>
      </c>
      <c r="G129" s="217"/>
      <c r="H129" s="216">
        <v>0</v>
      </c>
      <c r="I129" s="216">
        <v>0</v>
      </c>
      <c r="J129" s="216">
        <v>0</v>
      </c>
      <c r="K129" s="216">
        <v>0</v>
      </c>
      <c r="L129" s="216">
        <v>0</v>
      </c>
      <c r="M129" s="218">
        <v>0</v>
      </c>
      <c r="N129" s="218">
        <v>0</v>
      </c>
      <c r="O129" s="218">
        <v>0</v>
      </c>
      <c r="P129" s="218">
        <v>0</v>
      </c>
      <c r="Q129" s="218">
        <v>0</v>
      </c>
      <c r="R129" s="218">
        <v>0</v>
      </c>
      <c r="S129" s="218">
        <v>0</v>
      </c>
      <c r="T129" s="218">
        <f t="shared" si="40"/>
        <v>0</v>
      </c>
      <c r="U129" s="218"/>
      <c r="V129" s="218">
        <f t="shared" si="21"/>
        <v>0</v>
      </c>
      <c r="W129" s="218">
        <f t="shared" si="21"/>
        <v>0</v>
      </c>
      <c r="X129" s="218">
        <f t="shared" si="21"/>
        <v>0</v>
      </c>
      <c r="Y129" s="218">
        <f t="shared" si="20"/>
        <v>0</v>
      </c>
      <c r="Z129" s="218">
        <f t="shared" si="35"/>
        <v>0</v>
      </c>
      <c r="AA129" s="218">
        <f t="shared" si="35"/>
        <v>0</v>
      </c>
      <c r="AB129" s="218">
        <f t="shared" si="35"/>
        <v>0</v>
      </c>
      <c r="AC129" s="218">
        <f t="shared" si="35"/>
        <v>0</v>
      </c>
      <c r="AD129" s="218">
        <f t="shared" si="35"/>
        <v>0</v>
      </c>
      <c r="AE129" s="218">
        <f t="shared" si="35"/>
        <v>0</v>
      </c>
      <c r="AF129" s="218">
        <f t="shared" si="35"/>
        <v>0</v>
      </c>
      <c r="AG129" s="218">
        <f t="shared" si="34"/>
        <v>0</v>
      </c>
      <c r="AH129" s="219">
        <f t="shared" ref="AH129:AH136" si="41">+AVERAGE(V129:AG129)</f>
        <v>0</v>
      </c>
      <c r="AI129" s="220"/>
    </row>
    <row r="130" spans="1:35" s="214" customFormat="1" ht="14.25" hidden="1" customHeight="1">
      <c r="A130" s="214" t="str">
        <f t="shared" ref="A130:A138" si="42">$A$1&amp;"Commercial rECYCLE"&amp;C130</f>
        <v>MASON CO-REGULATEDCommercial rECYCLE96CRCOGW1</v>
      </c>
      <c r="B130" s="214">
        <f t="shared" si="22"/>
        <v>1</v>
      </c>
      <c r="C130" s="215" t="s">
        <v>328</v>
      </c>
      <c r="D130" s="215" t="s">
        <v>483</v>
      </c>
      <c r="E130" s="216">
        <v>28.23</v>
      </c>
      <c r="F130" s="216">
        <v>31.05</v>
      </c>
      <c r="G130" s="217"/>
      <c r="H130" s="216">
        <v>28.23</v>
      </c>
      <c r="I130" s="216">
        <v>28.23</v>
      </c>
      <c r="J130" s="216">
        <v>28.23</v>
      </c>
      <c r="K130" s="216">
        <v>28.23</v>
      </c>
      <c r="L130" s="216">
        <v>0</v>
      </c>
      <c r="M130" s="218">
        <v>0</v>
      </c>
      <c r="N130" s="218">
        <v>0</v>
      </c>
      <c r="O130" s="218">
        <v>0</v>
      </c>
      <c r="P130" s="218">
        <v>0</v>
      </c>
      <c r="Q130" s="218">
        <v>0</v>
      </c>
      <c r="R130" s="218">
        <v>0</v>
      </c>
      <c r="S130" s="218">
        <v>0</v>
      </c>
      <c r="T130" s="218">
        <f t="shared" si="40"/>
        <v>112.92</v>
      </c>
      <c r="U130" s="218"/>
      <c r="V130" s="218">
        <f t="shared" si="21"/>
        <v>1</v>
      </c>
      <c r="W130" s="218">
        <f t="shared" si="21"/>
        <v>1</v>
      </c>
      <c r="X130" s="218">
        <f t="shared" si="21"/>
        <v>1</v>
      </c>
      <c r="Y130" s="218">
        <f t="shared" si="20"/>
        <v>1</v>
      </c>
      <c r="Z130" s="218">
        <f t="shared" si="35"/>
        <v>0</v>
      </c>
      <c r="AA130" s="218">
        <f t="shared" si="35"/>
        <v>0</v>
      </c>
      <c r="AB130" s="218">
        <f t="shared" si="35"/>
        <v>0</v>
      </c>
      <c r="AC130" s="218">
        <f t="shared" si="35"/>
        <v>0</v>
      </c>
      <c r="AD130" s="218">
        <f t="shared" si="35"/>
        <v>0</v>
      </c>
      <c r="AE130" s="218">
        <f t="shared" si="35"/>
        <v>0</v>
      </c>
      <c r="AF130" s="218">
        <f t="shared" si="35"/>
        <v>0</v>
      </c>
      <c r="AG130" s="218">
        <f t="shared" si="34"/>
        <v>0</v>
      </c>
      <c r="AH130" s="219">
        <f t="shared" si="41"/>
        <v>0.33333333333333331</v>
      </c>
      <c r="AI130" s="220"/>
    </row>
    <row r="131" spans="1:35" s="214" customFormat="1" ht="14.25" hidden="1" customHeight="1">
      <c r="A131" s="214" t="str">
        <f t="shared" si="42"/>
        <v>MASON CO-REGULATEDCommercial rECYCLE96CRCONGE1</v>
      </c>
      <c r="B131" s="214">
        <f t="shared" si="22"/>
        <v>1</v>
      </c>
      <c r="C131" s="215" t="s">
        <v>329</v>
      </c>
      <c r="D131" s="215" t="s">
        <v>484</v>
      </c>
      <c r="E131" s="216">
        <v>21.65</v>
      </c>
      <c r="F131" s="216">
        <v>23.82</v>
      </c>
      <c r="G131" s="217"/>
      <c r="H131" s="216">
        <v>64.95</v>
      </c>
      <c r="I131" s="216">
        <v>64.95</v>
      </c>
      <c r="J131" s="216">
        <v>64.95</v>
      </c>
      <c r="K131" s="216">
        <v>64.95</v>
      </c>
      <c r="L131" s="216">
        <v>0</v>
      </c>
      <c r="M131" s="218">
        <v>0</v>
      </c>
      <c r="N131" s="218">
        <v>0</v>
      </c>
      <c r="O131" s="218">
        <v>0</v>
      </c>
      <c r="P131" s="218">
        <v>0</v>
      </c>
      <c r="Q131" s="218">
        <v>0</v>
      </c>
      <c r="R131" s="218">
        <v>0</v>
      </c>
      <c r="S131" s="218">
        <v>0</v>
      </c>
      <c r="T131" s="218">
        <f t="shared" si="40"/>
        <v>259.8</v>
      </c>
      <c r="U131" s="218"/>
      <c r="V131" s="218">
        <f t="shared" si="21"/>
        <v>3.0000000000000004</v>
      </c>
      <c r="W131" s="218">
        <f t="shared" si="21"/>
        <v>3.0000000000000004</v>
      </c>
      <c r="X131" s="218">
        <f t="shared" si="21"/>
        <v>3.0000000000000004</v>
      </c>
      <c r="Y131" s="218">
        <f t="shared" si="20"/>
        <v>3.0000000000000004</v>
      </c>
      <c r="Z131" s="218">
        <f t="shared" si="35"/>
        <v>0</v>
      </c>
      <c r="AA131" s="218">
        <f t="shared" si="35"/>
        <v>0</v>
      </c>
      <c r="AB131" s="218">
        <f t="shared" si="35"/>
        <v>0</v>
      </c>
      <c r="AC131" s="218">
        <f t="shared" si="35"/>
        <v>0</v>
      </c>
      <c r="AD131" s="218">
        <f t="shared" si="35"/>
        <v>0</v>
      </c>
      <c r="AE131" s="218">
        <f t="shared" si="35"/>
        <v>0</v>
      </c>
      <c r="AF131" s="218">
        <f t="shared" si="35"/>
        <v>0</v>
      </c>
      <c r="AG131" s="218">
        <f t="shared" si="34"/>
        <v>0</v>
      </c>
      <c r="AH131" s="219">
        <f t="shared" si="41"/>
        <v>1.0000000000000002</v>
      </c>
      <c r="AI131" s="220"/>
    </row>
    <row r="132" spans="1:35" s="214" customFormat="1" hidden="1">
      <c r="A132" s="214" t="str">
        <f t="shared" si="42"/>
        <v>MASON CO-REGULATEDCommercial rECYCLE96CRCONGM1</v>
      </c>
      <c r="B132" s="214">
        <f t="shared" si="22"/>
        <v>1</v>
      </c>
      <c r="C132" s="215" t="s">
        <v>330</v>
      </c>
      <c r="D132" s="215" t="s">
        <v>485</v>
      </c>
      <c r="E132" s="216">
        <v>16.670000000000002</v>
      </c>
      <c r="F132" s="216">
        <v>18.34</v>
      </c>
      <c r="G132" s="217"/>
      <c r="H132" s="216">
        <v>16.670000000000002</v>
      </c>
      <c r="I132" s="216">
        <v>16.670000000000002</v>
      </c>
      <c r="J132" s="216">
        <v>16.670000000000002</v>
      </c>
      <c r="K132" s="216">
        <v>16.670000000000002</v>
      </c>
      <c r="L132" s="216">
        <v>0</v>
      </c>
      <c r="M132" s="218">
        <v>0</v>
      </c>
      <c r="N132" s="218">
        <v>0</v>
      </c>
      <c r="O132" s="218">
        <v>0</v>
      </c>
      <c r="P132" s="218">
        <v>0</v>
      </c>
      <c r="Q132" s="218">
        <v>0</v>
      </c>
      <c r="R132" s="218">
        <v>0</v>
      </c>
      <c r="S132" s="218">
        <v>0</v>
      </c>
      <c r="T132" s="218">
        <f t="shared" si="40"/>
        <v>66.680000000000007</v>
      </c>
      <c r="U132" s="218"/>
      <c r="V132" s="218">
        <f t="shared" si="21"/>
        <v>1</v>
      </c>
      <c r="W132" s="218">
        <f t="shared" si="21"/>
        <v>1</v>
      </c>
      <c r="X132" s="218">
        <f t="shared" si="21"/>
        <v>1</v>
      </c>
      <c r="Y132" s="218">
        <f t="shared" si="20"/>
        <v>1</v>
      </c>
      <c r="Z132" s="218">
        <f t="shared" si="35"/>
        <v>0</v>
      </c>
      <c r="AA132" s="218">
        <f t="shared" si="35"/>
        <v>0</v>
      </c>
      <c r="AB132" s="218">
        <f t="shared" si="35"/>
        <v>0</v>
      </c>
      <c r="AC132" s="218">
        <f t="shared" si="35"/>
        <v>0</v>
      </c>
      <c r="AD132" s="218">
        <f t="shared" si="35"/>
        <v>0</v>
      </c>
      <c r="AE132" s="218">
        <f t="shared" si="35"/>
        <v>0</v>
      </c>
      <c r="AF132" s="218">
        <f t="shared" si="35"/>
        <v>0</v>
      </c>
      <c r="AG132" s="218">
        <f t="shared" si="34"/>
        <v>0</v>
      </c>
      <c r="AH132" s="219">
        <f t="shared" si="41"/>
        <v>0.33333333333333331</v>
      </c>
      <c r="AI132" s="220"/>
    </row>
    <row r="133" spans="1:35" s="214" customFormat="1" hidden="1">
      <c r="A133" s="214" t="str">
        <f t="shared" si="42"/>
        <v>MASON CO-REGULATEDCommercial rECYCLE96CRCONGW1</v>
      </c>
      <c r="B133" s="214">
        <f t="shared" si="22"/>
        <v>1</v>
      </c>
      <c r="C133" s="215" t="s">
        <v>331</v>
      </c>
      <c r="D133" s="215" t="s">
        <v>486</v>
      </c>
      <c r="E133" s="216">
        <v>28.23</v>
      </c>
      <c r="F133" s="216">
        <v>31.05</v>
      </c>
      <c r="G133" s="217"/>
      <c r="H133" s="216">
        <v>56.46</v>
      </c>
      <c r="I133" s="216">
        <v>56.46</v>
      </c>
      <c r="J133" s="216">
        <v>56.46</v>
      </c>
      <c r="K133" s="216">
        <v>56.46</v>
      </c>
      <c r="L133" s="216">
        <v>0</v>
      </c>
      <c r="M133" s="218">
        <v>0</v>
      </c>
      <c r="N133" s="218">
        <v>0</v>
      </c>
      <c r="O133" s="218">
        <v>0</v>
      </c>
      <c r="P133" s="218">
        <v>0</v>
      </c>
      <c r="Q133" s="218">
        <v>0</v>
      </c>
      <c r="R133" s="218">
        <v>0</v>
      </c>
      <c r="S133" s="218">
        <v>0</v>
      </c>
      <c r="T133" s="218">
        <f t="shared" si="40"/>
        <v>225.84</v>
      </c>
      <c r="U133" s="218"/>
      <c r="V133" s="218">
        <f t="shared" si="21"/>
        <v>2</v>
      </c>
      <c r="W133" s="218">
        <f t="shared" si="21"/>
        <v>2</v>
      </c>
      <c r="X133" s="218">
        <f t="shared" si="21"/>
        <v>2</v>
      </c>
      <c r="Y133" s="218">
        <f t="shared" si="20"/>
        <v>2</v>
      </c>
      <c r="Z133" s="218">
        <f t="shared" si="35"/>
        <v>0</v>
      </c>
      <c r="AA133" s="218">
        <f t="shared" si="35"/>
        <v>0</v>
      </c>
      <c r="AB133" s="218">
        <f t="shared" si="35"/>
        <v>0</v>
      </c>
      <c r="AC133" s="218">
        <f t="shared" si="35"/>
        <v>0</v>
      </c>
      <c r="AD133" s="218">
        <f t="shared" si="35"/>
        <v>0</v>
      </c>
      <c r="AE133" s="218">
        <f t="shared" si="35"/>
        <v>0</v>
      </c>
      <c r="AF133" s="218">
        <f t="shared" si="35"/>
        <v>0</v>
      </c>
      <c r="AG133" s="218">
        <f t="shared" si="34"/>
        <v>0</v>
      </c>
      <c r="AH133" s="219">
        <f t="shared" si="41"/>
        <v>0.66666666666666663</v>
      </c>
      <c r="AI133" s="220"/>
    </row>
    <row r="134" spans="1:35" s="214" customFormat="1" hidden="1">
      <c r="A134" s="214" t="str">
        <f t="shared" si="42"/>
        <v xml:space="preserve">MASON CO-REGULATEDCommercial rECYCLER2YDOCCE </v>
      </c>
      <c r="B134" s="214">
        <f t="shared" si="22"/>
        <v>1</v>
      </c>
      <c r="C134" s="215" t="s">
        <v>332</v>
      </c>
      <c r="D134" s="215" t="s">
        <v>487</v>
      </c>
      <c r="E134" s="216">
        <v>46.94</v>
      </c>
      <c r="F134" s="216">
        <v>49.29</v>
      </c>
      <c r="G134" s="217"/>
      <c r="H134" s="216">
        <v>0</v>
      </c>
      <c r="I134" s="216">
        <v>0</v>
      </c>
      <c r="J134" s="216">
        <v>0</v>
      </c>
      <c r="K134" s="216">
        <v>0</v>
      </c>
      <c r="L134" s="216">
        <v>0</v>
      </c>
      <c r="M134" s="218">
        <v>0</v>
      </c>
      <c r="N134" s="218">
        <v>0</v>
      </c>
      <c r="O134" s="218">
        <v>0</v>
      </c>
      <c r="P134" s="218">
        <v>0</v>
      </c>
      <c r="Q134" s="218">
        <v>0</v>
      </c>
      <c r="R134" s="218">
        <v>0</v>
      </c>
      <c r="S134" s="218">
        <v>0</v>
      </c>
      <c r="T134" s="218">
        <f t="shared" si="40"/>
        <v>0</v>
      </c>
      <c r="U134" s="218"/>
      <c r="V134" s="218">
        <f t="shared" si="21"/>
        <v>0</v>
      </c>
      <c r="W134" s="218">
        <f t="shared" si="21"/>
        <v>0</v>
      </c>
      <c r="X134" s="218">
        <f t="shared" si="21"/>
        <v>0</v>
      </c>
      <c r="Y134" s="218">
        <f t="shared" si="20"/>
        <v>0</v>
      </c>
      <c r="Z134" s="218">
        <f t="shared" si="35"/>
        <v>0</v>
      </c>
      <c r="AA134" s="218">
        <f t="shared" si="35"/>
        <v>0</v>
      </c>
      <c r="AB134" s="218">
        <f t="shared" si="35"/>
        <v>0</v>
      </c>
      <c r="AC134" s="218">
        <f t="shared" si="35"/>
        <v>0</v>
      </c>
      <c r="AD134" s="218">
        <f t="shared" si="35"/>
        <v>0</v>
      </c>
      <c r="AE134" s="218">
        <f t="shared" si="35"/>
        <v>0</v>
      </c>
      <c r="AF134" s="218">
        <f t="shared" si="35"/>
        <v>0</v>
      </c>
      <c r="AG134" s="218">
        <f t="shared" si="34"/>
        <v>0</v>
      </c>
      <c r="AH134" s="219">
        <f t="shared" si="41"/>
        <v>0</v>
      </c>
      <c r="AI134" s="220"/>
    </row>
    <row r="135" spans="1:35" s="214" customFormat="1" hidden="1">
      <c r="A135" s="214" t="str">
        <f t="shared" si="42"/>
        <v>MASON CO-REGULATEDCommercial rECYCLER2YDOCCM</v>
      </c>
      <c r="B135" s="214">
        <f t="shared" si="22"/>
        <v>1</v>
      </c>
      <c r="C135" s="215" t="s">
        <v>333</v>
      </c>
      <c r="D135" s="215" t="s">
        <v>488</v>
      </c>
      <c r="E135" s="216">
        <v>36.08</v>
      </c>
      <c r="F135" s="216">
        <v>37.880000000000003</v>
      </c>
      <c r="G135" s="217"/>
      <c r="H135" s="216">
        <v>0</v>
      </c>
      <c r="I135" s="216">
        <v>0</v>
      </c>
      <c r="J135" s="216">
        <v>0</v>
      </c>
      <c r="K135" s="216">
        <v>0</v>
      </c>
      <c r="L135" s="216">
        <v>0</v>
      </c>
      <c r="M135" s="218">
        <v>0</v>
      </c>
      <c r="N135" s="218">
        <v>0</v>
      </c>
      <c r="O135" s="218">
        <v>0</v>
      </c>
      <c r="P135" s="218">
        <v>0</v>
      </c>
      <c r="Q135" s="218">
        <v>0</v>
      </c>
      <c r="R135" s="218">
        <v>0</v>
      </c>
      <c r="S135" s="218">
        <v>0</v>
      </c>
      <c r="T135" s="218">
        <f t="shared" si="40"/>
        <v>0</v>
      </c>
      <c r="U135" s="218"/>
      <c r="V135" s="218">
        <f t="shared" si="21"/>
        <v>0</v>
      </c>
      <c r="W135" s="218">
        <f t="shared" si="21"/>
        <v>0</v>
      </c>
      <c r="X135" s="218">
        <f t="shared" si="21"/>
        <v>0</v>
      </c>
      <c r="Y135" s="218">
        <f t="shared" si="20"/>
        <v>0</v>
      </c>
      <c r="Z135" s="218">
        <f t="shared" si="35"/>
        <v>0</v>
      </c>
      <c r="AA135" s="218">
        <f t="shared" si="35"/>
        <v>0</v>
      </c>
      <c r="AB135" s="218">
        <f t="shared" si="35"/>
        <v>0</v>
      </c>
      <c r="AC135" s="218">
        <f t="shared" si="35"/>
        <v>0</v>
      </c>
      <c r="AD135" s="218">
        <f t="shared" si="35"/>
        <v>0</v>
      </c>
      <c r="AE135" s="218">
        <f t="shared" si="35"/>
        <v>0</v>
      </c>
      <c r="AF135" s="218">
        <f t="shared" si="35"/>
        <v>0</v>
      </c>
      <c r="AG135" s="218">
        <f t="shared" si="34"/>
        <v>0</v>
      </c>
      <c r="AH135" s="219">
        <f t="shared" si="41"/>
        <v>0</v>
      </c>
      <c r="AI135" s="220"/>
    </row>
    <row r="136" spans="1:35" s="214" customFormat="1" hidden="1">
      <c r="A136" s="214" t="str">
        <f t="shared" si="42"/>
        <v>MASON CO-REGULATEDCommercial rECYCLER2YDOCCW</v>
      </c>
      <c r="B136" s="214">
        <f t="shared" si="22"/>
        <v>1</v>
      </c>
      <c r="C136" s="215" t="s">
        <v>334</v>
      </c>
      <c r="D136" s="215" t="s">
        <v>489</v>
      </c>
      <c r="E136" s="216">
        <v>67.97</v>
      </c>
      <c r="F136" s="216">
        <v>71.37</v>
      </c>
      <c r="G136" s="217"/>
      <c r="H136" s="216">
        <v>67.97</v>
      </c>
      <c r="I136" s="216">
        <v>67.97</v>
      </c>
      <c r="J136" s="216">
        <v>0</v>
      </c>
      <c r="K136" s="216">
        <v>0</v>
      </c>
      <c r="L136" s="216">
        <v>0</v>
      </c>
      <c r="M136" s="218">
        <v>0</v>
      </c>
      <c r="N136" s="218">
        <v>0</v>
      </c>
      <c r="O136" s="218">
        <v>0</v>
      </c>
      <c r="P136" s="218">
        <v>0</v>
      </c>
      <c r="Q136" s="218">
        <v>0</v>
      </c>
      <c r="R136" s="218">
        <v>0</v>
      </c>
      <c r="S136" s="218">
        <v>0</v>
      </c>
      <c r="T136" s="218">
        <f t="shared" si="40"/>
        <v>135.94</v>
      </c>
      <c r="U136" s="218"/>
      <c r="V136" s="218">
        <f t="shared" si="21"/>
        <v>1</v>
      </c>
      <c r="W136" s="218">
        <f t="shared" si="21"/>
        <v>1</v>
      </c>
      <c r="X136" s="218">
        <f t="shared" si="21"/>
        <v>0</v>
      </c>
      <c r="Y136" s="218">
        <f t="shared" si="20"/>
        <v>0</v>
      </c>
      <c r="Z136" s="218">
        <f t="shared" si="35"/>
        <v>0</v>
      </c>
      <c r="AA136" s="218">
        <f t="shared" si="35"/>
        <v>0</v>
      </c>
      <c r="AB136" s="218">
        <f t="shared" si="35"/>
        <v>0</v>
      </c>
      <c r="AC136" s="218">
        <f t="shared" si="35"/>
        <v>0</v>
      </c>
      <c r="AD136" s="218">
        <f t="shared" si="35"/>
        <v>0</v>
      </c>
      <c r="AE136" s="218">
        <f t="shared" si="35"/>
        <v>0</v>
      </c>
      <c r="AF136" s="218">
        <f t="shared" si="35"/>
        <v>0</v>
      </c>
      <c r="AG136" s="218">
        <f t="shared" si="34"/>
        <v>0</v>
      </c>
      <c r="AH136" s="219">
        <f t="shared" si="41"/>
        <v>0.16666666666666666</v>
      </c>
      <c r="AI136" s="220"/>
    </row>
    <row r="137" spans="1:35" s="214" customFormat="1" hidden="1">
      <c r="A137" s="214" t="str">
        <f t="shared" si="42"/>
        <v>MASON CO-REGULATEDCommercial rECYCLEDEL-REC</v>
      </c>
      <c r="B137" s="214">
        <f t="shared" si="22"/>
        <v>1</v>
      </c>
      <c r="C137" s="215" t="s">
        <v>335</v>
      </c>
      <c r="D137" s="215" t="s">
        <v>490</v>
      </c>
      <c r="E137" s="216" t="e">
        <v>#N/A</v>
      </c>
      <c r="F137" s="216" t="e">
        <v>#N/A</v>
      </c>
      <c r="G137" s="217"/>
      <c r="H137" s="216">
        <v>0</v>
      </c>
      <c r="I137" s="216">
        <v>0</v>
      </c>
      <c r="J137" s="216">
        <v>0</v>
      </c>
      <c r="K137" s="216">
        <v>0</v>
      </c>
      <c r="L137" s="216">
        <v>0</v>
      </c>
      <c r="M137" s="218">
        <v>0</v>
      </c>
      <c r="N137" s="218">
        <v>0</v>
      </c>
      <c r="O137" s="218">
        <v>0</v>
      </c>
      <c r="P137" s="218">
        <v>0</v>
      </c>
      <c r="Q137" s="218">
        <v>0</v>
      </c>
      <c r="R137" s="218">
        <v>0</v>
      </c>
      <c r="S137" s="218">
        <v>0</v>
      </c>
      <c r="T137" s="218">
        <f t="shared" si="40"/>
        <v>0</v>
      </c>
      <c r="U137" s="218"/>
      <c r="V137" s="218">
        <f t="shared" si="21"/>
        <v>0</v>
      </c>
      <c r="W137" s="218">
        <f t="shared" si="21"/>
        <v>0</v>
      </c>
      <c r="X137" s="218">
        <f t="shared" si="21"/>
        <v>0</v>
      </c>
      <c r="Y137" s="218">
        <f t="shared" si="20"/>
        <v>0</v>
      </c>
      <c r="Z137" s="218">
        <f t="shared" si="35"/>
        <v>0</v>
      </c>
      <c r="AA137" s="218">
        <f t="shared" si="35"/>
        <v>0</v>
      </c>
      <c r="AB137" s="218">
        <f t="shared" si="35"/>
        <v>0</v>
      </c>
      <c r="AC137" s="218">
        <f t="shared" si="35"/>
        <v>0</v>
      </c>
      <c r="AD137" s="218">
        <f t="shared" si="35"/>
        <v>0</v>
      </c>
      <c r="AE137" s="218">
        <f t="shared" si="35"/>
        <v>0</v>
      </c>
      <c r="AF137" s="218">
        <f t="shared" si="35"/>
        <v>0</v>
      </c>
      <c r="AG137" s="218">
        <f t="shared" si="34"/>
        <v>0</v>
      </c>
      <c r="AI137" s="220"/>
    </row>
    <row r="138" spans="1:35" s="214" customFormat="1" hidden="1">
      <c r="A138" s="214" t="str">
        <f t="shared" si="42"/>
        <v>MASON CO-REGULATEDCommercial rECYCLECDELOCC</v>
      </c>
      <c r="B138" s="214">
        <f t="shared" si="22"/>
        <v>1</v>
      </c>
      <c r="C138" s="215" t="s">
        <v>336</v>
      </c>
      <c r="D138" s="215" t="s">
        <v>491</v>
      </c>
      <c r="E138" s="216" t="e">
        <v>#N/A</v>
      </c>
      <c r="F138" s="216" t="e">
        <v>#N/A</v>
      </c>
      <c r="G138" s="217"/>
      <c r="H138" s="216">
        <v>0</v>
      </c>
      <c r="I138" s="216">
        <v>0</v>
      </c>
      <c r="J138" s="216">
        <v>0</v>
      </c>
      <c r="K138" s="216">
        <v>0</v>
      </c>
      <c r="L138" s="216">
        <v>0</v>
      </c>
      <c r="M138" s="218">
        <v>0</v>
      </c>
      <c r="N138" s="218">
        <v>0</v>
      </c>
      <c r="O138" s="218">
        <v>0</v>
      </c>
      <c r="P138" s="218">
        <v>0</v>
      </c>
      <c r="Q138" s="218">
        <v>0</v>
      </c>
      <c r="R138" s="218">
        <v>0</v>
      </c>
      <c r="S138" s="218">
        <v>0</v>
      </c>
      <c r="T138" s="218">
        <f t="shared" si="40"/>
        <v>0</v>
      </c>
      <c r="U138" s="218"/>
      <c r="V138" s="218">
        <f t="shared" si="21"/>
        <v>0</v>
      </c>
      <c r="W138" s="218">
        <f t="shared" si="21"/>
        <v>0</v>
      </c>
      <c r="X138" s="218">
        <f t="shared" si="21"/>
        <v>0</v>
      </c>
      <c r="Y138" s="218">
        <f t="shared" si="21"/>
        <v>0</v>
      </c>
      <c r="Z138" s="218">
        <f t="shared" si="35"/>
        <v>0</v>
      </c>
      <c r="AA138" s="218">
        <f t="shared" si="35"/>
        <v>0</v>
      </c>
      <c r="AB138" s="218">
        <f t="shared" si="35"/>
        <v>0</v>
      </c>
      <c r="AC138" s="218">
        <f t="shared" si="35"/>
        <v>0</v>
      </c>
      <c r="AD138" s="218">
        <f t="shared" si="35"/>
        <v>0</v>
      </c>
      <c r="AE138" s="218">
        <f t="shared" si="35"/>
        <v>0</v>
      </c>
      <c r="AF138" s="218">
        <f t="shared" si="35"/>
        <v>0</v>
      </c>
      <c r="AG138" s="218">
        <f t="shared" si="34"/>
        <v>0</v>
      </c>
      <c r="AI138" s="220"/>
    </row>
    <row r="139" spans="1:35" s="214" customFormat="1" hidden="1">
      <c r="A139" s="214" t="str">
        <f>$A$1&amp;"Commercial - Rearload"&amp;C139</f>
        <v>MASON CO-REGULATEDCommercial - RearloadUNLOCKRECY</v>
      </c>
      <c r="B139" s="214">
        <f t="shared" si="22"/>
        <v>1</v>
      </c>
      <c r="C139" s="215" t="s">
        <v>337</v>
      </c>
      <c r="D139" s="215" t="s">
        <v>492</v>
      </c>
      <c r="E139" s="216">
        <v>2.5299999999999998</v>
      </c>
      <c r="F139" s="216">
        <v>2.5299999999999998</v>
      </c>
      <c r="G139" s="217"/>
      <c r="H139" s="216">
        <v>10.119999999999999</v>
      </c>
      <c r="I139" s="216">
        <v>0</v>
      </c>
      <c r="J139" s="216">
        <v>5.08</v>
      </c>
      <c r="K139" s="216">
        <v>0</v>
      </c>
      <c r="L139" s="216">
        <v>0</v>
      </c>
      <c r="M139" s="218">
        <v>0</v>
      </c>
      <c r="N139" s="218">
        <v>0</v>
      </c>
      <c r="O139" s="218">
        <v>0</v>
      </c>
      <c r="P139" s="218">
        <v>10.119999999999999</v>
      </c>
      <c r="Q139" s="218">
        <v>0</v>
      </c>
      <c r="R139" s="218">
        <v>10.119999999999999</v>
      </c>
      <c r="S139" s="218">
        <v>0</v>
      </c>
      <c r="T139" s="218">
        <f t="shared" si="40"/>
        <v>35.44</v>
      </c>
      <c r="U139" s="218"/>
      <c r="V139" s="218">
        <f t="shared" ref="V139:Y202" si="43">IFERROR(H139/$E139,0)</f>
        <v>4</v>
      </c>
      <c r="W139" s="218">
        <f t="shared" si="43"/>
        <v>0</v>
      </c>
      <c r="X139" s="218">
        <f t="shared" si="43"/>
        <v>2.0079051383399213</v>
      </c>
      <c r="Y139" s="218">
        <f t="shared" si="43"/>
        <v>0</v>
      </c>
      <c r="Z139" s="218">
        <f t="shared" si="35"/>
        <v>0</v>
      </c>
      <c r="AA139" s="218">
        <f t="shared" si="35"/>
        <v>0</v>
      </c>
      <c r="AB139" s="218">
        <f t="shared" si="35"/>
        <v>0</v>
      </c>
      <c r="AC139" s="218">
        <f t="shared" si="35"/>
        <v>0</v>
      </c>
      <c r="AD139" s="218">
        <f t="shared" si="35"/>
        <v>4</v>
      </c>
      <c r="AE139" s="218">
        <f t="shared" si="35"/>
        <v>0</v>
      </c>
      <c r="AF139" s="218">
        <f t="shared" si="35"/>
        <v>4</v>
      </c>
      <c r="AG139" s="218">
        <f t="shared" si="34"/>
        <v>0</v>
      </c>
      <c r="AI139" s="220"/>
    </row>
    <row r="140" spans="1:35" s="214" customFormat="1" hidden="1">
      <c r="A140" s="214" t="str">
        <f t="shared" ref="A140:A141" si="44">$A$1&amp;"COMMERCIAL  FRONTLOAD"&amp;C140</f>
        <v>MASON CO-REGULATEDCOMMERCIAL  FRONTLOADWLKNRECY</v>
      </c>
      <c r="B140" s="214">
        <f t="shared" si="22"/>
        <v>1</v>
      </c>
      <c r="C140" s="215" t="s">
        <v>338</v>
      </c>
      <c r="D140" s="215" t="s">
        <v>493</v>
      </c>
      <c r="E140" s="216" t="e">
        <v>#N/A</v>
      </c>
      <c r="F140" s="216" t="e">
        <v>#N/A</v>
      </c>
      <c r="G140" s="217"/>
      <c r="H140" s="216">
        <v>0</v>
      </c>
      <c r="I140" s="216">
        <v>0</v>
      </c>
      <c r="J140" s="216">
        <v>0</v>
      </c>
      <c r="K140" s="216">
        <v>0</v>
      </c>
      <c r="L140" s="216">
        <v>0</v>
      </c>
      <c r="M140" s="218">
        <v>0</v>
      </c>
      <c r="N140" s="218">
        <v>0</v>
      </c>
      <c r="O140" s="218">
        <v>0</v>
      </c>
      <c r="P140" s="218">
        <v>0</v>
      </c>
      <c r="Q140" s="218">
        <v>0</v>
      </c>
      <c r="R140" s="218">
        <v>0</v>
      </c>
      <c r="S140" s="218">
        <v>0</v>
      </c>
      <c r="T140" s="218">
        <f t="shared" si="40"/>
        <v>0</v>
      </c>
      <c r="U140" s="218"/>
      <c r="V140" s="218">
        <f t="shared" si="43"/>
        <v>0</v>
      </c>
      <c r="W140" s="218">
        <f t="shared" si="43"/>
        <v>0</v>
      </c>
      <c r="X140" s="218">
        <f t="shared" si="43"/>
        <v>0</v>
      </c>
      <c r="Y140" s="218">
        <f t="shared" si="43"/>
        <v>0</v>
      </c>
      <c r="Z140" s="218">
        <f t="shared" si="35"/>
        <v>0</v>
      </c>
      <c r="AA140" s="218">
        <f t="shared" si="35"/>
        <v>0</v>
      </c>
      <c r="AB140" s="218">
        <f t="shared" si="35"/>
        <v>0</v>
      </c>
      <c r="AC140" s="218">
        <f t="shared" si="35"/>
        <v>0</v>
      </c>
      <c r="AD140" s="218">
        <f t="shared" si="35"/>
        <v>0</v>
      </c>
      <c r="AE140" s="218">
        <f t="shared" si="35"/>
        <v>0</v>
      </c>
      <c r="AF140" s="218">
        <f t="shared" si="35"/>
        <v>0</v>
      </c>
      <c r="AG140" s="218">
        <f t="shared" si="34"/>
        <v>0</v>
      </c>
      <c r="AI140" s="220"/>
    </row>
    <row r="141" spans="1:35" s="214" customFormat="1" hidden="1">
      <c r="A141" s="214" t="str">
        <f t="shared" si="44"/>
        <v>MASON CO-REGULATEDCOMMERCIAL  FRONTLOADWLKNRE1RECYMA</v>
      </c>
      <c r="B141" s="214">
        <f t="shared" ref="B141:B201" si="45">COUNTIF(C:C,C141)</f>
        <v>1</v>
      </c>
      <c r="C141" s="215" t="s">
        <v>339</v>
      </c>
      <c r="D141" s="215" t="s">
        <v>494</v>
      </c>
      <c r="E141" s="216" t="e">
        <v>#N/A</v>
      </c>
      <c r="F141" s="216" t="e">
        <v>#N/A</v>
      </c>
      <c r="G141" s="217"/>
      <c r="H141" s="216">
        <v>6.3</v>
      </c>
      <c r="I141" s="216">
        <v>6.3</v>
      </c>
      <c r="J141" s="216">
        <v>6.3</v>
      </c>
      <c r="K141" s="216">
        <v>6.3</v>
      </c>
      <c r="L141" s="216">
        <v>6.93</v>
      </c>
      <c r="M141" s="218">
        <v>5.04</v>
      </c>
      <c r="N141" s="218">
        <v>5.04</v>
      </c>
      <c r="O141" s="218">
        <v>5.67</v>
      </c>
      <c r="P141" s="218">
        <v>5.04</v>
      </c>
      <c r="Q141" s="218">
        <v>5.04</v>
      </c>
      <c r="R141" s="218">
        <v>6.93</v>
      </c>
      <c r="S141" s="218">
        <v>6.3</v>
      </c>
      <c r="T141" s="218">
        <f t="shared" si="40"/>
        <v>71.189999999999984</v>
      </c>
      <c r="U141" s="218"/>
      <c r="V141" s="218">
        <f t="shared" si="43"/>
        <v>0</v>
      </c>
      <c r="W141" s="218">
        <f t="shared" si="43"/>
        <v>0</v>
      </c>
      <c r="X141" s="218">
        <f t="shared" si="43"/>
        <v>0</v>
      </c>
      <c r="Y141" s="218">
        <f t="shared" si="43"/>
        <v>0</v>
      </c>
      <c r="Z141" s="218">
        <f t="shared" si="35"/>
        <v>0</v>
      </c>
      <c r="AA141" s="218">
        <f t="shared" si="35"/>
        <v>0</v>
      </c>
      <c r="AB141" s="218">
        <f t="shared" si="35"/>
        <v>0</v>
      </c>
      <c r="AC141" s="218">
        <f t="shared" si="35"/>
        <v>0</v>
      </c>
      <c r="AD141" s="218">
        <f t="shared" si="35"/>
        <v>0</v>
      </c>
      <c r="AE141" s="218">
        <f t="shared" si="35"/>
        <v>0</v>
      </c>
      <c r="AF141" s="218">
        <f t="shared" si="35"/>
        <v>0</v>
      </c>
      <c r="AG141" s="218">
        <f t="shared" si="34"/>
        <v>0</v>
      </c>
      <c r="AI141" s="220"/>
    </row>
    <row r="142" spans="1:35" s="214" customFormat="1" hidden="1">
      <c r="A142" s="214" t="str">
        <f>$A$1&amp;"COMMERCIAL  FRONTLOAD"&amp;C142</f>
        <v>MASON CO-REGULATEDCOMMERCIAL  FRONTLOADWLKNRW2RECYMA</v>
      </c>
      <c r="B142" s="214">
        <f t="shared" si="45"/>
        <v>1</v>
      </c>
      <c r="C142" s="215" t="s">
        <v>340</v>
      </c>
      <c r="D142" s="215" t="s">
        <v>495</v>
      </c>
      <c r="E142" s="216">
        <v>0.34</v>
      </c>
      <c r="F142" s="216">
        <v>0.34</v>
      </c>
      <c r="G142" s="217"/>
      <c r="H142" s="216">
        <v>0.34</v>
      </c>
      <c r="I142" s="216">
        <v>0.34</v>
      </c>
      <c r="J142" s="216">
        <v>0.34</v>
      </c>
      <c r="K142" s="216">
        <v>0.34</v>
      </c>
      <c r="L142" s="216">
        <v>0.34</v>
      </c>
      <c r="M142" s="218">
        <v>0.34</v>
      </c>
      <c r="N142" s="218">
        <v>0.34</v>
      </c>
      <c r="O142" s="218">
        <v>0.34</v>
      </c>
      <c r="P142" s="218">
        <v>0.34</v>
      </c>
      <c r="Q142" s="218">
        <v>0.34</v>
      </c>
      <c r="R142" s="218">
        <v>0.34</v>
      </c>
      <c r="S142" s="218">
        <v>0.34</v>
      </c>
      <c r="T142" s="218">
        <f t="shared" si="40"/>
        <v>4.0799999999999992</v>
      </c>
      <c r="U142" s="218"/>
      <c r="V142" s="218">
        <f t="shared" si="43"/>
        <v>1</v>
      </c>
      <c r="W142" s="218">
        <f t="shared" si="43"/>
        <v>1</v>
      </c>
      <c r="X142" s="218">
        <f t="shared" si="43"/>
        <v>1</v>
      </c>
      <c r="Y142" s="218">
        <f t="shared" si="43"/>
        <v>1</v>
      </c>
      <c r="Z142" s="218">
        <f t="shared" si="35"/>
        <v>1</v>
      </c>
      <c r="AA142" s="218">
        <f t="shared" si="35"/>
        <v>1</v>
      </c>
      <c r="AB142" s="218">
        <f t="shared" si="35"/>
        <v>1</v>
      </c>
      <c r="AC142" s="218">
        <f t="shared" si="35"/>
        <v>1</v>
      </c>
      <c r="AD142" s="218">
        <f t="shared" si="35"/>
        <v>1</v>
      </c>
      <c r="AE142" s="218">
        <f t="shared" si="35"/>
        <v>1</v>
      </c>
      <c r="AF142" s="218">
        <f t="shared" si="35"/>
        <v>1</v>
      </c>
      <c r="AG142" s="218">
        <f t="shared" si="34"/>
        <v>1</v>
      </c>
      <c r="AI142" s="220"/>
    </row>
    <row r="143" spans="1:35" s="214" customFormat="1" hidden="1">
      <c r="A143" s="214" t="str">
        <f>$A$1&amp;"COMMERCIAL  FRONTLOAD"&amp;C143</f>
        <v>MASON CO-REGULATEDCOMMERCIAL  FRONTLOADWLKNRM1RECYMA</v>
      </c>
      <c r="B143" s="214">
        <f t="shared" si="45"/>
        <v>1</v>
      </c>
      <c r="C143" s="215" t="s">
        <v>341</v>
      </c>
      <c r="D143" s="215" t="s">
        <v>496</v>
      </c>
      <c r="E143" s="216" t="e">
        <v>#N/A</v>
      </c>
      <c r="F143" s="216" t="e">
        <v>#N/A</v>
      </c>
      <c r="G143" s="217"/>
      <c r="H143" s="216">
        <v>1.1599999999999999</v>
      </c>
      <c r="I143" s="216">
        <v>1.1599999999999999</v>
      </c>
      <c r="J143" s="216">
        <v>1.1599999999999999</v>
      </c>
      <c r="K143" s="216">
        <v>0</v>
      </c>
      <c r="L143" s="216">
        <v>0</v>
      </c>
      <c r="M143" s="218">
        <v>0</v>
      </c>
      <c r="N143" s="218">
        <v>0</v>
      </c>
      <c r="O143" s="218">
        <v>0</v>
      </c>
      <c r="P143" s="218">
        <v>0</v>
      </c>
      <c r="Q143" s="218">
        <v>0</v>
      </c>
      <c r="R143" s="218">
        <v>0</v>
      </c>
      <c r="S143" s="218">
        <v>0</v>
      </c>
      <c r="T143" s="218">
        <f t="shared" si="40"/>
        <v>3.4799999999999995</v>
      </c>
      <c r="U143" s="218"/>
      <c r="V143" s="218">
        <f t="shared" si="43"/>
        <v>0</v>
      </c>
      <c r="W143" s="218">
        <f t="shared" si="43"/>
        <v>0</v>
      </c>
      <c r="X143" s="218">
        <f t="shared" si="43"/>
        <v>0</v>
      </c>
      <c r="Y143" s="218">
        <f t="shared" si="43"/>
        <v>0</v>
      </c>
      <c r="Z143" s="218">
        <f t="shared" ref="Z143:AG174" si="46">IFERROR(L143/$F143,0)</f>
        <v>0</v>
      </c>
      <c r="AA143" s="218">
        <f t="shared" si="46"/>
        <v>0</v>
      </c>
      <c r="AB143" s="218">
        <f t="shared" si="46"/>
        <v>0</v>
      </c>
      <c r="AC143" s="218">
        <f t="shared" si="46"/>
        <v>0</v>
      </c>
      <c r="AD143" s="218">
        <f t="shared" si="46"/>
        <v>0</v>
      </c>
      <c r="AE143" s="218">
        <f t="shared" si="46"/>
        <v>0</v>
      </c>
      <c r="AF143" s="218">
        <f t="shared" si="46"/>
        <v>0</v>
      </c>
      <c r="AG143" s="218">
        <f t="shared" si="34"/>
        <v>0</v>
      </c>
      <c r="AI143" s="220"/>
    </row>
    <row r="144" spans="1:35" s="214" customFormat="1" hidden="1">
      <c r="A144" s="214" t="str">
        <f>$A$1&amp;"COMMERCIAL  FRONTLOAD"&amp;C144</f>
        <v>MASON CO-REGULATEDCOMMERCIAL  FRONTLOADWLKNRW2RECY</v>
      </c>
      <c r="B144" s="214">
        <f t="shared" si="45"/>
        <v>1</v>
      </c>
      <c r="C144" s="215" t="s">
        <v>342</v>
      </c>
      <c r="D144" s="215" t="s">
        <v>495</v>
      </c>
      <c r="E144" s="216">
        <v>0.17</v>
      </c>
      <c r="F144" s="216">
        <v>0.17</v>
      </c>
      <c r="G144" s="217"/>
      <c r="H144" s="216">
        <v>44.88</v>
      </c>
      <c r="I144" s="216">
        <v>-3.98</v>
      </c>
      <c r="J144" s="216">
        <v>41.2</v>
      </c>
      <c r="K144" s="216">
        <v>0</v>
      </c>
      <c r="L144" s="216">
        <v>42.16</v>
      </c>
      <c r="M144" s="218">
        <v>0</v>
      </c>
      <c r="N144" s="218">
        <v>40.18</v>
      </c>
      <c r="O144" s="218">
        <v>0</v>
      </c>
      <c r="P144" s="218">
        <v>43.52</v>
      </c>
      <c r="Q144" s="218">
        <v>-1.02</v>
      </c>
      <c r="R144" s="218">
        <v>43.52</v>
      </c>
      <c r="S144" s="218">
        <v>0.77</v>
      </c>
      <c r="T144" s="218">
        <f t="shared" si="40"/>
        <v>251.23000000000002</v>
      </c>
      <c r="U144" s="218"/>
      <c r="V144" s="218">
        <f t="shared" si="43"/>
        <v>264</v>
      </c>
      <c r="W144" s="218">
        <f t="shared" si="43"/>
        <v>-23.411764705882351</v>
      </c>
      <c r="X144" s="218">
        <f t="shared" si="43"/>
        <v>242.35294117647058</v>
      </c>
      <c r="Y144" s="218">
        <f t="shared" si="43"/>
        <v>0</v>
      </c>
      <c r="Z144" s="218">
        <f t="shared" si="46"/>
        <v>247.99999999999997</v>
      </c>
      <c r="AA144" s="218">
        <f t="shared" si="46"/>
        <v>0</v>
      </c>
      <c r="AB144" s="218">
        <f t="shared" si="46"/>
        <v>236.35294117647058</v>
      </c>
      <c r="AC144" s="218">
        <f t="shared" si="46"/>
        <v>0</v>
      </c>
      <c r="AD144" s="218">
        <f t="shared" si="46"/>
        <v>256</v>
      </c>
      <c r="AE144" s="218">
        <f t="shared" si="46"/>
        <v>-6</v>
      </c>
      <c r="AF144" s="218">
        <f t="shared" si="46"/>
        <v>256</v>
      </c>
      <c r="AG144" s="218">
        <f t="shared" si="34"/>
        <v>4.5294117647058822</v>
      </c>
      <c r="AI144" s="220"/>
    </row>
    <row r="145" spans="1:35" s="214" customFormat="1" hidden="1">
      <c r="A145" s="214" t="str">
        <f>$A$1&amp;"COMMERCIAL RECYCLE"&amp;C145</f>
        <v>MASON CO-REGULATEDCOMMERCIAL RECYCLEWLKNRE1RECY</v>
      </c>
      <c r="B145" s="214">
        <f t="shared" si="45"/>
        <v>1</v>
      </c>
      <c r="C145" s="215" t="s">
        <v>343</v>
      </c>
      <c r="D145" s="215" t="s">
        <v>494</v>
      </c>
      <c r="E145" s="216" t="e">
        <v>#N/A</v>
      </c>
      <c r="F145" s="216" t="e">
        <v>#N/A</v>
      </c>
      <c r="G145" s="217"/>
      <c r="H145" s="218">
        <v>220.26</v>
      </c>
      <c r="I145" s="218">
        <v>-6.160000000000001</v>
      </c>
      <c r="J145" s="218">
        <v>193.27</v>
      </c>
      <c r="K145" s="218">
        <v>1.89</v>
      </c>
      <c r="L145" s="218">
        <v>198.29</v>
      </c>
      <c r="M145" s="218">
        <v>1.8900000000000001</v>
      </c>
      <c r="N145" s="218">
        <v>201.43</v>
      </c>
      <c r="O145" s="218">
        <v>1.2599999999999998</v>
      </c>
      <c r="P145" s="218">
        <v>210.85</v>
      </c>
      <c r="Q145" s="218">
        <v>6.93</v>
      </c>
      <c r="R145" s="218">
        <v>243.48</v>
      </c>
      <c r="S145" s="218">
        <v>1.2599999999999998</v>
      </c>
      <c r="T145" s="218">
        <f t="shared" si="40"/>
        <v>1274.6499999999999</v>
      </c>
      <c r="U145" s="218"/>
      <c r="V145" s="218">
        <f t="shared" si="43"/>
        <v>0</v>
      </c>
      <c r="W145" s="218">
        <f t="shared" si="43"/>
        <v>0</v>
      </c>
      <c r="X145" s="218">
        <f t="shared" si="43"/>
        <v>0</v>
      </c>
      <c r="Y145" s="218">
        <f t="shared" si="43"/>
        <v>0</v>
      </c>
      <c r="Z145" s="218">
        <f t="shared" si="46"/>
        <v>0</v>
      </c>
      <c r="AA145" s="218">
        <f t="shared" si="46"/>
        <v>0</v>
      </c>
      <c r="AB145" s="218">
        <f t="shared" si="46"/>
        <v>0</v>
      </c>
      <c r="AC145" s="218">
        <f t="shared" si="46"/>
        <v>0</v>
      </c>
      <c r="AD145" s="218">
        <f t="shared" si="46"/>
        <v>0</v>
      </c>
      <c r="AE145" s="218">
        <f t="shared" si="46"/>
        <v>0</v>
      </c>
      <c r="AF145" s="218">
        <f t="shared" si="46"/>
        <v>0</v>
      </c>
      <c r="AG145" s="218">
        <f t="shared" si="34"/>
        <v>0</v>
      </c>
      <c r="AI145" s="220"/>
    </row>
    <row r="146" spans="1:35" s="214" customFormat="1" ht="12" hidden="1">
      <c r="B146" s="214">
        <f t="shared" si="45"/>
        <v>0</v>
      </c>
      <c r="C146" s="221"/>
      <c r="D146" s="221"/>
      <c r="E146" s="217"/>
      <c r="F146" s="217"/>
      <c r="G146" s="216"/>
      <c r="H146" s="198"/>
      <c r="I146" s="198"/>
      <c r="J146" s="198"/>
      <c r="K146" s="198"/>
      <c r="L146" s="198"/>
      <c r="M146" s="218"/>
      <c r="N146" s="218"/>
      <c r="V146" s="218">
        <f t="shared" si="43"/>
        <v>0</v>
      </c>
      <c r="W146" s="218">
        <f t="shared" si="43"/>
        <v>0</v>
      </c>
      <c r="X146" s="218">
        <f t="shared" si="43"/>
        <v>0</v>
      </c>
      <c r="Y146" s="218">
        <f t="shared" si="43"/>
        <v>0</v>
      </c>
      <c r="Z146" s="218">
        <f t="shared" si="46"/>
        <v>0</v>
      </c>
      <c r="AA146" s="218">
        <f t="shared" si="46"/>
        <v>0</v>
      </c>
      <c r="AB146" s="218">
        <f t="shared" si="46"/>
        <v>0</v>
      </c>
      <c r="AC146" s="218">
        <f t="shared" si="46"/>
        <v>0</v>
      </c>
      <c r="AD146" s="218">
        <f t="shared" si="46"/>
        <v>0</v>
      </c>
      <c r="AE146" s="218">
        <f t="shared" si="46"/>
        <v>0</v>
      </c>
      <c r="AF146" s="218">
        <f t="shared" si="46"/>
        <v>0</v>
      </c>
      <c r="AG146" s="218">
        <f t="shared" si="34"/>
        <v>0</v>
      </c>
    </row>
    <row r="147" spans="1:35" s="214" customFormat="1" hidden="1">
      <c r="B147" s="214">
        <f t="shared" si="45"/>
        <v>0</v>
      </c>
      <c r="C147" s="221"/>
      <c r="D147" s="224" t="s">
        <v>344</v>
      </c>
      <c r="E147" s="217"/>
      <c r="F147" s="217"/>
      <c r="G147" s="199"/>
      <c r="H147" s="196">
        <f t="shared" ref="H147:K147" si="47">SUM(H127:H146)</f>
        <v>563.07000000000005</v>
      </c>
      <c r="I147" s="196">
        <f t="shared" si="47"/>
        <v>231.94000000000003</v>
      </c>
      <c r="J147" s="196">
        <f t="shared" si="47"/>
        <v>413.66000000000008</v>
      </c>
      <c r="K147" s="196">
        <f t="shared" si="47"/>
        <v>174.84</v>
      </c>
      <c r="L147" s="196">
        <f>SUM(L127:L146)</f>
        <v>247.71999999999997</v>
      </c>
      <c r="M147" s="196">
        <f t="shared" ref="M147:T147" si="48">SUM(M127:M146)</f>
        <v>7.27</v>
      </c>
      <c r="N147" s="196">
        <f t="shared" si="48"/>
        <v>246.99</v>
      </c>
      <c r="O147" s="196">
        <f t="shared" si="48"/>
        <v>7.27</v>
      </c>
      <c r="P147" s="196">
        <f t="shared" si="48"/>
        <v>269.87</v>
      </c>
      <c r="Q147" s="196">
        <f t="shared" si="48"/>
        <v>11.29</v>
      </c>
      <c r="R147" s="196">
        <f t="shared" si="48"/>
        <v>304.39</v>
      </c>
      <c r="S147" s="196">
        <f t="shared" si="48"/>
        <v>8.67</v>
      </c>
      <c r="T147" s="196">
        <f t="shared" si="48"/>
        <v>2486.98</v>
      </c>
      <c r="U147" s="227">
        <f>T147-SUM(L147:S147)</f>
        <v>1383.51</v>
      </c>
      <c r="V147" s="218">
        <f t="shared" si="43"/>
        <v>0</v>
      </c>
      <c r="W147" s="218">
        <f t="shared" si="43"/>
        <v>0</v>
      </c>
      <c r="X147" s="218">
        <f t="shared" si="43"/>
        <v>0</v>
      </c>
      <c r="Y147" s="218">
        <f t="shared" si="43"/>
        <v>0</v>
      </c>
      <c r="Z147" s="218">
        <f t="shared" si="46"/>
        <v>0</v>
      </c>
      <c r="AA147" s="218">
        <f t="shared" si="46"/>
        <v>0</v>
      </c>
      <c r="AB147" s="218">
        <f t="shared" si="46"/>
        <v>0</v>
      </c>
      <c r="AC147" s="218">
        <f t="shared" si="46"/>
        <v>0</v>
      </c>
      <c r="AD147" s="218">
        <f t="shared" si="46"/>
        <v>0</v>
      </c>
      <c r="AE147" s="218">
        <f t="shared" si="46"/>
        <v>0</v>
      </c>
      <c r="AF147" s="218">
        <f t="shared" si="46"/>
        <v>0</v>
      </c>
      <c r="AG147" s="218">
        <f t="shared" si="34"/>
        <v>0</v>
      </c>
      <c r="AI147" s="220"/>
    </row>
    <row r="148" spans="1:35" s="214" customFormat="1" hidden="1">
      <c r="B148" s="214">
        <f t="shared" si="45"/>
        <v>0</v>
      </c>
      <c r="C148" s="221"/>
      <c r="D148" s="222"/>
      <c r="E148" s="217"/>
      <c r="F148" s="217"/>
      <c r="G148" s="199"/>
      <c r="H148" s="198"/>
      <c r="I148" s="198"/>
      <c r="J148" s="198"/>
      <c r="K148" s="198"/>
      <c r="L148" s="198"/>
      <c r="M148" s="234"/>
      <c r="N148" s="234"/>
      <c r="O148" s="221"/>
      <c r="P148" s="221"/>
      <c r="Q148" s="221"/>
      <c r="R148" s="235"/>
      <c r="S148" s="235"/>
      <c r="T148" s="221"/>
      <c r="V148" s="218">
        <f t="shared" si="43"/>
        <v>0</v>
      </c>
      <c r="W148" s="218">
        <f t="shared" si="43"/>
        <v>0</v>
      </c>
      <c r="X148" s="218">
        <f t="shared" si="43"/>
        <v>0</v>
      </c>
      <c r="Y148" s="218">
        <f t="shared" si="43"/>
        <v>0</v>
      </c>
      <c r="Z148" s="218">
        <f t="shared" si="46"/>
        <v>0</v>
      </c>
      <c r="AA148" s="218">
        <f t="shared" si="46"/>
        <v>0</v>
      </c>
      <c r="AB148" s="218">
        <f t="shared" si="46"/>
        <v>0</v>
      </c>
      <c r="AC148" s="218">
        <f t="shared" si="46"/>
        <v>0</v>
      </c>
      <c r="AD148" s="218">
        <f t="shared" si="46"/>
        <v>0</v>
      </c>
      <c r="AE148" s="218">
        <f t="shared" si="46"/>
        <v>0</v>
      </c>
      <c r="AF148" s="218">
        <f t="shared" si="46"/>
        <v>0</v>
      </c>
      <c r="AG148" s="218">
        <f t="shared" si="34"/>
        <v>0</v>
      </c>
      <c r="AI148" s="220"/>
    </row>
    <row r="149" spans="1:35" s="214" customFormat="1" hidden="1">
      <c r="B149" s="214">
        <f t="shared" si="45"/>
        <v>0</v>
      </c>
      <c r="E149" s="217"/>
      <c r="F149" s="217"/>
      <c r="G149" s="216"/>
      <c r="V149" s="218">
        <f t="shared" si="43"/>
        <v>0</v>
      </c>
      <c r="W149" s="218">
        <f t="shared" si="43"/>
        <v>0</v>
      </c>
      <c r="X149" s="218">
        <f t="shared" si="43"/>
        <v>0</v>
      </c>
      <c r="Y149" s="218">
        <f t="shared" si="43"/>
        <v>0</v>
      </c>
      <c r="Z149" s="218">
        <f t="shared" si="46"/>
        <v>0</v>
      </c>
      <c r="AA149" s="218">
        <f t="shared" si="46"/>
        <v>0</v>
      </c>
      <c r="AB149" s="218">
        <f t="shared" si="46"/>
        <v>0</v>
      </c>
      <c r="AC149" s="218">
        <f t="shared" si="46"/>
        <v>0</v>
      </c>
      <c r="AD149" s="218">
        <f t="shared" si="46"/>
        <v>0</v>
      </c>
      <c r="AE149" s="218">
        <f t="shared" si="46"/>
        <v>0</v>
      </c>
      <c r="AF149" s="218">
        <f t="shared" si="46"/>
        <v>0</v>
      </c>
      <c r="AG149" s="218">
        <f t="shared" si="34"/>
        <v>0</v>
      </c>
      <c r="AI149" s="220"/>
    </row>
    <row r="150" spans="1:35" s="214" customFormat="1" hidden="1">
      <c r="B150" s="214">
        <f t="shared" si="45"/>
        <v>1</v>
      </c>
      <c r="C150" s="236" t="s">
        <v>345</v>
      </c>
      <c r="D150" s="228" t="s">
        <v>345</v>
      </c>
      <c r="E150" s="217"/>
      <c r="F150" s="217"/>
      <c r="G150" s="229"/>
      <c r="H150" s="230"/>
      <c r="I150" s="230"/>
      <c r="J150" s="230"/>
      <c r="K150" s="230"/>
      <c r="L150" s="230"/>
      <c r="V150" s="218">
        <f t="shared" si="43"/>
        <v>0</v>
      </c>
      <c r="W150" s="218">
        <f t="shared" si="43"/>
        <v>0</v>
      </c>
      <c r="X150" s="218">
        <f t="shared" si="43"/>
        <v>0</v>
      </c>
      <c r="Y150" s="218">
        <f t="shared" si="43"/>
        <v>0</v>
      </c>
      <c r="Z150" s="218">
        <f t="shared" si="46"/>
        <v>0</v>
      </c>
      <c r="AA150" s="218">
        <f t="shared" si="46"/>
        <v>0</v>
      </c>
      <c r="AB150" s="218">
        <f t="shared" si="46"/>
        <v>0</v>
      </c>
      <c r="AC150" s="218">
        <f t="shared" si="46"/>
        <v>0</v>
      </c>
      <c r="AD150" s="218">
        <f t="shared" si="46"/>
        <v>0</v>
      </c>
      <c r="AE150" s="218">
        <f t="shared" si="46"/>
        <v>0</v>
      </c>
      <c r="AF150" s="218">
        <f t="shared" si="46"/>
        <v>0</v>
      </c>
      <c r="AG150" s="218">
        <f t="shared" si="34"/>
        <v>0</v>
      </c>
      <c r="AI150" s="220"/>
    </row>
    <row r="151" spans="1:35" s="214" customFormat="1" hidden="1">
      <c r="B151" s="214">
        <f t="shared" si="45"/>
        <v>0</v>
      </c>
      <c r="C151" s="236"/>
      <c r="D151" s="236"/>
      <c r="E151" s="217"/>
      <c r="F151" s="217"/>
      <c r="G151" s="229"/>
      <c r="H151" s="230"/>
      <c r="I151" s="230"/>
      <c r="J151" s="230"/>
      <c r="K151" s="230"/>
      <c r="L151" s="230"/>
      <c r="V151" s="218">
        <f t="shared" si="43"/>
        <v>0</v>
      </c>
      <c r="W151" s="218">
        <f t="shared" si="43"/>
        <v>0</v>
      </c>
      <c r="X151" s="218">
        <f t="shared" si="43"/>
        <v>0</v>
      </c>
      <c r="Y151" s="218">
        <f t="shared" si="43"/>
        <v>0</v>
      </c>
      <c r="Z151" s="218">
        <f t="shared" si="46"/>
        <v>0</v>
      </c>
      <c r="AA151" s="218">
        <f t="shared" si="46"/>
        <v>0</v>
      </c>
      <c r="AB151" s="218">
        <f t="shared" si="46"/>
        <v>0</v>
      </c>
      <c r="AC151" s="218">
        <f t="shared" si="46"/>
        <v>0</v>
      </c>
      <c r="AD151" s="218">
        <f t="shared" si="46"/>
        <v>0</v>
      </c>
      <c r="AE151" s="218">
        <f t="shared" si="46"/>
        <v>0</v>
      </c>
      <c r="AF151" s="218">
        <f t="shared" si="46"/>
        <v>0</v>
      </c>
      <c r="AG151" s="218">
        <f t="shared" si="34"/>
        <v>0</v>
      </c>
      <c r="AI151" s="220"/>
    </row>
    <row r="152" spans="1:35" s="214" customFormat="1" hidden="1">
      <c r="B152" s="214">
        <f t="shared" si="45"/>
        <v>1</v>
      </c>
      <c r="C152" s="224" t="s">
        <v>346</v>
      </c>
      <c r="D152" s="224" t="s">
        <v>346</v>
      </c>
      <c r="E152" s="217"/>
      <c r="F152" s="217"/>
      <c r="G152" s="216"/>
      <c r="H152" s="237"/>
      <c r="I152" s="237"/>
      <c r="J152" s="237"/>
      <c r="K152" s="237"/>
      <c r="L152" s="237"/>
      <c r="M152" s="218"/>
      <c r="N152" s="218"/>
      <c r="V152" s="218">
        <f t="shared" si="43"/>
        <v>0</v>
      </c>
      <c r="W152" s="218">
        <f t="shared" si="43"/>
        <v>0</v>
      </c>
      <c r="X152" s="218">
        <f t="shared" si="43"/>
        <v>0</v>
      </c>
      <c r="Y152" s="218">
        <f t="shared" si="43"/>
        <v>0</v>
      </c>
      <c r="Z152" s="218">
        <f t="shared" si="46"/>
        <v>0</v>
      </c>
      <c r="AA152" s="218">
        <f t="shared" si="46"/>
        <v>0</v>
      </c>
      <c r="AB152" s="218">
        <f t="shared" si="46"/>
        <v>0</v>
      </c>
      <c r="AC152" s="218">
        <f t="shared" si="46"/>
        <v>0</v>
      </c>
      <c r="AD152" s="218">
        <f t="shared" si="46"/>
        <v>0</v>
      </c>
      <c r="AE152" s="218">
        <f t="shared" si="46"/>
        <v>0</v>
      </c>
      <c r="AF152" s="218">
        <f t="shared" si="46"/>
        <v>0</v>
      </c>
      <c r="AG152" s="218">
        <f t="shared" si="34"/>
        <v>0</v>
      </c>
      <c r="AI152" s="220"/>
    </row>
    <row r="153" spans="1:35" s="214" customFormat="1" hidden="1">
      <c r="A153" s="214" t="str">
        <f t="shared" ref="A153:A185" si="49">$A$1&amp;"Rolloff"&amp;C153</f>
        <v>MASON CO-REGULATEDRolloffROHAUL10</v>
      </c>
      <c r="B153" s="214">
        <f t="shared" si="45"/>
        <v>1</v>
      </c>
      <c r="C153" s="215" t="s">
        <v>347</v>
      </c>
      <c r="D153" s="215" t="s">
        <v>497</v>
      </c>
      <c r="E153" s="216">
        <v>83.93</v>
      </c>
      <c r="F153" s="216">
        <v>83.93</v>
      </c>
      <c r="G153" s="217"/>
      <c r="H153" s="218">
        <v>83.93</v>
      </c>
      <c r="I153" s="218">
        <v>167.86</v>
      </c>
      <c r="J153" s="218">
        <v>167.86</v>
      </c>
      <c r="K153" s="218">
        <v>83.93</v>
      </c>
      <c r="L153" s="218">
        <v>83.93</v>
      </c>
      <c r="M153" s="218">
        <v>83.93</v>
      </c>
      <c r="N153" s="218">
        <v>251.79</v>
      </c>
      <c r="O153" s="218">
        <v>83.93</v>
      </c>
      <c r="P153" s="218">
        <v>167.86</v>
      </c>
      <c r="Q153" s="218">
        <v>167.86</v>
      </c>
      <c r="R153" s="218">
        <v>167.86</v>
      </c>
      <c r="S153" s="218">
        <v>0</v>
      </c>
      <c r="T153" s="218">
        <f t="shared" ref="T153:T185" si="50">SUM(H153:S153)</f>
        <v>1510.7400000000002</v>
      </c>
      <c r="U153" s="218"/>
      <c r="V153" s="218">
        <f t="shared" si="43"/>
        <v>1</v>
      </c>
      <c r="W153" s="218">
        <f t="shared" si="43"/>
        <v>2</v>
      </c>
      <c r="X153" s="218">
        <f t="shared" si="43"/>
        <v>2</v>
      </c>
      <c r="Y153" s="218">
        <f t="shared" si="43"/>
        <v>1</v>
      </c>
      <c r="Z153" s="218">
        <f t="shared" si="46"/>
        <v>1</v>
      </c>
      <c r="AA153" s="218">
        <f t="shared" si="46"/>
        <v>1</v>
      </c>
      <c r="AB153" s="218">
        <f t="shared" si="46"/>
        <v>2.9999999999999996</v>
      </c>
      <c r="AC153" s="218">
        <f t="shared" si="46"/>
        <v>1</v>
      </c>
      <c r="AD153" s="218">
        <f t="shared" si="46"/>
        <v>2</v>
      </c>
      <c r="AE153" s="218">
        <f t="shared" si="46"/>
        <v>2</v>
      </c>
      <c r="AF153" s="218">
        <f t="shared" si="46"/>
        <v>2</v>
      </c>
      <c r="AG153" s="218">
        <f t="shared" si="34"/>
        <v>0</v>
      </c>
      <c r="AI153" s="220"/>
    </row>
    <row r="154" spans="1:35" s="214" customFormat="1" hidden="1">
      <c r="A154" s="214" t="str">
        <f t="shared" si="49"/>
        <v>MASON CO-REGULATEDRolloffROHAUL20</v>
      </c>
      <c r="B154" s="214">
        <f t="shared" si="45"/>
        <v>1</v>
      </c>
      <c r="C154" s="215" t="s">
        <v>348</v>
      </c>
      <c r="D154" s="215" t="s">
        <v>498</v>
      </c>
      <c r="E154" s="216">
        <v>97.48</v>
      </c>
      <c r="F154" s="216">
        <v>97.48</v>
      </c>
      <c r="G154" s="217"/>
      <c r="H154" s="218">
        <v>4191.6400000000003</v>
      </c>
      <c r="I154" s="218">
        <v>4484.08</v>
      </c>
      <c r="J154" s="218">
        <v>3704.24</v>
      </c>
      <c r="K154" s="218">
        <v>3119.36</v>
      </c>
      <c r="L154" s="218">
        <v>4581.5600000000004</v>
      </c>
      <c r="M154" s="218">
        <v>3021.88</v>
      </c>
      <c r="N154" s="218">
        <v>3606.76</v>
      </c>
      <c r="O154" s="218">
        <v>4776.5200000000004</v>
      </c>
      <c r="P154" s="218">
        <v>4094.16</v>
      </c>
      <c r="Q154" s="218">
        <v>4289.12</v>
      </c>
      <c r="R154" s="218">
        <v>4484.08</v>
      </c>
      <c r="S154" s="218">
        <v>5166.4399999999996</v>
      </c>
      <c r="T154" s="218">
        <f t="shared" si="50"/>
        <v>49519.840000000011</v>
      </c>
      <c r="U154" s="218"/>
      <c r="V154" s="218">
        <f t="shared" si="43"/>
        <v>43</v>
      </c>
      <c r="W154" s="218">
        <f t="shared" si="43"/>
        <v>46</v>
      </c>
      <c r="X154" s="218">
        <f t="shared" si="43"/>
        <v>37.999999999999993</v>
      </c>
      <c r="Y154" s="218">
        <f t="shared" si="43"/>
        <v>32</v>
      </c>
      <c r="Z154" s="218">
        <f t="shared" si="46"/>
        <v>47</v>
      </c>
      <c r="AA154" s="218">
        <f t="shared" si="46"/>
        <v>31</v>
      </c>
      <c r="AB154" s="218">
        <f t="shared" si="46"/>
        <v>37</v>
      </c>
      <c r="AC154" s="218">
        <f t="shared" si="46"/>
        <v>49</v>
      </c>
      <c r="AD154" s="218">
        <f t="shared" si="46"/>
        <v>42</v>
      </c>
      <c r="AE154" s="218">
        <f t="shared" si="46"/>
        <v>44</v>
      </c>
      <c r="AF154" s="218">
        <f t="shared" si="46"/>
        <v>46</v>
      </c>
      <c r="AG154" s="218">
        <f t="shared" si="34"/>
        <v>52.999999999999993</v>
      </c>
      <c r="AI154" s="220"/>
    </row>
    <row r="155" spans="1:35" s="214" customFormat="1" hidden="1">
      <c r="A155" s="214" t="str">
        <f t="shared" si="49"/>
        <v>MASON CO-REGULATEDRolloffROHAUL30</v>
      </c>
      <c r="B155" s="214">
        <f t="shared" si="45"/>
        <v>1</v>
      </c>
      <c r="C155" s="215" t="s">
        <v>349</v>
      </c>
      <c r="D155" s="215" t="s">
        <v>499</v>
      </c>
      <c r="E155" s="216" t="e">
        <v>#N/A</v>
      </c>
      <c r="F155" s="216" t="e">
        <v>#N/A</v>
      </c>
      <c r="G155" s="217"/>
      <c r="H155" s="218">
        <v>223.88</v>
      </c>
      <c r="I155" s="218">
        <v>252.8</v>
      </c>
      <c r="J155" s="218">
        <v>252.8</v>
      </c>
      <c r="K155" s="218">
        <v>126.4</v>
      </c>
      <c r="L155" s="218">
        <v>252.8</v>
      </c>
      <c r="M155" s="218">
        <v>126.4</v>
      </c>
      <c r="N155" s="218">
        <v>252.8</v>
      </c>
      <c r="O155" s="218">
        <v>252.8</v>
      </c>
      <c r="P155" s="218">
        <v>252.8</v>
      </c>
      <c r="Q155" s="218">
        <v>126.4</v>
      </c>
      <c r="R155" s="218">
        <v>252.8</v>
      </c>
      <c r="S155" s="218">
        <v>379.2</v>
      </c>
      <c r="T155" s="218">
        <f t="shared" si="50"/>
        <v>2751.88</v>
      </c>
      <c r="U155" s="218"/>
      <c r="V155" s="218">
        <f t="shared" si="43"/>
        <v>0</v>
      </c>
      <c r="W155" s="218">
        <f t="shared" si="43"/>
        <v>0</v>
      </c>
      <c r="X155" s="218">
        <f t="shared" si="43"/>
        <v>0</v>
      </c>
      <c r="Y155" s="218">
        <f t="shared" si="43"/>
        <v>0</v>
      </c>
      <c r="Z155" s="218">
        <f t="shared" si="46"/>
        <v>0</v>
      </c>
      <c r="AA155" s="218">
        <f t="shared" si="46"/>
        <v>0</v>
      </c>
      <c r="AB155" s="218">
        <f t="shared" si="46"/>
        <v>0</v>
      </c>
      <c r="AC155" s="218">
        <f t="shared" si="46"/>
        <v>0</v>
      </c>
      <c r="AD155" s="218">
        <f t="shared" si="46"/>
        <v>0</v>
      </c>
      <c r="AE155" s="218">
        <f t="shared" si="46"/>
        <v>0</v>
      </c>
      <c r="AF155" s="218">
        <f t="shared" si="46"/>
        <v>0</v>
      </c>
      <c r="AG155" s="218">
        <f t="shared" si="34"/>
        <v>0</v>
      </c>
      <c r="AI155" s="220"/>
    </row>
    <row r="156" spans="1:35" s="214" customFormat="1" hidden="1">
      <c r="A156" s="214" t="str">
        <f t="shared" si="49"/>
        <v>MASON CO-REGULATEDRolloffROHAUL40</v>
      </c>
      <c r="B156" s="214">
        <f t="shared" si="45"/>
        <v>1</v>
      </c>
      <c r="C156" s="215" t="s">
        <v>350</v>
      </c>
      <c r="D156" s="215" t="s">
        <v>500</v>
      </c>
      <c r="E156" s="216">
        <v>165.74</v>
      </c>
      <c r="F156" s="216">
        <v>165.74</v>
      </c>
      <c r="G156" s="217"/>
      <c r="H156" s="218">
        <v>1491.66</v>
      </c>
      <c r="I156" s="218">
        <v>1160.18</v>
      </c>
      <c r="J156" s="218">
        <v>1657.4</v>
      </c>
      <c r="K156" s="218">
        <v>994.44</v>
      </c>
      <c r="L156" s="218">
        <v>1823.14</v>
      </c>
      <c r="M156" s="218">
        <v>1325.92</v>
      </c>
      <c r="N156" s="218">
        <v>1491.66</v>
      </c>
      <c r="O156" s="218">
        <v>1325.92</v>
      </c>
      <c r="P156" s="218">
        <v>1657.4</v>
      </c>
      <c r="Q156" s="218">
        <v>1823.14</v>
      </c>
      <c r="R156" s="218">
        <v>1325.92</v>
      </c>
      <c r="S156" s="218">
        <v>1823.14</v>
      </c>
      <c r="T156" s="218">
        <f t="shared" si="50"/>
        <v>17899.920000000002</v>
      </c>
      <c r="U156" s="218"/>
      <c r="V156" s="218">
        <f t="shared" si="43"/>
        <v>9</v>
      </c>
      <c r="W156" s="218">
        <f t="shared" si="43"/>
        <v>7</v>
      </c>
      <c r="X156" s="218">
        <f t="shared" si="43"/>
        <v>10</v>
      </c>
      <c r="Y156" s="218">
        <f t="shared" si="43"/>
        <v>6</v>
      </c>
      <c r="Z156" s="218">
        <f t="shared" si="46"/>
        <v>11</v>
      </c>
      <c r="AA156" s="218">
        <f t="shared" si="46"/>
        <v>8</v>
      </c>
      <c r="AB156" s="218">
        <f t="shared" si="46"/>
        <v>9</v>
      </c>
      <c r="AC156" s="218">
        <f t="shared" si="46"/>
        <v>8</v>
      </c>
      <c r="AD156" s="218">
        <f t="shared" si="46"/>
        <v>10</v>
      </c>
      <c r="AE156" s="218">
        <f t="shared" si="46"/>
        <v>11</v>
      </c>
      <c r="AF156" s="218">
        <f t="shared" si="46"/>
        <v>8</v>
      </c>
      <c r="AG156" s="218">
        <f t="shared" si="34"/>
        <v>11</v>
      </c>
      <c r="AI156" s="220"/>
    </row>
    <row r="157" spans="1:35" s="214" customFormat="1" hidden="1">
      <c r="A157" s="214" t="str">
        <f t="shared" si="49"/>
        <v>MASON CO-REGULATEDRolloffROHAUL10T</v>
      </c>
      <c r="B157" s="214">
        <f t="shared" si="45"/>
        <v>1</v>
      </c>
      <c r="C157" s="215" t="s">
        <v>351</v>
      </c>
      <c r="D157" s="215" t="s">
        <v>351</v>
      </c>
      <c r="E157" s="216">
        <v>83.93</v>
      </c>
      <c r="F157" s="216">
        <v>83.93</v>
      </c>
      <c r="G157" s="217"/>
      <c r="H157" s="218">
        <v>83.93</v>
      </c>
      <c r="I157" s="218">
        <v>167.86</v>
      </c>
      <c r="J157" s="218">
        <v>83.93</v>
      </c>
      <c r="K157" s="218">
        <v>251.79</v>
      </c>
      <c r="L157" s="218">
        <v>251.79</v>
      </c>
      <c r="M157" s="218">
        <v>83.93</v>
      </c>
      <c r="N157" s="218">
        <v>167.86</v>
      </c>
      <c r="O157" s="218">
        <v>419.65</v>
      </c>
      <c r="P157" s="218">
        <v>251.79</v>
      </c>
      <c r="Q157" s="218">
        <v>251.79</v>
      </c>
      <c r="R157" s="218">
        <v>167.86</v>
      </c>
      <c r="S157" s="218">
        <v>335.72</v>
      </c>
      <c r="T157" s="218">
        <f t="shared" si="50"/>
        <v>2517.9000000000005</v>
      </c>
      <c r="U157" s="218"/>
      <c r="V157" s="218">
        <f t="shared" si="43"/>
        <v>1</v>
      </c>
      <c r="W157" s="218">
        <f t="shared" si="43"/>
        <v>2</v>
      </c>
      <c r="X157" s="218">
        <f t="shared" si="43"/>
        <v>1</v>
      </c>
      <c r="Y157" s="218">
        <f t="shared" si="43"/>
        <v>2.9999999999999996</v>
      </c>
      <c r="Z157" s="218">
        <f t="shared" si="46"/>
        <v>2.9999999999999996</v>
      </c>
      <c r="AA157" s="218">
        <f t="shared" si="46"/>
        <v>1</v>
      </c>
      <c r="AB157" s="218">
        <f t="shared" si="46"/>
        <v>2</v>
      </c>
      <c r="AC157" s="218">
        <f t="shared" si="46"/>
        <v>4.9999999999999991</v>
      </c>
      <c r="AD157" s="218">
        <f t="shared" si="46"/>
        <v>2.9999999999999996</v>
      </c>
      <c r="AE157" s="218">
        <f t="shared" si="46"/>
        <v>2.9999999999999996</v>
      </c>
      <c r="AF157" s="218">
        <f t="shared" si="46"/>
        <v>2</v>
      </c>
      <c r="AG157" s="218">
        <f t="shared" si="34"/>
        <v>4</v>
      </c>
      <c r="AI157" s="220"/>
    </row>
    <row r="158" spans="1:35" s="214" customFormat="1" hidden="1">
      <c r="A158" s="214" t="str">
        <f t="shared" si="49"/>
        <v>MASON CO-REGULATEDRolloffROHAUL20T</v>
      </c>
      <c r="B158" s="214">
        <f t="shared" si="45"/>
        <v>1</v>
      </c>
      <c r="C158" s="215" t="s">
        <v>352</v>
      </c>
      <c r="D158" s="215" t="s">
        <v>501</v>
      </c>
      <c r="E158" s="216">
        <v>97.48</v>
      </c>
      <c r="F158" s="216">
        <v>97.48</v>
      </c>
      <c r="G158" s="217"/>
      <c r="H158" s="218">
        <v>3996.68</v>
      </c>
      <c r="I158" s="218">
        <v>3801.72</v>
      </c>
      <c r="J158" s="218">
        <v>3704.2400000000002</v>
      </c>
      <c r="K158" s="218">
        <v>2144.56</v>
      </c>
      <c r="L158" s="218">
        <v>2047.08</v>
      </c>
      <c r="M158" s="218">
        <v>1267.24</v>
      </c>
      <c r="N158" s="218">
        <v>2924.4</v>
      </c>
      <c r="O158" s="218">
        <v>3509.28</v>
      </c>
      <c r="P158" s="218">
        <v>3899.2</v>
      </c>
      <c r="Q158" s="218">
        <v>3801.72</v>
      </c>
      <c r="R158" s="218">
        <v>4874</v>
      </c>
      <c r="S158" s="218">
        <v>3915.45</v>
      </c>
      <c r="T158" s="218">
        <f t="shared" si="50"/>
        <v>39885.57</v>
      </c>
      <c r="U158" s="218"/>
      <c r="V158" s="218">
        <f t="shared" si="43"/>
        <v>41</v>
      </c>
      <c r="W158" s="218">
        <f t="shared" si="43"/>
        <v>38.999999999999993</v>
      </c>
      <c r="X158" s="218">
        <f t="shared" si="43"/>
        <v>38</v>
      </c>
      <c r="Y158" s="218">
        <f t="shared" si="43"/>
        <v>22</v>
      </c>
      <c r="Z158" s="218">
        <f t="shared" si="46"/>
        <v>21</v>
      </c>
      <c r="AA158" s="218">
        <f t="shared" si="46"/>
        <v>13</v>
      </c>
      <c r="AB158" s="218">
        <f t="shared" si="46"/>
        <v>30</v>
      </c>
      <c r="AC158" s="218">
        <f t="shared" si="46"/>
        <v>36</v>
      </c>
      <c r="AD158" s="218">
        <f t="shared" si="46"/>
        <v>40</v>
      </c>
      <c r="AE158" s="218">
        <f t="shared" si="46"/>
        <v>38.999999999999993</v>
      </c>
      <c r="AF158" s="218">
        <f t="shared" si="46"/>
        <v>50</v>
      </c>
      <c r="AG158" s="218">
        <f t="shared" si="34"/>
        <v>40.166700861715221</v>
      </c>
      <c r="AI158" s="220"/>
    </row>
    <row r="159" spans="1:35" s="214" customFormat="1" hidden="1">
      <c r="A159" s="214" t="str">
        <f t="shared" si="49"/>
        <v>MASON CO-REGULATEDRolloffROHAUL40T</v>
      </c>
      <c r="B159" s="214">
        <f t="shared" si="45"/>
        <v>1</v>
      </c>
      <c r="C159" s="215" t="s">
        <v>353</v>
      </c>
      <c r="D159" s="215" t="s">
        <v>502</v>
      </c>
      <c r="E159" s="216">
        <v>165.74</v>
      </c>
      <c r="F159" s="216">
        <v>165.74</v>
      </c>
      <c r="G159" s="217"/>
      <c r="H159" s="218">
        <v>994.44</v>
      </c>
      <c r="I159" s="218">
        <v>5303.68</v>
      </c>
      <c r="J159" s="218">
        <v>3314.8</v>
      </c>
      <c r="K159" s="218">
        <v>1988.88</v>
      </c>
      <c r="L159" s="218">
        <v>2154.62</v>
      </c>
      <c r="M159" s="218">
        <v>331.48</v>
      </c>
      <c r="N159" s="218">
        <v>2486.1</v>
      </c>
      <c r="O159" s="218">
        <v>5635.16</v>
      </c>
      <c r="P159" s="218">
        <v>2486.1</v>
      </c>
      <c r="Q159" s="218">
        <v>3646.28</v>
      </c>
      <c r="R159" s="218">
        <v>1491.66</v>
      </c>
      <c r="S159" s="218">
        <v>2983.32</v>
      </c>
      <c r="T159" s="218">
        <f t="shared" si="50"/>
        <v>32816.519999999997</v>
      </c>
      <c r="U159" s="218"/>
      <c r="V159" s="218">
        <f t="shared" si="43"/>
        <v>6</v>
      </c>
      <c r="W159" s="218">
        <f t="shared" si="43"/>
        <v>32</v>
      </c>
      <c r="X159" s="218">
        <f t="shared" si="43"/>
        <v>20</v>
      </c>
      <c r="Y159" s="218">
        <f t="shared" si="43"/>
        <v>12</v>
      </c>
      <c r="Z159" s="218">
        <f t="shared" si="46"/>
        <v>12.999999999999998</v>
      </c>
      <c r="AA159" s="218">
        <f t="shared" si="46"/>
        <v>2</v>
      </c>
      <c r="AB159" s="218">
        <f t="shared" si="46"/>
        <v>14.999999999999998</v>
      </c>
      <c r="AC159" s="218">
        <f t="shared" si="46"/>
        <v>34</v>
      </c>
      <c r="AD159" s="218">
        <f t="shared" si="46"/>
        <v>14.999999999999998</v>
      </c>
      <c r="AE159" s="218">
        <f t="shared" si="46"/>
        <v>22</v>
      </c>
      <c r="AF159" s="218">
        <f t="shared" si="46"/>
        <v>9</v>
      </c>
      <c r="AG159" s="218">
        <f t="shared" si="34"/>
        <v>18</v>
      </c>
      <c r="AI159" s="220"/>
    </row>
    <row r="160" spans="1:35" s="214" customFormat="1" hidden="1">
      <c r="A160" s="214" t="str">
        <f t="shared" si="49"/>
        <v>MASON CO-REGULATEDRolloffCPHAUL10</v>
      </c>
      <c r="B160" s="214">
        <f t="shared" si="45"/>
        <v>1</v>
      </c>
      <c r="C160" s="215" t="s">
        <v>354</v>
      </c>
      <c r="D160" s="215" t="s">
        <v>503</v>
      </c>
      <c r="E160" s="216">
        <v>126.71</v>
      </c>
      <c r="F160" s="216">
        <v>126.71</v>
      </c>
      <c r="G160" s="217"/>
      <c r="H160" s="218">
        <v>253.42</v>
      </c>
      <c r="I160" s="218">
        <v>126.71</v>
      </c>
      <c r="J160" s="218">
        <v>253.42</v>
      </c>
      <c r="K160" s="218">
        <v>126.71</v>
      </c>
      <c r="L160" s="218">
        <v>253.42</v>
      </c>
      <c r="M160" s="218">
        <v>126.71</v>
      </c>
      <c r="N160" s="218">
        <v>126.71</v>
      </c>
      <c r="O160" s="218">
        <v>253.42</v>
      </c>
      <c r="P160" s="218">
        <v>126.71</v>
      </c>
      <c r="Q160" s="218">
        <v>253.42</v>
      </c>
      <c r="R160" s="218">
        <v>126.71</v>
      </c>
      <c r="S160" s="218">
        <v>253.42</v>
      </c>
      <c r="T160" s="218">
        <f t="shared" si="50"/>
        <v>2280.7800000000002</v>
      </c>
      <c r="U160" s="218"/>
      <c r="V160" s="218">
        <f t="shared" si="43"/>
        <v>2</v>
      </c>
      <c r="W160" s="218">
        <f t="shared" si="43"/>
        <v>1</v>
      </c>
      <c r="X160" s="218">
        <f t="shared" si="43"/>
        <v>2</v>
      </c>
      <c r="Y160" s="218">
        <f t="shared" si="43"/>
        <v>1</v>
      </c>
      <c r="Z160" s="218">
        <f t="shared" si="46"/>
        <v>2</v>
      </c>
      <c r="AA160" s="218">
        <f t="shared" si="46"/>
        <v>1</v>
      </c>
      <c r="AB160" s="218">
        <f t="shared" si="46"/>
        <v>1</v>
      </c>
      <c r="AC160" s="218">
        <f t="shared" si="46"/>
        <v>2</v>
      </c>
      <c r="AD160" s="218">
        <f t="shared" si="46"/>
        <v>1</v>
      </c>
      <c r="AE160" s="218">
        <f t="shared" si="46"/>
        <v>2</v>
      </c>
      <c r="AF160" s="218">
        <f t="shared" si="46"/>
        <v>1</v>
      </c>
      <c r="AG160" s="218">
        <f t="shared" si="34"/>
        <v>2</v>
      </c>
      <c r="AI160" s="220"/>
    </row>
    <row r="161" spans="1:35" s="214" customFormat="1" hidden="1">
      <c r="A161" s="214" t="str">
        <f t="shared" si="49"/>
        <v>MASON CO-REGULATEDRolloffCPHAUL15</v>
      </c>
      <c r="B161" s="214">
        <f t="shared" si="45"/>
        <v>1</v>
      </c>
      <c r="C161" s="215" t="s">
        <v>355</v>
      </c>
      <c r="D161" s="215" t="s">
        <v>504</v>
      </c>
      <c r="E161" s="216">
        <v>146.16999999999999</v>
      </c>
      <c r="F161" s="216">
        <v>146.16999999999999</v>
      </c>
      <c r="G161" s="217"/>
      <c r="H161" s="218">
        <v>730.85</v>
      </c>
      <c r="I161" s="218">
        <v>584.67999999999995</v>
      </c>
      <c r="J161" s="218">
        <v>730.85</v>
      </c>
      <c r="K161" s="218">
        <v>584.67999999999995</v>
      </c>
      <c r="L161" s="218">
        <v>584.67999999999995</v>
      </c>
      <c r="M161" s="218">
        <v>438.51</v>
      </c>
      <c r="N161" s="218">
        <v>584.67999999999995</v>
      </c>
      <c r="O161" s="218">
        <v>584.67999999999995</v>
      </c>
      <c r="P161" s="218">
        <v>877.02</v>
      </c>
      <c r="Q161" s="218">
        <v>584.67999999999995</v>
      </c>
      <c r="R161" s="218">
        <v>877.02</v>
      </c>
      <c r="S161" s="218">
        <v>1023.19</v>
      </c>
      <c r="T161" s="218">
        <f t="shared" si="50"/>
        <v>8185.5200000000023</v>
      </c>
      <c r="U161" s="218"/>
      <c r="V161" s="218">
        <f t="shared" si="43"/>
        <v>5.0000000000000009</v>
      </c>
      <c r="W161" s="218">
        <f t="shared" si="43"/>
        <v>4</v>
      </c>
      <c r="X161" s="218">
        <f t="shared" si="43"/>
        <v>5.0000000000000009</v>
      </c>
      <c r="Y161" s="218">
        <f t="shared" si="43"/>
        <v>4</v>
      </c>
      <c r="Z161" s="218">
        <f t="shared" si="46"/>
        <v>4</v>
      </c>
      <c r="AA161" s="218">
        <f t="shared" si="46"/>
        <v>3</v>
      </c>
      <c r="AB161" s="218">
        <f t="shared" si="46"/>
        <v>4</v>
      </c>
      <c r="AC161" s="218">
        <f t="shared" si="46"/>
        <v>4</v>
      </c>
      <c r="AD161" s="218">
        <f t="shared" si="46"/>
        <v>6</v>
      </c>
      <c r="AE161" s="218">
        <f t="shared" si="46"/>
        <v>4</v>
      </c>
      <c r="AF161" s="218">
        <f t="shared" si="46"/>
        <v>6</v>
      </c>
      <c r="AG161" s="218">
        <f t="shared" si="34"/>
        <v>7.0000000000000009</v>
      </c>
      <c r="AI161" s="220"/>
    </row>
    <row r="162" spans="1:35" s="214" customFormat="1" hidden="1">
      <c r="A162" s="214" t="str">
        <f t="shared" si="49"/>
        <v>MASON CO-REGULATEDRolloffCPHAUL20</v>
      </c>
      <c r="B162" s="214">
        <f t="shared" si="45"/>
        <v>1</v>
      </c>
      <c r="C162" s="215" t="s">
        <v>356</v>
      </c>
      <c r="D162" s="215" t="s">
        <v>505</v>
      </c>
      <c r="E162" s="216">
        <v>155.93</v>
      </c>
      <c r="F162" s="216">
        <v>155.93</v>
      </c>
      <c r="G162" s="217"/>
      <c r="H162" s="218">
        <v>0</v>
      </c>
      <c r="I162" s="218">
        <v>155.93</v>
      </c>
      <c r="J162" s="218">
        <v>155.93</v>
      </c>
      <c r="K162" s="218">
        <v>0</v>
      </c>
      <c r="L162" s="218">
        <v>155.93</v>
      </c>
      <c r="M162" s="218">
        <v>0</v>
      </c>
      <c r="N162" s="218">
        <v>155.93</v>
      </c>
      <c r="O162" s="218">
        <v>155.93</v>
      </c>
      <c r="P162" s="218">
        <v>0</v>
      </c>
      <c r="Q162" s="218">
        <v>155.93</v>
      </c>
      <c r="R162" s="218">
        <v>155.93</v>
      </c>
      <c r="S162" s="218">
        <v>0</v>
      </c>
      <c r="T162" s="218">
        <f t="shared" si="50"/>
        <v>1091.5100000000002</v>
      </c>
      <c r="U162" s="218"/>
      <c r="V162" s="218">
        <f t="shared" si="43"/>
        <v>0</v>
      </c>
      <c r="W162" s="218">
        <f t="shared" si="43"/>
        <v>1</v>
      </c>
      <c r="X162" s="218">
        <f t="shared" si="43"/>
        <v>1</v>
      </c>
      <c r="Y162" s="218">
        <f t="shared" si="43"/>
        <v>0</v>
      </c>
      <c r="Z162" s="218">
        <f t="shared" si="46"/>
        <v>1</v>
      </c>
      <c r="AA162" s="218">
        <f t="shared" si="46"/>
        <v>0</v>
      </c>
      <c r="AB162" s="218">
        <f t="shared" si="46"/>
        <v>1</v>
      </c>
      <c r="AC162" s="218">
        <f t="shared" si="46"/>
        <v>1</v>
      </c>
      <c r="AD162" s="218">
        <f t="shared" si="46"/>
        <v>0</v>
      </c>
      <c r="AE162" s="218">
        <f t="shared" si="46"/>
        <v>1</v>
      </c>
      <c r="AF162" s="218">
        <f t="shared" si="46"/>
        <v>1</v>
      </c>
      <c r="AG162" s="218">
        <f t="shared" si="34"/>
        <v>0</v>
      </c>
      <c r="AI162" s="220"/>
    </row>
    <row r="163" spans="1:35" s="214" customFormat="1" hidden="1">
      <c r="A163" s="214" t="str">
        <f t="shared" si="49"/>
        <v>MASON CO-REGULATEDRolloffCPHAUL25</v>
      </c>
      <c r="B163" s="214">
        <f t="shared" si="45"/>
        <v>1</v>
      </c>
      <c r="C163" s="215" t="s">
        <v>357</v>
      </c>
      <c r="D163" s="215" t="s">
        <v>506</v>
      </c>
      <c r="E163" s="216">
        <v>170.69</v>
      </c>
      <c r="F163" s="216">
        <v>170.69</v>
      </c>
      <c r="G163" s="217"/>
      <c r="H163" s="218">
        <v>1706.9</v>
      </c>
      <c r="I163" s="218">
        <v>1706.9</v>
      </c>
      <c r="J163" s="218">
        <v>1877.59</v>
      </c>
      <c r="K163" s="218">
        <v>1536.21</v>
      </c>
      <c r="L163" s="218">
        <v>2218.9699999999998</v>
      </c>
      <c r="M163" s="218">
        <v>1194.83</v>
      </c>
      <c r="N163" s="218">
        <v>1877.59</v>
      </c>
      <c r="O163" s="218">
        <v>1536.21</v>
      </c>
      <c r="P163" s="218">
        <v>1536.21</v>
      </c>
      <c r="Q163" s="218">
        <v>1706.9</v>
      </c>
      <c r="R163" s="218">
        <v>1877.59</v>
      </c>
      <c r="S163" s="218">
        <v>1706.9</v>
      </c>
      <c r="T163" s="218">
        <f t="shared" si="50"/>
        <v>20482.800000000003</v>
      </c>
      <c r="U163" s="218"/>
      <c r="V163" s="218">
        <f t="shared" si="43"/>
        <v>10</v>
      </c>
      <c r="W163" s="218">
        <f t="shared" si="43"/>
        <v>10</v>
      </c>
      <c r="X163" s="218">
        <f t="shared" si="43"/>
        <v>11</v>
      </c>
      <c r="Y163" s="218">
        <f t="shared" si="43"/>
        <v>9</v>
      </c>
      <c r="Z163" s="218">
        <f t="shared" si="46"/>
        <v>12.999999999999998</v>
      </c>
      <c r="AA163" s="218">
        <f t="shared" si="46"/>
        <v>7</v>
      </c>
      <c r="AB163" s="218">
        <f t="shared" si="46"/>
        <v>11</v>
      </c>
      <c r="AC163" s="218">
        <f t="shared" si="46"/>
        <v>9</v>
      </c>
      <c r="AD163" s="218">
        <f t="shared" si="46"/>
        <v>9</v>
      </c>
      <c r="AE163" s="218">
        <f t="shared" si="46"/>
        <v>10</v>
      </c>
      <c r="AF163" s="218">
        <f t="shared" si="46"/>
        <v>11</v>
      </c>
      <c r="AG163" s="218">
        <f t="shared" si="34"/>
        <v>10</v>
      </c>
      <c r="AI163" s="220"/>
    </row>
    <row r="164" spans="1:35" s="214" customFormat="1" hidden="1">
      <c r="A164" s="214" t="str">
        <f t="shared" si="49"/>
        <v>MASON CO-REGULATEDRolloffCPHAUL30</v>
      </c>
      <c r="B164" s="214">
        <f t="shared" si="45"/>
        <v>1</v>
      </c>
      <c r="C164" s="215" t="s">
        <v>358</v>
      </c>
      <c r="D164" s="215" t="s">
        <v>507</v>
      </c>
      <c r="E164" s="216">
        <v>194.6</v>
      </c>
      <c r="F164" s="216">
        <v>194.6</v>
      </c>
      <c r="G164" s="217"/>
      <c r="H164" s="218">
        <v>0</v>
      </c>
      <c r="I164" s="218">
        <v>0</v>
      </c>
      <c r="J164" s="218">
        <v>0</v>
      </c>
      <c r="K164" s="218">
        <v>0</v>
      </c>
      <c r="L164" s="218">
        <v>0</v>
      </c>
      <c r="M164" s="218">
        <v>0</v>
      </c>
      <c r="N164" s="218">
        <v>0</v>
      </c>
      <c r="O164" s="218">
        <v>0</v>
      </c>
      <c r="P164" s="218">
        <v>0</v>
      </c>
      <c r="Q164" s="218">
        <v>0</v>
      </c>
      <c r="R164" s="218">
        <v>0</v>
      </c>
      <c r="S164" s="218">
        <v>0</v>
      </c>
      <c r="T164" s="218">
        <f t="shared" si="50"/>
        <v>0</v>
      </c>
      <c r="U164" s="218"/>
      <c r="V164" s="218">
        <f t="shared" si="43"/>
        <v>0</v>
      </c>
      <c r="W164" s="218">
        <f t="shared" si="43"/>
        <v>0</v>
      </c>
      <c r="X164" s="218">
        <f t="shared" si="43"/>
        <v>0</v>
      </c>
      <c r="Y164" s="218">
        <f t="shared" si="43"/>
        <v>0</v>
      </c>
      <c r="Z164" s="218">
        <f t="shared" si="46"/>
        <v>0</v>
      </c>
      <c r="AA164" s="218">
        <f t="shared" si="46"/>
        <v>0</v>
      </c>
      <c r="AB164" s="218">
        <f t="shared" si="46"/>
        <v>0</v>
      </c>
      <c r="AC164" s="218">
        <f t="shared" si="46"/>
        <v>0</v>
      </c>
      <c r="AD164" s="218">
        <f t="shared" si="46"/>
        <v>0</v>
      </c>
      <c r="AE164" s="218">
        <f t="shared" si="46"/>
        <v>0</v>
      </c>
      <c r="AF164" s="218">
        <f t="shared" si="46"/>
        <v>0</v>
      </c>
      <c r="AG164" s="218">
        <f t="shared" si="34"/>
        <v>0</v>
      </c>
      <c r="AI164" s="220"/>
    </row>
    <row r="165" spans="1:35" s="214" customFormat="1" hidden="1">
      <c r="A165" s="214" t="str">
        <f t="shared" si="49"/>
        <v>MASON CO-REGULATEDRolloffCPHAUL35</v>
      </c>
      <c r="B165" s="214">
        <f t="shared" si="45"/>
        <v>1</v>
      </c>
      <c r="C165" s="215" t="s">
        <v>359</v>
      </c>
      <c r="D165" s="215" t="s">
        <v>508</v>
      </c>
      <c r="E165" s="216">
        <v>224.09</v>
      </c>
      <c r="F165" s="216">
        <v>224.09</v>
      </c>
      <c r="G165" s="217"/>
      <c r="H165" s="218">
        <v>0</v>
      </c>
      <c r="I165" s="218">
        <v>0</v>
      </c>
      <c r="J165" s="218">
        <v>0</v>
      </c>
      <c r="K165" s="218">
        <v>0</v>
      </c>
      <c r="L165" s="218">
        <v>0</v>
      </c>
      <c r="M165" s="218">
        <v>0</v>
      </c>
      <c r="N165" s="218">
        <v>0</v>
      </c>
      <c r="O165" s="218">
        <v>0</v>
      </c>
      <c r="P165" s="218">
        <v>0</v>
      </c>
      <c r="Q165" s="218">
        <v>0</v>
      </c>
      <c r="R165" s="218">
        <v>0</v>
      </c>
      <c r="S165" s="218">
        <v>0</v>
      </c>
      <c r="T165" s="218">
        <f t="shared" si="50"/>
        <v>0</v>
      </c>
      <c r="U165" s="218"/>
      <c r="V165" s="218">
        <f t="shared" si="43"/>
        <v>0</v>
      </c>
      <c r="W165" s="218">
        <f t="shared" si="43"/>
        <v>0</v>
      </c>
      <c r="X165" s="218">
        <f t="shared" si="43"/>
        <v>0</v>
      </c>
      <c r="Y165" s="218">
        <f t="shared" si="43"/>
        <v>0</v>
      </c>
      <c r="Z165" s="218">
        <f t="shared" si="46"/>
        <v>0</v>
      </c>
      <c r="AA165" s="218">
        <f t="shared" si="46"/>
        <v>0</v>
      </c>
      <c r="AB165" s="218">
        <f t="shared" si="46"/>
        <v>0</v>
      </c>
      <c r="AC165" s="218">
        <f t="shared" si="46"/>
        <v>0</v>
      </c>
      <c r="AD165" s="218">
        <f t="shared" si="46"/>
        <v>0</v>
      </c>
      <c r="AE165" s="218">
        <f t="shared" si="46"/>
        <v>0</v>
      </c>
      <c r="AF165" s="218">
        <f t="shared" si="46"/>
        <v>0</v>
      </c>
      <c r="AG165" s="218">
        <f t="shared" si="34"/>
        <v>0</v>
      </c>
      <c r="AI165" s="220"/>
    </row>
    <row r="166" spans="1:35" s="214" customFormat="1" hidden="1">
      <c r="A166" s="214" t="str">
        <f t="shared" si="49"/>
        <v>MASON CO-REGULATEDRolloffRORENT10D</v>
      </c>
      <c r="B166" s="214">
        <f t="shared" si="45"/>
        <v>1</v>
      </c>
      <c r="C166" s="215" t="s">
        <v>360</v>
      </c>
      <c r="D166" s="215" t="s">
        <v>509</v>
      </c>
      <c r="E166" s="216">
        <v>139.5</v>
      </c>
      <c r="F166" s="216">
        <v>139.5</v>
      </c>
      <c r="G166" s="217"/>
      <c r="H166" s="218">
        <v>311.55</v>
      </c>
      <c r="I166" s="218">
        <v>358.05</v>
      </c>
      <c r="J166" s="218">
        <v>418.5</v>
      </c>
      <c r="K166" s="218">
        <v>451.05</v>
      </c>
      <c r="L166" s="218">
        <v>409.2</v>
      </c>
      <c r="M166" s="218">
        <v>279</v>
      </c>
      <c r="N166" s="218">
        <v>423.15</v>
      </c>
      <c r="O166" s="218">
        <v>623.1</v>
      </c>
      <c r="P166" s="218">
        <v>328.5</v>
      </c>
      <c r="Q166" s="218">
        <v>158.1</v>
      </c>
      <c r="R166" s="218">
        <v>506.85</v>
      </c>
      <c r="S166" s="218">
        <v>542.34</v>
      </c>
      <c r="T166" s="218">
        <f t="shared" si="50"/>
        <v>4809.3900000000003</v>
      </c>
      <c r="U166" s="218"/>
      <c r="V166" s="218">
        <f t="shared" si="43"/>
        <v>2.2333333333333334</v>
      </c>
      <c r="W166" s="218">
        <f t="shared" si="43"/>
        <v>2.5666666666666669</v>
      </c>
      <c r="X166" s="218">
        <f t="shared" si="43"/>
        <v>3</v>
      </c>
      <c r="Y166" s="218">
        <f t="shared" si="43"/>
        <v>3.2333333333333334</v>
      </c>
      <c r="Z166" s="218">
        <f t="shared" si="46"/>
        <v>2.9333333333333331</v>
      </c>
      <c r="AA166" s="218">
        <f t="shared" si="46"/>
        <v>2</v>
      </c>
      <c r="AB166" s="218">
        <f t="shared" si="46"/>
        <v>3.0333333333333332</v>
      </c>
      <c r="AC166" s="218">
        <f t="shared" si="46"/>
        <v>4.4666666666666668</v>
      </c>
      <c r="AD166" s="218">
        <f t="shared" si="46"/>
        <v>2.3548387096774195</v>
      </c>
      <c r="AE166" s="218">
        <f t="shared" si="46"/>
        <v>1.1333333333333333</v>
      </c>
      <c r="AF166" s="218">
        <f t="shared" si="46"/>
        <v>3.6333333333333333</v>
      </c>
      <c r="AG166" s="218">
        <f t="shared" si="34"/>
        <v>3.8877419354838714</v>
      </c>
      <c r="AI166" s="220"/>
    </row>
    <row r="167" spans="1:35" s="214" customFormat="1" hidden="1">
      <c r="A167" s="214" t="str">
        <f t="shared" si="49"/>
        <v>MASON CO-REGULATEDRolloffRORENT20D</v>
      </c>
      <c r="B167" s="214">
        <f t="shared" si="45"/>
        <v>1</v>
      </c>
      <c r="C167" s="215" t="s">
        <v>361</v>
      </c>
      <c r="D167" s="215" t="s">
        <v>510</v>
      </c>
      <c r="E167" s="216">
        <v>180.3</v>
      </c>
      <c r="F167" s="216">
        <v>180.3</v>
      </c>
      <c r="G167" s="217"/>
      <c r="H167" s="218">
        <v>4008.67</v>
      </c>
      <c r="I167" s="218">
        <v>3786.3</v>
      </c>
      <c r="J167" s="218">
        <v>3975.6150000000002</v>
      </c>
      <c r="K167" s="218">
        <v>3590.9749999999995</v>
      </c>
      <c r="L167" s="218">
        <v>3509.84</v>
      </c>
      <c r="M167" s="218">
        <v>2986.97</v>
      </c>
      <c r="N167" s="218">
        <v>3852.41</v>
      </c>
      <c r="O167" s="218">
        <v>4771.9400000000005</v>
      </c>
      <c r="P167" s="218">
        <v>5601.32</v>
      </c>
      <c r="Q167" s="218">
        <v>5120.5200000000004</v>
      </c>
      <c r="R167" s="218">
        <v>4844.0599999999995</v>
      </c>
      <c r="S167" s="218">
        <v>4381.29</v>
      </c>
      <c r="T167" s="218">
        <f t="shared" si="50"/>
        <v>50429.909999999996</v>
      </c>
      <c r="U167" s="218"/>
      <c r="V167" s="218">
        <f t="shared" si="43"/>
        <v>22.233333333333331</v>
      </c>
      <c r="W167" s="218">
        <f t="shared" si="43"/>
        <v>21</v>
      </c>
      <c r="X167" s="218">
        <f t="shared" si="43"/>
        <v>22.05</v>
      </c>
      <c r="Y167" s="218">
        <f t="shared" si="43"/>
        <v>19.916666666666661</v>
      </c>
      <c r="Z167" s="218">
        <f t="shared" si="46"/>
        <v>19.466666666666665</v>
      </c>
      <c r="AA167" s="218">
        <f t="shared" si="46"/>
        <v>16.566666666666663</v>
      </c>
      <c r="AB167" s="218">
        <f t="shared" si="46"/>
        <v>21.366666666666664</v>
      </c>
      <c r="AC167" s="218">
        <f t="shared" si="46"/>
        <v>26.466666666666669</v>
      </c>
      <c r="AD167" s="218">
        <f t="shared" si="46"/>
        <v>31.066666666666663</v>
      </c>
      <c r="AE167" s="218">
        <f t="shared" si="46"/>
        <v>28.400000000000002</v>
      </c>
      <c r="AF167" s="218">
        <f t="shared" si="46"/>
        <v>26.866666666666664</v>
      </c>
      <c r="AG167" s="218">
        <f t="shared" si="34"/>
        <v>24.299999999999997</v>
      </c>
      <c r="AI167" s="220"/>
    </row>
    <row r="168" spans="1:35" s="214" customFormat="1" hidden="1">
      <c r="A168" s="214" t="str">
        <f t="shared" si="49"/>
        <v>MASON CO-REGULATEDRolloffRORENT40D</v>
      </c>
      <c r="B168" s="214">
        <f t="shared" si="45"/>
        <v>1</v>
      </c>
      <c r="C168" s="215" t="s">
        <v>362</v>
      </c>
      <c r="D168" s="215" t="s">
        <v>511</v>
      </c>
      <c r="E168" s="216">
        <v>283.8</v>
      </c>
      <c r="F168" s="216">
        <v>283.8</v>
      </c>
      <c r="G168" s="217"/>
      <c r="H168" s="218">
        <v>2294.44</v>
      </c>
      <c r="I168" s="218">
        <v>3509.66</v>
      </c>
      <c r="J168" s="218">
        <v>2979.9</v>
      </c>
      <c r="K168" s="218">
        <v>2071.7399999999998</v>
      </c>
      <c r="L168" s="218">
        <v>-4909.74</v>
      </c>
      <c r="M168" s="218">
        <v>795.42</v>
      </c>
      <c r="N168" s="218">
        <v>1787.94</v>
      </c>
      <c r="O168" s="218">
        <v>2124.16</v>
      </c>
      <c r="P168" s="218">
        <v>1910.92</v>
      </c>
      <c r="Q168" s="218">
        <v>1787.94</v>
      </c>
      <c r="R168" s="218">
        <v>1475.76</v>
      </c>
      <c r="S168" s="218">
        <v>2629.88</v>
      </c>
      <c r="T168" s="218">
        <f t="shared" si="50"/>
        <v>18458.02</v>
      </c>
      <c r="U168" s="218"/>
      <c r="V168" s="218">
        <f t="shared" si="43"/>
        <v>8.0847075405214941</v>
      </c>
      <c r="W168" s="218">
        <f t="shared" si="43"/>
        <v>12.366666666666665</v>
      </c>
      <c r="X168" s="218">
        <f t="shared" si="43"/>
        <v>10.5</v>
      </c>
      <c r="Y168" s="218">
        <f t="shared" si="43"/>
        <v>7.2999999999999989</v>
      </c>
      <c r="Z168" s="218">
        <f t="shared" si="46"/>
        <v>-17.299999999999997</v>
      </c>
      <c r="AA168" s="218">
        <f t="shared" si="46"/>
        <v>2.8027484143763211</v>
      </c>
      <c r="AB168" s="218">
        <f t="shared" si="46"/>
        <v>6.3</v>
      </c>
      <c r="AC168" s="218">
        <f t="shared" si="46"/>
        <v>7.4847075405214936</v>
      </c>
      <c r="AD168" s="218">
        <f t="shared" si="46"/>
        <v>6.7333333333333334</v>
      </c>
      <c r="AE168" s="218">
        <f t="shared" si="46"/>
        <v>6.3</v>
      </c>
      <c r="AF168" s="218">
        <f t="shared" si="46"/>
        <v>5.2</v>
      </c>
      <c r="AG168" s="218">
        <f t="shared" si="34"/>
        <v>9.2666666666666675</v>
      </c>
      <c r="AI168" s="220"/>
    </row>
    <row r="169" spans="1:35" s="214" customFormat="1" hidden="1">
      <c r="A169" s="214" t="str">
        <f t="shared" si="49"/>
        <v>MASON CO-REGULATEDRolloffRORENT10M</v>
      </c>
      <c r="B169" s="214">
        <f t="shared" si="45"/>
        <v>1</v>
      </c>
      <c r="C169" s="215" t="s">
        <v>363</v>
      </c>
      <c r="D169" s="215" t="s">
        <v>512</v>
      </c>
      <c r="E169" s="216">
        <v>83.93</v>
      </c>
      <c r="F169" s="216">
        <v>83.93</v>
      </c>
      <c r="G169" s="217"/>
      <c r="H169" s="218">
        <v>83.93</v>
      </c>
      <c r="I169" s="218">
        <v>83.93</v>
      </c>
      <c r="J169" s="218">
        <v>83.93</v>
      </c>
      <c r="K169" s="218">
        <v>83.93</v>
      </c>
      <c r="L169" s="218">
        <v>83.93</v>
      </c>
      <c r="M169" s="218">
        <v>83.93</v>
      </c>
      <c r="N169" s="218">
        <v>83.93</v>
      </c>
      <c r="O169" s="218">
        <v>83.93</v>
      </c>
      <c r="P169" s="218">
        <v>83.93</v>
      </c>
      <c r="Q169" s="218">
        <v>83.93</v>
      </c>
      <c r="R169" s="218">
        <v>0</v>
      </c>
      <c r="S169" s="218">
        <v>0</v>
      </c>
      <c r="T169" s="218">
        <f t="shared" si="50"/>
        <v>839.30000000000018</v>
      </c>
      <c r="U169" s="218"/>
      <c r="V169" s="218">
        <f t="shared" si="43"/>
        <v>1</v>
      </c>
      <c r="W169" s="218">
        <f t="shared" si="43"/>
        <v>1</v>
      </c>
      <c r="X169" s="218">
        <f t="shared" si="43"/>
        <v>1</v>
      </c>
      <c r="Y169" s="218">
        <f t="shared" si="43"/>
        <v>1</v>
      </c>
      <c r="Z169" s="218">
        <f t="shared" si="46"/>
        <v>1</v>
      </c>
      <c r="AA169" s="218">
        <f t="shared" si="46"/>
        <v>1</v>
      </c>
      <c r="AB169" s="218">
        <f t="shared" si="46"/>
        <v>1</v>
      </c>
      <c r="AC169" s="218">
        <f t="shared" si="46"/>
        <v>1</v>
      </c>
      <c r="AD169" s="218">
        <f t="shared" si="46"/>
        <v>1</v>
      </c>
      <c r="AE169" s="218">
        <f t="shared" si="46"/>
        <v>1</v>
      </c>
      <c r="AF169" s="218">
        <f t="shared" si="46"/>
        <v>0</v>
      </c>
      <c r="AG169" s="218">
        <f t="shared" si="34"/>
        <v>0</v>
      </c>
      <c r="AH169" s="219">
        <f>AVERAGE(V169:AG169)</f>
        <v>0.83333333333333337</v>
      </c>
      <c r="AI169" s="220"/>
    </row>
    <row r="170" spans="1:35" s="214" customFormat="1" hidden="1">
      <c r="A170" s="214" t="str">
        <f t="shared" si="49"/>
        <v>MASON CO-REGULATEDRolloffRORENT20M</v>
      </c>
      <c r="B170" s="214">
        <f t="shared" si="45"/>
        <v>1</v>
      </c>
      <c r="C170" s="215" t="s">
        <v>364</v>
      </c>
      <c r="D170" s="215" t="s">
        <v>513</v>
      </c>
      <c r="E170" s="216">
        <v>97.48</v>
      </c>
      <c r="F170" s="216">
        <v>97.48</v>
      </c>
      <c r="G170" s="217"/>
      <c r="H170" s="218">
        <v>1949.6</v>
      </c>
      <c r="I170" s="218">
        <v>1949.6</v>
      </c>
      <c r="J170" s="218">
        <v>1949.6</v>
      </c>
      <c r="K170" s="218">
        <v>1949.6</v>
      </c>
      <c r="L170" s="218">
        <v>1949.6</v>
      </c>
      <c r="M170" s="218">
        <v>1949.6</v>
      </c>
      <c r="N170" s="218">
        <v>1949.6</v>
      </c>
      <c r="O170" s="218">
        <v>1949.6</v>
      </c>
      <c r="P170" s="218">
        <v>1949.6</v>
      </c>
      <c r="Q170" s="218">
        <v>1949.6</v>
      </c>
      <c r="R170" s="218">
        <v>1995.09</v>
      </c>
      <c r="S170" s="218">
        <v>2047.08</v>
      </c>
      <c r="T170" s="218">
        <f t="shared" si="50"/>
        <v>23538.17</v>
      </c>
      <c r="U170" s="218"/>
      <c r="V170" s="218">
        <f t="shared" si="43"/>
        <v>20</v>
      </c>
      <c r="W170" s="218">
        <f t="shared" si="43"/>
        <v>20</v>
      </c>
      <c r="X170" s="218">
        <f t="shared" si="43"/>
        <v>20</v>
      </c>
      <c r="Y170" s="218">
        <f t="shared" si="43"/>
        <v>20</v>
      </c>
      <c r="Z170" s="218">
        <f t="shared" si="46"/>
        <v>20</v>
      </c>
      <c r="AA170" s="218">
        <f t="shared" si="46"/>
        <v>20</v>
      </c>
      <c r="AB170" s="218">
        <f t="shared" si="46"/>
        <v>20</v>
      </c>
      <c r="AC170" s="218">
        <f t="shared" si="46"/>
        <v>20</v>
      </c>
      <c r="AD170" s="218">
        <f t="shared" si="46"/>
        <v>20</v>
      </c>
      <c r="AE170" s="218">
        <f t="shared" si="46"/>
        <v>20</v>
      </c>
      <c r="AF170" s="218">
        <f t="shared" si="46"/>
        <v>20.466659827656954</v>
      </c>
      <c r="AG170" s="218">
        <f t="shared" si="34"/>
        <v>21</v>
      </c>
      <c r="AH170" s="219">
        <f>AVERAGE(V170:AG170)</f>
        <v>20.122221652304745</v>
      </c>
      <c r="AI170" s="220"/>
    </row>
    <row r="171" spans="1:35" s="214" customFormat="1" hidden="1">
      <c r="A171" s="214" t="str">
        <f t="shared" si="49"/>
        <v>MASON CO-REGULATEDRolloffRORENT40M</v>
      </c>
      <c r="B171" s="214">
        <f t="shared" si="45"/>
        <v>1</v>
      </c>
      <c r="C171" s="215" t="s">
        <v>365</v>
      </c>
      <c r="D171" s="215" t="s">
        <v>514</v>
      </c>
      <c r="E171" s="216">
        <v>165.74</v>
      </c>
      <c r="F171" s="216">
        <v>165.74</v>
      </c>
      <c r="G171" s="217"/>
      <c r="H171" s="218">
        <v>331.48</v>
      </c>
      <c r="I171" s="218">
        <v>331.48</v>
      </c>
      <c r="J171" s="218">
        <v>331.48</v>
      </c>
      <c r="K171" s="218">
        <v>331.48</v>
      </c>
      <c r="L171" s="218">
        <v>331.48</v>
      </c>
      <c r="M171" s="218">
        <v>331.48</v>
      </c>
      <c r="N171" s="218">
        <v>331.48</v>
      </c>
      <c r="O171" s="218">
        <v>331.48</v>
      </c>
      <c r="P171" s="218">
        <v>331.48</v>
      </c>
      <c r="Q171" s="218">
        <v>331.48</v>
      </c>
      <c r="R171" s="218">
        <v>331.48</v>
      </c>
      <c r="S171" s="218">
        <v>331.48</v>
      </c>
      <c r="T171" s="218">
        <f t="shared" si="50"/>
        <v>3977.76</v>
      </c>
      <c r="U171" s="218"/>
      <c r="V171" s="218">
        <f t="shared" si="43"/>
        <v>2</v>
      </c>
      <c r="W171" s="218">
        <f t="shared" si="43"/>
        <v>2</v>
      </c>
      <c r="X171" s="218">
        <f t="shared" si="43"/>
        <v>2</v>
      </c>
      <c r="Y171" s="218">
        <f t="shared" si="43"/>
        <v>2</v>
      </c>
      <c r="Z171" s="218">
        <f t="shared" si="46"/>
        <v>2</v>
      </c>
      <c r="AA171" s="218">
        <f t="shared" si="46"/>
        <v>2</v>
      </c>
      <c r="AB171" s="218">
        <f t="shared" si="46"/>
        <v>2</v>
      </c>
      <c r="AC171" s="218">
        <f t="shared" si="46"/>
        <v>2</v>
      </c>
      <c r="AD171" s="218">
        <f t="shared" si="46"/>
        <v>2</v>
      </c>
      <c r="AE171" s="218">
        <f t="shared" si="46"/>
        <v>2</v>
      </c>
      <c r="AF171" s="218">
        <f t="shared" si="46"/>
        <v>2</v>
      </c>
      <c r="AG171" s="218">
        <f t="shared" si="34"/>
        <v>2</v>
      </c>
      <c r="AH171" s="219">
        <f>AVERAGE(V171:AG171)</f>
        <v>2</v>
      </c>
      <c r="AI171" s="220"/>
    </row>
    <row r="172" spans="1:35" s="214" customFormat="1" hidden="1">
      <c r="A172" s="214" t="str">
        <f t="shared" si="49"/>
        <v>MASON CO-REGULATEDRolloffROLID</v>
      </c>
      <c r="B172" s="214">
        <f t="shared" si="45"/>
        <v>1</v>
      </c>
      <c r="C172" s="215" t="s">
        <v>366</v>
      </c>
      <c r="D172" s="215" t="s">
        <v>515</v>
      </c>
      <c r="E172" s="216">
        <v>14.56</v>
      </c>
      <c r="F172" s="216">
        <v>14.56</v>
      </c>
      <c r="G172" s="217"/>
      <c r="H172" s="218">
        <v>293.64999999999998</v>
      </c>
      <c r="I172" s="218">
        <v>291.2</v>
      </c>
      <c r="J172" s="218">
        <v>280.56</v>
      </c>
      <c r="K172" s="218">
        <v>276.64</v>
      </c>
      <c r="L172" s="218">
        <v>263.05</v>
      </c>
      <c r="M172" s="218">
        <v>262.08</v>
      </c>
      <c r="N172" s="218">
        <v>262.08</v>
      </c>
      <c r="O172" s="218">
        <v>262.08</v>
      </c>
      <c r="P172" s="218">
        <v>262.08</v>
      </c>
      <c r="Q172" s="218">
        <v>262.08</v>
      </c>
      <c r="R172" s="218">
        <v>280.14999999999998</v>
      </c>
      <c r="S172" s="218">
        <v>276.64</v>
      </c>
      <c r="T172" s="218">
        <f t="shared" si="50"/>
        <v>3272.2899999999995</v>
      </c>
      <c r="U172" s="218"/>
      <c r="V172" s="218">
        <f t="shared" si="43"/>
        <v>20.16826923076923</v>
      </c>
      <c r="W172" s="218">
        <f t="shared" si="43"/>
        <v>20</v>
      </c>
      <c r="X172" s="218">
        <f t="shared" si="43"/>
        <v>19.26923076923077</v>
      </c>
      <c r="Y172" s="218">
        <f t="shared" si="43"/>
        <v>19</v>
      </c>
      <c r="Z172" s="218">
        <f t="shared" si="46"/>
        <v>18.06662087912088</v>
      </c>
      <c r="AA172" s="218">
        <f t="shared" si="46"/>
        <v>18</v>
      </c>
      <c r="AB172" s="218">
        <f t="shared" si="46"/>
        <v>18</v>
      </c>
      <c r="AC172" s="218">
        <f t="shared" si="46"/>
        <v>18</v>
      </c>
      <c r="AD172" s="218">
        <f t="shared" si="46"/>
        <v>18</v>
      </c>
      <c r="AE172" s="218">
        <f t="shared" si="46"/>
        <v>18</v>
      </c>
      <c r="AF172" s="218">
        <f t="shared" si="46"/>
        <v>19.241071428571427</v>
      </c>
      <c r="AG172" s="218">
        <f t="shared" si="34"/>
        <v>19</v>
      </c>
      <c r="AI172" s="220"/>
    </row>
    <row r="173" spans="1:35" s="214" customFormat="1" hidden="1">
      <c r="A173" s="214" t="str">
        <f t="shared" si="49"/>
        <v>MASON CO-REGULATEDRolloffRODEL</v>
      </c>
      <c r="B173" s="214">
        <f t="shared" si="45"/>
        <v>1</v>
      </c>
      <c r="C173" s="215" t="s">
        <v>367</v>
      </c>
      <c r="D173" s="215" t="s">
        <v>516</v>
      </c>
      <c r="E173" s="216">
        <v>77.959999999999994</v>
      </c>
      <c r="F173" s="216">
        <v>77.959999999999994</v>
      </c>
      <c r="G173" s="217"/>
      <c r="H173" s="218">
        <v>2728.6</v>
      </c>
      <c r="I173" s="218">
        <v>2962.48</v>
      </c>
      <c r="J173" s="218">
        <v>2260.84</v>
      </c>
      <c r="K173" s="218">
        <v>779.6</v>
      </c>
      <c r="L173" s="218">
        <v>2026.96</v>
      </c>
      <c r="M173" s="218">
        <v>779.6</v>
      </c>
      <c r="N173" s="218">
        <v>2884.52</v>
      </c>
      <c r="O173" s="218">
        <v>3898</v>
      </c>
      <c r="P173" s="218">
        <v>3430.2400000000002</v>
      </c>
      <c r="Q173" s="218">
        <v>3118.4</v>
      </c>
      <c r="R173" s="218">
        <v>3586.16</v>
      </c>
      <c r="S173" s="218">
        <v>3196.36</v>
      </c>
      <c r="T173" s="218">
        <f t="shared" si="50"/>
        <v>31651.760000000002</v>
      </c>
      <c r="U173" s="218"/>
      <c r="V173" s="218">
        <f t="shared" si="43"/>
        <v>35</v>
      </c>
      <c r="W173" s="218">
        <f t="shared" si="43"/>
        <v>38</v>
      </c>
      <c r="X173" s="218">
        <f t="shared" si="43"/>
        <v>29.000000000000004</v>
      </c>
      <c r="Y173" s="218">
        <f t="shared" si="43"/>
        <v>10.000000000000002</v>
      </c>
      <c r="Z173" s="218">
        <f t="shared" si="46"/>
        <v>26.000000000000004</v>
      </c>
      <c r="AA173" s="218">
        <f t="shared" si="46"/>
        <v>10.000000000000002</v>
      </c>
      <c r="AB173" s="218">
        <f t="shared" si="46"/>
        <v>37</v>
      </c>
      <c r="AC173" s="218">
        <f t="shared" si="46"/>
        <v>50.000000000000007</v>
      </c>
      <c r="AD173" s="218">
        <f t="shared" si="46"/>
        <v>44.000000000000007</v>
      </c>
      <c r="AE173" s="218">
        <f t="shared" si="46"/>
        <v>40.000000000000007</v>
      </c>
      <c r="AF173" s="218">
        <f t="shared" si="46"/>
        <v>46</v>
      </c>
      <c r="AG173" s="218">
        <f t="shared" si="34"/>
        <v>41.000000000000007</v>
      </c>
      <c r="AI173" s="220"/>
    </row>
    <row r="174" spans="1:35" s="214" customFormat="1" hidden="1">
      <c r="A174" s="214" t="str">
        <f t="shared" si="49"/>
        <v>MASON CO-REGULATEDRolloffROMILE</v>
      </c>
      <c r="B174" s="214">
        <f t="shared" si="45"/>
        <v>1</v>
      </c>
      <c r="C174" s="215" t="s">
        <v>368</v>
      </c>
      <c r="D174" s="215" t="s">
        <v>517</v>
      </c>
      <c r="E174" s="216">
        <v>2.4300000000000002</v>
      </c>
      <c r="F174" s="216">
        <v>2.4300000000000002</v>
      </c>
      <c r="G174" s="217"/>
      <c r="H174" s="218">
        <v>1095.93</v>
      </c>
      <c r="I174" s="218">
        <v>974.43</v>
      </c>
      <c r="J174" s="218">
        <v>974.43</v>
      </c>
      <c r="K174" s="218">
        <v>797.04000000000008</v>
      </c>
      <c r="L174" s="218">
        <v>772.74</v>
      </c>
      <c r="M174" s="218">
        <v>512.73</v>
      </c>
      <c r="N174" s="218">
        <v>1059.48</v>
      </c>
      <c r="O174" s="218">
        <v>1222.29</v>
      </c>
      <c r="P174" s="218">
        <v>1108.08</v>
      </c>
      <c r="Q174" s="218">
        <v>1511.46</v>
      </c>
      <c r="R174" s="218">
        <v>1314.63</v>
      </c>
      <c r="S174" s="218">
        <v>1526.04</v>
      </c>
      <c r="T174" s="218">
        <f t="shared" si="50"/>
        <v>12869.279999999999</v>
      </c>
      <c r="U174" s="218"/>
      <c r="V174" s="218">
        <f t="shared" si="43"/>
        <v>451</v>
      </c>
      <c r="W174" s="218">
        <f t="shared" si="43"/>
        <v>400.99999999999994</v>
      </c>
      <c r="X174" s="218">
        <f t="shared" si="43"/>
        <v>400.99999999999994</v>
      </c>
      <c r="Y174" s="218">
        <f t="shared" si="43"/>
        <v>328</v>
      </c>
      <c r="Z174" s="218">
        <f t="shared" si="46"/>
        <v>318</v>
      </c>
      <c r="AA174" s="218">
        <f t="shared" si="46"/>
        <v>211</v>
      </c>
      <c r="AB174" s="218">
        <f t="shared" si="46"/>
        <v>436</v>
      </c>
      <c r="AC174" s="218">
        <f t="shared" si="46"/>
        <v>502.99999999999994</v>
      </c>
      <c r="AD174" s="218">
        <f t="shared" si="46"/>
        <v>455.99999999999994</v>
      </c>
      <c r="AE174" s="218">
        <f t="shared" si="46"/>
        <v>622</v>
      </c>
      <c r="AF174" s="218">
        <f t="shared" si="46"/>
        <v>541</v>
      </c>
      <c r="AG174" s="218">
        <f t="shared" si="46"/>
        <v>628</v>
      </c>
      <c r="AI174" s="220"/>
    </row>
    <row r="175" spans="1:35" s="214" customFormat="1" hidden="1">
      <c r="A175" s="214" t="str">
        <f t="shared" si="49"/>
        <v>MASON CO-REGULATEDRolloffWASHOUT</v>
      </c>
      <c r="B175" s="214">
        <f t="shared" si="45"/>
        <v>1</v>
      </c>
      <c r="C175" s="215" t="s">
        <v>369</v>
      </c>
      <c r="D175" s="215" t="s">
        <v>518</v>
      </c>
      <c r="E175" s="216">
        <v>10.11</v>
      </c>
      <c r="F175" s="216">
        <v>10.11</v>
      </c>
      <c r="G175" s="217"/>
      <c r="H175" s="218">
        <v>21.24</v>
      </c>
      <c r="I175" s="218">
        <v>0</v>
      </c>
      <c r="J175" s="218">
        <v>0</v>
      </c>
      <c r="K175" s="218">
        <v>0</v>
      </c>
      <c r="L175" s="218">
        <v>0</v>
      </c>
      <c r="M175" s="218">
        <v>0</v>
      </c>
      <c r="N175" s="218">
        <v>0</v>
      </c>
      <c r="O175" s="218">
        <v>0</v>
      </c>
      <c r="P175" s="218">
        <v>0</v>
      </c>
      <c r="Q175" s="218">
        <v>40.96</v>
      </c>
      <c r="R175" s="218">
        <v>20.73</v>
      </c>
      <c r="S175" s="218">
        <v>10.62</v>
      </c>
      <c r="T175" s="218">
        <f t="shared" si="50"/>
        <v>93.550000000000011</v>
      </c>
      <c r="U175" s="218"/>
      <c r="V175" s="218">
        <f t="shared" si="43"/>
        <v>2.1008902077151337</v>
      </c>
      <c r="W175" s="218">
        <f t="shared" si="43"/>
        <v>0</v>
      </c>
      <c r="X175" s="218">
        <f t="shared" si="43"/>
        <v>0</v>
      </c>
      <c r="Y175" s="218">
        <f t="shared" si="43"/>
        <v>0</v>
      </c>
      <c r="Z175" s="218">
        <f t="shared" ref="Z175:AG204" si="51">IFERROR(L175/$F175,0)</f>
        <v>0</v>
      </c>
      <c r="AA175" s="218">
        <f t="shared" si="51"/>
        <v>0</v>
      </c>
      <c r="AB175" s="218">
        <f t="shared" si="51"/>
        <v>0</v>
      </c>
      <c r="AC175" s="218">
        <f t="shared" si="51"/>
        <v>0</v>
      </c>
      <c r="AD175" s="218">
        <f t="shared" si="51"/>
        <v>0</v>
      </c>
      <c r="AE175" s="218">
        <f t="shared" si="51"/>
        <v>4.0514342235410492</v>
      </c>
      <c r="AF175" s="218">
        <f t="shared" si="51"/>
        <v>2.0504451038575668</v>
      </c>
      <c r="AG175" s="218">
        <f t="shared" si="51"/>
        <v>1.0504451038575668</v>
      </c>
      <c r="AI175" s="220"/>
    </row>
    <row r="176" spans="1:35" s="214" customFormat="1" hidden="1">
      <c r="A176" s="214" t="str">
        <f t="shared" si="49"/>
        <v>MASON CO-REGULATEDRolloffSP</v>
      </c>
      <c r="B176" s="214">
        <f t="shared" si="45"/>
        <v>1</v>
      </c>
      <c r="C176" s="215" t="s">
        <v>370</v>
      </c>
      <c r="D176" s="215" t="s">
        <v>519</v>
      </c>
      <c r="E176" s="216" t="e">
        <v>#N/A</v>
      </c>
      <c r="F176" s="216" t="e">
        <v>#N/A</v>
      </c>
      <c r="G176" s="217"/>
      <c r="H176" s="218">
        <v>0</v>
      </c>
      <c r="I176" s="218">
        <v>151.68</v>
      </c>
      <c r="J176" s="218">
        <v>455.04</v>
      </c>
      <c r="K176" s="218">
        <v>151.68</v>
      </c>
      <c r="L176" s="218">
        <v>151.68</v>
      </c>
      <c r="M176" s="218">
        <v>0</v>
      </c>
      <c r="N176" s="218">
        <v>0</v>
      </c>
      <c r="O176" s="218">
        <v>0</v>
      </c>
      <c r="P176" s="218">
        <v>151.68</v>
      </c>
      <c r="Q176" s="218">
        <v>0</v>
      </c>
      <c r="R176" s="218">
        <v>606.72</v>
      </c>
      <c r="S176" s="218">
        <v>151.68</v>
      </c>
      <c r="T176" s="218">
        <f t="shared" si="50"/>
        <v>1820.1600000000003</v>
      </c>
      <c r="U176" s="218"/>
      <c r="V176" s="218">
        <f t="shared" si="43"/>
        <v>0</v>
      </c>
      <c r="W176" s="218">
        <f t="shared" si="43"/>
        <v>0</v>
      </c>
      <c r="X176" s="218">
        <f t="shared" si="43"/>
        <v>0</v>
      </c>
      <c r="Y176" s="218">
        <f t="shared" si="43"/>
        <v>0</v>
      </c>
      <c r="Z176" s="218">
        <f t="shared" si="51"/>
        <v>0</v>
      </c>
      <c r="AA176" s="218">
        <f t="shared" si="51"/>
        <v>0</v>
      </c>
      <c r="AB176" s="218">
        <f t="shared" si="51"/>
        <v>0</v>
      </c>
      <c r="AC176" s="218">
        <f t="shared" si="51"/>
        <v>0</v>
      </c>
      <c r="AD176" s="218">
        <f t="shared" si="51"/>
        <v>0</v>
      </c>
      <c r="AE176" s="218">
        <f t="shared" si="51"/>
        <v>0</v>
      </c>
      <c r="AF176" s="218">
        <f t="shared" si="51"/>
        <v>0</v>
      </c>
      <c r="AG176" s="218">
        <f t="shared" si="51"/>
        <v>0</v>
      </c>
      <c r="AI176" s="220"/>
    </row>
    <row r="177" spans="1:35" s="214" customFormat="1" hidden="1">
      <c r="A177" s="214" t="str">
        <f>$A$1&amp;"Storage"&amp;C177</f>
        <v>MASON CO-REGULATEDStorageSTORENT22</v>
      </c>
      <c r="B177" s="214">
        <f t="shared" si="45"/>
        <v>1</v>
      </c>
      <c r="C177" s="215" t="s">
        <v>371</v>
      </c>
      <c r="D177" s="215" t="s">
        <v>520</v>
      </c>
      <c r="E177" s="216" t="e">
        <v>#N/A</v>
      </c>
      <c r="F177" s="216" t="e">
        <v>#N/A</v>
      </c>
      <c r="G177" s="217"/>
      <c r="H177" s="218">
        <v>0</v>
      </c>
      <c r="I177" s="218">
        <v>0</v>
      </c>
      <c r="J177" s="218">
        <v>0</v>
      </c>
      <c r="K177" s="218">
        <v>0</v>
      </c>
      <c r="L177" s="218">
        <v>69.930000000000007</v>
      </c>
      <c r="M177" s="218">
        <v>0</v>
      </c>
      <c r="N177" s="218">
        <v>0</v>
      </c>
      <c r="O177" s="218">
        <v>0</v>
      </c>
      <c r="P177" s="218">
        <v>0</v>
      </c>
      <c r="Q177" s="218">
        <v>0</v>
      </c>
      <c r="R177" s="218">
        <v>0</v>
      </c>
      <c r="S177" s="218">
        <v>0</v>
      </c>
      <c r="T177" s="218">
        <f t="shared" si="50"/>
        <v>69.930000000000007</v>
      </c>
      <c r="U177" s="218"/>
      <c r="V177" s="218">
        <f t="shared" si="43"/>
        <v>0</v>
      </c>
      <c r="W177" s="218">
        <f t="shared" si="43"/>
        <v>0</v>
      </c>
      <c r="X177" s="218">
        <f t="shared" si="43"/>
        <v>0</v>
      </c>
      <c r="Y177" s="218">
        <f t="shared" si="43"/>
        <v>0</v>
      </c>
      <c r="Z177" s="218">
        <f t="shared" si="51"/>
        <v>0</v>
      </c>
      <c r="AA177" s="218">
        <f t="shared" si="51"/>
        <v>0</v>
      </c>
      <c r="AB177" s="218">
        <f t="shared" si="51"/>
        <v>0</v>
      </c>
      <c r="AC177" s="218">
        <f t="shared" si="51"/>
        <v>0</v>
      </c>
      <c r="AD177" s="218">
        <f t="shared" si="51"/>
        <v>0</v>
      </c>
      <c r="AE177" s="218">
        <f t="shared" si="51"/>
        <v>0</v>
      </c>
      <c r="AF177" s="218">
        <f t="shared" si="51"/>
        <v>0</v>
      </c>
      <c r="AG177" s="218">
        <f t="shared" si="51"/>
        <v>0</v>
      </c>
      <c r="AI177" s="220"/>
    </row>
    <row r="178" spans="1:35" s="214" customFormat="1" hidden="1">
      <c r="A178" s="214" t="str">
        <f t="shared" ref="A178:A179" si="52">$A$1&amp;"Storage"&amp;C178</f>
        <v>MASON CO-REGULATEDStorageSTODEL</v>
      </c>
      <c r="B178" s="214">
        <f t="shared" si="45"/>
        <v>1</v>
      </c>
      <c r="C178" s="215" t="s">
        <v>372</v>
      </c>
      <c r="D178" s="215" t="s">
        <v>521</v>
      </c>
      <c r="E178" s="216">
        <v>56.75</v>
      </c>
      <c r="F178" s="216">
        <v>56.75</v>
      </c>
      <c r="G178" s="217"/>
      <c r="H178" s="218">
        <v>0</v>
      </c>
      <c r="I178" s="218">
        <v>0</v>
      </c>
      <c r="J178" s="218">
        <v>0</v>
      </c>
      <c r="K178" s="218">
        <v>0</v>
      </c>
      <c r="L178" s="218">
        <v>0</v>
      </c>
      <c r="M178" s="218">
        <v>0</v>
      </c>
      <c r="N178" s="218">
        <v>0</v>
      </c>
      <c r="O178" s="218">
        <v>0</v>
      </c>
      <c r="P178" s="218">
        <v>0</v>
      </c>
      <c r="Q178" s="218">
        <v>0</v>
      </c>
      <c r="R178" s="218">
        <v>0</v>
      </c>
      <c r="S178" s="218">
        <v>0</v>
      </c>
      <c r="T178" s="218">
        <f t="shared" si="50"/>
        <v>0</v>
      </c>
      <c r="U178" s="218"/>
      <c r="V178" s="218">
        <f t="shared" si="43"/>
        <v>0</v>
      </c>
      <c r="W178" s="218">
        <f t="shared" si="43"/>
        <v>0</v>
      </c>
      <c r="X178" s="218">
        <f t="shared" si="43"/>
        <v>0</v>
      </c>
      <c r="Y178" s="218">
        <f t="shared" si="43"/>
        <v>0</v>
      </c>
      <c r="Z178" s="218">
        <f t="shared" si="51"/>
        <v>0</v>
      </c>
      <c r="AA178" s="218">
        <f t="shared" si="51"/>
        <v>0</v>
      </c>
      <c r="AB178" s="218">
        <f t="shared" si="51"/>
        <v>0</v>
      </c>
      <c r="AC178" s="218">
        <f t="shared" si="51"/>
        <v>0</v>
      </c>
      <c r="AD178" s="218">
        <f t="shared" si="51"/>
        <v>0</v>
      </c>
      <c r="AE178" s="218">
        <f t="shared" si="51"/>
        <v>0</v>
      </c>
      <c r="AF178" s="218">
        <f t="shared" si="51"/>
        <v>0</v>
      </c>
      <c r="AG178" s="218">
        <f t="shared" si="51"/>
        <v>0</v>
      </c>
      <c r="AI178" s="220"/>
    </row>
    <row r="179" spans="1:35" s="214" customFormat="1" hidden="1">
      <c r="A179" s="214" t="str">
        <f t="shared" si="52"/>
        <v>MASON CO-REGULATEDStorageSTO22</v>
      </c>
      <c r="B179" s="214">
        <f t="shared" si="45"/>
        <v>1</v>
      </c>
      <c r="C179" s="215" t="s">
        <v>373</v>
      </c>
      <c r="D179" s="215" t="s">
        <v>522</v>
      </c>
      <c r="E179" s="216" t="e">
        <v>#N/A</v>
      </c>
      <c r="F179" s="216" t="e">
        <v>#N/A</v>
      </c>
      <c r="G179" s="217"/>
      <c r="H179" s="218">
        <v>0</v>
      </c>
      <c r="I179" s="218">
        <v>0</v>
      </c>
      <c r="J179" s="218">
        <v>0</v>
      </c>
      <c r="K179" s="218">
        <v>0</v>
      </c>
      <c r="L179" s="218">
        <v>77.959999999999994</v>
      </c>
      <c r="M179" s="218">
        <v>0</v>
      </c>
      <c r="N179" s="218">
        <v>0</v>
      </c>
      <c r="O179" s="218">
        <v>0</v>
      </c>
      <c r="P179" s="218">
        <v>0</v>
      </c>
      <c r="Q179" s="218">
        <v>0</v>
      </c>
      <c r="R179" s="218">
        <v>0</v>
      </c>
      <c r="S179" s="218">
        <v>0</v>
      </c>
      <c r="T179" s="218">
        <f t="shared" si="50"/>
        <v>77.959999999999994</v>
      </c>
      <c r="U179" s="218"/>
      <c r="V179" s="218">
        <f t="shared" si="43"/>
        <v>0</v>
      </c>
      <c r="W179" s="218">
        <f t="shared" si="43"/>
        <v>0</v>
      </c>
      <c r="X179" s="218">
        <f t="shared" si="43"/>
        <v>0</v>
      </c>
      <c r="Y179" s="218">
        <f t="shared" si="43"/>
        <v>0</v>
      </c>
      <c r="Z179" s="218">
        <f t="shared" si="51"/>
        <v>0</v>
      </c>
      <c r="AA179" s="218">
        <f t="shared" si="51"/>
        <v>0</v>
      </c>
      <c r="AB179" s="218">
        <f t="shared" si="51"/>
        <v>0</v>
      </c>
      <c r="AC179" s="218">
        <f t="shared" si="51"/>
        <v>0</v>
      </c>
      <c r="AD179" s="218">
        <f t="shared" si="51"/>
        <v>0</v>
      </c>
      <c r="AE179" s="218">
        <f t="shared" si="51"/>
        <v>0</v>
      </c>
      <c r="AF179" s="218">
        <f t="shared" si="51"/>
        <v>0</v>
      </c>
      <c r="AG179" s="218">
        <f t="shared" si="51"/>
        <v>0</v>
      </c>
      <c r="AI179" s="220"/>
    </row>
    <row r="180" spans="1:35" s="214" customFormat="1" hidden="1">
      <c r="A180" s="214" t="str">
        <f>$A$1&amp;"SURC"&amp;C180</f>
        <v>MASON CO-REGULATEDSURCFUEL-RO MASON</v>
      </c>
      <c r="B180" s="214">
        <f t="shared" si="45"/>
        <v>1</v>
      </c>
      <c r="C180" s="215" t="s">
        <v>374</v>
      </c>
      <c r="D180" s="215" t="s">
        <v>468</v>
      </c>
      <c r="E180" s="216" t="e">
        <v>#N/A</v>
      </c>
      <c r="F180" s="216" t="e">
        <v>#N/A</v>
      </c>
      <c r="G180" s="217"/>
      <c r="H180" s="218">
        <v>0</v>
      </c>
      <c r="I180" s="218">
        <v>0</v>
      </c>
      <c r="J180" s="218">
        <v>0</v>
      </c>
      <c r="K180" s="218">
        <v>0</v>
      </c>
      <c r="L180" s="218">
        <v>0</v>
      </c>
      <c r="M180" s="218">
        <v>0</v>
      </c>
      <c r="N180" s="218">
        <v>0</v>
      </c>
      <c r="O180" s="218">
        <v>0</v>
      </c>
      <c r="P180" s="218">
        <v>0</v>
      </c>
      <c r="Q180" s="218">
        <v>0</v>
      </c>
      <c r="R180" s="218">
        <v>0</v>
      </c>
      <c r="S180" s="218">
        <v>0</v>
      </c>
      <c r="T180" s="218">
        <f t="shared" si="50"/>
        <v>0</v>
      </c>
      <c r="U180" s="218"/>
      <c r="V180" s="218">
        <f t="shared" si="43"/>
        <v>0</v>
      </c>
      <c r="W180" s="218">
        <f t="shared" si="43"/>
        <v>0</v>
      </c>
      <c r="X180" s="218">
        <f t="shared" si="43"/>
        <v>0</v>
      </c>
      <c r="Y180" s="218">
        <f t="shared" si="43"/>
        <v>0</v>
      </c>
      <c r="Z180" s="218">
        <f t="shared" si="51"/>
        <v>0</v>
      </c>
      <c r="AA180" s="218">
        <f t="shared" si="51"/>
        <v>0</v>
      </c>
      <c r="AB180" s="218">
        <f t="shared" si="51"/>
        <v>0</v>
      </c>
      <c r="AC180" s="218">
        <f t="shared" si="51"/>
        <v>0</v>
      </c>
      <c r="AD180" s="218">
        <f t="shared" si="51"/>
        <v>0</v>
      </c>
      <c r="AE180" s="218">
        <f t="shared" si="51"/>
        <v>0</v>
      </c>
      <c r="AF180" s="218">
        <f t="shared" si="51"/>
        <v>0</v>
      </c>
      <c r="AG180" s="218">
        <f t="shared" si="51"/>
        <v>0</v>
      </c>
      <c r="AI180" s="220"/>
    </row>
    <row r="181" spans="1:35" s="214" customFormat="1" hidden="1">
      <c r="A181" s="214" t="str">
        <f>$A$1&amp;"Rolloff"&amp;C181</f>
        <v>MASON CO-REGULATEDRolloffROWAIT</v>
      </c>
      <c r="B181" s="214">
        <f t="shared" si="45"/>
        <v>1</v>
      </c>
      <c r="C181" s="215" t="s">
        <v>375</v>
      </c>
      <c r="D181" s="215" t="s">
        <v>523</v>
      </c>
      <c r="E181" s="216">
        <v>0</v>
      </c>
      <c r="F181" s="216">
        <v>0</v>
      </c>
      <c r="G181" s="217"/>
      <c r="H181" s="218">
        <v>0</v>
      </c>
      <c r="I181" s="218">
        <v>0</v>
      </c>
      <c r="J181" s="218">
        <v>0</v>
      </c>
      <c r="K181" s="218">
        <v>0</v>
      </c>
      <c r="L181" s="218">
        <v>0</v>
      </c>
      <c r="M181" s="218">
        <v>0</v>
      </c>
      <c r="N181" s="218">
        <v>0</v>
      </c>
      <c r="O181" s="218">
        <v>0</v>
      </c>
      <c r="P181" s="218">
        <v>0</v>
      </c>
      <c r="Q181" s="218">
        <v>0</v>
      </c>
      <c r="R181" s="218">
        <v>0</v>
      </c>
      <c r="S181" s="218">
        <v>0</v>
      </c>
      <c r="T181" s="218">
        <f t="shared" si="50"/>
        <v>0</v>
      </c>
      <c r="U181" s="218"/>
      <c r="V181" s="218">
        <f t="shared" si="43"/>
        <v>0</v>
      </c>
      <c r="W181" s="218">
        <f t="shared" si="43"/>
        <v>0</v>
      </c>
      <c r="X181" s="218">
        <f t="shared" si="43"/>
        <v>0</v>
      </c>
      <c r="Y181" s="218">
        <f t="shared" si="43"/>
        <v>0</v>
      </c>
      <c r="Z181" s="218">
        <f t="shared" si="51"/>
        <v>0</v>
      </c>
      <c r="AA181" s="218">
        <f t="shared" si="51"/>
        <v>0</v>
      </c>
      <c r="AB181" s="218">
        <f t="shared" si="51"/>
        <v>0</v>
      </c>
      <c r="AC181" s="218">
        <f t="shared" si="51"/>
        <v>0</v>
      </c>
      <c r="AD181" s="218">
        <f t="shared" si="51"/>
        <v>0</v>
      </c>
      <c r="AE181" s="218">
        <f t="shared" si="51"/>
        <v>0</v>
      </c>
      <c r="AF181" s="218">
        <f t="shared" si="51"/>
        <v>0</v>
      </c>
      <c r="AG181" s="218">
        <f t="shared" si="51"/>
        <v>0</v>
      </c>
      <c r="AI181" s="220"/>
    </row>
    <row r="182" spans="1:35" s="214" customFormat="1" ht="13.5" hidden="1" customHeight="1">
      <c r="A182" s="214" t="str">
        <f t="shared" si="49"/>
        <v>MASON CO-REGULATEDRolloffROHOUR</v>
      </c>
      <c r="B182" s="214">
        <f t="shared" si="45"/>
        <v>1</v>
      </c>
      <c r="C182" s="215" t="s">
        <v>376</v>
      </c>
      <c r="D182" s="215" t="s">
        <v>524</v>
      </c>
      <c r="E182" s="216" t="e">
        <v>#N/A</v>
      </c>
      <c r="F182" s="216" t="e">
        <v>#N/A</v>
      </c>
      <c r="G182" s="217"/>
      <c r="H182" s="218">
        <v>0</v>
      </c>
      <c r="I182" s="218">
        <v>0</v>
      </c>
      <c r="J182" s="218">
        <v>303.36</v>
      </c>
      <c r="K182" s="218">
        <v>0</v>
      </c>
      <c r="L182" s="218">
        <v>0</v>
      </c>
      <c r="M182" s="218">
        <v>0</v>
      </c>
      <c r="N182" s="218">
        <v>151.68</v>
      </c>
      <c r="O182" s="218">
        <v>0</v>
      </c>
      <c r="P182" s="218">
        <v>0</v>
      </c>
      <c r="Q182" s="218">
        <v>0</v>
      </c>
      <c r="R182" s="218">
        <v>0</v>
      </c>
      <c r="S182" s="218">
        <v>0</v>
      </c>
      <c r="T182" s="218">
        <f t="shared" si="50"/>
        <v>455.04</v>
      </c>
      <c r="U182" s="218"/>
      <c r="V182" s="218">
        <f t="shared" si="43"/>
        <v>0</v>
      </c>
      <c r="W182" s="218">
        <f t="shared" si="43"/>
        <v>0</v>
      </c>
      <c r="X182" s="218">
        <f t="shared" si="43"/>
        <v>0</v>
      </c>
      <c r="Y182" s="218">
        <f t="shared" si="43"/>
        <v>0</v>
      </c>
      <c r="Z182" s="218">
        <f t="shared" si="51"/>
        <v>0</v>
      </c>
      <c r="AA182" s="218">
        <f t="shared" si="51"/>
        <v>0</v>
      </c>
      <c r="AB182" s="218">
        <f t="shared" si="51"/>
        <v>0</v>
      </c>
      <c r="AC182" s="218">
        <f t="shared" si="51"/>
        <v>0</v>
      </c>
      <c r="AD182" s="218">
        <f t="shared" si="51"/>
        <v>0</v>
      </c>
      <c r="AE182" s="218">
        <f t="shared" si="51"/>
        <v>0</v>
      </c>
      <c r="AF182" s="218">
        <f t="shared" si="51"/>
        <v>0</v>
      </c>
      <c r="AG182" s="218">
        <f t="shared" si="51"/>
        <v>0</v>
      </c>
      <c r="AI182" s="220"/>
    </row>
    <row r="183" spans="1:35" s="214" customFormat="1" hidden="1">
      <c r="A183" s="214" t="str">
        <f t="shared" si="49"/>
        <v>MASON CO-REGULATEDRolloffRORELOCATE</v>
      </c>
      <c r="B183" s="214">
        <f t="shared" si="45"/>
        <v>1</v>
      </c>
      <c r="C183" s="215" t="s">
        <v>377</v>
      </c>
      <c r="D183" s="215" t="s">
        <v>525</v>
      </c>
      <c r="E183" s="216" t="e">
        <v>#N/A</v>
      </c>
      <c r="F183" s="216" t="e">
        <v>#N/A</v>
      </c>
      <c r="G183" s="217"/>
      <c r="H183" s="218">
        <v>0</v>
      </c>
      <c r="I183" s="218">
        <v>0</v>
      </c>
      <c r="J183" s="218">
        <v>0</v>
      </c>
      <c r="K183" s="218">
        <v>0</v>
      </c>
      <c r="L183" s="218">
        <v>0</v>
      </c>
      <c r="M183" s="218">
        <v>0</v>
      </c>
      <c r="N183" s="218">
        <v>0</v>
      </c>
      <c r="O183" s="218">
        <v>331.48</v>
      </c>
      <c r="P183" s="218">
        <v>0</v>
      </c>
      <c r="Q183" s="218">
        <v>0</v>
      </c>
      <c r="R183" s="218">
        <v>0</v>
      </c>
      <c r="S183" s="218">
        <v>0</v>
      </c>
      <c r="T183" s="218">
        <f t="shared" si="50"/>
        <v>331.48</v>
      </c>
      <c r="U183" s="218"/>
      <c r="V183" s="218">
        <f t="shared" si="43"/>
        <v>0</v>
      </c>
      <c r="W183" s="218">
        <f t="shared" si="43"/>
        <v>0</v>
      </c>
      <c r="X183" s="218">
        <f t="shared" si="43"/>
        <v>0</v>
      </c>
      <c r="Y183" s="218">
        <f t="shared" si="43"/>
        <v>0</v>
      </c>
      <c r="Z183" s="218">
        <f t="shared" si="51"/>
        <v>0</v>
      </c>
      <c r="AA183" s="218">
        <f t="shared" si="51"/>
        <v>0</v>
      </c>
      <c r="AB183" s="218">
        <f t="shared" si="51"/>
        <v>0</v>
      </c>
      <c r="AC183" s="218">
        <f t="shared" si="51"/>
        <v>0</v>
      </c>
      <c r="AD183" s="218">
        <f t="shared" si="51"/>
        <v>0</v>
      </c>
      <c r="AE183" s="218">
        <f t="shared" si="51"/>
        <v>0</v>
      </c>
      <c r="AF183" s="218">
        <f t="shared" si="51"/>
        <v>0</v>
      </c>
      <c r="AG183" s="218">
        <f t="shared" si="51"/>
        <v>0</v>
      </c>
      <c r="AI183" s="220"/>
    </row>
    <row r="184" spans="1:35" s="214" customFormat="1" hidden="1">
      <c r="A184" s="214" t="str">
        <f t="shared" si="49"/>
        <v>MASON CO-REGULATEDRolloffADJOTHRO</v>
      </c>
      <c r="B184" s="214">
        <f t="shared" si="45"/>
        <v>1</v>
      </c>
      <c r="C184" s="215" t="s">
        <v>378</v>
      </c>
      <c r="D184" s="215" t="s">
        <v>445</v>
      </c>
      <c r="E184" s="216" t="e">
        <v>#N/A</v>
      </c>
      <c r="F184" s="216" t="e">
        <v>#N/A</v>
      </c>
      <c r="G184" s="217"/>
      <c r="H184" s="218">
        <v>0</v>
      </c>
      <c r="I184" s="218">
        <v>0</v>
      </c>
      <c r="J184" s="218">
        <v>0</v>
      </c>
      <c r="K184" s="218">
        <v>0</v>
      </c>
      <c r="L184" s="218">
        <v>0</v>
      </c>
      <c r="M184" s="218">
        <v>0</v>
      </c>
      <c r="N184" s="218">
        <v>0</v>
      </c>
      <c r="O184" s="218">
        <v>0</v>
      </c>
      <c r="P184" s="218">
        <v>-20.059999999999999</v>
      </c>
      <c r="Q184" s="218">
        <v>0</v>
      </c>
      <c r="R184" s="218">
        <v>0</v>
      </c>
      <c r="S184" s="218">
        <v>0</v>
      </c>
      <c r="T184" s="218">
        <f t="shared" si="50"/>
        <v>-20.059999999999999</v>
      </c>
      <c r="U184" s="218"/>
      <c r="V184" s="218">
        <f t="shared" si="43"/>
        <v>0</v>
      </c>
      <c r="W184" s="218">
        <f t="shared" si="43"/>
        <v>0</v>
      </c>
      <c r="X184" s="218">
        <f t="shared" si="43"/>
        <v>0</v>
      </c>
      <c r="Y184" s="218">
        <f t="shared" si="43"/>
        <v>0</v>
      </c>
      <c r="Z184" s="218">
        <f t="shared" si="51"/>
        <v>0</v>
      </c>
      <c r="AA184" s="218">
        <f t="shared" si="51"/>
        <v>0</v>
      </c>
      <c r="AB184" s="218">
        <f t="shared" si="51"/>
        <v>0</v>
      </c>
      <c r="AC184" s="218">
        <f t="shared" si="51"/>
        <v>0</v>
      </c>
      <c r="AD184" s="218">
        <f t="shared" si="51"/>
        <v>0</v>
      </c>
      <c r="AE184" s="218">
        <f t="shared" si="51"/>
        <v>0</v>
      </c>
      <c r="AF184" s="218">
        <f t="shared" si="51"/>
        <v>0</v>
      </c>
      <c r="AG184" s="218">
        <f t="shared" si="51"/>
        <v>0</v>
      </c>
      <c r="AI184" s="220"/>
    </row>
    <row r="185" spans="1:35" s="214" customFormat="1" hidden="1">
      <c r="A185" s="214" t="str">
        <f t="shared" si="49"/>
        <v>MASON CO-REGULATEDRolloffFUEL</v>
      </c>
      <c r="B185" s="214">
        <f t="shared" si="45"/>
        <v>1</v>
      </c>
      <c r="C185" s="215" t="s">
        <v>379</v>
      </c>
      <c r="D185" s="215" t="e">
        <v>#N/A</v>
      </c>
      <c r="E185" s="216" t="e">
        <v>#N/A</v>
      </c>
      <c r="F185" s="216" t="e">
        <v>#N/A</v>
      </c>
      <c r="G185" s="217"/>
      <c r="H185" s="218">
        <v>0</v>
      </c>
      <c r="I185" s="218">
        <v>0</v>
      </c>
      <c r="J185" s="218">
        <v>0</v>
      </c>
      <c r="K185" s="218">
        <v>0</v>
      </c>
      <c r="L185" s="218">
        <v>0</v>
      </c>
      <c r="M185" s="218">
        <v>0</v>
      </c>
      <c r="N185" s="218">
        <v>0</v>
      </c>
      <c r="O185" s="218">
        <v>0</v>
      </c>
      <c r="P185" s="218">
        <v>0</v>
      </c>
      <c r="Q185" s="218">
        <v>0</v>
      </c>
      <c r="R185" s="218">
        <v>0</v>
      </c>
      <c r="S185" s="218">
        <v>0</v>
      </c>
      <c r="T185" s="218">
        <f t="shared" si="50"/>
        <v>0</v>
      </c>
      <c r="U185" s="218"/>
      <c r="V185" s="218">
        <f t="shared" si="43"/>
        <v>0</v>
      </c>
      <c r="W185" s="218">
        <f t="shared" si="43"/>
        <v>0</v>
      </c>
      <c r="X185" s="218">
        <f t="shared" si="43"/>
        <v>0</v>
      </c>
      <c r="Y185" s="218">
        <f t="shared" si="43"/>
        <v>0</v>
      </c>
      <c r="Z185" s="218">
        <f t="shared" si="51"/>
        <v>0</v>
      </c>
      <c r="AA185" s="218">
        <f t="shared" si="51"/>
        <v>0</v>
      </c>
      <c r="AB185" s="218">
        <f t="shared" si="51"/>
        <v>0</v>
      </c>
      <c r="AC185" s="218">
        <f t="shared" si="51"/>
        <v>0</v>
      </c>
      <c r="AD185" s="218">
        <f t="shared" si="51"/>
        <v>0</v>
      </c>
      <c r="AE185" s="218">
        <f t="shared" si="51"/>
        <v>0</v>
      </c>
      <c r="AF185" s="218">
        <f t="shared" si="51"/>
        <v>0</v>
      </c>
      <c r="AG185" s="218">
        <f t="shared" si="51"/>
        <v>0</v>
      </c>
      <c r="AI185" s="220"/>
    </row>
    <row r="186" spans="1:35" s="214" customFormat="1" hidden="1">
      <c r="B186" s="214">
        <f t="shared" si="45"/>
        <v>0</v>
      </c>
      <c r="C186" s="221"/>
      <c r="D186" s="221"/>
      <c r="E186" s="217"/>
      <c r="F186" s="217"/>
      <c r="G186" s="217"/>
      <c r="H186" s="216"/>
      <c r="I186" s="216"/>
      <c r="J186" s="216"/>
      <c r="K186" s="216"/>
      <c r="L186" s="216"/>
      <c r="M186" s="218" t="str">
        <f>IF(G186="","",(#REF!/G186)+(#REF!/#REF!))</f>
        <v/>
      </c>
      <c r="N186" s="218" t="str">
        <f>IF(G186="","",M186/12)</f>
        <v/>
      </c>
      <c r="V186" s="218">
        <f t="shared" si="43"/>
        <v>0</v>
      </c>
      <c r="W186" s="218">
        <f t="shared" si="43"/>
        <v>0</v>
      </c>
      <c r="X186" s="218">
        <f t="shared" si="43"/>
        <v>0</v>
      </c>
      <c r="Y186" s="218">
        <f t="shared" si="43"/>
        <v>0</v>
      </c>
      <c r="Z186" s="218">
        <f t="shared" si="51"/>
        <v>0</v>
      </c>
      <c r="AA186" s="218">
        <f t="shared" si="51"/>
        <v>0</v>
      </c>
      <c r="AB186" s="218">
        <f t="shared" si="51"/>
        <v>0</v>
      </c>
      <c r="AC186" s="218">
        <f t="shared" si="51"/>
        <v>0</v>
      </c>
      <c r="AD186" s="218">
        <f t="shared" si="51"/>
        <v>0</v>
      </c>
      <c r="AE186" s="218">
        <f t="shared" si="51"/>
        <v>0</v>
      </c>
      <c r="AF186" s="218">
        <f t="shared" si="51"/>
        <v>0</v>
      </c>
      <c r="AG186" s="218">
        <f t="shared" si="51"/>
        <v>0</v>
      </c>
      <c r="AI186" s="220"/>
    </row>
    <row r="187" spans="1:35" s="214" customFormat="1" hidden="1">
      <c r="B187" s="214">
        <f t="shared" si="45"/>
        <v>0</v>
      </c>
      <c r="C187" s="221"/>
      <c r="D187" s="222" t="s">
        <v>380</v>
      </c>
      <c r="E187" s="217"/>
      <c r="F187" s="217"/>
      <c r="G187" s="217"/>
      <c r="H187" s="196">
        <f t="shared" ref="H187:T187" si="53">SUM(H153:H186)</f>
        <v>26876.420000000002</v>
      </c>
      <c r="I187" s="196">
        <f t="shared" si="53"/>
        <v>32311.21</v>
      </c>
      <c r="J187" s="196">
        <f t="shared" si="53"/>
        <v>29916.315000000006</v>
      </c>
      <c r="K187" s="196">
        <f t="shared" si="53"/>
        <v>21440.694999999996</v>
      </c>
      <c r="L187" s="196">
        <f t="shared" si="53"/>
        <v>19144.550000000003</v>
      </c>
      <c r="M187" s="196">
        <f t="shared" si="53"/>
        <v>15981.640000000001</v>
      </c>
      <c r="N187" s="196">
        <f t="shared" si="53"/>
        <v>26712.55</v>
      </c>
      <c r="O187" s="196">
        <f t="shared" si="53"/>
        <v>34131.560000000005</v>
      </c>
      <c r="P187" s="196">
        <f t="shared" si="53"/>
        <v>30487.02</v>
      </c>
      <c r="Q187" s="196">
        <f t="shared" si="53"/>
        <v>31171.71</v>
      </c>
      <c r="R187" s="196">
        <f t="shared" si="53"/>
        <v>30763.06</v>
      </c>
      <c r="S187" s="196">
        <f t="shared" si="53"/>
        <v>32680.190000000002</v>
      </c>
      <c r="T187" s="196">
        <f t="shared" si="53"/>
        <v>331616.91999999993</v>
      </c>
      <c r="U187" s="227">
        <f>T187-SUM(L187:S187)</f>
        <v>110544.6399999999</v>
      </c>
      <c r="V187" s="218">
        <f t="shared" si="43"/>
        <v>0</v>
      </c>
      <c r="W187" s="218">
        <f t="shared" si="43"/>
        <v>0</v>
      </c>
      <c r="X187" s="218">
        <f t="shared" si="43"/>
        <v>0</v>
      </c>
      <c r="Y187" s="218">
        <f t="shared" si="43"/>
        <v>0</v>
      </c>
      <c r="Z187" s="218">
        <f t="shared" si="51"/>
        <v>0</v>
      </c>
      <c r="AA187" s="218">
        <f t="shared" si="51"/>
        <v>0</v>
      </c>
      <c r="AB187" s="218">
        <f t="shared" si="51"/>
        <v>0</v>
      </c>
      <c r="AC187" s="218">
        <f t="shared" si="51"/>
        <v>0</v>
      </c>
      <c r="AD187" s="218">
        <f t="shared" si="51"/>
        <v>0</v>
      </c>
      <c r="AE187" s="218">
        <f t="shared" si="51"/>
        <v>0</v>
      </c>
      <c r="AF187" s="218">
        <f t="shared" si="51"/>
        <v>0</v>
      </c>
      <c r="AG187" s="218">
        <f t="shared" si="51"/>
        <v>0</v>
      </c>
      <c r="AI187" s="220"/>
    </row>
    <row r="188" spans="1:35" s="214" customFormat="1" hidden="1">
      <c r="B188" s="214">
        <f t="shared" si="45"/>
        <v>0</v>
      </c>
      <c r="C188" s="221"/>
      <c r="D188" s="221"/>
      <c r="E188" s="217"/>
      <c r="F188" s="217"/>
      <c r="G188" s="217"/>
      <c r="H188" s="216"/>
      <c r="I188" s="216"/>
      <c r="J188" s="216"/>
      <c r="K188" s="216"/>
      <c r="L188" s="216"/>
      <c r="M188" s="218"/>
      <c r="N188" s="218"/>
      <c r="V188" s="218">
        <f t="shared" si="43"/>
        <v>0</v>
      </c>
      <c r="W188" s="218">
        <f t="shared" si="43"/>
        <v>0</v>
      </c>
      <c r="X188" s="218">
        <f t="shared" si="43"/>
        <v>0</v>
      </c>
      <c r="Y188" s="218">
        <f t="shared" si="43"/>
        <v>0</v>
      </c>
      <c r="Z188" s="218">
        <f t="shared" si="51"/>
        <v>0</v>
      </c>
      <c r="AA188" s="218">
        <f t="shared" si="51"/>
        <v>0</v>
      </c>
      <c r="AB188" s="218">
        <f t="shared" si="51"/>
        <v>0</v>
      </c>
      <c r="AC188" s="218">
        <f t="shared" si="51"/>
        <v>0</v>
      </c>
      <c r="AD188" s="218">
        <f t="shared" si="51"/>
        <v>0</v>
      </c>
      <c r="AE188" s="218">
        <f t="shared" si="51"/>
        <v>0</v>
      </c>
      <c r="AF188" s="218">
        <f t="shared" si="51"/>
        <v>0</v>
      </c>
      <c r="AG188" s="218">
        <f t="shared" si="51"/>
        <v>0</v>
      </c>
      <c r="AI188" s="220"/>
    </row>
    <row r="189" spans="1:35" s="214" customFormat="1" hidden="1">
      <c r="B189" s="214">
        <f t="shared" si="45"/>
        <v>1</v>
      </c>
      <c r="C189" s="224" t="s">
        <v>381</v>
      </c>
      <c r="D189" s="224" t="s">
        <v>381</v>
      </c>
      <c r="E189" s="217"/>
      <c r="F189" s="217"/>
      <c r="G189" s="217"/>
      <c r="H189" s="216"/>
      <c r="I189" s="216"/>
      <c r="J189" s="216"/>
      <c r="K189" s="216"/>
      <c r="L189" s="216"/>
      <c r="M189" s="218"/>
      <c r="N189" s="218"/>
      <c r="V189" s="218">
        <f t="shared" si="43"/>
        <v>0</v>
      </c>
      <c r="W189" s="218">
        <f t="shared" si="43"/>
        <v>0</v>
      </c>
      <c r="X189" s="218">
        <f t="shared" si="43"/>
        <v>0</v>
      </c>
      <c r="Y189" s="218">
        <f t="shared" si="43"/>
        <v>0</v>
      </c>
      <c r="Z189" s="218">
        <f t="shared" si="51"/>
        <v>0</v>
      </c>
      <c r="AA189" s="218">
        <f t="shared" si="51"/>
        <v>0</v>
      </c>
      <c r="AB189" s="218">
        <f t="shared" si="51"/>
        <v>0</v>
      </c>
      <c r="AC189" s="218">
        <f t="shared" si="51"/>
        <v>0</v>
      </c>
      <c r="AD189" s="218">
        <f t="shared" si="51"/>
        <v>0</v>
      </c>
      <c r="AE189" s="218">
        <f t="shared" si="51"/>
        <v>0</v>
      </c>
      <c r="AF189" s="218">
        <f t="shared" si="51"/>
        <v>0</v>
      </c>
      <c r="AG189" s="218">
        <f t="shared" si="51"/>
        <v>0</v>
      </c>
      <c r="AI189" s="220"/>
    </row>
    <row r="190" spans="1:35" s="214" customFormat="1" hidden="1">
      <c r="A190" s="214" t="str">
        <f t="shared" ref="A190:A192" si="54">$A$1&amp;"Rolloff"&amp;C190</f>
        <v>MASON CO-REGULATEDRolloffDISPMC-TON</v>
      </c>
      <c r="B190" s="214">
        <f t="shared" si="45"/>
        <v>1</v>
      </c>
      <c r="C190" s="215" t="s">
        <v>382</v>
      </c>
      <c r="D190" s="215" t="s">
        <v>526</v>
      </c>
      <c r="E190" s="216">
        <v>96.16</v>
      </c>
      <c r="F190" s="216">
        <v>99.52</v>
      </c>
      <c r="G190" s="217"/>
      <c r="H190" s="218">
        <v>32389.85</v>
      </c>
      <c r="I190" s="218">
        <v>39580.68</v>
      </c>
      <c r="J190" s="218">
        <v>39730.51</v>
      </c>
      <c r="K190" s="218">
        <v>29860.54</v>
      </c>
      <c r="L190" s="218">
        <v>38132.120000000003</v>
      </c>
      <c r="M190" s="218">
        <v>20973.9</v>
      </c>
      <c r="N190" s="218">
        <v>34092.65</v>
      </c>
      <c r="O190" s="218">
        <v>46206.46</v>
      </c>
      <c r="P190" s="218">
        <v>39186.019999999997</v>
      </c>
      <c r="Q190" s="218">
        <v>40598.26</v>
      </c>
      <c r="R190" s="218">
        <v>38350.080000000002</v>
      </c>
      <c r="S190" s="218">
        <v>41231.17</v>
      </c>
      <c r="T190" s="218">
        <f>SUM(H190:S190)</f>
        <v>440332.24000000005</v>
      </c>
      <c r="U190" s="218"/>
      <c r="V190" s="218">
        <f t="shared" si="43"/>
        <v>336.83288269550746</v>
      </c>
      <c r="W190" s="218">
        <f t="shared" si="43"/>
        <v>411.61272878535777</v>
      </c>
      <c r="X190" s="218">
        <f t="shared" si="43"/>
        <v>413.17086106489188</v>
      </c>
      <c r="Y190" s="218">
        <f t="shared" si="43"/>
        <v>310.52974209650586</v>
      </c>
      <c r="Z190" s="218">
        <f t="shared" si="51"/>
        <v>383.16036977491967</v>
      </c>
      <c r="AA190" s="218">
        <f t="shared" si="51"/>
        <v>210.75060289389069</v>
      </c>
      <c r="AB190" s="218">
        <f t="shared" si="51"/>
        <v>342.57084003215436</v>
      </c>
      <c r="AC190" s="218">
        <f t="shared" si="51"/>
        <v>464.29320739549843</v>
      </c>
      <c r="AD190" s="218">
        <f t="shared" si="51"/>
        <v>393.75020096463021</v>
      </c>
      <c r="AE190" s="218">
        <f t="shared" si="51"/>
        <v>407.94071543408364</v>
      </c>
      <c r="AF190" s="218">
        <f t="shared" si="51"/>
        <v>385.35048231511257</v>
      </c>
      <c r="AG190" s="218">
        <f t="shared" si="51"/>
        <v>414.30034163987136</v>
      </c>
      <c r="AI190" s="220"/>
    </row>
    <row r="191" spans="1:35" s="214" customFormat="1" hidden="1">
      <c r="A191" s="214" t="str">
        <f t="shared" si="54"/>
        <v>MASON CO-REGULATEDRolloffDISPOLY-TON</v>
      </c>
      <c r="B191" s="214">
        <f t="shared" si="45"/>
        <v>1</v>
      </c>
      <c r="C191" s="215" t="s">
        <v>383</v>
      </c>
      <c r="D191" s="215" t="s">
        <v>527</v>
      </c>
      <c r="E191" s="216">
        <v>71</v>
      </c>
      <c r="F191" s="216">
        <v>71</v>
      </c>
      <c r="G191" s="217"/>
      <c r="H191" s="218">
        <v>0</v>
      </c>
      <c r="I191" s="218">
        <v>0</v>
      </c>
      <c r="J191" s="218">
        <v>0</v>
      </c>
      <c r="K191" s="218">
        <v>0</v>
      </c>
      <c r="L191" s="218">
        <v>0</v>
      </c>
      <c r="M191" s="218">
        <v>0</v>
      </c>
      <c r="N191" s="218">
        <v>-450.49</v>
      </c>
      <c r="O191" s="218">
        <v>0</v>
      </c>
      <c r="P191" s="218">
        <v>0</v>
      </c>
      <c r="Q191" s="218">
        <v>0</v>
      </c>
      <c r="R191" s="218">
        <v>0</v>
      </c>
      <c r="S191" s="218">
        <v>0</v>
      </c>
      <c r="T191" s="218">
        <f>SUM(H191:S191)</f>
        <v>-450.49</v>
      </c>
      <c r="U191" s="218"/>
      <c r="V191" s="218">
        <f t="shared" si="43"/>
        <v>0</v>
      </c>
      <c r="W191" s="218">
        <f t="shared" si="43"/>
        <v>0</v>
      </c>
      <c r="X191" s="218">
        <f t="shared" si="43"/>
        <v>0</v>
      </c>
      <c r="Y191" s="218">
        <f t="shared" si="43"/>
        <v>0</v>
      </c>
      <c r="Z191" s="218">
        <f t="shared" si="51"/>
        <v>0</v>
      </c>
      <c r="AA191" s="218">
        <f t="shared" si="51"/>
        <v>0</v>
      </c>
      <c r="AB191" s="218">
        <f t="shared" si="51"/>
        <v>-6.3449295774647885</v>
      </c>
      <c r="AC191" s="218">
        <f t="shared" si="51"/>
        <v>0</v>
      </c>
      <c r="AD191" s="218">
        <f t="shared" si="51"/>
        <v>0</v>
      </c>
      <c r="AE191" s="218">
        <f t="shared" si="51"/>
        <v>0</v>
      </c>
      <c r="AF191" s="218">
        <f t="shared" si="51"/>
        <v>0</v>
      </c>
      <c r="AG191" s="218">
        <f t="shared" si="51"/>
        <v>0</v>
      </c>
      <c r="AI191" s="220"/>
    </row>
    <row r="192" spans="1:35" s="214" customFormat="1" hidden="1">
      <c r="A192" s="214" t="str">
        <f t="shared" si="54"/>
        <v>MASON CO-REGULATEDRolloffDISPMCMISC</v>
      </c>
      <c r="B192" s="214">
        <f t="shared" si="45"/>
        <v>1</v>
      </c>
      <c r="C192" s="221" t="s">
        <v>384</v>
      </c>
      <c r="D192" s="215" t="s">
        <v>528</v>
      </c>
      <c r="E192" s="216">
        <v>0</v>
      </c>
      <c r="F192" s="216"/>
      <c r="G192" s="217"/>
      <c r="H192" s="218">
        <v>449.54</v>
      </c>
      <c r="I192" s="218">
        <v>1028.99</v>
      </c>
      <c r="J192" s="218">
        <v>345.29</v>
      </c>
      <c r="K192" s="218">
        <v>245.17</v>
      </c>
      <c r="L192" s="218">
        <v>367.41</v>
      </c>
      <c r="M192" s="218">
        <v>162.75</v>
      </c>
      <c r="N192" s="218">
        <v>255.35</v>
      </c>
      <c r="O192" s="218">
        <v>1037.3900000000001</v>
      </c>
      <c r="P192" s="218">
        <v>651.54</v>
      </c>
      <c r="Q192" s="218">
        <v>661.3</v>
      </c>
      <c r="R192" s="218">
        <v>439.45</v>
      </c>
      <c r="S192" s="218">
        <v>559.75</v>
      </c>
      <c r="T192" s="218">
        <f>SUM(H192:S192)</f>
        <v>6203.9299999999994</v>
      </c>
      <c r="U192" s="218"/>
      <c r="V192" s="218">
        <f t="shared" si="43"/>
        <v>0</v>
      </c>
      <c r="W192" s="218">
        <f t="shared" si="43"/>
        <v>0</v>
      </c>
      <c r="X192" s="218">
        <f t="shared" si="43"/>
        <v>0</v>
      </c>
      <c r="Y192" s="218">
        <f t="shared" si="43"/>
        <v>0</v>
      </c>
      <c r="Z192" s="218">
        <f t="shared" si="51"/>
        <v>0</v>
      </c>
      <c r="AA192" s="218">
        <f t="shared" si="51"/>
        <v>0</v>
      </c>
      <c r="AB192" s="218">
        <f t="shared" si="51"/>
        <v>0</v>
      </c>
      <c r="AC192" s="218">
        <f t="shared" si="51"/>
        <v>0</v>
      </c>
      <c r="AD192" s="218">
        <f t="shared" si="51"/>
        <v>0</v>
      </c>
      <c r="AE192" s="218">
        <f t="shared" si="51"/>
        <v>0</v>
      </c>
      <c r="AF192" s="218">
        <f t="shared" si="51"/>
        <v>0</v>
      </c>
      <c r="AG192" s="218">
        <f t="shared" si="51"/>
        <v>0</v>
      </c>
      <c r="AI192" s="220"/>
    </row>
    <row r="193" spans="1:35" s="214" customFormat="1" hidden="1">
      <c r="A193" s="214" t="str">
        <f>$A$1&amp;"Rolloff"&amp;C193</f>
        <v>MASON CO-REGULATEDRolloffDISPOLYMISC</v>
      </c>
      <c r="B193" s="214">
        <f t="shared" si="45"/>
        <v>1</v>
      </c>
      <c r="C193" s="215" t="s">
        <v>385</v>
      </c>
      <c r="D193" s="215" t="s">
        <v>528</v>
      </c>
      <c r="E193" s="216" t="e">
        <v>#N/A</v>
      </c>
      <c r="F193" s="216" t="e">
        <v>#N/A</v>
      </c>
      <c r="G193" s="217"/>
      <c r="H193" s="218">
        <v>0</v>
      </c>
      <c r="I193" s="218">
        <v>0</v>
      </c>
      <c r="J193" s="218">
        <v>0</v>
      </c>
      <c r="K193" s="218">
        <v>0</v>
      </c>
      <c r="L193" s="218">
        <v>0</v>
      </c>
      <c r="M193" s="218">
        <v>0</v>
      </c>
      <c r="N193" s="218">
        <v>0</v>
      </c>
      <c r="O193" s="218">
        <v>0</v>
      </c>
      <c r="P193" s="218">
        <v>0</v>
      </c>
      <c r="Q193" s="218">
        <v>0</v>
      </c>
      <c r="R193" s="218">
        <v>0</v>
      </c>
      <c r="S193" s="218">
        <v>0</v>
      </c>
      <c r="T193" s="218">
        <f>SUM(H193:S193)</f>
        <v>0</v>
      </c>
      <c r="U193" s="218"/>
      <c r="V193" s="218">
        <f t="shared" si="43"/>
        <v>0</v>
      </c>
      <c r="W193" s="218">
        <f t="shared" si="43"/>
        <v>0</v>
      </c>
      <c r="X193" s="218">
        <f t="shared" si="43"/>
        <v>0</v>
      </c>
      <c r="Y193" s="218">
        <f t="shared" si="43"/>
        <v>0</v>
      </c>
      <c r="Z193" s="218">
        <f t="shared" si="51"/>
        <v>0</v>
      </c>
      <c r="AA193" s="218">
        <f t="shared" si="51"/>
        <v>0</v>
      </c>
      <c r="AB193" s="218">
        <f t="shared" si="51"/>
        <v>0</v>
      </c>
      <c r="AC193" s="218">
        <f t="shared" si="51"/>
        <v>0</v>
      </c>
      <c r="AD193" s="218">
        <f t="shared" si="51"/>
        <v>0</v>
      </c>
      <c r="AE193" s="218">
        <f t="shared" si="51"/>
        <v>0</v>
      </c>
      <c r="AF193" s="218">
        <f t="shared" si="51"/>
        <v>0</v>
      </c>
      <c r="AG193" s="218">
        <f t="shared" si="51"/>
        <v>0</v>
      </c>
      <c r="AI193" s="220"/>
    </row>
    <row r="194" spans="1:35" s="214" customFormat="1" hidden="1">
      <c r="B194" s="214">
        <f t="shared" si="45"/>
        <v>0</v>
      </c>
      <c r="C194" s="221"/>
      <c r="D194" s="222" t="s">
        <v>386</v>
      </c>
      <c r="E194" s="217"/>
      <c r="F194" s="217"/>
      <c r="G194" s="216"/>
      <c r="H194" s="196">
        <f t="shared" ref="H194:S194" si="55">SUM(H190:H193)</f>
        <v>32839.39</v>
      </c>
      <c r="I194" s="196">
        <f t="shared" si="55"/>
        <v>40609.67</v>
      </c>
      <c r="J194" s="196">
        <f t="shared" si="55"/>
        <v>40075.800000000003</v>
      </c>
      <c r="K194" s="196">
        <f t="shared" si="55"/>
        <v>30105.71</v>
      </c>
      <c r="L194" s="196">
        <f t="shared" si="55"/>
        <v>38499.530000000006</v>
      </c>
      <c r="M194" s="196">
        <f t="shared" si="55"/>
        <v>21136.65</v>
      </c>
      <c r="N194" s="196">
        <f t="shared" si="55"/>
        <v>33897.51</v>
      </c>
      <c r="O194" s="196">
        <f t="shared" si="55"/>
        <v>47243.85</v>
      </c>
      <c r="P194" s="196">
        <f t="shared" si="55"/>
        <v>39837.56</v>
      </c>
      <c r="Q194" s="196">
        <f t="shared" si="55"/>
        <v>41259.560000000005</v>
      </c>
      <c r="R194" s="196">
        <f t="shared" si="55"/>
        <v>38789.53</v>
      </c>
      <c r="S194" s="196">
        <f t="shared" si="55"/>
        <v>41790.92</v>
      </c>
      <c r="T194" s="196">
        <f>SUM(T190:T193)</f>
        <v>446085.68000000005</v>
      </c>
      <c r="U194" s="227">
        <f>T194-SUM(L194:S194)</f>
        <v>143630.57000000007</v>
      </c>
      <c r="V194" s="218">
        <f t="shared" si="43"/>
        <v>0</v>
      </c>
      <c r="W194" s="218">
        <f t="shared" si="43"/>
        <v>0</v>
      </c>
      <c r="X194" s="218">
        <f t="shared" si="43"/>
        <v>0</v>
      </c>
      <c r="Y194" s="218">
        <f t="shared" si="43"/>
        <v>0</v>
      </c>
      <c r="Z194" s="218">
        <f t="shared" si="51"/>
        <v>0</v>
      </c>
      <c r="AA194" s="218">
        <f t="shared" si="51"/>
        <v>0</v>
      </c>
      <c r="AB194" s="218">
        <f t="shared" si="51"/>
        <v>0</v>
      </c>
      <c r="AC194" s="218">
        <f t="shared" si="51"/>
        <v>0</v>
      </c>
      <c r="AD194" s="218">
        <f t="shared" si="51"/>
        <v>0</v>
      </c>
      <c r="AE194" s="218">
        <f t="shared" si="51"/>
        <v>0</v>
      </c>
      <c r="AF194" s="218">
        <f t="shared" si="51"/>
        <v>0</v>
      </c>
      <c r="AG194" s="218">
        <f t="shared" si="51"/>
        <v>0</v>
      </c>
      <c r="AI194" s="220"/>
    </row>
    <row r="195" spans="1:35" s="214" customFormat="1" hidden="1">
      <c r="B195" s="214">
        <f t="shared" si="45"/>
        <v>0</v>
      </c>
      <c r="C195" s="221"/>
      <c r="E195" s="217"/>
      <c r="F195" s="217"/>
      <c r="G195" s="216"/>
      <c r="M195" s="219"/>
      <c r="V195" s="218">
        <f t="shared" si="43"/>
        <v>0</v>
      </c>
      <c r="W195" s="218">
        <f t="shared" si="43"/>
        <v>0</v>
      </c>
      <c r="X195" s="218">
        <f t="shared" si="43"/>
        <v>0</v>
      </c>
      <c r="Y195" s="218">
        <f t="shared" si="43"/>
        <v>0</v>
      </c>
      <c r="Z195" s="218">
        <f t="shared" si="51"/>
        <v>0</v>
      </c>
      <c r="AA195" s="218">
        <f t="shared" si="51"/>
        <v>0</v>
      </c>
      <c r="AB195" s="218">
        <f t="shared" si="51"/>
        <v>0</v>
      </c>
      <c r="AC195" s="218">
        <f t="shared" si="51"/>
        <v>0</v>
      </c>
      <c r="AD195" s="218">
        <f t="shared" si="51"/>
        <v>0</v>
      </c>
      <c r="AE195" s="218">
        <f t="shared" si="51"/>
        <v>0</v>
      </c>
      <c r="AF195" s="218">
        <f t="shared" si="51"/>
        <v>0</v>
      </c>
      <c r="AG195" s="218">
        <f t="shared" si="51"/>
        <v>0</v>
      </c>
      <c r="AI195" s="220"/>
    </row>
    <row r="196" spans="1:35" s="214" customFormat="1" hidden="1">
      <c r="B196" s="214">
        <f t="shared" si="45"/>
        <v>0</v>
      </c>
      <c r="E196" s="217"/>
      <c r="F196" s="217"/>
      <c r="G196" s="216"/>
      <c r="V196" s="218">
        <f t="shared" si="43"/>
        <v>0</v>
      </c>
      <c r="W196" s="218">
        <f t="shared" si="43"/>
        <v>0</v>
      </c>
      <c r="X196" s="218">
        <f t="shared" si="43"/>
        <v>0</v>
      </c>
      <c r="Y196" s="218">
        <f t="shared" si="43"/>
        <v>0</v>
      </c>
      <c r="Z196" s="218">
        <f t="shared" si="51"/>
        <v>0</v>
      </c>
      <c r="AA196" s="218">
        <f t="shared" si="51"/>
        <v>0</v>
      </c>
      <c r="AB196" s="218">
        <f t="shared" si="51"/>
        <v>0</v>
      </c>
      <c r="AC196" s="218">
        <f t="shared" si="51"/>
        <v>0</v>
      </c>
      <c r="AD196" s="218">
        <f t="shared" si="51"/>
        <v>0</v>
      </c>
      <c r="AE196" s="218">
        <f t="shared" si="51"/>
        <v>0</v>
      </c>
      <c r="AF196" s="218">
        <f t="shared" si="51"/>
        <v>0</v>
      </c>
      <c r="AG196" s="218">
        <f t="shared" si="51"/>
        <v>0</v>
      </c>
      <c r="AI196" s="220"/>
    </row>
    <row r="197" spans="1:35" s="214" customFormat="1" hidden="1">
      <c r="B197" s="214">
        <f t="shared" si="45"/>
        <v>1</v>
      </c>
      <c r="C197" s="236" t="s">
        <v>387</v>
      </c>
      <c r="D197" s="236" t="s">
        <v>387</v>
      </c>
      <c r="E197" s="217"/>
      <c r="F197" s="217"/>
      <c r="G197" s="216"/>
      <c r="H197" s="216"/>
      <c r="I197" s="216"/>
      <c r="J197" s="216"/>
      <c r="K197" s="216"/>
      <c r="L197" s="216"/>
      <c r="V197" s="218">
        <f t="shared" si="43"/>
        <v>0</v>
      </c>
      <c r="W197" s="218">
        <f t="shared" si="43"/>
        <v>0</v>
      </c>
      <c r="X197" s="218">
        <f t="shared" si="43"/>
        <v>0</v>
      </c>
      <c r="Y197" s="218">
        <f t="shared" si="43"/>
        <v>0</v>
      </c>
      <c r="Z197" s="218">
        <f t="shared" si="51"/>
        <v>0</v>
      </c>
      <c r="AA197" s="218">
        <f t="shared" si="51"/>
        <v>0</v>
      </c>
      <c r="AB197" s="218">
        <f t="shared" si="51"/>
        <v>0</v>
      </c>
      <c r="AC197" s="218">
        <f t="shared" si="51"/>
        <v>0</v>
      </c>
      <c r="AD197" s="218">
        <f t="shared" si="51"/>
        <v>0</v>
      </c>
      <c r="AE197" s="218">
        <f t="shared" si="51"/>
        <v>0</v>
      </c>
      <c r="AF197" s="218">
        <f t="shared" si="51"/>
        <v>0</v>
      </c>
      <c r="AG197" s="218">
        <f t="shared" si="51"/>
        <v>0</v>
      </c>
      <c r="AI197" s="220"/>
    </row>
    <row r="198" spans="1:35" s="214" customFormat="1" hidden="1">
      <c r="A198" s="214" t="str">
        <f>$A$1&amp;"ACCOUNTING ADJUSTMENTS"&amp;C198</f>
        <v>MASON CO-REGULATEDACCOUNTING ADJUSTMENTSFINCHG</v>
      </c>
      <c r="B198" s="214">
        <f t="shared" si="45"/>
        <v>1</v>
      </c>
      <c r="C198" s="215" t="s">
        <v>388</v>
      </c>
      <c r="D198" s="215" t="s">
        <v>389</v>
      </c>
      <c r="E198" s="216" t="e">
        <v>#N/A</v>
      </c>
      <c r="F198" s="216" t="e">
        <v>#N/A</v>
      </c>
      <c r="G198" s="217"/>
      <c r="H198" s="218">
        <v>660.55</v>
      </c>
      <c r="I198" s="218">
        <v>158.77000000000001</v>
      </c>
      <c r="J198" s="218">
        <v>606.21999999999991</v>
      </c>
      <c r="K198" s="218">
        <v>26.70999999999998</v>
      </c>
      <c r="L198" s="218">
        <v>545.19000000000005</v>
      </c>
      <c r="M198" s="218">
        <v>336.46999999999997</v>
      </c>
      <c r="N198" s="218">
        <v>601.1</v>
      </c>
      <c r="O198" s="218">
        <v>371.52</v>
      </c>
      <c r="P198" s="218">
        <v>636.36</v>
      </c>
      <c r="Q198" s="218">
        <v>306.51</v>
      </c>
      <c r="R198" s="218">
        <v>609.62</v>
      </c>
      <c r="S198" s="218">
        <v>187.08</v>
      </c>
      <c r="T198" s="218">
        <f>SUM(H198:S198)</f>
        <v>5046.0999999999995</v>
      </c>
      <c r="U198" s="218"/>
      <c r="V198" s="218">
        <f t="shared" si="43"/>
        <v>0</v>
      </c>
      <c r="W198" s="218">
        <f t="shared" si="43"/>
        <v>0</v>
      </c>
      <c r="X198" s="218">
        <f t="shared" si="43"/>
        <v>0</v>
      </c>
      <c r="Y198" s="218">
        <f t="shared" si="43"/>
        <v>0</v>
      </c>
      <c r="Z198" s="218">
        <f t="shared" si="51"/>
        <v>0</v>
      </c>
      <c r="AA198" s="218">
        <f t="shared" si="51"/>
        <v>0</v>
      </c>
      <c r="AB198" s="218">
        <f t="shared" si="51"/>
        <v>0</v>
      </c>
      <c r="AC198" s="218">
        <f t="shared" si="51"/>
        <v>0</v>
      </c>
      <c r="AD198" s="218">
        <f t="shared" si="51"/>
        <v>0</v>
      </c>
      <c r="AE198" s="218">
        <f t="shared" si="51"/>
        <v>0</v>
      </c>
      <c r="AF198" s="218">
        <f t="shared" si="51"/>
        <v>0</v>
      </c>
      <c r="AG198" s="218">
        <f t="shared" si="51"/>
        <v>0</v>
      </c>
      <c r="AI198" s="220"/>
    </row>
    <row r="199" spans="1:35" s="214" customFormat="1" hidden="1">
      <c r="B199" s="214">
        <f t="shared" si="45"/>
        <v>0</v>
      </c>
      <c r="E199" s="216"/>
      <c r="F199" s="216"/>
      <c r="V199" s="218">
        <f t="shared" si="43"/>
        <v>0</v>
      </c>
      <c r="W199" s="218">
        <f t="shared" si="43"/>
        <v>0</v>
      </c>
      <c r="X199" s="218">
        <f t="shared" si="43"/>
        <v>0</v>
      </c>
      <c r="Y199" s="218">
        <f t="shared" si="43"/>
        <v>0</v>
      </c>
      <c r="Z199" s="218">
        <f t="shared" si="51"/>
        <v>0</v>
      </c>
      <c r="AA199" s="218">
        <f t="shared" si="51"/>
        <v>0</v>
      </c>
      <c r="AB199" s="218">
        <f t="shared" si="51"/>
        <v>0</v>
      </c>
      <c r="AC199" s="218">
        <f t="shared" si="51"/>
        <v>0</v>
      </c>
      <c r="AD199" s="218">
        <f t="shared" si="51"/>
        <v>0</v>
      </c>
      <c r="AE199" s="218">
        <f t="shared" si="51"/>
        <v>0</v>
      </c>
      <c r="AF199" s="218">
        <f t="shared" si="51"/>
        <v>0</v>
      </c>
      <c r="AG199" s="218">
        <f t="shared" si="51"/>
        <v>0</v>
      </c>
      <c r="AI199" s="220"/>
    </row>
    <row r="200" spans="1:35" s="214" customFormat="1" hidden="1">
      <c r="A200" s="214" t="str">
        <f>$A$1&amp;"ACCOUNTING ADJUSTMENTS"&amp;C200</f>
        <v>MASON CO-REGULATEDACCOUNTING ADJUSTMENTSNSF FEES</v>
      </c>
      <c r="B200" s="214">
        <f t="shared" si="45"/>
        <v>1</v>
      </c>
      <c r="C200" s="215" t="s">
        <v>390</v>
      </c>
      <c r="D200" s="220" t="s">
        <v>391</v>
      </c>
      <c r="E200" s="216">
        <v>21.55</v>
      </c>
      <c r="F200" s="216">
        <v>21.55</v>
      </c>
      <c r="G200" s="217"/>
      <c r="H200" s="218">
        <v>0</v>
      </c>
      <c r="I200" s="218">
        <v>129.30000000000001</v>
      </c>
      <c r="J200" s="218">
        <v>0</v>
      </c>
      <c r="K200" s="218">
        <v>21.55</v>
      </c>
      <c r="L200" s="218">
        <v>43.1</v>
      </c>
      <c r="M200" s="218">
        <v>0</v>
      </c>
      <c r="N200" s="218">
        <v>43.1</v>
      </c>
      <c r="O200" s="218">
        <v>21.55</v>
      </c>
      <c r="P200" s="218">
        <v>43.1</v>
      </c>
      <c r="Q200" s="218">
        <v>0</v>
      </c>
      <c r="R200" s="218">
        <v>43.1</v>
      </c>
      <c r="S200" s="218">
        <v>21.55</v>
      </c>
      <c r="T200" s="218">
        <f>SUM(H200:S200)</f>
        <v>366.35000000000008</v>
      </c>
      <c r="U200" s="218"/>
      <c r="V200" s="218">
        <f t="shared" si="43"/>
        <v>0</v>
      </c>
      <c r="W200" s="218">
        <f t="shared" si="43"/>
        <v>6</v>
      </c>
      <c r="X200" s="218">
        <f t="shared" si="43"/>
        <v>0</v>
      </c>
      <c r="Y200" s="218">
        <f t="shared" si="43"/>
        <v>1</v>
      </c>
      <c r="Z200" s="218">
        <f t="shared" si="51"/>
        <v>2</v>
      </c>
      <c r="AA200" s="218">
        <f t="shared" si="51"/>
        <v>0</v>
      </c>
      <c r="AB200" s="218">
        <f t="shared" si="51"/>
        <v>2</v>
      </c>
      <c r="AC200" s="218">
        <f t="shared" si="51"/>
        <v>1</v>
      </c>
      <c r="AD200" s="218">
        <f t="shared" si="51"/>
        <v>2</v>
      </c>
      <c r="AE200" s="218">
        <f t="shared" si="51"/>
        <v>0</v>
      </c>
      <c r="AF200" s="218">
        <f t="shared" si="51"/>
        <v>2</v>
      </c>
      <c r="AG200" s="218">
        <f t="shared" si="51"/>
        <v>1</v>
      </c>
      <c r="AI200" s="220"/>
    </row>
    <row r="201" spans="1:35" s="214" customFormat="1" hidden="1">
      <c r="B201" s="214">
        <f t="shared" si="45"/>
        <v>0</v>
      </c>
      <c r="C201" s="221"/>
      <c r="D201" s="221"/>
      <c r="E201" s="238"/>
      <c r="F201" s="238"/>
      <c r="G201" s="216"/>
      <c r="H201" s="216"/>
      <c r="I201" s="216"/>
      <c r="J201" s="216"/>
      <c r="K201" s="216"/>
      <c r="L201" s="216"/>
      <c r="M201" s="218" t="str">
        <f>IF(G201="","",(#REF!/G201)+(#REF!/#REF!))</f>
        <v/>
      </c>
      <c r="N201" s="218"/>
      <c r="V201" s="218">
        <f t="shared" si="43"/>
        <v>0</v>
      </c>
      <c r="W201" s="218">
        <f t="shared" si="43"/>
        <v>0</v>
      </c>
      <c r="X201" s="218">
        <f t="shared" si="43"/>
        <v>0</v>
      </c>
      <c r="Y201" s="218">
        <f t="shared" si="43"/>
        <v>0</v>
      </c>
      <c r="Z201" s="218">
        <f t="shared" si="51"/>
        <v>0</v>
      </c>
      <c r="AA201" s="218">
        <f t="shared" si="51"/>
        <v>0</v>
      </c>
      <c r="AB201" s="218">
        <f t="shared" si="51"/>
        <v>0</v>
      </c>
      <c r="AC201" s="218">
        <f t="shared" si="51"/>
        <v>0</v>
      </c>
      <c r="AD201" s="218">
        <f t="shared" si="51"/>
        <v>0</v>
      </c>
      <c r="AE201" s="218">
        <f t="shared" si="51"/>
        <v>0</v>
      </c>
      <c r="AF201" s="218">
        <f t="shared" si="51"/>
        <v>0</v>
      </c>
      <c r="AG201" s="218">
        <f t="shared" si="51"/>
        <v>0</v>
      </c>
      <c r="AI201" s="220"/>
    </row>
    <row r="202" spans="1:35" s="214" customFormat="1" hidden="1">
      <c r="C202" s="221"/>
      <c r="D202" s="239" t="s">
        <v>392</v>
      </c>
      <c r="E202" s="240"/>
      <c r="F202" s="240"/>
      <c r="H202" s="196">
        <f t="shared" ref="H202:K202" si="56">SUM(H198:H201)</f>
        <v>660.55</v>
      </c>
      <c r="I202" s="196">
        <f t="shared" si="56"/>
        <v>288.07000000000005</v>
      </c>
      <c r="J202" s="196">
        <f t="shared" si="56"/>
        <v>606.21999999999991</v>
      </c>
      <c r="K202" s="196">
        <f t="shared" si="56"/>
        <v>48.259999999999977</v>
      </c>
      <c r="L202" s="196">
        <f>SUM(L198:L201)</f>
        <v>588.29000000000008</v>
      </c>
      <c r="M202" s="196">
        <f t="shared" ref="M202:T202" si="57">SUM(M198:M201)</f>
        <v>336.46999999999997</v>
      </c>
      <c r="N202" s="196">
        <f t="shared" si="57"/>
        <v>644.20000000000005</v>
      </c>
      <c r="O202" s="196">
        <f t="shared" si="57"/>
        <v>393.07</v>
      </c>
      <c r="P202" s="196">
        <f t="shared" si="57"/>
        <v>679.46</v>
      </c>
      <c r="Q202" s="196">
        <f t="shared" si="57"/>
        <v>306.51</v>
      </c>
      <c r="R202" s="196">
        <f t="shared" si="57"/>
        <v>652.72</v>
      </c>
      <c r="S202" s="196">
        <f t="shared" si="57"/>
        <v>208.63000000000002</v>
      </c>
      <c r="T202" s="196">
        <f t="shared" si="57"/>
        <v>5412.45</v>
      </c>
      <c r="V202" s="218">
        <f t="shared" si="43"/>
        <v>0</v>
      </c>
      <c r="W202" s="218">
        <f t="shared" si="43"/>
        <v>0</v>
      </c>
      <c r="X202" s="218">
        <f t="shared" si="43"/>
        <v>0</v>
      </c>
      <c r="Y202" s="218">
        <f t="shared" ref="Y202:Y222" si="58">IFERROR(K202/$E202,0)</f>
        <v>0</v>
      </c>
      <c r="Z202" s="218">
        <f t="shared" si="51"/>
        <v>0</v>
      </c>
      <c r="AA202" s="218">
        <f t="shared" si="51"/>
        <v>0</v>
      </c>
      <c r="AB202" s="218">
        <f t="shared" si="51"/>
        <v>0</v>
      </c>
      <c r="AC202" s="218">
        <f t="shared" si="51"/>
        <v>0</v>
      </c>
      <c r="AD202" s="218">
        <f t="shared" si="51"/>
        <v>0</v>
      </c>
      <c r="AE202" s="218">
        <f t="shared" si="51"/>
        <v>0</v>
      </c>
      <c r="AF202" s="218">
        <f t="shared" si="51"/>
        <v>0</v>
      </c>
      <c r="AG202" s="218">
        <f t="shared" si="51"/>
        <v>0</v>
      </c>
      <c r="AI202" s="220"/>
    </row>
    <row r="203" spans="1:35" s="214" customFormat="1" hidden="1">
      <c r="C203" s="221"/>
      <c r="E203" s="240"/>
      <c r="F203" s="240"/>
      <c r="V203" s="218">
        <f t="shared" ref="V203:X222" si="59">IFERROR(H203/$E203,0)</f>
        <v>0</v>
      </c>
      <c r="W203" s="218">
        <f t="shared" si="59"/>
        <v>0</v>
      </c>
      <c r="X203" s="218">
        <f t="shared" si="59"/>
        <v>0</v>
      </c>
      <c r="Y203" s="218">
        <f t="shared" si="58"/>
        <v>0</v>
      </c>
      <c r="Z203" s="218">
        <f t="shared" si="51"/>
        <v>0</v>
      </c>
      <c r="AA203" s="218">
        <f t="shared" si="51"/>
        <v>0</v>
      </c>
      <c r="AB203" s="218">
        <f t="shared" si="51"/>
        <v>0</v>
      </c>
      <c r="AC203" s="218">
        <f t="shared" si="51"/>
        <v>0</v>
      </c>
      <c r="AD203" s="218">
        <f t="shared" si="51"/>
        <v>0</v>
      </c>
      <c r="AE203" s="218">
        <f t="shared" si="51"/>
        <v>0</v>
      </c>
      <c r="AF203" s="218">
        <f t="shared" si="51"/>
        <v>0</v>
      </c>
      <c r="AG203" s="218">
        <f t="shared" si="51"/>
        <v>0</v>
      </c>
      <c r="AI203" s="220"/>
    </row>
    <row r="204" spans="1:35" s="241" customFormat="1" ht="12.75" hidden="1" thickBot="1">
      <c r="B204" s="214"/>
      <c r="D204" s="239" t="s">
        <v>393</v>
      </c>
      <c r="E204" s="230"/>
      <c r="F204" s="230"/>
      <c r="H204" s="242">
        <f t="shared" ref="H204:T204" si="60">H202+H194+H187+H147+H124+H85+H78+H61</f>
        <v>416946.06000000006</v>
      </c>
      <c r="I204" s="242">
        <f t="shared" si="60"/>
        <v>418575.94</v>
      </c>
      <c r="J204" s="242">
        <f t="shared" si="60"/>
        <v>403908.21499999997</v>
      </c>
      <c r="K204" s="242">
        <f t="shared" si="60"/>
        <v>380248.16500000004</v>
      </c>
      <c r="L204" s="242">
        <f t="shared" si="60"/>
        <v>391028.62999999989</v>
      </c>
      <c r="M204" s="242">
        <f t="shared" si="60"/>
        <v>365060.85</v>
      </c>
      <c r="N204" s="242">
        <f t="shared" si="60"/>
        <v>392714.68</v>
      </c>
      <c r="O204" s="242">
        <f t="shared" si="60"/>
        <v>419633.7699999999</v>
      </c>
      <c r="P204" s="242">
        <f t="shared" si="60"/>
        <v>427888.19499999995</v>
      </c>
      <c r="Q204" s="242">
        <f t="shared" si="60"/>
        <v>434261.935</v>
      </c>
      <c r="R204" s="242">
        <f t="shared" si="60"/>
        <v>445570.58499999996</v>
      </c>
      <c r="S204" s="242">
        <f t="shared" si="60"/>
        <v>449949.995</v>
      </c>
      <c r="T204" s="242">
        <f t="shared" si="60"/>
        <v>4945787.0200000005</v>
      </c>
      <c r="V204" s="218">
        <f t="shared" si="59"/>
        <v>0</v>
      </c>
      <c r="W204" s="218">
        <f t="shared" si="59"/>
        <v>0</v>
      </c>
      <c r="X204" s="218">
        <f t="shared" si="59"/>
        <v>0</v>
      </c>
      <c r="Y204" s="218">
        <f t="shared" si="58"/>
        <v>0</v>
      </c>
      <c r="Z204" s="218">
        <f t="shared" si="51"/>
        <v>0</v>
      </c>
      <c r="AA204" s="218">
        <f t="shared" si="51"/>
        <v>0</v>
      </c>
      <c r="AB204" s="218">
        <f t="shared" si="51"/>
        <v>0</v>
      </c>
      <c r="AC204" s="218">
        <f t="shared" si="51"/>
        <v>0</v>
      </c>
      <c r="AD204" s="218">
        <f t="shared" si="51"/>
        <v>0</v>
      </c>
      <c r="AE204" s="218">
        <f t="shared" si="51"/>
        <v>0</v>
      </c>
      <c r="AF204" s="218">
        <f t="shared" si="51"/>
        <v>0</v>
      </c>
      <c r="AG204" s="218">
        <f t="shared" si="51"/>
        <v>0</v>
      </c>
    </row>
    <row r="205" spans="1:35" s="241" customFormat="1" ht="12.75" hidden="1" thickTop="1">
      <c r="B205" s="214"/>
      <c r="E205" s="230"/>
      <c r="F205" s="230"/>
      <c r="G205" s="239"/>
      <c r="H205" s="239"/>
      <c r="I205" s="239"/>
      <c r="J205" s="239"/>
      <c r="K205" s="239"/>
      <c r="L205" s="239"/>
      <c r="V205" s="218">
        <f t="shared" si="59"/>
        <v>0</v>
      </c>
      <c r="W205" s="218">
        <f t="shared" si="59"/>
        <v>0</v>
      </c>
      <c r="X205" s="218">
        <f t="shared" si="59"/>
        <v>0</v>
      </c>
      <c r="Y205" s="218">
        <f t="shared" si="58"/>
        <v>0</v>
      </c>
      <c r="Z205" s="218">
        <f t="shared" ref="Z205:AG220" si="61">IFERROR(L205/$F$10,0)</f>
        <v>0</v>
      </c>
      <c r="AA205" s="218">
        <f t="shared" si="61"/>
        <v>0</v>
      </c>
      <c r="AB205" s="218">
        <f t="shared" si="61"/>
        <v>0</v>
      </c>
      <c r="AC205" s="218">
        <f t="shared" si="61"/>
        <v>0</v>
      </c>
      <c r="AD205" s="218">
        <f t="shared" si="61"/>
        <v>0</v>
      </c>
      <c r="AE205" s="218">
        <f t="shared" si="61"/>
        <v>0</v>
      </c>
      <c r="AF205" s="218">
        <f t="shared" si="61"/>
        <v>0</v>
      </c>
      <c r="AG205" s="218">
        <f t="shared" si="61"/>
        <v>0</v>
      </c>
    </row>
    <row r="206" spans="1:35" s="241" customFormat="1" ht="12" hidden="1">
      <c r="B206" s="214"/>
      <c r="E206" s="230"/>
      <c r="F206" s="230"/>
      <c r="G206" s="239"/>
      <c r="H206" s="243"/>
      <c r="I206" s="243"/>
      <c r="J206" s="243"/>
      <c r="K206" s="243"/>
      <c r="L206" s="243"/>
      <c r="M206" s="244"/>
      <c r="T206" s="245"/>
      <c r="V206" s="218">
        <f t="shared" si="59"/>
        <v>0</v>
      </c>
      <c r="W206" s="218">
        <f t="shared" si="59"/>
        <v>0</v>
      </c>
      <c r="X206" s="218">
        <f t="shared" si="59"/>
        <v>0</v>
      </c>
      <c r="Y206" s="218">
        <f t="shared" si="58"/>
        <v>0</v>
      </c>
      <c r="Z206" s="218">
        <f t="shared" si="61"/>
        <v>0</v>
      </c>
      <c r="AA206" s="218">
        <f t="shared" si="61"/>
        <v>0</v>
      </c>
      <c r="AB206" s="218">
        <f t="shared" si="61"/>
        <v>0</v>
      </c>
      <c r="AC206" s="218">
        <f t="shared" si="61"/>
        <v>0</v>
      </c>
      <c r="AD206" s="218">
        <f t="shared" si="61"/>
        <v>0</v>
      </c>
      <c r="AE206" s="218">
        <f t="shared" si="61"/>
        <v>0</v>
      </c>
      <c r="AF206" s="218">
        <f t="shared" si="61"/>
        <v>0</v>
      </c>
      <c r="AG206" s="218">
        <f t="shared" si="61"/>
        <v>0</v>
      </c>
    </row>
    <row r="207" spans="1:35" s="214" customFormat="1" hidden="1">
      <c r="C207" s="221"/>
      <c r="E207" s="240"/>
      <c r="F207" s="240"/>
      <c r="H207" s="243"/>
      <c r="I207" s="243"/>
      <c r="J207" s="243"/>
      <c r="K207" s="243"/>
      <c r="L207" s="243"/>
      <c r="M207" s="244"/>
      <c r="N207" s="241"/>
      <c r="O207" s="241"/>
      <c r="T207" s="232">
        <f>SUM(T10:T205)/3</f>
        <v>4945787.0200000005</v>
      </c>
      <c r="V207" s="218">
        <f t="shared" si="59"/>
        <v>0</v>
      </c>
      <c r="W207" s="218">
        <f t="shared" si="59"/>
        <v>0</v>
      </c>
      <c r="X207" s="218">
        <f t="shared" si="59"/>
        <v>0</v>
      </c>
      <c r="Y207" s="218">
        <f t="shared" si="58"/>
        <v>0</v>
      </c>
      <c r="Z207" s="218">
        <f t="shared" si="61"/>
        <v>0</v>
      </c>
      <c r="AA207" s="218">
        <f t="shared" si="61"/>
        <v>0</v>
      </c>
      <c r="AB207" s="218">
        <f t="shared" si="61"/>
        <v>0</v>
      </c>
      <c r="AC207" s="218">
        <f t="shared" si="61"/>
        <v>0</v>
      </c>
      <c r="AD207" s="218">
        <f t="shared" si="61"/>
        <v>0</v>
      </c>
      <c r="AE207" s="218">
        <f t="shared" si="61"/>
        <v>0</v>
      </c>
      <c r="AF207" s="218">
        <f t="shared" si="61"/>
        <v>0</v>
      </c>
      <c r="AG207" s="218">
        <f t="shared" si="61"/>
        <v>0</v>
      </c>
      <c r="AI207" s="220"/>
    </row>
    <row r="208" spans="1:35" s="214" customFormat="1" hidden="1">
      <c r="E208" s="240"/>
      <c r="F208" s="240"/>
      <c r="H208" s="243"/>
      <c r="I208" s="243"/>
      <c r="J208" s="243"/>
      <c r="K208" s="243"/>
      <c r="L208" s="243"/>
      <c r="M208" s="244"/>
      <c r="N208" s="241"/>
      <c r="O208" s="241"/>
      <c r="T208" s="232"/>
      <c r="V208" s="218">
        <f t="shared" si="59"/>
        <v>0</v>
      </c>
      <c r="W208" s="218">
        <f t="shared" si="59"/>
        <v>0</v>
      </c>
      <c r="X208" s="218">
        <f t="shared" si="59"/>
        <v>0</v>
      </c>
      <c r="Y208" s="218">
        <f t="shared" si="58"/>
        <v>0</v>
      </c>
      <c r="Z208" s="218">
        <f t="shared" si="61"/>
        <v>0</v>
      </c>
      <c r="AA208" s="218">
        <f t="shared" si="61"/>
        <v>0</v>
      </c>
      <c r="AB208" s="218">
        <f t="shared" si="61"/>
        <v>0</v>
      </c>
      <c r="AC208" s="218">
        <f t="shared" si="61"/>
        <v>0</v>
      </c>
      <c r="AD208" s="218">
        <f t="shared" si="61"/>
        <v>0</v>
      </c>
      <c r="AE208" s="218">
        <f t="shared" si="61"/>
        <v>0</v>
      </c>
      <c r="AF208" s="218">
        <f t="shared" si="61"/>
        <v>0</v>
      </c>
      <c r="AG208" s="218">
        <f t="shared" si="61"/>
        <v>0</v>
      </c>
      <c r="AI208" s="220"/>
    </row>
    <row r="209" spans="2:35" s="241" customFormat="1" ht="12" hidden="1">
      <c r="B209" s="214"/>
      <c r="D209" s="214"/>
      <c r="E209" s="230"/>
      <c r="F209" s="230"/>
      <c r="H209" s="243"/>
      <c r="I209" s="243"/>
      <c r="J209" s="243"/>
      <c r="K209" s="243"/>
      <c r="L209" s="243"/>
      <c r="M209" s="244"/>
      <c r="V209" s="218">
        <f t="shared" si="59"/>
        <v>0</v>
      </c>
      <c r="W209" s="218">
        <f t="shared" si="59"/>
        <v>0</v>
      </c>
      <c r="X209" s="218">
        <f t="shared" si="59"/>
        <v>0</v>
      </c>
      <c r="Y209" s="218">
        <f t="shared" si="58"/>
        <v>0</v>
      </c>
      <c r="Z209" s="218">
        <f t="shared" si="61"/>
        <v>0</v>
      </c>
      <c r="AA209" s="218">
        <f t="shared" si="61"/>
        <v>0</v>
      </c>
      <c r="AB209" s="218">
        <f t="shared" si="61"/>
        <v>0</v>
      </c>
      <c r="AC209" s="218">
        <f t="shared" si="61"/>
        <v>0</v>
      </c>
      <c r="AD209" s="218">
        <f t="shared" si="61"/>
        <v>0</v>
      </c>
      <c r="AE209" s="218">
        <f t="shared" si="61"/>
        <v>0</v>
      </c>
      <c r="AF209" s="218">
        <f t="shared" si="61"/>
        <v>0</v>
      </c>
      <c r="AG209" s="218">
        <f t="shared" si="61"/>
        <v>0</v>
      </c>
    </row>
    <row r="210" spans="2:35" s="241" customFormat="1" ht="12" hidden="1">
      <c r="B210" s="214"/>
      <c r="D210" s="214"/>
      <c r="E210" s="230"/>
      <c r="F210" s="230"/>
      <c r="G210" s="239"/>
      <c r="H210" s="243"/>
      <c r="I210" s="243"/>
      <c r="J210" s="243"/>
      <c r="K210" s="243"/>
      <c r="L210" s="243"/>
      <c r="M210" s="244"/>
      <c r="V210" s="218">
        <f t="shared" si="59"/>
        <v>0</v>
      </c>
      <c r="W210" s="218">
        <f t="shared" si="59"/>
        <v>0</v>
      </c>
      <c r="X210" s="218">
        <f t="shared" si="59"/>
        <v>0</v>
      </c>
      <c r="Y210" s="218">
        <f t="shared" si="58"/>
        <v>0</v>
      </c>
      <c r="Z210" s="218">
        <f t="shared" si="61"/>
        <v>0</v>
      </c>
      <c r="AA210" s="218">
        <f t="shared" si="61"/>
        <v>0</v>
      </c>
      <c r="AB210" s="218">
        <f t="shared" si="61"/>
        <v>0</v>
      </c>
      <c r="AC210" s="218">
        <f t="shared" si="61"/>
        <v>0</v>
      </c>
      <c r="AD210" s="218">
        <f t="shared" si="61"/>
        <v>0</v>
      </c>
      <c r="AE210" s="218">
        <f t="shared" si="61"/>
        <v>0</v>
      </c>
      <c r="AF210" s="218">
        <f t="shared" si="61"/>
        <v>0</v>
      </c>
      <c r="AG210" s="218">
        <f t="shared" si="61"/>
        <v>0</v>
      </c>
    </row>
    <row r="211" spans="2:35" s="241" customFormat="1" ht="12" hidden="1">
      <c r="B211" s="214"/>
      <c r="E211" s="230"/>
      <c r="F211" s="230"/>
      <c r="G211" s="239"/>
      <c r="H211" s="243"/>
      <c r="I211" s="243"/>
      <c r="J211" s="243"/>
      <c r="K211" s="243"/>
      <c r="L211" s="243"/>
      <c r="M211" s="244"/>
      <c r="V211" s="218">
        <f t="shared" si="59"/>
        <v>0</v>
      </c>
      <c r="W211" s="218">
        <f t="shared" si="59"/>
        <v>0</v>
      </c>
      <c r="X211" s="218">
        <f t="shared" si="59"/>
        <v>0</v>
      </c>
      <c r="Y211" s="218">
        <f t="shared" si="58"/>
        <v>0</v>
      </c>
      <c r="Z211" s="218">
        <f t="shared" si="61"/>
        <v>0</v>
      </c>
      <c r="AA211" s="218">
        <f t="shared" si="61"/>
        <v>0</v>
      </c>
      <c r="AB211" s="218">
        <f t="shared" si="61"/>
        <v>0</v>
      </c>
      <c r="AC211" s="218">
        <f t="shared" si="61"/>
        <v>0</v>
      </c>
      <c r="AD211" s="218">
        <f t="shared" si="61"/>
        <v>0</v>
      </c>
      <c r="AE211" s="218">
        <f t="shared" si="61"/>
        <v>0</v>
      </c>
      <c r="AF211" s="218">
        <f t="shared" si="61"/>
        <v>0</v>
      </c>
      <c r="AG211" s="218">
        <f t="shared" si="61"/>
        <v>0</v>
      </c>
    </row>
    <row r="212" spans="2:35" s="214" customFormat="1" hidden="1">
      <c r="E212" s="246"/>
      <c r="F212" s="246"/>
      <c r="H212" s="243"/>
      <c r="I212" s="243"/>
      <c r="J212" s="243"/>
      <c r="K212" s="243"/>
      <c r="L212" s="243"/>
      <c r="M212" s="244"/>
      <c r="N212" s="241"/>
      <c r="O212" s="241"/>
      <c r="V212" s="218">
        <f t="shared" si="59"/>
        <v>0</v>
      </c>
      <c r="W212" s="218">
        <f t="shared" si="59"/>
        <v>0</v>
      </c>
      <c r="X212" s="218">
        <f t="shared" si="59"/>
        <v>0</v>
      </c>
      <c r="Y212" s="218">
        <f t="shared" si="58"/>
        <v>0</v>
      </c>
      <c r="Z212" s="218">
        <f t="shared" si="61"/>
        <v>0</v>
      </c>
      <c r="AA212" s="218">
        <f t="shared" si="61"/>
        <v>0</v>
      </c>
      <c r="AB212" s="218">
        <f t="shared" si="61"/>
        <v>0</v>
      </c>
      <c r="AC212" s="218">
        <f t="shared" si="61"/>
        <v>0</v>
      </c>
      <c r="AD212" s="218">
        <f t="shared" si="61"/>
        <v>0</v>
      </c>
      <c r="AE212" s="218">
        <f t="shared" si="61"/>
        <v>0</v>
      </c>
      <c r="AF212" s="218">
        <f t="shared" si="61"/>
        <v>0</v>
      </c>
      <c r="AG212" s="218">
        <f t="shared" si="61"/>
        <v>0</v>
      </c>
      <c r="AI212" s="220"/>
    </row>
    <row r="213" spans="2:35" s="214" customFormat="1" hidden="1">
      <c r="E213" s="246"/>
      <c r="F213" s="246"/>
      <c r="H213" s="243"/>
      <c r="I213" s="243"/>
      <c r="J213" s="243"/>
      <c r="K213" s="243"/>
      <c r="L213" s="243"/>
      <c r="M213" s="244"/>
      <c r="N213" s="241"/>
      <c r="O213" s="241"/>
      <c r="V213" s="218">
        <f t="shared" si="59"/>
        <v>0</v>
      </c>
      <c r="W213" s="218">
        <f t="shared" si="59"/>
        <v>0</v>
      </c>
      <c r="X213" s="218">
        <f t="shared" si="59"/>
        <v>0</v>
      </c>
      <c r="Y213" s="218">
        <f t="shared" si="58"/>
        <v>0</v>
      </c>
      <c r="Z213" s="218">
        <f t="shared" si="61"/>
        <v>0</v>
      </c>
      <c r="AA213" s="218">
        <f t="shared" si="61"/>
        <v>0</v>
      </c>
      <c r="AB213" s="218">
        <f t="shared" si="61"/>
        <v>0</v>
      </c>
      <c r="AC213" s="218">
        <f t="shared" si="61"/>
        <v>0</v>
      </c>
      <c r="AD213" s="218">
        <f t="shared" si="61"/>
        <v>0</v>
      </c>
      <c r="AE213" s="218">
        <f t="shared" si="61"/>
        <v>0</v>
      </c>
      <c r="AF213" s="218">
        <f t="shared" si="61"/>
        <v>0</v>
      </c>
      <c r="AG213" s="218">
        <f t="shared" si="61"/>
        <v>0</v>
      </c>
      <c r="AI213" s="220"/>
    </row>
    <row r="214" spans="2:35" s="214" customFormat="1" hidden="1">
      <c r="E214" s="246"/>
      <c r="F214" s="246"/>
      <c r="V214" s="218">
        <f t="shared" si="59"/>
        <v>0</v>
      </c>
      <c r="W214" s="218">
        <f t="shared" si="59"/>
        <v>0</v>
      </c>
      <c r="X214" s="218">
        <f t="shared" si="59"/>
        <v>0</v>
      </c>
      <c r="Y214" s="218">
        <f t="shared" si="58"/>
        <v>0</v>
      </c>
      <c r="Z214" s="218">
        <f>IFERROR(#REF!/$F$10,0)</f>
        <v>0</v>
      </c>
      <c r="AA214" s="218">
        <f t="shared" si="61"/>
        <v>0</v>
      </c>
      <c r="AB214" s="218">
        <f t="shared" si="61"/>
        <v>0</v>
      </c>
      <c r="AC214" s="218">
        <f t="shared" si="61"/>
        <v>0</v>
      </c>
      <c r="AD214" s="218">
        <f t="shared" si="61"/>
        <v>0</v>
      </c>
      <c r="AE214" s="218">
        <f t="shared" si="61"/>
        <v>0</v>
      </c>
      <c r="AF214" s="218">
        <f t="shared" si="61"/>
        <v>0</v>
      </c>
      <c r="AG214" s="218">
        <f t="shared" si="61"/>
        <v>0</v>
      </c>
      <c r="AI214" s="220"/>
    </row>
    <row r="215" spans="2:35" s="214" customFormat="1" hidden="1">
      <c r="E215" s="240"/>
      <c r="F215" s="240"/>
      <c r="V215" s="218">
        <f t="shared" si="59"/>
        <v>0</v>
      </c>
      <c r="W215" s="218">
        <f t="shared" si="59"/>
        <v>0</v>
      </c>
      <c r="X215" s="218">
        <f t="shared" si="59"/>
        <v>0</v>
      </c>
      <c r="Y215" s="218">
        <f t="shared" si="58"/>
        <v>0</v>
      </c>
      <c r="Z215" s="218">
        <f>IFERROR(L214/$F$10,0)</f>
        <v>0</v>
      </c>
      <c r="AA215" s="218">
        <f t="shared" si="61"/>
        <v>0</v>
      </c>
      <c r="AB215" s="218">
        <f t="shared" si="61"/>
        <v>0</v>
      </c>
      <c r="AC215" s="218">
        <f t="shared" si="61"/>
        <v>0</v>
      </c>
      <c r="AD215" s="218">
        <f t="shared" si="61"/>
        <v>0</v>
      </c>
      <c r="AE215" s="218">
        <f t="shared" si="61"/>
        <v>0</v>
      </c>
      <c r="AF215" s="218">
        <f t="shared" si="61"/>
        <v>0</v>
      </c>
      <c r="AG215" s="218">
        <f t="shared" si="61"/>
        <v>0</v>
      </c>
      <c r="AI215" s="220"/>
    </row>
    <row r="216" spans="2:35" s="214" customFormat="1" hidden="1">
      <c r="E216" s="240"/>
      <c r="F216" s="240"/>
      <c r="V216" s="218">
        <f t="shared" si="59"/>
        <v>0</v>
      </c>
      <c r="W216" s="218">
        <f t="shared" si="59"/>
        <v>0</v>
      </c>
      <c r="X216" s="218">
        <f t="shared" si="59"/>
        <v>0</v>
      </c>
      <c r="Y216" s="218">
        <f t="shared" si="58"/>
        <v>0</v>
      </c>
      <c r="Z216" s="218">
        <f>IFERROR(L215/$F$10,0)</f>
        <v>0</v>
      </c>
      <c r="AA216" s="218">
        <f t="shared" si="61"/>
        <v>0</v>
      </c>
      <c r="AB216" s="218">
        <f t="shared" si="61"/>
        <v>0</v>
      </c>
      <c r="AC216" s="218">
        <f t="shared" si="61"/>
        <v>0</v>
      </c>
      <c r="AD216" s="218">
        <f t="shared" si="61"/>
        <v>0</v>
      </c>
      <c r="AE216" s="218">
        <f t="shared" si="61"/>
        <v>0</v>
      </c>
      <c r="AF216" s="218">
        <f t="shared" si="61"/>
        <v>0</v>
      </c>
      <c r="AG216" s="218">
        <f t="shared" si="61"/>
        <v>0</v>
      </c>
      <c r="AI216" s="220"/>
    </row>
    <row r="217" spans="2:35" s="214" customFormat="1" hidden="1">
      <c r="E217" s="240"/>
      <c r="F217" s="240"/>
      <c r="V217" s="218">
        <f t="shared" si="59"/>
        <v>0</v>
      </c>
      <c r="W217" s="218">
        <f t="shared" si="59"/>
        <v>0</v>
      </c>
      <c r="X217" s="218">
        <f t="shared" si="59"/>
        <v>0</v>
      </c>
      <c r="Y217" s="218">
        <f t="shared" si="58"/>
        <v>0</v>
      </c>
      <c r="Z217" s="218">
        <f>IFERROR(L216/$F$10,0)</f>
        <v>0</v>
      </c>
      <c r="AA217" s="218">
        <f t="shared" si="61"/>
        <v>0</v>
      </c>
      <c r="AB217" s="218">
        <f t="shared" si="61"/>
        <v>0</v>
      </c>
      <c r="AC217" s="218">
        <f t="shared" si="61"/>
        <v>0</v>
      </c>
      <c r="AD217" s="218">
        <f t="shared" si="61"/>
        <v>0</v>
      </c>
      <c r="AE217" s="218">
        <f t="shared" si="61"/>
        <v>0</v>
      </c>
      <c r="AF217" s="218">
        <f t="shared" si="61"/>
        <v>0</v>
      </c>
      <c r="AG217" s="218">
        <f t="shared" si="61"/>
        <v>0</v>
      </c>
      <c r="AI217" s="220"/>
    </row>
    <row r="218" spans="2:35" s="214" customFormat="1" hidden="1">
      <c r="E218" s="240"/>
      <c r="F218" s="240"/>
      <c r="V218" s="218">
        <f t="shared" si="59"/>
        <v>0</v>
      </c>
      <c r="W218" s="218">
        <f t="shared" si="59"/>
        <v>0</v>
      </c>
      <c r="X218" s="218">
        <f t="shared" si="59"/>
        <v>0</v>
      </c>
      <c r="Y218" s="218">
        <f t="shared" si="58"/>
        <v>0</v>
      </c>
      <c r="Z218" s="218">
        <f>IFERROR(L217/$F$10,0)</f>
        <v>0</v>
      </c>
      <c r="AA218" s="218">
        <f t="shared" si="61"/>
        <v>0</v>
      </c>
      <c r="AB218" s="218">
        <f t="shared" si="61"/>
        <v>0</v>
      </c>
      <c r="AC218" s="218">
        <f t="shared" si="61"/>
        <v>0</v>
      </c>
      <c r="AD218" s="218">
        <f t="shared" si="61"/>
        <v>0</v>
      </c>
      <c r="AE218" s="218">
        <f t="shared" si="61"/>
        <v>0</v>
      </c>
      <c r="AF218" s="218">
        <f t="shared" si="61"/>
        <v>0</v>
      </c>
      <c r="AG218" s="218">
        <f t="shared" si="61"/>
        <v>0</v>
      </c>
      <c r="AI218" s="220"/>
    </row>
    <row r="219" spans="2:35" s="214" customFormat="1" hidden="1">
      <c r="E219" s="240"/>
      <c r="F219" s="240"/>
      <c r="V219" s="218">
        <f t="shared" si="59"/>
        <v>0</v>
      </c>
      <c r="W219" s="218">
        <f t="shared" si="59"/>
        <v>0</v>
      </c>
      <c r="X219" s="218">
        <f t="shared" si="59"/>
        <v>0</v>
      </c>
      <c r="Y219" s="218">
        <f t="shared" si="58"/>
        <v>0</v>
      </c>
      <c r="Z219" s="218">
        <f>IFERROR(L219/$F$10,0)</f>
        <v>0</v>
      </c>
      <c r="AA219" s="218">
        <f t="shared" si="61"/>
        <v>0</v>
      </c>
      <c r="AB219" s="218">
        <f t="shared" si="61"/>
        <v>0</v>
      </c>
      <c r="AC219" s="218">
        <f t="shared" si="61"/>
        <v>0</v>
      </c>
      <c r="AD219" s="218">
        <f t="shared" si="61"/>
        <v>0</v>
      </c>
      <c r="AE219" s="218">
        <f t="shared" si="61"/>
        <v>0</v>
      </c>
      <c r="AF219" s="218">
        <f t="shared" si="61"/>
        <v>0</v>
      </c>
      <c r="AG219" s="218">
        <f t="shared" si="61"/>
        <v>0</v>
      </c>
      <c r="AI219" s="220"/>
    </row>
    <row r="220" spans="2:35" s="214" customFormat="1" hidden="1">
      <c r="E220" s="240"/>
      <c r="F220" s="240"/>
      <c r="V220" s="218">
        <f t="shared" si="59"/>
        <v>0</v>
      </c>
      <c r="W220" s="218">
        <f t="shared" si="59"/>
        <v>0</v>
      </c>
      <c r="X220" s="218">
        <f t="shared" si="59"/>
        <v>0</v>
      </c>
      <c r="Y220" s="218">
        <f t="shared" si="58"/>
        <v>0</v>
      </c>
      <c r="Z220" s="218">
        <f>IFERROR(L220/$F$10,0)</f>
        <v>0</v>
      </c>
      <c r="AA220" s="218">
        <f t="shared" si="61"/>
        <v>0</v>
      </c>
      <c r="AB220" s="218">
        <f t="shared" si="61"/>
        <v>0</v>
      </c>
      <c r="AC220" s="218">
        <f t="shared" si="61"/>
        <v>0</v>
      </c>
      <c r="AD220" s="218">
        <f t="shared" si="61"/>
        <v>0</v>
      </c>
      <c r="AE220" s="218">
        <f t="shared" si="61"/>
        <v>0</v>
      </c>
      <c r="AF220" s="218">
        <f t="shared" si="61"/>
        <v>0</v>
      </c>
      <c r="AG220" s="218">
        <f t="shared" si="61"/>
        <v>0</v>
      </c>
      <c r="AI220" s="220"/>
    </row>
    <row r="221" spans="2:35" s="214" customFormat="1" hidden="1">
      <c r="E221" s="240"/>
      <c r="F221" s="240"/>
      <c r="V221" s="218">
        <f t="shared" si="59"/>
        <v>0</v>
      </c>
      <c r="W221" s="218">
        <f t="shared" si="59"/>
        <v>0</v>
      </c>
      <c r="X221" s="218">
        <f t="shared" si="59"/>
        <v>0</v>
      </c>
      <c r="Y221" s="218">
        <f t="shared" si="58"/>
        <v>0</v>
      </c>
      <c r="Z221" s="218">
        <f>IFERROR(L221/$F$10,0)</f>
        <v>0</v>
      </c>
      <c r="AA221" s="218">
        <f t="shared" ref="AA221:AG222" si="62">IFERROR(M221/$F$10,0)</f>
        <v>0</v>
      </c>
      <c r="AB221" s="218">
        <f t="shared" si="62"/>
        <v>0</v>
      </c>
      <c r="AC221" s="218">
        <f t="shared" si="62"/>
        <v>0</v>
      </c>
      <c r="AD221" s="218">
        <f t="shared" si="62"/>
        <v>0</v>
      </c>
      <c r="AE221" s="218">
        <f t="shared" si="62"/>
        <v>0</v>
      </c>
      <c r="AF221" s="218">
        <f t="shared" si="62"/>
        <v>0</v>
      </c>
      <c r="AG221" s="218">
        <f t="shared" si="62"/>
        <v>0</v>
      </c>
      <c r="AI221" s="220"/>
    </row>
    <row r="222" spans="2:35" s="214" customFormat="1" hidden="1">
      <c r="E222" s="240"/>
      <c r="F222" s="240"/>
      <c r="V222" s="218">
        <f t="shared" si="59"/>
        <v>0</v>
      </c>
      <c r="W222" s="218">
        <f t="shared" si="59"/>
        <v>0</v>
      </c>
      <c r="X222" s="218">
        <f t="shared" si="59"/>
        <v>0</v>
      </c>
      <c r="Y222" s="218">
        <f t="shared" si="58"/>
        <v>0</v>
      </c>
      <c r="Z222" s="218">
        <f>IFERROR(L222/$F$10,0)</f>
        <v>0</v>
      </c>
      <c r="AA222" s="218">
        <f t="shared" si="62"/>
        <v>0</v>
      </c>
      <c r="AB222" s="218">
        <f t="shared" si="62"/>
        <v>0</v>
      </c>
      <c r="AC222" s="218">
        <f t="shared" si="62"/>
        <v>0</v>
      </c>
      <c r="AD222" s="218">
        <f t="shared" si="62"/>
        <v>0</v>
      </c>
      <c r="AE222" s="218">
        <f t="shared" si="62"/>
        <v>0</v>
      </c>
      <c r="AF222" s="218">
        <f t="shared" si="62"/>
        <v>0</v>
      </c>
      <c r="AG222" s="218">
        <f t="shared" si="62"/>
        <v>0</v>
      </c>
      <c r="AI222" s="220"/>
    </row>
    <row r="223" spans="2:35" s="214" customFormat="1" hidden="1">
      <c r="E223" s="240"/>
      <c r="F223" s="240"/>
      <c r="AI223" s="220"/>
    </row>
    <row r="224" spans="2:35" s="214" customFormat="1" hidden="1">
      <c r="E224" s="240"/>
      <c r="F224" s="240"/>
      <c r="AI224" s="220"/>
    </row>
    <row r="225" spans="5:35" s="214" customFormat="1" hidden="1">
      <c r="E225" s="240"/>
      <c r="F225" s="240"/>
      <c r="AI225" s="220"/>
    </row>
    <row r="226" spans="5:35" s="214" customFormat="1" hidden="1">
      <c r="E226" s="240"/>
      <c r="F226" s="240"/>
      <c r="AI226" s="220"/>
    </row>
    <row r="227" spans="5:35" s="214" customFormat="1" hidden="1">
      <c r="E227" s="240"/>
      <c r="F227" s="240"/>
      <c r="AI227" s="220"/>
    </row>
    <row r="228" spans="5:35" s="214" customFormat="1" hidden="1">
      <c r="E228" s="240"/>
      <c r="F228" s="240"/>
      <c r="AI228" s="220"/>
    </row>
    <row r="229" spans="5:35" s="214" customFormat="1" hidden="1">
      <c r="E229" s="240"/>
      <c r="F229" s="240"/>
      <c r="AI229" s="220"/>
    </row>
    <row r="230" spans="5:35" s="214" customFormat="1" hidden="1">
      <c r="E230" s="240"/>
      <c r="F230" s="240"/>
      <c r="AI230" s="220"/>
    </row>
    <row r="231" spans="5:35" s="214" customFormat="1" hidden="1">
      <c r="E231" s="240"/>
      <c r="F231" s="240"/>
      <c r="AI231" s="220"/>
    </row>
    <row r="232" spans="5:35" s="214" customFormat="1" hidden="1">
      <c r="E232" s="240"/>
      <c r="F232" s="240"/>
      <c r="AI232" s="220"/>
    </row>
    <row r="233" spans="5:35" s="214" customFormat="1" hidden="1">
      <c r="E233" s="240"/>
      <c r="F233" s="240"/>
      <c r="AI233" s="220"/>
    </row>
    <row r="234" spans="5:35" s="214" customFormat="1" ht="12" hidden="1">
      <c r="E234" s="240"/>
      <c r="F234" s="240"/>
    </row>
    <row r="235" spans="5:35" s="214" customFormat="1" ht="12" hidden="1">
      <c r="E235" s="240"/>
      <c r="F235" s="240"/>
    </row>
    <row r="236" spans="5:35" s="214" customFormat="1" hidden="1">
      <c r="E236" s="240"/>
      <c r="F236" s="240"/>
      <c r="AI236" s="220"/>
    </row>
    <row r="237" spans="5:35" s="214" customFormat="1" ht="12" hidden="1">
      <c r="E237" s="240"/>
      <c r="F237" s="240"/>
    </row>
    <row r="238" spans="5:35" s="214" customFormat="1" ht="12" hidden="1">
      <c r="E238" s="240"/>
      <c r="F238" s="240"/>
    </row>
    <row r="239" spans="5:35" s="214" customFormat="1" ht="12" hidden="1">
      <c r="E239" s="240"/>
      <c r="F239" s="240"/>
    </row>
    <row r="240" spans="5:35" s="214" customFormat="1">
      <c r="E240" s="240"/>
      <c r="F240" s="240"/>
      <c r="AI240" s="220"/>
    </row>
    <row r="241" spans="5:6" s="214" customFormat="1" ht="12">
      <c r="E241" s="240"/>
      <c r="F241" s="240"/>
    </row>
    <row r="242" spans="5:6" s="214" customFormat="1" ht="12">
      <c r="E242" s="240"/>
      <c r="F242" s="240"/>
    </row>
    <row r="243" spans="5:6" s="214" customFormat="1" ht="12">
      <c r="E243" s="240"/>
      <c r="F243" s="240"/>
    </row>
    <row r="244" spans="5:6" s="214" customFormat="1" ht="12">
      <c r="E244" s="240"/>
      <c r="F244" s="240"/>
    </row>
    <row r="245" spans="5:6" s="214" customFormat="1" ht="12">
      <c r="E245" s="240"/>
      <c r="F245" s="240"/>
    </row>
  </sheetData>
  <mergeCells count="1">
    <mergeCell ref="H1:P2"/>
  </mergeCells>
  <pageMargins left="0.7" right="0.7" top="0.75" bottom="0.75" header="0.3" footer="0.3"/>
  <pageSetup scale="22" fitToHeight="5" orientation="portrait" r:id="rId1"/>
  <headerFooter alignWithMargins="0">
    <oddHeader>&amp;R&amp;F
&amp;A</oddHeader>
    <oddFooter>&amp;L&amp;D&amp;C&amp;P&amp;R&amp;T</oddFooter>
  </headerFooter>
  <rowBreaks count="3" manualBreakCount="3">
    <brk id="62" max="32" man="1"/>
    <brk id="149" max="32" man="1"/>
    <brk id="195"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Normal="100" zoomScaleSheetLayoutView="100" workbookViewId="0">
      <selection activeCell="E40" sqref="E40"/>
    </sheetView>
  </sheetViews>
  <sheetFormatPr defaultRowHeight="15"/>
  <cols>
    <col min="1" max="1" width="19" style="176" bestFit="1" customWidth="1"/>
    <col min="2" max="2" width="2.42578125" style="176" customWidth="1"/>
    <col min="3" max="16384" width="9.140625" style="176"/>
  </cols>
  <sheetData>
    <row r="1" spans="1:15">
      <c r="A1" s="204" t="s">
        <v>401</v>
      </c>
      <c r="E1" s="253" t="s">
        <v>530</v>
      </c>
      <c r="F1" s="254"/>
      <c r="G1" s="254"/>
      <c r="H1" s="254"/>
      <c r="I1" s="254"/>
      <c r="J1" s="254"/>
      <c r="K1" s="254"/>
      <c r="L1" s="254"/>
      <c r="M1" s="255"/>
    </row>
    <row r="2" spans="1:15" ht="15.75" thickBot="1">
      <c r="A2" s="247" t="s">
        <v>402</v>
      </c>
      <c r="E2" s="256"/>
      <c r="F2" s="257"/>
      <c r="G2" s="257"/>
      <c r="H2" s="257"/>
      <c r="I2" s="257"/>
      <c r="J2" s="257"/>
      <c r="K2" s="257"/>
      <c r="L2" s="257"/>
      <c r="M2" s="258"/>
    </row>
    <row r="3" spans="1:15">
      <c r="A3" s="204" t="s">
        <v>403</v>
      </c>
    </row>
    <row r="5" spans="1:15">
      <c r="A5" s="264" t="s">
        <v>404</v>
      </c>
      <c r="B5" s="264"/>
      <c r="C5" s="264"/>
      <c r="D5" s="264"/>
      <c r="E5" s="264"/>
      <c r="F5" s="264"/>
      <c r="G5" s="264"/>
      <c r="H5" s="264"/>
      <c r="I5" s="264"/>
      <c r="J5" s="264"/>
      <c r="K5" s="264"/>
      <c r="L5" s="264"/>
      <c r="M5" s="264"/>
      <c r="N5" s="264"/>
    </row>
    <row r="6" spans="1:15" ht="21.75" customHeight="1">
      <c r="A6" s="264"/>
      <c r="B6" s="264"/>
      <c r="C6" s="264"/>
      <c r="D6" s="264"/>
      <c r="E6" s="264"/>
      <c r="F6" s="264"/>
      <c r="G6" s="264"/>
      <c r="H6" s="264"/>
      <c r="I6" s="264"/>
      <c r="J6" s="264"/>
      <c r="K6" s="264"/>
      <c r="L6" s="264"/>
      <c r="M6" s="264"/>
      <c r="N6" s="264"/>
    </row>
    <row r="7" spans="1:15">
      <c r="A7" s="204"/>
    </row>
    <row r="8" spans="1:15" ht="18.75">
      <c r="A8" s="203" t="s">
        <v>394</v>
      </c>
    </row>
    <row r="9" spans="1:15">
      <c r="A9" s="204" t="s">
        <v>395</v>
      </c>
      <c r="C9" s="205">
        <v>43405</v>
      </c>
      <c r="D9" s="205">
        <v>43435</v>
      </c>
      <c r="E9" s="205">
        <v>43466</v>
      </c>
      <c r="F9" s="205">
        <v>43497</v>
      </c>
      <c r="G9" s="205">
        <v>43525</v>
      </c>
      <c r="H9" s="205">
        <v>43556</v>
      </c>
      <c r="I9" s="205">
        <v>43586</v>
      </c>
      <c r="J9" s="205">
        <v>43617</v>
      </c>
      <c r="K9" s="205">
        <v>43647</v>
      </c>
      <c r="L9" s="205">
        <v>43678</v>
      </c>
      <c r="M9" s="205">
        <v>43709</v>
      </c>
      <c r="N9" s="205">
        <v>43739</v>
      </c>
      <c r="O9" s="204" t="s">
        <v>19</v>
      </c>
    </row>
    <row r="10" spans="1:15">
      <c r="A10" s="206" t="s">
        <v>396</v>
      </c>
      <c r="B10" s="207"/>
      <c r="C10" s="208">
        <v>906.49</v>
      </c>
      <c r="D10" s="208">
        <v>785.6400000000001</v>
      </c>
      <c r="E10" s="208">
        <v>985.37080547368328</v>
      </c>
      <c r="F10" s="208">
        <v>714.53683152475992</v>
      </c>
      <c r="G10" s="208">
        <v>845.43885065377958</v>
      </c>
      <c r="H10" s="208">
        <v>923.45695240806435</v>
      </c>
      <c r="I10" s="208">
        <v>1061.7082563210288</v>
      </c>
      <c r="J10" s="208">
        <v>931.58505927215083</v>
      </c>
      <c r="K10" s="208">
        <v>1162.376664510309</v>
      </c>
      <c r="L10" s="208">
        <v>1089.1696450165698</v>
      </c>
      <c r="M10" s="208">
        <v>978.18973797957801</v>
      </c>
      <c r="N10" s="208">
        <v>1077.9142575563094</v>
      </c>
      <c r="O10" s="209">
        <f>+SUM(C10:N10)</f>
        <v>11461.877060716231</v>
      </c>
    </row>
    <row r="11" spans="1:15">
      <c r="A11" s="206" t="s">
        <v>397</v>
      </c>
      <c r="B11" s="207"/>
      <c r="C11" s="210">
        <f t="shared" ref="C11:N11" si="0">SUM(C10:C10)</f>
        <v>906.49</v>
      </c>
      <c r="D11" s="210">
        <f t="shared" si="0"/>
        <v>785.6400000000001</v>
      </c>
      <c r="E11" s="210">
        <f t="shared" si="0"/>
        <v>985.37080547368328</v>
      </c>
      <c r="F11" s="210">
        <f t="shared" si="0"/>
        <v>714.53683152475992</v>
      </c>
      <c r="G11" s="210">
        <f t="shared" si="0"/>
        <v>845.43885065377958</v>
      </c>
      <c r="H11" s="210">
        <f t="shared" si="0"/>
        <v>923.45695240806435</v>
      </c>
      <c r="I11" s="210">
        <f t="shared" si="0"/>
        <v>1061.7082563210288</v>
      </c>
      <c r="J11" s="210">
        <f t="shared" si="0"/>
        <v>931.58505927215083</v>
      </c>
      <c r="K11" s="210">
        <f t="shared" si="0"/>
        <v>1162.376664510309</v>
      </c>
      <c r="L11" s="210">
        <f t="shared" si="0"/>
        <v>1089.1696450165698</v>
      </c>
      <c r="M11" s="210">
        <f t="shared" si="0"/>
        <v>978.18973797957801</v>
      </c>
      <c r="N11" s="210">
        <f t="shared" si="0"/>
        <v>1077.9142575563094</v>
      </c>
    </row>
    <row r="12" spans="1:15">
      <c r="A12" s="206"/>
      <c r="B12" s="207"/>
      <c r="C12" s="211"/>
      <c r="D12" s="211"/>
      <c r="E12" s="211"/>
      <c r="F12" s="211"/>
      <c r="G12" s="211"/>
      <c r="H12" s="211"/>
      <c r="I12" s="211"/>
      <c r="J12" s="211"/>
      <c r="K12" s="211"/>
      <c r="L12" s="211"/>
      <c r="M12" s="211"/>
      <c r="N12" s="211"/>
    </row>
    <row r="13" spans="1:15">
      <c r="A13" s="212" t="s">
        <v>398</v>
      </c>
      <c r="B13" s="207"/>
      <c r="C13" s="211"/>
      <c r="D13" s="211"/>
      <c r="E13" s="211"/>
      <c r="F13" s="211"/>
      <c r="G13" s="211"/>
      <c r="H13" s="211"/>
      <c r="I13" s="211"/>
      <c r="J13" s="211"/>
      <c r="K13" s="211"/>
      <c r="L13" s="211"/>
      <c r="M13" s="211"/>
      <c r="N13" s="211"/>
    </row>
    <row r="14" spans="1:15">
      <c r="A14" s="206" t="s">
        <v>396</v>
      </c>
      <c r="B14" s="207"/>
      <c r="C14" s="208">
        <v>396.61999999999995</v>
      </c>
      <c r="D14" s="208">
        <v>310.53000000000003</v>
      </c>
      <c r="E14" s="208">
        <v>318.96854323790615</v>
      </c>
      <c r="F14" s="208">
        <v>208.86267986983924</v>
      </c>
      <c r="G14" s="208">
        <v>296.38057010139948</v>
      </c>
      <c r="H14" s="208">
        <v>404.23440911353191</v>
      </c>
      <c r="I14" s="208">
        <v>409.40497990822382</v>
      </c>
      <c r="J14" s="208">
        <v>422.11767057934975</v>
      </c>
      <c r="K14" s="208">
        <v>413.12811682979287</v>
      </c>
      <c r="L14" s="208">
        <v>334.19468416530651</v>
      </c>
      <c r="M14" s="208">
        <v>332.8459411175196</v>
      </c>
      <c r="N14" s="208">
        <v>387.41293333739617</v>
      </c>
      <c r="O14" s="209">
        <f>+SUM(C14:N14)</f>
        <v>4234.7005282602649</v>
      </c>
    </row>
    <row r="15" spans="1:15">
      <c r="A15" s="206" t="s">
        <v>399</v>
      </c>
      <c r="B15" s="207"/>
      <c r="C15" s="210">
        <f t="shared" ref="C15:N15" si="1">SUM(C14:C14)</f>
        <v>396.61999999999995</v>
      </c>
      <c r="D15" s="210">
        <f t="shared" si="1"/>
        <v>310.53000000000003</v>
      </c>
      <c r="E15" s="210">
        <f t="shared" si="1"/>
        <v>318.96854323790615</v>
      </c>
      <c r="F15" s="210">
        <f t="shared" si="1"/>
        <v>208.86267986983924</v>
      </c>
      <c r="G15" s="210">
        <f t="shared" si="1"/>
        <v>296.38057010139948</v>
      </c>
      <c r="H15" s="210">
        <f t="shared" si="1"/>
        <v>404.23440911353191</v>
      </c>
      <c r="I15" s="210">
        <f t="shared" si="1"/>
        <v>409.40497990822382</v>
      </c>
      <c r="J15" s="210">
        <f t="shared" si="1"/>
        <v>422.11767057934975</v>
      </c>
      <c r="K15" s="210">
        <f t="shared" si="1"/>
        <v>413.12811682979287</v>
      </c>
      <c r="L15" s="210">
        <f t="shared" si="1"/>
        <v>334.19468416530651</v>
      </c>
      <c r="M15" s="210">
        <f t="shared" si="1"/>
        <v>332.8459411175196</v>
      </c>
      <c r="N15" s="210">
        <f t="shared" si="1"/>
        <v>387.41293333739617</v>
      </c>
    </row>
  </sheetData>
  <mergeCells count="2">
    <mergeCell ref="A5:N6"/>
    <mergeCell ref="E1:M2"/>
  </mergeCells>
  <pageMargins left="0.7" right="0.7" top="0.75" bottom="0.75" header="0.3" footer="0.3"/>
  <pageSetup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73"/>
  <sheetViews>
    <sheetView view="pageBreakPreview" zoomScaleNormal="85" zoomScaleSheetLayoutView="100" workbookViewId="0">
      <selection activeCell="E40" sqref="E40"/>
    </sheetView>
  </sheetViews>
  <sheetFormatPr defaultRowHeight="15" customHeight="1"/>
  <cols>
    <col min="1" max="1" width="38.7109375" style="3" bestFit="1" customWidth="1"/>
    <col min="2" max="2" width="11.140625" customWidth="1"/>
    <col min="3" max="3" width="10.7109375" customWidth="1"/>
    <col min="4" max="4" width="10.28515625" bestFit="1" customWidth="1"/>
  </cols>
  <sheetData>
    <row r="1" spans="1:7" ht="15" customHeight="1">
      <c r="A1" s="172" t="str">
        <f>References!A1</f>
        <v>Mason County Garbage Co., Inc. G-88</v>
      </c>
      <c r="B1" s="116"/>
      <c r="C1" s="117"/>
      <c r="D1" s="117"/>
    </row>
    <row r="2" spans="1:7" ht="15" customHeight="1">
      <c r="A2" s="171" t="s">
        <v>529</v>
      </c>
      <c r="B2" s="116"/>
      <c r="C2" s="117"/>
      <c r="F2" s="176"/>
      <c r="G2" s="176"/>
    </row>
    <row r="4" spans="1:7" ht="15" customHeight="1">
      <c r="A4" s="170"/>
      <c r="B4" s="175" t="s">
        <v>183</v>
      </c>
      <c r="C4" s="174" t="s">
        <v>171</v>
      </c>
      <c r="D4" s="173" t="s">
        <v>184</v>
      </c>
    </row>
    <row r="5" spans="1:7" ht="15" customHeight="1">
      <c r="A5" s="169"/>
      <c r="B5" s="175" t="s">
        <v>185</v>
      </c>
      <c r="C5" s="174" t="s">
        <v>170</v>
      </c>
      <c r="D5" s="174" t="s">
        <v>185</v>
      </c>
    </row>
    <row r="6" spans="1:7" ht="15" customHeight="1">
      <c r="A6" s="168" t="s">
        <v>113</v>
      </c>
      <c r="B6" s="80"/>
      <c r="C6" s="80"/>
      <c r="D6" s="80"/>
    </row>
    <row r="7" spans="1:7" ht="15" customHeight="1">
      <c r="A7" s="3" t="s">
        <v>93</v>
      </c>
      <c r="B7" s="75">
        <v>4.5599999999999996</v>
      </c>
      <c r="C7" s="3">
        <f>+ROUND('DF Calc (Mason Co.)'!L30,2)</f>
        <v>0.02</v>
      </c>
      <c r="D7" s="70">
        <f>+ROUND(B7+C7,2)</f>
        <v>4.58</v>
      </c>
      <c r="E7" s="70"/>
      <c r="F7" s="70"/>
      <c r="G7" s="69"/>
    </row>
    <row r="8" spans="1:7" ht="15" customHeight="1">
      <c r="B8" s="70"/>
      <c r="C8" s="3"/>
      <c r="D8" s="70"/>
      <c r="E8" s="70"/>
      <c r="F8" s="70"/>
      <c r="G8" s="69"/>
    </row>
    <row r="9" spans="1:7" ht="15" customHeight="1">
      <c r="A9" s="168" t="s">
        <v>94</v>
      </c>
      <c r="B9" s="81"/>
      <c r="C9" s="82"/>
      <c r="D9" s="81"/>
      <c r="E9" s="70"/>
      <c r="F9" s="70"/>
    </row>
    <row r="10" spans="1:7" ht="15" customHeight="1">
      <c r="A10" s="167" t="s">
        <v>95</v>
      </c>
      <c r="B10" s="70"/>
      <c r="C10" s="3"/>
      <c r="D10" s="70"/>
      <c r="E10" s="70"/>
      <c r="F10" s="70"/>
    </row>
    <row r="11" spans="1:7" s="176" customFormat="1" ht="15" customHeight="1">
      <c r="A11" s="3" t="s">
        <v>187</v>
      </c>
      <c r="B11" s="75">
        <v>13.5</v>
      </c>
      <c r="C11" s="122">
        <f>+ROUND('DF Calc (Mason Co.)'!L6,2)</f>
        <v>0.04</v>
      </c>
      <c r="D11" s="70">
        <f t="shared" ref="D11" si="0">+ROUND(B11+C11,2)</f>
        <v>13.54</v>
      </c>
      <c r="E11" s="70"/>
      <c r="F11" s="70"/>
    </row>
    <row r="12" spans="1:7" ht="15" customHeight="1">
      <c r="A12" s="3" t="s">
        <v>188</v>
      </c>
      <c r="B12" s="75">
        <v>18.53</v>
      </c>
      <c r="C12" s="122">
        <f>+ROUND('DF Calc (Mason Co.)'!L8,2)</f>
        <v>0.08</v>
      </c>
      <c r="D12" s="70">
        <f t="shared" ref="D12:D23" si="1">+ROUND(B12+C12,2)</f>
        <v>18.61</v>
      </c>
      <c r="E12" s="70"/>
      <c r="F12" s="70"/>
    </row>
    <row r="13" spans="1:7" ht="15" customHeight="1">
      <c r="A13" s="3" t="s">
        <v>189</v>
      </c>
      <c r="B13" s="75">
        <v>23.54</v>
      </c>
      <c r="C13" s="3">
        <f>+ROUND('DF Calc (Mason Co.)'!L9,2)</f>
        <v>0.1</v>
      </c>
      <c r="D13" s="70">
        <f t="shared" si="1"/>
        <v>23.64</v>
      </c>
      <c r="E13" s="70"/>
      <c r="F13" s="70"/>
    </row>
    <row r="14" spans="1:7" ht="15" customHeight="1">
      <c r="A14" s="3" t="s">
        <v>190</v>
      </c>
      <c r="B14" s="75">
        <v>28.7</v>
      </c>
      <c r="C14" s="3">
        <f>+ROUND('DF Calc (Mason Co.)'!L10,2)</f>
        <v>0.11</v>
      </c>
      <c r="D14" s="70">
        <f t="shared" si="1"/>
        <v>28.81</v>
      </c>
      <c r="E14" s="70"/>
      <c r="F14" s="70"/>
    </row>
    <row r="15" spans="1:7" ht="15" customHeight="1">
      <c r="A15" s="3" t="s">
        <v>191</v>
      </c>
      <c r="B15" s="75">
        <v>35.89</v>
      </c>
      <c r="C15" s="3">
        <f>+ROUND('DF Calc (Mason Co.)'!L11,2)</f>
        <v>0.16</v>
      </c>
      <c r="D15" s="70">
        <f t="shared" si="1"/>
        <v>36.049999999999997</v>
      </c>
      <c r="E15" s="70"/>
      <c r="F15" s="70"/>
    </row>
    <row r="16" spans="1:7" ht="15" customHeight="1">
      <c r="A16" s="3" t="s">
        <v>192</v>
      </c>
      <c r="B16" s="75">
        <v>10.99</v>
      </c>
      <c r="C16" s="3">
        <f>+ROUND('DF Calc (Mason Co.)'!L13,2)</f>
        <v>0.04</v>
      </c>
      <c r="D16" s="70">
        <f t="shared" si="1"/>
        <v>11.03</v>
      </c>
      <c r="E16" s="70"/>
      <c r="F16" s="70"/>
    </row>
    <row r="17" spans="1:6" ht="15" customHeight="1">
      <c r="A17" s="3" t="s">
        <v>193</v>
      </c>
      <c r="B17" s="75">
        <v>14.52</v>
      </c>
      <c r="C17" s="3">
        <f>+ROUND('DF Calc (Mason Co.)'!L14,2)</f>
        <v>0.05</v>
      </c>
      <c r="D17" s="70">
        <f t="shared" si="1"/>
        <v>14.57</v>
      </c>
      <c r="E17" s="70"/>
      <c r="F17" s="70"/>
    </row>
    <row r="18" spans="1:6" ht="15" customHeight="1">
      <c r="A18" s="3" t="s">
        <v>194</v>
      </c>
      <c r="B18" s="75">
        <v>17.309999999999999</v>
      </c>
      <c r="C18" s="3">
        <f>+ROUND('DF Calc (Mason Co.)'!L15,2)</f>
        <v>0.05</v>
      </c>
      <c r="D18" s="70">
        <f t="shared" si="1"/>
        <v>17.36</v>
      </c>
      <c r="E18" s="70"/>
      <c r="F18" s="70"/>
    </row>
    <row r="19" spans="1:6" ht="15" customHeight="1">
      <c r="A19" s="3" t="s">
        <v>195</v>
      </c>
      <c r="B19" s="75">
        <v>21.72</v>
      </c>
      <c r="C19" s="3">
        <f>+ROUND('DF Calc (Mason Co.)'!L16,2)</f>
        <v>0.08</v>
      </c>
      <c r="D19" s="70">
        <f t="shared" si="1"/>
        <v>21.8</v>
      </c>
      <c r="E19" s="70"/>
      <c r="F19" s="70"/>
    </row>
    <row r="20" spans="1:6" ht="15" customHeight="1">
      <c r="A20" s="3" t="s">
        <v>196</v>
      </c>
      <c r="B20" s="75">
        <v>6.51</v>
      </c>
      <c r="C20" s="3">
        <f>+ROUND('DF Calc (Mason Co.)'!L23,2)</f>
        <v>0.02</v>
      </c>
      <c r="D20" s="70">
        <f t="shared" si="1"/>
        <v>6.53</v>
      </c>
      <c r="E20" s="70"/>
      <c r="F20" s="70"/>
    </row>
    <row r="21" spans="1:6" ht="15" customHeight="1">
      <c r="A21" s="3" t="s">
        <v>197</v>
      </c>
      <c r="B21" s="75">
        <v>8.15</v>
      </c>
      <c r="C21" s="3">
        <f>+ROUND('DF Calc (Mason Co.)'!L24,2)</f>
        <v>0.02</v>
      </c>
      <c r="D21" s="70">
        <f t="shared" si="1"/>
        <v>8.17</v>
      </c>
      <c r="E21" s="70"/>
      <c r="F21" s="70"/>
    </row>
    <row r="22" spans="1:6" ht="15" customHeight="1">
      <c r="A22" s="3" t="s">
        <v>198</v>
      </c>
      <c r="B22" s="75">
        <v>9.6300000000000008</v>
      </c>
      <c r="C22" s="3">
        <f>+ROUND('DF Calc (Mason Co.)'!L25,2)</f>
        <v>0.02</v>
      </c>
      <c r="D22" s="70">
        <f t="shared" si="1"/>
        <v>9.65</v>
      </c>
      <c r="E22" s="70"/>
      <c r="F22" s="70"/>
    </row>
    <row r="23" spans="1:6" ht="15" customHeight="1">
      <c r="A23" s="3" t="s">
        <v>199</v>
      </c>
      <c r="B23" s="75">
        <v>11.88</v>
      </c>
      <c r="C23" s="3">
        <f>+ROUND('DF Calc (Mason Co.)'!L26,2)</f>
        <v>0.04</v>
      </c>
      <c r="D23" s="70">
        <f t="shared" si="1"/>
        <v>11.92</v>
      </c>
      <c r="E23" s="70"/>
      <c r="F23" s="70"/>
    </row>
    <row r="24" spans="1:6" ht="15" customHeight="1">
      <c r="B24" s="70"/>
      <c r="C24" s="3"/>
      <c r="D24" s="70"/>
      <c r="E24" s="70"/>
      <c r="F24" s="70"/>
    </row>
    <row r="25" spans="1:6" ht="15" customHeight="1">
      <c r="A25" s="168" t="s">
        <v>96</v>
      </c>
      <c r="B25" s="81"/>
      <c r="C25" s="82"/>
      <c r="D25" s="81"/>
      <c r="E25" s="70"/>
      <c r="F25" s="70"/>
    </row>
    <row r="26" spans="1:6" ht="15" customHeight="1">
      <c r="A26" s="3" t="s">
        <v>186</v>
      </c>
      <c r="B26" s="75">
        <v>4.5599999999999996</v>
      </c>
      <c r="C26" s="3">
        <f>+ROUND('DF Calc (Mason Co.)'!L27,2)</f>
        <v>0.02</v>
      </c>
      <c r="D26" s="70">
        <f>+ROUND(B26+C26,2)</f>
        <v>4.58</v>
      </c>
      <c r="E26" s="70"/>
      <c r="F26" s="70"/>
    </row>
    <row r="27" spans="1:6" ht="15" customHeight="1">
      <c r="B27" s="75"/>
      <c r="C27" s="3"/>
      <c r="D27" s="70"/>
      <c r="E27" s="70"/>
      <c r="F27" s="70"/>
    </row>
    <row r="28" spans="1:6" ht="15" customHeight="1">
      <c r="A28" s="3" t="s">
        <v>200</v>
      </c>
      <c r="B28" s="75">
        <v>6.51</v>
      </c>
      <c r="C28" s="3">
        <f>+ROUND('DF Calc (Mason Co.)'!L23,2)</f>
        <v>0.02</v>
      </c>
      <c r="D28" s="70">
        <f>+ROUND(B28+C28,2)</f>
        <v>6.53</v>
      </c>
      <c r="E28" s="70"/>
      <c r="F28" s="70"/>
    </row>
    <row r="29" spans="1:6" ht="15" customHeight="1">
      <c r="A29" s="3" t="s">
        <v>201</v>
      </c>
      <c r="B29" s="75">
        <v>8.15</v>
      </c>
      <c r="C29" s="3">
        <f>+ROUND('DF Calc (Mason Co.)'!L24,2)</f>
        <v>0.02</v>
      </c>
      <c r="D29" s="70">
        <f>+ROUND(B29+C29,2)</f>
        <v>8.17</v>
      </c>
      <c r="E29" s="70"/>
      <c r="F29" s="70"/>
    </row>
    <row r="30" spans="1:6" ht="15" customHeight="1">
      <c r="A30" s="3" t="s">
        <v>202</v>
      </c>
      <c r="B30" s="75">
        <v>9.6300000000000008</v>
      </c>
      <c r="C30" s="3">
        <f>+ROUND('DF Calc (Mason Co.)'!L25,2)</f>
        <v>0.02</v>
      </c>
      <c r="D30" s="70">
        <f>+ROUND(B30+C30,2)</f>
        <v>9.65</v>
      </c>
      <c r="E30" s="70"/>
      <c r="F30" s="70"/>
    </row>
    <row r="31" spans="1:6" ht="15" customHeight="1">
      <c r="A31" s="3" t="s">
        <v>203</v>
      </c>
      <c r="B31" s="75">
        <v>11.88</v>
      </c>
      <c r="C31" s="3">
        <f>+ROUND('DF Calc (Mason Co.)'!L26,2)</f>
        <v>0.04</v>
      </c>
      <c r="D31" s="70">
        <f>+ROUND(B31+C31,2)</f>
        <v>11.92</v>
      </c>
      <c r="E31" s="70"/>
      <c r="F31" s="70"/>
    </row>
    <row r="32" spans="1:6" ht="15" customHeight="1">
      <c r="B32" s="70"/>
      <c r="C32" s="3"/>
      <c r="D32" s="70"/>
      <c r="E32" s="70"/>
      <c r="F32" s="70"/>
    </row>
    <row r="33" spans="1:6" ht="15" customHeight="1">
      <c r="A33" s="168" t="s">
        <v>98</v>
      </c>
      <c r="B33" s="81"/>
      <c r="C33" s="82"/>
      <c r="D33" s="81"/>
      <c r="E33" s="70"/>
      <c r="F33" s="70"/>
    </row>
    <row r="34" spans="1:6" ht="15" customHeight="1">
      <c r="A34" s="78" t="s">
        <v>99</v>
      </c>
      <c r="B34" s="75">
        <v>28</v>
      </c>
      <c r="C34" s="78">
        <f>+ROUND('DF Calc (Mason Co.)'!L46,2)</f>
        <v>0.06</v>
      </c>
      <c r="D34" s="70">
        <f>+ROUND(B34+C34,2)</f>
        <v>28.06</v>
      </c>
      <c r="E34" s="70"/>
      <c r="F34" s="70"/>
    </row>
    <row r="35" spans="1:6" ht="15" customHeight="1">
      <c r="A35" s="78" t="s">
        <v>100</v>
      </c>
      <c r="B35" s="75">
        <v>28</v>
      </c>
      <c r="C35" s="78">
        <f>+ROUND('DF Calc (Mason Co.)'!L47,2)</f>
        <v>0.06</v>
      </c>
      <c r="D35" s="70">
        <f>+ROUND(B35+C35,2)</f>
        <v>28.06</v>
      </c>
      <c r="E35" s="70"/>
      <c r="F35" s="70"/>
    </row>
    <row r="36" spans="1:6" ht="15" customHeight="1">
      <c r="A36" s="78" t="s">
        <v>174</v>
      </c>
      <c r="B36" s="75">
        <v>28</v>
      </c>
      <c r="C36" s="78">
        <f>+ROUND('DF Calc (Mason Co.)'!L48,2)</f>
        <v>0.06</v>
      </c>
      <c r="D36" s="70">
        <f>+ROUND(B36+C36,2)</f>
        <v>28.06</v>
      </c>
      <c r="E36" s="70"/>
      <c r="F36" s="70"/>
    </row>
    <row r="37" spans="1:6" ht="15" customHeight="1">
      <c r="A37" s="78" t="s">
        <v>175</v>
      </c>
      <c r="B37" s="75">
        <v>31.75</v>
      </c>
      <c r="C37" s="78">
        <f>+ROUND('DF Calc (Mason Co.)'!L49,2)</f>
        <v>0.06</v>
      </c>
      <c r="D37" s="70">
        <f>+ROUND(B37+C37,2)</f>
        <v>31.81</v>
      </c>
      <c r="E37" s="70"/>
      <c r="F37" s="70"/>
    </row>
    <row r="38" spans="1:6" ht="15" customHeight="1">
      <c r="B38" s="70"/>
      <c r="C38" s="3"/>
      <c r="D38" s="70"/>
      <c r="E38" s="70"/>
      <c r="F38" s="70"/>
    </row>
    <row r="39" spans="1:6" ht="15" customHeight="1">
      <c r="A39" s="168" t="s">
        <v>103</v>
      </c>
      <c r="B39" s="81"/>
      <c r="C39" s="82"/>
      <c r="D39" s="81"/>
      <c r="E39" s="70"/>
      <c r="F39" s="70"/>
    </row>
    <row r="40" spans="1:6" ht="15" customHeight="1">
      <c r="A40" s="3" t="s">
        <v>104</v>
      </c>
      <c r="B40" s="75">
        <v>16.16</v>
      </c>
      <c r="C40" s="3">
        <f>+ROUND('DF Calc (Mason Co.)'!L59,2)</f>
        <v>0.06</v>
      </c>
      <c r="D40" s="70">
        <f>+ROUND(B40+C40,2)</f>
        <v>16.22</v>
      </c>
      <c r="E40" s="70"/>
      <c r="F40" s="70"/>
    </row>
    <row r="41" spans="1:6" ht="15" customHeight="1">
      <c r="A41" s="3" t="s">
        <v>105</v>
      </c>
      <c r="B41" s="75">
        <v>16.16</v>
      </c>
      <c r="C41" s="3">
        <f>+ROUND(C40,2)</f>
        <v>0.06</v>
      </c>
      <c r="D41" s="70">
        <f>+ROUND(B41+C41,2)</f>
        <v>16.22</v>
      </c>
      <c r="E41" s="70"/>
      <c r="F41" s="70"/>
    </row>
    <row r="42" spans="1:6" ht="15" customHeight="1">
      <c r="B42" s="70"/>
      <c r="C42" s="3"/>
      <c r="D42" s="70"/>
      <c r="E42" s="70"/>
      <c r="F42" s="70"/>
    </row>
    <row r="43" spans="1:6" ht="15" customHeight="1">
      <c r="A43" s="168" t="s">
        <v>180</v>
      </c>
      <c r="B43" s="81"/>
      <c r="C43" s="82"/>
      <c r="D43" s="81"/>
      <c r="E43" s="70"/>
      <c r="F43" s="70"/>
    </row>
    <row r="44" spans="1:6" ht="15" customHeight="1">
      <c r="A44" s="3" t="s">
        <v>179</v>
      </c>
      <c r="B44" s="75">
        <v>102.31</v>
      </c>
      <c r="C44" s="3">
        <f>References!$B$53</f>
        <v>1.230000000000004</v>
      </c>
      <c r="D44" s="165">
        <f>+B44+C44</f>
        <v>103.54</v>
      </c>
      <c r="E44" s="70"/>
      <c r="F44" s="70"/>
    </row>
    <row r="45" spans="1:6" ht="15" customHeight="1">
      <c r="B45" s="70"/>
      <c r="C45" s="3"/>
      <c r="D45" s="70"/>
      <c r="E45" s="70"/>
      <c r="F45" s="70"/>
    </row>
    <row r="46" spans="1:6" ht="15" customHeight="1">
      <c r="A46" s="168" t="s">
        <v>106</v>
      </c>
      <c r="B46" s="80"/>
      <c r="C46" s="82"/>
      <c r="D46" s="80"/>
      <c r="F46" s="70"/>
    </row>
    <row r="47" spans="1:6" ht="15" customHeight="1">
      <c r="A47" s="3" t="s">
        <v>176</v>
      </c>
      <c r="B47" s="75">
        <v>17.53</v>
      </c>
      <c r="C47" s="3">
        <f>+ROUND('DF Calc (Mason Co.)'!L34,2)</f>
        <v>0.08</v>
      </c>
      <c r="D47" s="70">
        <f>+ROUND(B47+C47,2)</f>
        <v>17.61</v>
      </c>
      <c r="E47" s="70"/>
      <c r="F47" s="70"/>
    </row>
    <row r="48" spans="1:6" ht="15" customHeight="1">
      <c r="A48" s="3" t="s">
        <v>177</v>
      </c>
      <c r="B48" s="75">
        <v>19.489999999999998</v>
      </c>
      <c r="C48" s="3">
        <f>+ROUND('DF Calc (Mason Co.)'!L35,2)</f>
        <v>0.12</v>
      </c>
      <c r="D48" s="70">
        <f>+ROUND(B48+C48,2)</f>
        <v>19.61</v>
      </c>
      <c r="E48" s="70"/>
      <c r="F48" s="70"/>
    </row>
    <row r="49" spans="1:6" ht="15" customHeight="1">
      <c r="A49" s="3" t="s">
        <v>178</v>
      </c>
      <c r="B49" s="75">
        <v>25.76</v>
      </c>
      <c r="C49" s="3">
        <f>+ROUND('DF Calc (Mason Co.)'!L36,2)</f>
        <v>0.16</v>
      </c>
      <c r="D49" s="70">
        <f>+ROUND(B49+C49,2)</f>
        <v>25.92</v>
      </c>
      <c r="E49" s="70"/>
      <c r="F49" s="70"/>
    </row>
    <row r="50" spans="1:6" ht="15" customHeight="1">
      <c r="A50" s="3" t="s">
        <v>153</v>
      </c>
      <c r="B50" s="75">
        <v>16.16</v>
      </c>
      <c r="C50" s="3">
        <f>+ROUND('DF Calc (Mason Co.)'!L59,2)</f>
        <v>0.06</v>
      </c>
      <c r="D50" s="70">
        <f>+ROUND(B50+C50,2)</f>
        <v>16.22</v>
      </c>
      <c r="E50" s="70"/>
      <c r="F50" s="70"/>
    </row>
    <row r="51" spans="1:6" ht="15" customHeight="1">
      <c r="B51" s="70"/>
      <c r="C51" s="3"/>
      <c r="D51" s="70"/>
      <c r="E51" s="70"/>
      <c r="F51" s="70"/>
    </row>
    <row r="52" spans="1:6" ht="15" customHeight="1">
      <c r="A52" s="168" t="s">
        <v>107</v>
      </c>
      <c r="B52" s="81"/>
      <c r="C52" s="82"/>
      <c r="D52" s="81"/>
      <c r="E52" s="70"/>
      <c r="F52" s="70"/>
    </row>
    <row r="53" spans="1:6" ht="15" customHeight="1">
      <c r="A53" s="3" t="s">
        <v>204</v>
      </c>
      <c r="B53" s="75">
        <v>4.78</v>
      </c>
      <c r="C53" s="3">
        <f>+ROUND('DF Calc (Mason Co.)'!L51,2)</f>
        <v>0.02</v>
      </c>
      <c r="D53" s="70">
        <f>+ROUND(B53+C53,2)</f>
        <v>4.8</v>
      </c>
      <c r="E53" s="70"/>
      <c r="F53" s="70"/>
    </row>
    <row r="54" spans="1:6" ht="15" customHeight="1">
      <c r="A54" s="3" t="s">
        <v>205</v>
      </c>
      <c r="B54" s="75">
        <v>5.65</v>
      </c>
      <c r="C54" s="3">
        <f>+ROUND('DF Calc (Mason Co.)'!L52,2)</f>
        <v>0.02</v>
      </c>
      <c r="D54" s="70">
        <f>+ROUND(B54+C54,2)</f>
        <v>5.67</v>
      </c>
      <c r="E54" s="70"/>
      <c r="F54" s="70"/>
    </row>
    <row r="55" spans="1:6" ht="15" customHeight="1">
      <c r="A55" s="3" t="s">
        <v>206</v>
      </c>
      <c r="B55" s="75">
        <v>6.68</v>
      </c>
      <c r="C55" s="3">
        <f>+ROUND('DF Calc (Mason Co.)'!L53,2)</f>
        <v>0.02</v>
      </c>
      <c r="D55" s="70">
        <f>+ROUND(B55+C55,2)</f>
        <v>6.7</v>
      </c>
      <c r="E55" s="70"/>
      <c r="F55" s="70"/>
    </row>
    <row r="56" spans="1:6" ht="15" customHeight="1">
      <c r="A56" s="3" t="s">
        <v>207</v>
      </c>
      <c r="B56" s="75">
        <v>8.3699999999999992</v>
      </c>
      <c r="C56" s="3">
        <f>+ROUND('DF Calc (Mason Co.)'!L54,2)</f>
        <v>0.04</v>
      </c>
      <c r="D56" s="70">
        <f>+ROUND(B56+C56,2)</f>
        <v>8.41</v>
      </c>
      <c r="E56" s="70"/>
      <c r="F56" s="70"/>
    </row>
    <row r="57" spans="1:6" ht="15" customHeight="1">
      <c r="B57" s="75"/>
      <c r="C57" s="3"/>
      <c r="D57" s="70"/>
      <c r="E57" s="70"/>
      <c r="F57" s="70"/>
    </row>
    <row r="58" spans="1:6" ht="15" customHeight="1">
      <c r="A58" s="167" t="s">
        <v>97</v>
      </c>
      <c r="B58" s="75"/>
      <c r="C58" s="3"/>
      <c r="D58" s="70"/>
      <c r="E58" s="70"/>
      <c r="F58" s="70"/>
    </row>
    <row r="59" spans="1:6" ht="15" customHeight="1">
      <c r="A59" s="3" t="s">
        <v>204</v>
      </c>
      <c r="B59" s="75">
        <v>14.92</v>
      </c>
      <c r="C59" s="3">
        <f>+ROUND('DF Calc (Mason Co.)'!L55,2)</f>
        <v>0.02</v>
      </c>
      <c r="D59" s="70">
        <f>+ROUND(B59+C59,2)</f>
        <v>14.94</v>
      </c>
      <c r="E59" s="70"/>
      <c r="F59" s="70"/>
    </row>
    <row r="60" spans="1:6" ht="15" customHeight="1">
      <c r="A60" s="3" t="s">
        <v>205</v>
      </c>
      <c r="B60" s="75">
        <v>15.78</v>
      </c>
      <c r="C60" s="3">
        <f>+ROUND('DF Calc (Mason Co.)'!L56,2)</f>
        <v>0.02</v>
      </c>
      <c r="D60" s="70">
        <f>+ROUND(B60+C60,2)</f>
        <v>15.8</v>
      </c>
      <c r="E60" s="70"/>
      <c r="F60" s="70"/>
    </row>
    <row r="61" spans="1:6" ht="15" customHeight="1">
      <c r="A61" s="3" t="s">
        <v>206</v>
      </c>
      <c r="B61" s="75">
        <v>16.82</v>
      </c>
      <c r="C61" s="3">
        <f>+ROUND('DF Calc (Mason Co.)'!L57,2)</f>
        <v>0.02</v>
      </c>
      <c r="D61" s="70">
        <f>+ROUND(B61+C61,2)</f>
        <v>16.84</v>
      </c>
      <c r="E61" s="70"/>
      <c r="F61" s="70"/>
    </row>
    <row r="62" spans="1:6" ht="15" customHeight="1">
      <c r="A62" s="3" t="s">
        <v>207</v>
      </c>
      <c r="B62" s="75">
        <v>18.510000000000002</v>
      </c>
      <c r="C62" s="3">
        <f>+ROUND('DF Calc (Mason Co.)'!L58,2)</f>
        <v>0.04</v>
      </c>
      <c r="D62" s="70">
        <f>+ROUND(B62+C62,2)</f>
        <v>18.55</v>
      </c>
      <c r="E62" s="70"/>
      <c r="F62" s="70"/>
    </row>
    <row r="63" spans="1:6" ht="15" customHeight="1">
      <c r="B63" s="75"/>
      <c r="C63" s="3"/>
      <c r="D63" s="70"/>
      <c r="E63" s="70"/>
      <c r="F63" s="70"/>
    </row>
    <row r="64" spans="1:6" ht="15" customHeight="1">
      <c r="A64" s="3" t="s">
        <v>154</v>
      </c>
      <c r="B64" s="75">
        <v>4.76</v>
      </c>
      <c r="C64" s="3">
        <f>+ROUND('DF Calc (Mason Co.)'!L60,2)</f>
        <v>0.01</v>
      </c>
      <c r="D64" s="70">
        <f>+ROUND(B64+C64,2)</f>
        <v>4.7699999999999996</v>
      </c>
      <c r="E64" s="70"/>
      <c r="F64" s="70"/>
    </row>
    <row r="65" spans="1:6" ht="15" customHeight="1">
      <c r="A65" s="3" t="s">
        <v>155</v>
      </c>
      <c r="B65" s="75">
        <v>19.09</v>
      </c>
      <c r="C65" s="3">
        <f>+ROUND('DF Calc (Mason Co.)'!L61,2)</f>
        <v>0.06</v>
      </c>
      <c r="D65" s="70">
        <f>+ROUND(B65+C65,2)</f>
        <v>19.149999999999999</v>
      </c>
      <c r="E65" s="70"/>
      <c r="F65" s="70"/>
    </row>
    <row r="66" spans="1:6" ht="15" customHeight="1">
      <c r="A66" s="3" t="s">
        <v>156</v>
      </c>
      <c r="B66" s="75">
        <v>4.07</v>
      </c>
      <c r="C66" s="115">
        <f>+ROUND('DF Calc (Mason Co.)'!L62,2)</f>
        <v>0.01</v>
      </c>
      <c r="D66" s="70">
        <f>+ROUND(B66+C66,2)</f>
        <v>4.08</v>
      </c>
      <c r="E66" s="70"/>
      <c r="F66" s="70"/>
    </row>
    <row r="67" spans="1:6" ht="15" customHeight="1">
      <c r="A67" s="3" t="s">
        <v>157</v>
      </c>
      <c r="B67" s="75">
        <v>4.4000000000000004</v>
      </c>
      <c r="C67" s="3">
        <f>+ROUND('DF Calc (Mason Co.)'!L63,2)</f>
        <v>0.01</v>
      </c>
      <c r="D67" s="70">
        <f>+ROUND(B67+C67,2)</f>
        <v>4.41</v>
      </c>
      <c r="E67" s="70"/>
      <c r="F67" s="70"/>
    </row>
    <row r="68" spans="1:6" ht="15" customHeight="1">
      <c r="A68" s="3" t="s">
        <v>158</v>
      </c>
      <c r="B68" s="75"/>
      <c r="C68" s="3"/>
      <c r="D68" s="75"/>
      <c r="E68" s="70"/>
      <c r="F68" s="70"/>
    </row>
    <row r="69" spans="1:6" ht="15" customHeight="1">
      <c r="A69" s="166" t="s">
        <v>204</v>
      </c>
      <c r="B69" s="75">
        <v>20.53</v>
      </c>
      <c r="C69" s="3">
        <f>+ROUND('DF Calc (Mason Co.)'!L64,2)</f>
        <v>0.08</v>
      </c>
      <c r="D69" s="75">
        <f>+ROUND(B69+C69,2)</f>
        <v>20.61</v>
      </c>
      <c r="E69" s="70"/>
      <c r="F69" s="70"/>
    </row>
    <row r="70" spans="1:6" ht="15" customHeight="1">
      <c r="A70" s="166" t="s">
        <v>205</v>
      </c>
      <c r="B70" s="75">
        <v>24.24</v>
      </c>
      <c r="C70" s="3">
        <f>+ROUND('DF Calc (Mason Co.)'!L65,2)</f>
        <v>0.1</v>
      </c>
      <c r="D70" s="75">
        <f>+ROUND(B70+C70,2)</f>
        <v>24.34</v>
      </c>
      <c r="E70" s="70"/>
      <c r="F70" s="70"/>
    </row>
    <row r="71" spans="1:6" ht="15" customHeight="1">
      <c r="A71" s="166" t="s">
        <v>206</v>
      </c>
      <c r="B71" s="75">
        <v>28.6</v>
      </c>
      <c r="C71" s="3">
        <f>+ROUND('DF Calc (Mason Co.)'!L66,2)</f>
        <v>0.11</v>
      </c>
      <c r="D71" s="75">
        <f>+ROUND(B71+C71,2)</f>
        <v>28.71</v>
      </c>
      <c r="E71" s="70"/>
      <c r="F71" s="70"/>
    </row>
    <row r="72" spans="1:6" ht="15" customHeight="1">
      <c r="A72" s="166" t="s">
        <v>207</v>
      </c>
      <c r="B72" s="75">
        <v>35.89</v>
      </c>
      <c r="C72" s="3">
        <f>+ROUND('DF Calc (Mason Co.)'!L67,2)</f>
        <v>0.16</v>
      </c>
      <c r="D72" s="75">
        <f>+ROUND(B72+C72,2)</f>
        <v>36.049999999999997</v>
      </c>
      <c r="E72" s="70"/>
      <c r="F72" s="70"/>
    </row>
    <row r="73" spans="1:6" ht="15" customHeight="1">
      <c r="B73" s="70"/>
      <c r="C73" s="3"/>
      <c r="D73" s="70"/>
      <c r="E73" s="70"/>
      <c r="F73" s="70"/>
    </row>
  </sheetData>
  <pageMargins left="0.7" right="0.7" top="0.75" bottom="0.75" header="0.3" footer="0.3"/>
  <pageSetup scale="88" fitToHeight="2" orientation="portrait" r:id="rId1"/>
  <headerFooter>
    <oddFooter xml:space="preserve">&amp;L&amp;F - &amp;A
&amp;R&amp;P of &amp;N    </oddFooter>
  </headerFooter>
  <rowBreaks count="1" manualBreakCount="1">
    <brk id="3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2020-11-24T08:00:00+00:00</OpenedDate>
    <SignificantOrder xmlns="dc463f71-b30c-4ab2-9473-d307f9d35888">false</SignificantOrder>
    <Date1 xmlns="dc463f71-b30c-4ab2-9473-d307f9d35888">2020-11-24T08:00:00+00:00</Date1>
    <IsDocumentOrder xmlns="dc463f71-b30c-4ab2-9473-d307f9d35888">false</IsDocumentOrder>
    <IsHighlyConfidential xmlns="dc463f71-b30c-4ab2-9473-d307f9d35888">false</IsHighlyConfidential>
    <CaseCompanyNames xmlns="dc463f71-b30c-4ab2-9473-d307f9d35888">Mason County Garbage Co., Inc.</CaseCompanyNames>
    <Nickname xmlns="http://schemas.microsoft.com/sharepoint/v3" xsi:nil="true"/>
    <DocketNumber xmlns="dc463f71-b30c-4ab2-9473-d307f9d35888">200950</DocketNumber>
    <DelegatedOrder xmlns="dc463f71-b30c-4ab2-9473-d307f9d35888">false</Delegated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33986203B56AA4388705291C113C4B2" ma:contentTypeVersion="52" ma:contentTypeDescription="" ma:contentTypeScope="" ma:versionID="d619fb39997511986652d7262fbbb76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C421D1-438D-4690-B6CE-026FAC219A51}">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7429f450-94b4-4416-870d-2c1407281566"/>
    <ds:schemaRef ds:uri="http://www.w3.org/XML/1998/namespace"/>
  </ds:schemaRefs>
</ds:datastoreItem>
</file>

<file path=customXml/itemProps2.xml><?xml version="1.0" encoding="utf-8"?>
<ds:datastoreItem xmlns:ds="http://schemas.openxmlformats.org/officeDocument/2006/customXml" ds:itemID="{B2B42D01-8E37-40AC-B3A3-B8997D34019E}"/>
</file>

<file path=customXml/itemProps3.xml><?xml version="1.0" encoding="utf-8"?>
<ds:datastoreItem xmlns:ds="http://schemas.openxmlformats.org/officeDocument/2006/customXml" ds:itemID="{CE932966-AEE5-471D-83A0-CA1328691ECC}">
  <ds:schemaRefs>
    <ds:schemaRef ds:uri="http://schemas.microsoft.com/sharepoint/v3/contenttype/forms"/>
  </ds:schemaRefs>
</ds:datastoreItem>
</file>

<file path=customXml/itemProps4.xml><?xml version="1.0" encoding="utf-8"?>
<ds:datastoreItem xmlns:ds="http://schemas.openxmlformats.org/officeDocument/2006/customXml" ds:itemID="{4D47E7EC-C4EA-412F-B455-9749B96292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References</vt:lpstr>
      <vt:lpstr>DF Calc (Mason Co.)</vt:lpstr>
      <vt:lpstr>Mason Co. Regulated - Price Out</vt:lpstr>
      <vt:lpstr>11.2018-10.2019 Disposal</vt:lpstr>
      <vt:lpstr>Prop. Rates</vt:lpstr>
      <vt:lpstr>'DF Calc (Mason Co.)'!Print_Area</vt:lpstr>
      <vt:lpstr>'Mason Co. Regulated - Price Out'!Print_Area</vt:lpstr>
      <vt:lpstr>References!Print_Area</vt:lpstr>
      <vt:lpstr>'DF Calc (Mason Co.)'!Print_Titles</vt:lpstr>
      <vt:lpstr>'Mason Co. Regulated - Price Out'!Print_Titles</vt:lpstr>
      <vt:lpstr>'Prop. Rates'!Print_Titles</vt:lpstr>
    </vt:vector>
  </TitlesOfParts>
  <Company>Waste Connections,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Lindsay Waldram</cp:lastModifiedBy>
  <cp:lastPrinted>2020-11-24T19:14:09Z</cp:lastPrinted>
  <dcterms:created xsi:type="dcterms:W3CDTF">2014-10-29T22:31:20Z</dcterms:created>
  <dcterms:modified xsi:type="dcterms:W3CDTF">2020-11-24T19:15:35Z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0x0101006E56B4D1795A2E4DB2F0B01679ED314A00633986203B56AA4388705291C113C4B2</vt:lpwstr>
  </property>
  <property fmtid="{D5CDD505-2E9C-101B-9397-08002B2CF9AE}" pid="3" name="_docset_NoMedatataSyncRequired">
    <vt:lpwstr>False</vt:lpwstr>
  </property>
  <property fmtid="{D5CDD505-2E9C-101B-9397-08002B2CF9AE}" pid="4" name="IsEFSEC">
    <vt:bool>false</vt:bool>
  </property>
</Properties>
</file>