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Ellensburg\2020 Disposal Fee Increase\"/>
    </mc:Choice>
  </mc:AlternateContent>
  <xr:revisionPtr revIDLastSave="0" documentId="8_{079F8FFC-707E-4956-8BE3-36B195688C6A}" xr6:coauthVersionLast="44" xr6:coauthVersionMax="44" xr10:uidLastSave="{00000000-0000-0000-0000-000000000000}"/>
  <bookViews>
    <workbookView xWindow="31410" yWindow="1230" windowWidth="21600" windowHeight="11385" activeTab="1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format'!$A$1:$Q$74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4" l="1"/>
  <c r="B58" i="4" l="1"/>
  <c r="G54" i="7" l="1"/>
  <c r="G50" i="7"/>
  <c r="G46" i="7"/>
  <c r="G47" i="7" s="1"/>
  <c r="G48" i="7" s="1"/>
  <c r="G49" i="7" s="1"/>
  <c r="G41" i="7"/>
  <c r="G34" i="7"/>
  <c r="G35" i="7" s="1"/>
  <c r="G29" i="7"/>
  <c r="G30" i="7" s="1"/>
  <c r="G26" i="7"/>
  <c r="G23" i="7"/>
  <c r="G24" i="7" s="1"/>
  <c r="F22" i="7"/>
  <c r="H22" i="7" s="1"/>
  <c r="F23" i="7"/>
  <c r="F24" i="7"/>
  <c r="F26" i="7"/>
  <c r="O26" i="7" s="1"/>
  <c r="F29" i="7"/>
  <c r="O29" i="7" s="1"/>
  <c r="F34" i="7"/>
  <c r="O34" i="7" s="1"/>
  <c r="F41" i="7"/>
  <c r="O41" i="7" s="1"/>
  <c r="F50" i="7"/>
  <c r="O50" i="7" s="1"/>
  <c r="F54" i="7"/>
  <c r="O54" i="7" s="1"/>
  <c r="E27" i="7"/>
  <c r="E30" i="7" s="1"/>
  <c r="E35" i="7" s="1"/>
  <c r="E42" i="7" s="1"/>
  <c r="E51" i="7" s="1"/>
  <c r="F51" i="7" s="1"/>
  <c r="E19" i="7"/>
  <c r="E20" i="7" s="1"/>
  <c r="F18" i="7"/>
  <c r="O16" i="7"/>
  <c r="F16" i="7"/>
  <c r="O4" i="7"/>
  <c r="O5" i="7"/>
  <c r="O6" i="7"/>
  <c r="O7" i="7"/>
  <c r="O8" i="7"/>
  <c r="O9" i="7"/>
  <c r="O11" i="7"/>
  <c r="O13" i="7"/>
  <c r="O3" i="7"/>
  <c r="O2" i="7"/>
  <c r="O15" i="7"/>
  <c r="O12" i="7"/>
  <c r="O10" i="7"/>
  <c r="O22" i="7" l="1"/>
  <c r="H54" i="7"/>
  <c r="H41" i="7"/>
  <c r="H26" i="7"/>
  <c r="H50" i="7"/>
  <c r="O51" i="7"/>
  <c r="H34" i="7"/>
  <c r="G27" i="7"/>
  <c r="G28" i="7" s="1"/>
  <c r="G51" i="7"/>
  <c r="G52" i="7" s="1"/>
  <c r="G53" i="7" s="1"/>
  <c r="H24" i="7"/>
  <c r="G25" i="7"/>
  <c r="G31" i="7"/>
  <c r="G36" i="7"/>
  <c r="G37" i="7" s="1"/>
  <c r="G38" i="7" s="1"/>
  <c r="G39" i="7" s="1"/>
  <c r="G40" i="7" s="1"/>
  <c r="H29" i="7"/>
  <c r="G42" i="7"/>
  <c r="H23" i="7"/>
  <c r="O24" i="7"/>
  <c r="O23" i="7"/>
  <c r="E21" i="7"/>
  <c r="E25" i="7" s="1"/>
  <c r="E28" i="7" s="1"/>
  <c r="E31" i="7" s="1"/>
  <c r="F31" i="7" s="1"/>
  <c r="F20" i="7"/>
  <c r="F35" i="7"/>
  <c r="O35" i="7" s="1"/>
  <c r="F27" i="7"/>
  <c r="O27" i="7" s="1"/>
  <c r="F42" i="7"/>
  <c r="O42" i="7" s="1"/>
  <c r="F30" i="7"/>
  <c r="O30" i="7" s="1"/>
  <c r="F19" i="7"/>
  <c r="D70" i="7"/>
  <c r="O14" i="7"/>
  <c r="F21" i="7" l="1"/>
  <c r="D61" i="7"/>
  <c r="D74" i="7"/>
  <c r="F28" i="7"/>
  <c r="O28" i="7" s="1"/>
  <c r="F25" i="7"/>
  <c r="O25" i="7" s="1"/>
  <c r="H35" i="7"/>
  <c r="H30" i="7"/>
  <c r="E33" i="7"/>
  <c r="F33" i="7" s="1"/>
  <c r="O33" i="7" s="1"/>
  <c r="E32" i="7"/>
  <c r="H51" i="7"/>
  <c r="H27" i="7"/>
  <c r="H42" i="7"/>
  <c r="G43" i="7"/>
  <c r="G44" i="7" s="1"/>
  <c r="G45" i="7" s="1"/>
  <c r="G32" i="7"/>
  <c r="G33" i="7" s="1"/>
  <c r="H31" i="7"/>
  <c r="O31" i="7"/>
  <c r="H28" i="7" l="1"/>
  <c r="H25" i="7"/>
  <c r="E36" i="7"/>
  <c r="F32" i="7"/>
  <c r="O32" i="7" s="1"/>
  <c r="H33" i="7"/>
  <c r="H32" i="7" l="1"/>
  <c r="E37" i="7"/>
  <c r="F36" i="7"/>
  <c r="O36" i="7" l="1"/>
  <c r="H36" i="7"/>
  <c r="E38" i="7"/>
  <c r="F37" i="7"/>
  <c r="H37" i="7" l="1"/>
  <c r="O37" i="7"/>
  <c r="E39" i="7"/>
  <c r="F38" i="7"/>
  <c r="G19" i="7"/>
  <c r="G18" i="7"/>
  <c r="G21" i="7"/>
  <c r="G20" i="7"/>
  <c r="G14" i="7"/>
  <c r="G15" i="7" s="1"/>
  <c r="G13" i="7"/>
  <c r="G12" i="7"/>
  <c r="G11" i="7"/>
  <c r="G10" i="7"/>
  <c r="G9" i="7"/>
  <c r="G7" i="7"/>
  <c r="G8" i="7"/>
  <c r="G6" i="7"/>
  <c r="G5" i="7"/>
  <c r="G16" i="7" s="1"/>
  <c r="H16" i="7" s="1"/>
  <c r="G4" i="7"/>
  <c r="G3" i="7"/>
  <c r="G2" i="7"/>
  <c r="H38" i="7" l="1"/>
  <c r="O38" i="7"/>
  <c r="E40" i="7"/>
  <c r="F39" i="7"/>
  <c r="H18" i="7"/>
  <c r="H19" i="7"/>
  <c r="D55" i="7"/>
  <c r="D62" i="7"/>
  <c r="H39" i="7" l="1"/>
  <c r="O39" i="7"/>
  <c r="E43" i="7"/>
  <c r="F40" i="7"/>
  <c r="D17" i="7"/>
  <c r="D56" i="7" s="1"/>
  <c r="E44" i="7" l="1"/>
  <c r="F43" i="7"/>
  <c r="O40" i="7"/>
  <c r="H40" i="7"/>
  <c r="H20" i="7"/>
  <c r="O20" i="7"/>
  <c r="H21" i="7"/>
  <c r="O21" i="7"/>
  <c r="O43" i="7" l="1"/>
  <c r="H43" i="7"/>
  <c r="E45" i="7"/>
  <c r="E46" i="7"/>
  <c r="F44" i="7"/>
  <c r="O19" i="7"/>
  <c r="O18" i="7"/>
  <c r="B54" i="4"/>
  <c r="E47" i="7" l="1"/>
  <c r="F45" i="7"/>
  <c r="H44" i="7"/>
  <c r="O44" i="7"/>
  <c r="F46" i="7"/>
  <c r="E48" i="7"/>
  <c r="F48" i="7" l="1"/>
  <c r="E49" i="7"/>
  <c r="O45" i="7"/>
  <c r="H45" i="7"/>
  <c r="H46" i="7"/>
  <c r="O46" i="7"/>
  <c r="F47" i="7"/>
  <c r="E53" i="7"/>
  <c r="F53" i="7" s="1"/>
  <c r="B3" i="4"/>
  <c r="B4" i="4"/>
  <c r="B5" i="4"/>
  <c r="B6" i="4"/>
  <c r="E52" i="7" l="1"/>
  <c r="F52" i="7" s="1"/>
  <c r="F49" i="7"/>
  <c r="O53" i="7"/>
  <c r="H53" i="7"/>
  <c r="O48" i="7"/>
  <c r="H48" i="7"/>
  <c r="O47" i="7"/>
  <c r="H47" i="7"/>
  <c r="E10" i="7"/>
  <c r="E14" i="7"/>
  <c r="E12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49" i="7" l="1"/>
  <c r="O49" i="7"/>
  <c r="F55" i="7"/>
  <c r="O52" i="7"/>
  <c r="H52" i="7"/>
  <c r="G6" i="4"/>
  <c r="F6" i="4"/>
  <c r="E6" i="4"/>
  <c r="D6" i="4"/>
  <c r="O55" i="7" l="1"/>
  <c r="G47" i="4"/>
  <c r="B49" i="4"/>
  <c r="C48" i="4"/>
  <c r="C47" i="4"/>
  <c r="B9" i="4"/>
  <c r="B8" i="4"/>
  <c r="B7" i="4"/>
  <c r="B52" i="4" l="1"/>
  <c r="B59" i="4"/>
  <c r="G50" i="4"/>
  <c r="G52" i="4" s="1"/>
  <c r="E5" i="7"/>
  <c r="F5" i="7" s="1"/>
  <c r="H5" i="7" s="1"/>
  <c r="E9" i="7"/>
  <c r="F9" i="7" s="1"/>
  <c r="H9" i="7" s="1"/>
  <c r="E13" i="7"/>
  <c r="E15" i="7" s="1"/>
  <c r="F15" i="7" s="1"/>
  <c r="H15" i="7" s="1"/>
  <c r="E6" i="7"/>
  <c r="E3" i="7"/>
  <c r="F3" i="7" s="1"/>
  <c r="H3" i="7" s="1"/>
  <c r="E7" i="7"/>
  <c r="E11" i="7"/>
  <c r="F11" i="7" s="1"/>
  <c r="H11" i="7" s="1"/>
  <c r="E4" i="7"/>
  <c r="E8" i="7"/>
  <c r="F8" i="7" s="1"/>
  <c r="H8" i="7" s="1"/>
  <c r="E2" i="7"/>
  <c r="F2" i="7" s="1"/>
  <c r="H2" i="7" s="1"/>
  <c r="F10" i="7"/>
  <c r="H10" i="7" s="1"/>
  <c r="F12" i="7"/>
  <c r="H12" i="7" s="1"/>
  <c r="F14" i="7"/>
  <c r="H14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3" i="7" l="1"/>
  <c r="H13" i="7" s="1"/>
  <c r="F6" i="7"/>
  <c r="H6" i="7" s="1"/>
  <c r="F7" i="7"/>
  <c r="H7" i="7" s="1"/>
  <c r="F4" i="7"/>
  <c r="H4" i="7" s="1"/>
  <c r="O17" i="7"/>
  <c r="O56" i="7" s="1"/>
  <c r="B53" i="4"/>
  <c r="B55" i="4" s="1"/>
  <c r="B61" i="4" s="1"/>
  <c r="F17" i="7" l="1"/>
  <c r="H17" i="7"/>
  <c r="F56" i="7" l="1"/>
  <c r="D63" i="7"/>
  <c r="H55" i="7"/>
  <c r="H56" i="7" s="1"/>
  <c r="D64" i="7" s="1"/>
  <c r="I25" i="7" l="1"/>
  <c r="J25" i="7" s="1"/>
  <c r="K25" i="7" s="1"/>
  <c r="L25" i="7" s="1"/>
  <c r="N25" i="7" s="1"/>
  <c r="I29" i="7"/>
  <c r="J29" i="7" s="1"/>
  <c r="K29" i="7" s="1"/>
  <c r="L29" i="7" s="1"/>
  <c r="N29" i="7" s="1"/>
  <c r="I33" i="7"/>
  <c r="J33" i="7" s="1"/>
  <c r="K33" i="7" s="1"/>
  <c r="L33" i="7" s="1"/>
  <c r="N33" i="7" s="1"/>
  <c r="I37" i="7"/>
  <c r="J37" i="7" s="1"/>
  <c r="K37" i="7" s="1"/>
  <c r="L37" i="7" s="1"/>
  <c r="N37" i="7" s="1"/>
  <c r="I45" i="7"/>
  <c r="J45" i="7" s="1"/>
  <c r="K45" i="7" s="1"/>
  <c r="L45" i="7" s="1"/>
  <c r="N45" i="7" s="1"/>
  <c r="I53" i="7"/>
  <c r="J53" i="7" s="1"/>
  <c r="K53" i="7" s="1"/>
  <c r="L53" i="7" s="1"/>
  <c r="N53" i="7" s="1"/>
  <c r="I26" i="7"/>
  <c r="J26" i="7" s="1"/>
  <c r="K26" i="7" s="1"/>
  <c r="L26" i="7" s="1"/>
  <c r="N26" i="7" s="1"/>
  <c r="I30" i="7"/>
  <c r="J30" i="7" s="1"/>
  <c r="K30" i="7" s="1"/>
  <c r="L30" i="7" s="1"/>
  <c r="N30" i="7" s="1"/>
  <c r="I46" i="7"/>
  <c r="J46" i="7" s="1"/>
  <c r="K46" i="7" s="1"/>
  <c r="L46" i="7" s="1"/>
  <c r="N46" i="7" s="1"/>
  <c r="I23" i="7"/>
  <c r="J23" i="7" s="1"/>
  <c r="K23" i="7" s="1"/>
  <c r="L23" i="7" s="1"/>
  <c r="N23" i="7" s="1"/>
  <c r="I24" i="7"/>
  <c r="J24" i="7" s="1"/>
  <c r="K24" i="7" s="1"/>
  <c r="L24" i="7" s="1"/>
  <c r="N24" i="7" s="1"/>
  <c r="I28" i="7"/>
  <c r="J28" i="7" s="1"/>
  <c r="K28" i="7" s="1"/>
  <c r="L28" i="7" s="1"/>
  <c r="N28" i="7" s="1"/>
  <c r="I32" i="7"/>
  <c r="J32" i="7" s="1"/>
  <c r="K32" i="7" s="1"/>
  <c r="L32" i="7" s="1"/>
  <c r="N32" i="7" s="1"/>
  <c r="I36" i="7"/>
  <c r="J36" i="7" s="1"/>
  <c r="K36" i="7" s="1"/>
  <c r="L36" i="7" s="1"/>
  <c r="N36" i="7" s="1"/>
  <c r="I40" i="7"/>
  <c r="J40" i="7" s="1"/>
  <c r="K40" i="7" s="1"/>
  <c r="L40" i="7" s="1"/>
  <c r="N40" i="7" s="1"/>
  <c r="I44" i="7"/>
  <c r="J44" i="7" s="1"/>
  <c r="K44" i="7" s="1"/>
  <c r="L44" i="7" s="1"/>
  <c r="N44" i="7" s="1"/>
  <c r="I48" i="7"/>
  <c r="J48" i="7" s="1"/>
  <c r="K48" i="7" s="1"/>
  <c r="L48" i="7" s="1"/>
  <c r="N48" i="7" s="1"/>
  <c r="I52" i="7"/>
  <c r="J52" i="7" s="1"/>
  <c r="K52" i="7" s="1"/>
  <c r="L52" i="7" s="1"/>
  <c r="N52" i="7" s="1"/>
  <c r="I41" i="7"/>
  <c r="J41" i="7" s="1"/>
  <c r="K41" i="7" s="1"/>
  <c r="L41" i="7" s="1"/>
  <c r="N41" i="7" s="1"/>
  <c r="I49" i="7"/>
  <c r="J49" i="7" s="1"/>
  <c r="K49" i="7" s="1"/>
  <c r="L49" i="7" s="1"/>
  <c r="N49" i="7" s="1"/>
  <c r="I22" i="7"/>
  <c r="J22" i="7" s="1"/>
  <c r="K22" i="7" s="1"/>
  <c r="L22" i="7" s="1"/>
  <c r="N22" i="7" s="1"/>
  <c r="I34" i="7"/>
  <c r="J34" i="7" s="1"/>
  <c r="K34" i="7" s="1"/>
  <c r="L34" i="7" s="1"/>
  <c r="N34" i="7" s="1"/>
  <c r="I38" i="7"/>
  <c r="J38" i="7" s="1"/>
  <c r="K38" i="7" s="1"/>
  <c r="L38" i="7" s="1"/>
  <c r="N38" i="7" s="1"/>
  <c r="I42" i="7"/>
  <c r="J42" i="7" s="1"/>
  <c r="K42" i="7" s="1"/>
  <c r="L42" i="7" s="1"/>
  <c r="N42" i="7" s="1"/>
  <c r="I50" i="7"/>
  <c r="J50" i="7" s="1"/>
  <c r="K50" i="7" s="1"/>
  <c r="L50" i="7" s="1"/>
  <c r="N50" i="7" s="1"/>
  <c r="I54" i="7"/>
  <c r="J54" i="7" s="1"/>
  <c r="K54" i="7" s="1"/>
  <c r="L54" i="7" s="1"/>
  <c r="N54" i="7" s="1"/>
  <c r="I27" i="7"/>
  <c r="J27" i="7" s="1"/>
  <c r="K27" i="7" s="1"/>
  <c r="L27" i="7" s="1"/>
  <c r="N27" i="7" s="1"/>
  <c r="I43" i="7"/>
  <c r="J43" i="7" s="1"/>
  <c r="K43" i="7" s="1"/>
  <c r="L43" i="7" s="1"/>
  <c r="N43" i="7" s="1"/>
  <c r="I39" i="7"/>
  <c r="J39" i="7" s="1"/>
  <c r="K39" i="7" s="1"/>
  <c r="L39" i="7" s="1"/>
  <c r="N39" i="7" s="1"/>
  <c r="I35" i="7"/>
  <c r="J35" i="7" s="1"/>
  <c r="K35" i="7" s="1"/>
  <c r="L35" i="7" s="1"/>
  <c r="N35" i="7" s="1"/>
  <c r="I51" i="7"/>
  <c r="J51" i="7" s="1"/>
  <c r="K51" i="7" s="1"/>
  <c r="L51" i="7" s="1"/>
  <c r="N51" i="7" s="1"/>
  <c r="I31" i="7"/>
  <c r="J31" i="7" s="1"/>
  <c r="K31" i="7" s="1"/>
  <c r="L31" i="7" s="1"/>
  <c r="N31" i="7" s="1"/>
  <c r="I47" i="7"/>
  <c r="J47" i="7" s="1"/>
  <c r="K47" i="7" s="1"/>
  <c r="L47" i="7" s="1"/>
  <c r="N47" i="7" s="1"/>
  <c r="I15" i="7"/>
  <c r="J15" i="7" s="1"/>
  <c r="K15" i="7" s="1"/>
  <c r="L15" i="7" s="1"/>
  <c r="N15" i="7" s="1"/>
  <c r="I16" i="7"/>
  <c r="J16" i="7" s="1"/>
  <c r="I2" i="7"/>
  <c r="P27" i="7" l="1"/>
  <c r="Q27" i="7" s="1"/>
  <c r="R27" i="7"/>
  <c r="P41" i="7"/>
  <c r="Q41" i="7" s="1"/>
  <c r="R41" i="7"/>
  <c r="P24" i="7"/>
  <c r="R24" i="7"/>
  <c r="P26" i="7"/>
  <c r="Q26" i="7" s="1"/>
  <c r="R26" i="7"/>
  <c r="P15" i="7"/>
  <c r="Q15" i="7" s="1"/>
  <c r="R15" i="7"/>
  <c r="P34" i="7"/>
  <c r="Q34" i="7" s="1"/>
  <c r="R34" i="7"/>
  <c r="P36" i="7"/>
  <c r="Q36" i="7" s="1"/>
  <c r="R36" i="7"/>
  <c r="P23" i="7"/>
  <c r="Q23" i="7" s="1"/>
  <c r="R23" i="7"/>
  <c r="P29" i="7"/>
  <c r="Q29" i="7" s="1"/>
  <c r="R29" i="7"/>
  <c r="P47" i="7"/>
  <c r="Q47" i="7" s="1"/>
  <c r="R47" i="7"/>
  <c r="P50" i="7"/>
  <c r="Q50" i="7" s="1"/>
  <c r="R50" i="7"/>
  <c r="P22" i="7"/>
  <c r="Q22" i="7" s="1"/>
  <c r="R22" i="7"/>
  <c r="P32" i="7"/>
  <c r="Q32" i="7" s="1"/>
  <c r="R32" i="7"/>
  <c r="P45" i="7"/>
  <c r="Q45" i="7" s="1"/>
  <c r="R45" i="7"/>
  <c r="P31" i="7"/>
  <c r="Q31" i="7" s="1"/>
  <c r="R31" i="7"/>
  <c r="P43" i="7"/>
  <c r="Q43" i="7" s="1"/>
  <c r="R43" i="7"/>
  <c r="P42" i="7"/>
  <c r="Q42" i="7" s="1"/>
  <c r="R42" i="7"/>
  <c r="P49" i="7"/>
  <c r="Q49" i="7" s="1"/>
  <c r="R49" i="7"/>
  <c r="P44" i="7"/>
  <c r="Q44" i="7" s="1"/>
  <c r="R44" i="7"/>
  <c r="P28" i="7"/>
  <c r="Q28" i="7" s="1"/>
  <c r="R28" i="7"/>
  <c r="P30" i="7"/>
  <c r="Q30" i="7" s="1"/>
  <c r="R30" i="7"/>
  <c r="P37" i="7"/>
  <c r="Q37" i="7" s="1"/>
  <c r="R37" i="7"/>
  <c r="P51" i="7"/>
  <c r="Q51" i="7" s="1"/>
  <c r="R51" i="7"/>
  <c r="P38" i="7"/>
  <c r="Q38" i="7" s="1"/>
  <c r="R38" i="7"/>
  <c r="P40" i="7"/>
  <c r="Q40" i="7" s="1"/>
  <c r="R40" i="7"/>
  <c r="P33" i="7"/>
  <c r="Q33" i="7" s="1"/>
  <c r="R33" i="7"/>
  <c r="P35" i="7"/>
  <c r="Q35" i="7" s="1"/>
  <c r="R35" i="7"/>
  <c r="P54" i="7"/>
  <c r="Q54" i="7" s="1"/>
  <c r="R54" i="7"/>
  <c r="P52" i="7"/>
  <c r="Q52" i="7" s="1"/>
  <c r="R52" i="7"/>
  <c r="P53" i="7"/>
  <c r="Q53" i="7" s="1"/>
  <c r="R53" i="7"/>
  <c r="P39" i="7"/>
  <c r="Q39" i="7" s="1"/>
  <c r="R39" i="7"/>
  <c r="P48" i="7"/>
  <c r="Q48" i="7" s="1"/>
  <c r="R48" i="7"/>
  <c r="P46" i="7"/>
  <c r="Q46" i="7" s="1"/>
  <c r="R46" i="7"/>
  <c r="P25" i="7"/>
  <c r="Q25" i="7" s="1"/>
  <c r="R25" i="7"/>
  <c r="Q24" i="7"/>
  <c r="K16" i="7"/>
  <c r="L16" i="7" s="1"/>
  <c r="N16" i="7" s="1"/>
  <c r="J2" i="7"/>
  <c r="K2" i="7" s="1"/>
  <c r="I3" i="7"/>
  <c r="J3" i="7" s="1"/>
  <c r="K3" i="7" s="1"/>
  <c r="I21" i="7"/>
  <c r="J21" i="7" s="1"/>
  <c r="K21" i="7" s="1"/>
  <c r="L21" i="7" s="1"/>
  <c r="N21" i="7" s="1"/>
  <c r="I5" i="7"/>
  <c r="J5" i="7" s="1"/>
  <c r="K5" i="7" s="1"/>
  <c r="L5" i="7" s="1"/>
  <c r="I12" i="7"/>
  <c r="J12" i="7" s="1"/>
  <c r="K12" i="7" s="1"/>
  <c r="L12" i="7" s="1"/>
  <c r="N12" i="7" s="1"/>
  <c r="I4" i="7"/>
  <c r="J4" i="7" s="1"/>
  <c r="K4" i="7" s="1"/>
  <c r="L4" i="7" s="1"/>
  <c r="N4" i="7" s="1"/>
  <c r="I8" i="7"/>
  <c r="J8" i="7" s="1"/>
  <c r="K8" i="7" s="1"/>
  <c r="L8" i="7" s="1"/>
  <c r="N8" i="7" s="1"/>
  <c r="I11" i="7"/>
  <c r="J11" i="7" s="1"/>
  <c r="K11" i="7" s="1"/>
  <c r="L11" i="7" s="1"/>
  <c r="N11" i="7" s="1"/>
  <c r="I14" i="7"/>
  <c r="J14" i="7" s="1"/>
  <c r="K14" i="7" s="1"/>
  <c r="L14" i="7" s="1"/>
  <c r="N14" i="7" s="1"/>
  <c r="I18" i="7"/>
  <c r="J18" i="7" s="1"/>
  <c r="I20" i="7"/>
  <c r="J20" i="7" s="1"/>
  <c r="K20" i="7" s="1"/>
  <c r="L20" i="7" s="1"/>
  <c r="N20" i="7" s="1"/>
  <c r="I7" i="7"/>
  <c r="J7" i="7" s="1"/>
  <c r="K7" i="7" s="1"/>
  <c r="L7" i="7" s="1"/>
  <c r="N7" i="7" s="1"/>
  <c r="I10" i="7"/>
  <c r="J10" i="7" s="1"/>
  <c r="K10" i="7" s="1"/>
  <c r="L10" i="7" s="1"/>
  <c r="N10" i="7" s="1"/>
  <c r="I6" i="7"/>
  <c r="J6" i="7" s="1"/>
  <c r="K6" i="7" s="1"/>
  <c r="L6" i="7" s="1"/>
  <c r="N6" i="7" s="1"/>
  <c r="I9" i="7"/>
  <c r="J9" i="7" s="1"/>
  <c r="K9" i="7" s="1"/>
  <c r="L9" i="7" s="1"/>
  <c r="N9" i="7" s="1"/>
  <c r="I13" i="7"/>
  <c r="J13" i="7" s="1"/>
  <c r="K13" i="7" s="1"/>
  <c r="L13" i="7" s="1"/>
  <c r="N13" i="7" s="1"/>
  <c r="I19" i="7"/>
  <c r="J19" i="7" s="1"/>
  <c r="K19" i="7" s="1"/>
  <c r="L19" i="7" s="1"/>
  <c r="N19" i="7" s="1"/>
  <c r="R5" i="7" l="1"/>
  <c r="N5" i="7"/>
  <c r="P6" i="7"/>
  <c r="Q6" i="7" s="1"/>
  <c r="R6" i="7"/>
  <c r="P20" i="7"/>
  <c r="Q20" i="7" s="1"/>
  <c r="R20" i="7"/>
  <c r="P19" i="7"/>
  <c r="Q19" i="7" s="1"/>
  <c r="R19" i="7"/>
  <c r="P11" i="7"/>
  <c r="Q11" i="7" s="1"/>
  <c r="R11" i="7"/>
  <c r="R12" i="7"/>
  <c r="T12" i="7" s="1"/>
  <c r="P16" i="7"/>
  <c r="Q16" i="7" s="1"/>
  <c r="R16" i="7"/>
  <c r="P13" i="7"/>
  <c r="Q13" i="7" s="1"/>
  <c r="R13" i="7"/>
  <c r="R10" i="7"/>
  <c r="T10" i="7" s="1"/>
  <c r="P8" i="7"/>
  <c r="Q8" i="7" s="1"/>
  <c r="R8" i="7"/>
  <c r="P21" i="7"/>
  <c r="Q21" i="7" s="1"/>
  <c r="R21" i="7"/>
  <c r="P9" i="7"/>
  <c r="Q9" i="7" s="1"/>
  <c r="R9" i="7"/>
  <c r="P7" i="7"/>
  <c r="Q7" i="7" s="1"/>
  <c r="R7" i="7"/>
  <c r="K18" i="7"/>
  <c r="J55" i="7"/>
  <c r="P4" i="7"/>
  <c r="Q4" i="7" s="1"/>
  <c r="R4" i="7"/>
  <c r="T4" i="7" s="1"/>
  <c r="V4" i="7" s="1"/>
  <c r="R14" i="7"/>
  <c r="T14" i="7" s="1"/>
  <c r="L2" i="7"/>
  <c r="N2" i="7" s="1"/>
  <c r="K17" i="7"/>
  <c r="J17" i="7"/>
  <c r="I17" i="7"/>
  <c r="L3" i="7"/>
  <c r="N3" i="7" s="1"/>
  <c r="I55" i="7"/>
  <c r="T55" i="7" s="1"/>
  <c r="J56" i="7" l="1"/>
  <c r="P10" i="7"/>
  <c r="Q10" i="7" s="1"/>
  <c r="V10" i="7"/>
  <c r="P14" i="7"/>
  <c r="Q14" i="7" s="1"/>
  <c r="V14" i="7"/>
  <c r="P12" i="7"/>
  <c r="Q12" i="7" s="1"/>
  <c r="V12" i="7"/>
  <c r="R17" i="7"/>
  <c r="P2" i="7"/>
  <c r="Q2" i="7" s="1"/>
  <c r="R2" i="7"/>
  <c r="L18" i="7"/>
  <c r="N18" i="7" s="1"/>
  <c r="K55" i="7"/>
  <c r="R55" i="7" s="1"/>
  <c r="P3" i="7"/>
  <c r="Q3" i="7" s="1"/>
  <c r="R3" i="7"/>
  <c r="P5" i="7"/>
  <c r="Q5" i="7" s="1"/>
  <c r="I56" i="7"/>
  <c r="T56" i="7" s="1"/>
  <c r="K56" i="7" l="1"/>
  <c r="Q17" i="7"/>
  <c r="P18" i="7"/>
  <c r="R18" i="7"/>
  <c r="P17" i="7"/>
  <c r="Q18" i="7" l="1"/>
  <c r="Q55" i="7" s="1"/>
  <c r="Q56" i="7" s="1"/>
  <c r="R56" i="7" s="1"/>
  <c r="P55" i="7"/>
  <c r="P5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<sst xmlns="http://schemas.openxmlformats.org/spreadsheetml/2006/main" count="166" uniqueCount="149">
  <si>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</si>
  <si>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</si>
  <si>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</si>
  <si>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</si>
  <si>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</si>
  <si>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</si>
  <si>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</si>
  <si>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</si>
  <si>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</si>
  <si>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</si>
  <si>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</si>
  <si>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</si>
  <si>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</si>
  <si>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</si>
  <si>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</si>
  <si>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</si>
  <si>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</si>
  <si>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</si>
  <si>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</si>
  <si>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</si>
  <si>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</si>
  <si>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</si>
  <si>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</si>
  <si>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</si>
  <si>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</si>
  <si>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</si>
  <si>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</si>
  <si>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</si>
  <si>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</si>
  <si>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</si>
  <si>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</si>
  <si>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</si>
  <si>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</si>
  <si>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</si>
  <si>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</si>
  <si>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</si>
  <si>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</si>
  <si>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</si>
  <si>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</si>
  <si>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</si>
  <si>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</si>
  <si>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</si>
  <si>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</si>
  <si>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</si>
  <si>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</si>
  <si>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</si>
  <si>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</si>
  <si>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</si>
  <si>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</si>
  <si>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</si>
  <si>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</si>
  <si>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</si>
  <si>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</si>
  <si>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</si>
  <si>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</si>
  <si>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</si>
  <si>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</si>
  <si>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</si>
  <si>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</si>
  <si>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</si>
  <si>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</si>
  <si>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</si>
  <si>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</si>
  <si>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</si>
  <si>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</si>
  <si>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</si>
  <si>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</si>
  <si>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</si>
  <si>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</si>
  <si>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</si>
  <si>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</si>
  <si>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</si>
  <si>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</si>
  <si>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</si>
  <si>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</si>
  <si>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</si>
  <si>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</si>
  <si>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</si>
  <si>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</si>
  <si>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</si>
  <si>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</si>
  <si>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</si>
  <si>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</si>
  <si>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</si>
  <si>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</si>
  <si>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</si>
  <si>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</si>
  <si>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</si>
  <si>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</si>
  <si>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</si>
  <si>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</si>
  <si>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</si>
  <si>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</si>
  <si>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</si>
  <si>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</si>
  <si>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</si>
  <si>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</si>
  <si>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</si>
  <si>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</si>
  <si>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</si>
  <si>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</si>
  <si>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</si>
  <si>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</si>
  <si>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</si>
  <si>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</si>
  <si>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</si>
  <si>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</si>
  <si>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</si>
  <si>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</si>
  <si>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</si>
  <si>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</si>
  <si>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</si>
  <si>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</si>
  <si>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</si>
  <si>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</si>
  <si>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</si>
  <si>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</si>
  <si>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</si>
  <si>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</si>
  <si>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</si>
  <si>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</si>
  <si>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</si>
  <si>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</si>
  <si>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</si>
  <si>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</si>
  <si>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Calculated Rate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</si>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</sst>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3" fillId="5" borderId="1" xfId="2" applyNumberFormat="1" applyFont="1" applyFill="1" applyBorder="1" applyAlignment="1">
      <alignment horizontal="center" wrapText="1"/>
    </xf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 wrapText="1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64" fontId="3" fillId="5" borderId="1" xfId="2" applyNumberFormat="1" applyFont="1" applyFill="1" applyBorder="1" applyAlignment="1">
      <alignment wrapText="1"/>
    </xf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0" fontId="3" fillId="5" borderId="0" xfId="0" applyFont="1" applyFill="1" applyBorder="1" applyAlignment="1">
      <alignment horizontal="center" wrapText="1"/>
    </xf>
    <xf numFmtId="44" fontId="0" fillId="0" borderId="0" xfId="2" applyNumberFormat="1" applyFont="1" applyFill="1" applyBorder="1"/>
    <xf numFmtId="43" fontId="0" fillId="0" borderId="0" xfId="1" applyFont="1" applyFill="1" applyBorder="1"/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opLeftCell="A42" workbookViewId="0">
      <selection activeCell="B58" sqref="B58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51" t="s">
        <v>17</v>
      </c>
      <c r="B1" s="151"/>
      <c r="C1" s="151"/>
      <c r="D1" s="151"/>
      <c r="E1" s="151"/>
      <c r="F1" s="151"/>
      <c r="G1" s="151"/>
      <c r="H1" s="151"/>
    </row>
    <row r="2" spans="1:8">
      <c r="A2" s="3" t="s">
        <v>52</v>
      </c>
      <c r="B2" s="16" t="s">
        <v>39</v>
      </c>
      <c r="C2" s="16" t="s">
        <v>40</v>
      </c>
      <c r="D2" s="16" t="s">
        <v>41</v>
      </c>
      <c r="E2" s="17" t="s">
        <v>43</v>
      </c>
      <c r="F2" s="17" t="s">
        <v>44</v>
      </c>
      <c r="G2" s="17" t="s">
        <v>45</v>
      </c>
      <c r="H2" s="16" t="s">
        <v>48</v>
      </c>
    </row>
    <row r="3" spans="1:8">
      <c r="A3" s="3" t="s">
        <v>49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81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50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51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51" t="s">
        <v>10</v>
      </c>
      <c r="B11" s="151"/>
      <c r="C11" s="33"/>
      <c r="D11" s="19"/>
      <c r="E11" s="19"/>
      <c r="F11" s="19"/>
      <c r="G11" s="19"/>
      <c r="H11" s="19"/>
    </row>
    <row r="12" spans="1:8">
      <c r="A12" s="31" t="s">
        <v>47</v>
      </c>
      <c r="B12" s="35" t="s">
        <v>77</v>
      </c>
      <c r="C12" s="33"/>
      <c r="D12" s="19"/>
      <c r="E12" s="19"/>
      <c r="F12" s="19"/>
      <c r="G12" s="19"/>
      <c r="H12" s="19"/>
    </row>
    <row r="13" spans="1:8">
      <c r="A13" s="34" t="s">
        <v>78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53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54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55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56</v>
      </c>
      <c r="B17" s="32">
        <v>97</v>
      </c>
      <c r="C17" s="33"/>
      <c r="D17" s="19"/>
      <c r="E17" s="19"/>
      <c r="F17" s="3" t="s">
        <v>19</v>
      </c>
      <c r="G17" s="21" t="s">
        <v>42</v>
      </c>
      <c r="H17" s="19"/>
    </row>
    <row r="18" spans="1:8">
      <c r="A18" s="34" t="s">
        <v>57</v>
      </c>
      <c r="B18" s="32">
        <v>117</v>
      </c>
      <c r="C18" s="33"/>
      <c r="D18" s="19"/>
      <c r="E18" s="19"/>
      <c r="H18" s="19"/>
    </row>
    <row r="19" spans="1:8">
      <c r="A19" s="34" t="s">
        <v>58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91</v>
      </c>
      <c r="B20" s="43">
        <v>37</v>
      </c>
      <c r="C20" s="52" t="s">
        <v>79</v>
      </c>
      <c r="D20" s="33"/>
      <c r="E20" s="33"/>
      <c r="F20" s="14"/>
      <c r="G20" s="15"/>
      <c r="H20" s="33"/>
    </row>
    <row r="21" spans="1:8">
      <c r="A21" s="34" t="s">
        <v>59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60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61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62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63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64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65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66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67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68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69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70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82</v>
      </c>
      <c r="B34" s="32">
        <v>482</v>
      </c>
      <c r="C34" s="33" t="s">
        <v>79</v>
      </c>
      <c r="D34" s="19"/>
      <c r="E34" s="19"/>
      <c r="F34" s="19"/>
      <c r="G34" s="19"/>
      <c r="H34" s="19"/>
    </row>
    <row r="35" spans="1:8">
      <c r="A35" s="34" t="s">
        <v>83</v>
      </c>
      <c r="B35" s="32">
        <v>689</v>
      </c>
      <c r="C35" s="33" t="s">
        <v>79</v>
      </c>
      <c r="D35" s="19"/>
      <c r="E35" s="19"/>
      <c r="F35" s="19"/>
      <c r="G35" s="19"/>
      <c r="H35" s="19"/>
    </row>
    <row r="36" spans="1:8" s="29" customFormat="1">
      <c r="A36" s="34" t="s">
        <v>72</v>
      </c>
      <c r="B36" s="32">
        <v>892</v>
      </c>
      <c r="C36" s="33" t="s">
        <v>79</v>
      </c>
      <c r="D36" s="30"/>
      <c r="E36" s="30"/>
      <c r="F36" s="30"/>
      <c r="G36" s="30"/>
      <c r="H36" s="30"/>
    </row>
    <row r="37" spans="1:8" s="29" customFormat="1">
      <c r="A37" s="34" t="s">
        <v>71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73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74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75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84</v>
      </c>
      <c r="B41" s="32">
        <v>2800</v>
      </c>
      <c r="C41" s="33" t="s">
        <v>79</v>
      </c>
      <c r="D41" s="30"/>
      <c r="E41" s="30"/>
      <c r="F41" s="30"/>
      <c r="G41" s="30"/>
      <c r="H41" s="30"/>
    </row>
    <row r="42" spans="1:8" s="29" customFormat="1">
      <c r="A42" s="34" t="s">
        <v>76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53" t="s">
        <v>85</v>
      </c>
      <c r="C43" s="153"/>
    </row>
    <row r="46" spans="1:8">
      <c r="A46" s="28" t="s">
        <v>86</v>
      </c>
      <c r="B46" s="26" t="s">
        <v>5</v>
      </c>
      <c r="C46" s="26" t="s">
        <v>6</v>
      </c>
      <c r="F46" s="152" t="s">
        <v>24</v>
      </c>
      <c r="G46" s="152"/>
    </row>
    <row r="47" spans="1:8">
      <c r="A47" s="22" t="s">
        <v>7</v>
      </c>
      <c r="B47" s="5">
        <v>105.16</v>
      </c>
      <c r="C47" s="4">
        <f>B47/2000</f>
        <v>5.2580000000000002E-2</v>
      </c>
      <c r="F47" s="3" t="s">
        <v>25</v>
      </c>
      <c r="G47" s="8">
        <f>0.015</f>
        <v>1.4999999999999999E-2</v>
      </c>
    </row>
    <row r="48" spans="1:8">
      <c r="A48" s="22" t="s">
        <v>8</v>
      </c>
      <c r="B48" s="6">
        <v>116.33</v>
      </c>
      <c r="C48" s="7">
        <f>B48/2000</f>
        <v>5.8165000000000001E-2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11.170000000000002</v>
      </c>
      <c r="C49" s="11">
        <f>C48-C47</f>
        <v>5.5849999999999997E-3</v>
      </c>
      <c r="F49" s="3" t="s">
        <v>46</v>
      </c>
      <c r="G49" s="10">
        <v>6.1000000000000004E-3</v>
      </c>
    </row>
    <row r="50" spans="1:7">
      <c r="F50" s="3" t="s">
        <v>15</v>
      </c>
      <c r="G50" s="23">
        <f>SUM(G47:G49)</f>
        <v>2.6200000000000001E-2</v>
      </c>
    </row>
    <row r="51" spans="1:7">
      <c r="B51" s="27" t="s">
        <v>87</v>
      </c>
    </row>
    <row r="52" spans="1:7">
      <c r="A52" s="3" t="s">
        <v>146</v>
      </c>
      <c r="B52" s="24">
        <f>B49</f>
        <v>11.170000000000002</v>
      </c>
      <c r="F52" s="3" t="s">
        <v>27</v>
      </c>
      <c r="G52" s="25">
        <f>1-G50</f>
        <v>0.9738</v>
      </c>
    </row>
    <row r="53" spans="1:7">
      <c r="A53" s="3" t="s">
        <v>147</v>
      </c>
      <c r="B53" s="24">
        <f>B52/$G$52</f>
        <v>11.470527829123025</v>
      </c>
    </row>
    <row r="54" spans="1:7">
      <c r="A54" s="3" t="s">
        <v>23</v>
      </c>
      <c r="B54" s="13">
        <f>'Calc. per Staff format'!D61</f>
        <v>5699</v>
      </c>
    </row>
    <row r="55" spans="1:7" ht="17.25">
      <c r="A55" s="2" t="s">
        <v>148</v>
      </c>
      <c r="B55" s="144">
        <f>B53*B54</f>
        <v>65370.538098172117</v>
      </c>
    </row>
    <row r="57" spans="1:7">
      <c r="A57" s="142" t="s">
        <v>145</v>
      </c>
    </row>
    <row r="58" spans="1:7" ht="17.25">
      <c r="A58" s="29" t="s">
        <v>23</v>
      </c>
      <c r="B58" s="143">
        <f>+'Calc. per Staff format'!D72</f>
        <v>2561</v>
      </c>
    </row>
    <row r="59" spans="1:7" ht="17.25">
      <c r="A59" s="31" t="s">
        <v>148</v>
      </c>
      <c r="B59" s="144">
        <f>+B58*B49</f>
        <v>28606.370000000003</v>
      </c>
    </row>
    <row r="61" spans="1:7" ht="17.25">
      <c r="B61" s="145">
        <f>+B59+B55</f>
        <v>93976.90809817212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74"/>
  <sheetViews>
    <sheetView tabSelected="1" zoomScale="80" zoomScaleNormal="80" workbookViewId="0">
      <pane xSplit="3" ySplit="1" topLeftCell="D58" activePane="bottomRight" state="frozen"/>
      <selection pane="topRight" activeCell="D1" sqref="D1"/>
      <selection pane="bottomLeft" activeCell="A6" sqref="A6"/>
      <selection pane="bottomRight" activeCell="G66" sqref="G66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38.42578125" style="68" bestFit="1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0.7109375" style="68" customWidth="1"/>
    <col min="13" max="13" width="16.570312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8" width="10.28515625" style="68" customWidth="1"/>
    <col min="19" max="19" width="4.7109375" style="68" customWidth="1"/>
    <col min="20" max="20" width="13" style="68" bestFit="1" customWidth="1"/>
    <col min="21" max="16384" width="8.85546875" style="68"/>
  </cols>
  <sheetData>
    <row r="1" spans="1:22" ht="30">
      <c r="A1" s="57"/>
      <c r="B1" s="87" t="s">
        <v>14</v>
      </c>
      <c r="C1" s="88" t="s">
        <v>16</v>
      </c>
      <c r="D1" s="87" t="s">
        <v>36</v>
      </c>
      <c r="E1" s="87" t="s">
        <v>0</v>
      </c>
      <c r="F1" s="57" t="s">
        <v>1</v>
      </c>
      <c r="G1" s="87" t="s">
        <v>10</v>
      </c>
      <c r="H1" s="87" t="s">
        <v>31</v>
      </c>
      <c r="I1" s="102" t="s">
        <v>32</v>
      </c>
      <c r="J1" s="137" t="s">
        <v>9</v>
      </c>
      <c r="K1" s="126" t="s">
        <v>2</v>
      </c>
      <c r="L1" s="87" t="s">
        <v>37</v>
      </c>
      <c r="M1" s="87" t="s">
        <v>34</v>
      </c>
      <c r="N1" s="148" t="s">
        <v>125</v>
      </c>
      <c r="O1" s="133" t="s">
        <v>35</v>
      </c>
      <c r="P1" s="87" t="s">
        <v>33</v>
      </c>
      <c r="Q1" s="126" t="s">
        <v>38</v>
      </c>
    </row>
    <row r="2" spans="1:22" s="70" customFormat="1">
      <c r="A2" s="155" t="s">
        <v>12</v>
      </c>
      <c r="B2" s="59">
        <v>21</v>
      </c>
      <c r="C2" s="106" t="s">
        <v>94</v>
      </c>
      <c r="D2" s="108">
        <v>19</v>
      </c>
      <c r="E2" s="81">
        <f>References!B9</f>
        <v>1</v>
      </c>
      <c r="F2" s="78">
        <f>D2*E2*12</f>
        <v>228</v>
      </c>
      <c r="G2" s="111">
        <f>References!B14</f>
        <v>34</v>
      </c>
      <c r="H2" s="80">
        <f>F2*G2</f>
        <v>7752</v>
      </c>
      <c r="I2" s="101">
        <f t="shared" ref="I2:I16" si="0">$D$64*H2</f>
        <v>7069.1661792931736</v>
      </c>
      <c r="J2" s="127">
        <f>(References!$C$49*I2)</f>
        <v>39.481293111352372</v>
      </c>
      <c r="K2" s="127">
        <f>J2/References!$G$52</f>
        <v>40.543533694138809</v>
      </c>
      <c r="L2" s="82">
        <f>K2/F2</f>
        <v>0.1778225162023632</v>
      </c>
      <c r="M2" s="113">
        <v>6.96</v>
      </c>
      <c r="N2" s="149">
        <f>ROUND(L2+M2,2)</f>
        <v>7.14</v>
      </c>
      <c r="O2" s="128">
        <f>+D2*M2*12</f>
        <v>1586.88</v>
      </c>
      <c r="P2" s="128">
        <f>+N2*D2*12</f>
        <v>1627.92</v>
      </c>
      <c r="Q2" s="127">
        <f>P2-O2</f>
        <v>41.039999999999964</v>
      </c>
      <c r="R2" s="138">
        <f>+L2/M2</f>
        <v>2.5549212098040688E-2</v>
      </c>
    </row>
    <row r="3" spans="1:22" s="70" customFormat="1">
      <c r="A3" s="156"/>
      <c r="B3" s="55">
        <v>21</v>
      </c>
      <c r="C3" s="106" t="s">
        <v>95</v>
      </c>
      <c r="D3" s="108">
        <v>17</v>
      </c>
      <c r="E3" s="79">
        <f>References!B7</f>
        <v>4.333333333333333</v>
      </c>
      <c r="F3" s="78">
        <f>D3*E3*12</f>
        <v>883.99999999999989</v>
      </c>
      <c r="G3" s="112">
        <f>References!B13</f>
        <v>20</v>
      </c>
      <c r="H3" s="78">
        <f>F3*G3</f>
        <v>17679.999999999996</v>
      </c>
      <c r="I3" s="54">
        <f t="shared" si="0"/>
        <v>16122.659707159866</v>
      </c>
      <c r="J3" s="128">
        <f>(References!$C$49*I3)</f>
        <v>90.045054464487848</v>
      </c>
      <c r="K3" s="128">
        <f>J3/References!$G$52</f>
        <v>92.467708425228849</v>
      </c>
      <c r="L3" s="77">
        <f>K3/F3*E3</f>
        <v>0.45327308051582776</v>
      </c>
      <c r="M3" s="113">
        <v>11.69</v>
      </c>
      <c r="N3" s="149">
        <f t="shared" ref="N3:N54" si="1">ROUND(L3+M3,2)</f>
        <v>12.14</v>
      </c>
      <c r="O3" s="128">
        <f t="shared" ref="O3:O15" si="2">+D3*M3*12</f>
        <v>2384.7599999999998</v>
      </c>
      <c r="P3" s="128">
        <f>+N3*D3*12</f>
        <v>2476.56</v>
      </c>
      <c r="Q3" s="128">
        <f>P3-O3</f>
        <v>91.800000000000182</v>
      </c>
      <c r="R3" s="138">
        <f t="shared" ref="R3:R54" si="3">+L3/M3</f>
        <v>3.8774429470986124E-2</v>
      </c>
    </row>
    <row r="4" spans="1:22" s="70" customFormat="1">
      <c r="A4" s="156"/>
      <c r="B4" s="55">
        <v>21</v>
      </c>
      <c r="C4" s="106" t="s">
        <v>96</v>
      </c>
      <c r="D4" s="108">
        <v>55</v>
      </c>
      <c r="E4" s="79">
        <f>References!B7</f>
        <v>4.333333333333333</v>
      </c>
      <c r="F4" s="78">
        <f t="shared" ref="F4:F16" si="4">D4*E4*12</f>
        <v>2860</v>
      </c>
      <c r="G4" s="112">
        <f>References!B13</f>
        <v>20</v>
      </c>
      <c r="H4" s="78">
        <f>F4*G4</f>
        <v>57200</v>
      </c>
      <c r="I4" s="54">
        <f t="shared" si="0"/>
        <v>52161.546111399577</v>
      </c>
      <c r="J4" s="128">
        <f>(References!$C$49*I4)</f>
        <v>291.32223503216665</v>
      </c>
      <c r="K4" s="128">
        <f>J4/References!$G$52</f>
        <v>299.16023314044634</v>
      </c>
      <c r="L4" s="77">
        <f t="shared" ref="L4:L16" si="5">K4/F4*E4</f>
        <v>0.45327308051582776</v>
      </c>
      <c r="M4" s="113">
        <v>12.94</v>
      </c>
      <c r="N4" s="149">
        <f t="shared" si="1"/>
        <v>13.39</v>
      </c>
      <c r="O4" s="128">
        <f t="shared" si="2"/>
        <v>8540.4</v>
      </c>
      <c r="P4" s="128">
        <f t="shared" ref="P4:P15" si="6">+N4*D4*12</f>
        <v>8837.4000000000015</v>
      </c>
      <c r="Q4" s="128">
        <f>P4-O4</f>
        <v>297.00000000000182</v>
      </c>
      <c r="R4" s="138">
        <f t="shared" si="3"/>
        <v>3.5028831570002146E-2</v>
      </c>
      <c r="T4" s="147">
        <f>ROUND(+U4*R4+U4,2)</f>
        <v>8.2899999999999991</v>
      </c>
      <c r="U4" s="77">
        <v>8.01</v>
      </c>
      <c r="V4" s="138">
        <f>+T4/U4-1</f>
        <v>3.4956304619225831E-2</v>
      </c>
    </row>
    <row r="5" spans="1:22" s="70" customFormat="1">
      <c r="A5" s="156"/>
      <c r="B5" s="55">
        <v>21</v>
      </c>
      <c r="C5" s="106" t="s">
        <v>97</v>
      </c>
      <c r="D5" s="108">
        <v>791</v>
      </c>
      <c r="E5" s="79">
        <f>References!B7</f>
        <v>4.333333333333333</v>
      </c>
      <c r="F5" s="78">
        <f t="shared" si="4"/>
        <v>41132</v>
      </c>
      <c r="G5" s="114">
        <f>References!B14</f>
        <v>34</v>
      </c>
      <c r="H5" s="78">
        <f t="shared" ref="H5:H16" si="7">F5*G5</f>
        <v>1398488</v>
      </c>
      <c r="I5" s="54">
        <f t="shared" si="0"/>
        <v>1275302.3828363458</v>
      </c>
      <c r="J5" s="128">
        <f>(References!$C$49*I5)</f>
        <v>7122.5638081409907</v>
      </c>
      <c r="K5" s="128">
        <f>J5/References!$G$52</f>
        <v>7314.1957364356031</v>
      </c>
      <c r="L5" s="77">
        <f>K5/F5*E5</f>
        <v>0.77056423687690712</v>
      </c>
      <c r="M5" s="113">
        <v>13.76</v>
      </c>
      <c r="N5" s="149">
        <f t="shared" si="1"/>
        <v>14.53</v>
      </c>
      <c r="O5" s="128">
        <f t="shared" si="2"/>
        <v>130609.92</v>
      </c>
      <c r="P5" s="128">
        <f t="shared" si="6"/>
        <v>137918.76</v>
      </c>
      <c r="Q5" s="128">
        <f t="shared" ref="Q5:Q16" si="8">P5-O5</f>
        <v>7308.8400000000111</v>
      </c>
      <c r="R5" s="138">
        <f t="shared" si="3"/>
        <v>5.6000307912565925E-2</v>
      </c>
    </row>
    <row r="6" spans="1:22" s="70" customFormat="1">
      <c r="A6" s="156"/>
      <c r="B6" s="55">
        <v>21</v>
      </c>
      <c r="C6" s="106" t="s">
        <v>98</v>
      </c>
      <c r="D6" s="108">
        <v>308</v>
      </c>
      <c r="E6" s="79">
        <f>References!B7</f>
        <v>4.333333333333333</v>
      </c>
      <c r="F6" s="78">
        <f t="shared" si="4"/>
        <v>16015.999999999998</v>
      </c>
      <c r="G6" s="111">
        <f>References!B15</f>
        <v>51</v>
      </c>
      <c r="H6" s="78">
        <f t="shared" si="7"/>
        <v>816815.99999999988</v>
      </c>
      <c r="I6" s="54">
        <f t="shared" si="0"/>
        <v>744866.87847078592</v>
      </c>
      <c r="J6" s="128">
        <f>(References!$C$49*I6)</f>
        <v>4160.081516259339</v>
      </c>
      <c r="K6" s="128">
        <f>J6/References!$G$52</f>
        <v>4272.0081292455734</v>
      </c>
      <c r="L6" s="77">
        <f t="shared" si="5"/>
        <v>1.1558463553153608</v>
      </c>
      <c r="M6" s="113">
        <v>21.04</v>
      </c>
      <c r="N6" s="149">
        <f t="shared" si="1"/>
        <v>22.2</v>
      </c>
      <c r="O6" s="128">
        <f t="shared" si="2"/>
        <v>77763.839999999997</v>
      </c>
      <c r="P6" s="128">
        <f t="shared" si="6"/>
        <v>82051.199999999997</v>
      </c>
      <c r="Q6" s="128">
        <f t="shared" si="8"/>
        <v>4287.3600000000006</v>
      </c>
      <c r="R6" s="138">
        <f t="shared" si="3"/>
        <v>5.4935663275444906E-2</v>
      </c>
    </row>
    <row r="7" spans="1:22" s="70" customFormat="1">
      <c r="A7" s="156"/>
      <c r="B7" s="55">
        <v>21</v>
      </c>
      <c r="C7" s="106" t="s">
        <v>99</v>
      </c>
      <c r="D7" s="108">
        <v>22</v>
      </c>
      <c r="E7" s="79">
        <f>References!B7</f>
        <v>4.333333333333333</v>
      </c>
      <c r="F7" s="78">
        <f t="shared" si="4"/>
        <v>1144</v>
      </c>
      <c r="G7" s="118">
        <f>References!B16</f>
        <v>77</v>
      </c>
      <c r="H7" s="78">
        <f t="shared" si="7"/>
        <v>88088</v>
      </c>
      <c r="I7" s="54">
        <f t="shared" si="0"/>
        <v>80328.781011555358</v>
      </c>
      <c r="J7" s="128">
        <f>(References!$C$49*I7)</f>
        <v>448.63624194953667</v>
      </c>
      <c r="K7" s="128">
        <f>J7/References!$G$52</f>
        <v>460.70675903628739</v>
      </c>
      <c r="L7" s="77">
        <f t="shared" si="5"/>
        <v>1.7451013599859371</v>
      </c>
      <c r="M7" s="113">
        <v>28.47</v>
      </c>
      <c r="N7" s="149">
        <f t="shared" si="1"/>
        <v>30.22</v>
      </c>
      <c r="O7" s="128">
        <f t="shared" si="2"/>
        <v>7516.079999999999</v>
      </c>
      <c r="P7" s="128">
        <f t="shared" si="6"/>
        <v>7978.079999999999</v>
      </c>
      <c r="Q7" s="128">
        <f t="shared" si="8"/>
        <v>462</v>
      </c>
      <c r="R7" s="138">
        <f t="shared" si="3"/>
        <v>6.1296148928202919E-2</v>
      </c>
    </row>
    <row r="8" spans="1:22" s="70" customFormat="1">
      <c r="A8" s="156"/>
      <c r="B8" s="55">
        <v>21</v>
      </c>
      <c r="C8" s="106" t="s">
        <v>100</v>
      </c>
      <c r="D8" s="108">
        <v>8</v>
      </c>
      <c r="E8" s="79">
        <f>References!$B$7</f>
        <v>4.333333333333333</v>
      </c>
      <c r="F8" s="78">
        <f t="shared" si="4"/>
        <v>416</v>
      </c>
      <c r="G8" s="118">
        <f>References!B17</f>
        <v>97</v>
      </c>
      <c r="H8" s="78">
        <f t="shared" si="7"/>
        <v>40352</v>
      </c>
      <c r="I8" s="54">
        <f t="shared" si="0"/>
        <v>36797.599802223704</v>
      </c>
      <c r="J8" s="128">
        <f>(References!$C$49*I8)</f>
        <v>205.51459489541938</v>
      </c>
      <c r="K8" s="128">
        <f>J8/References!$G$52</f>
        <v>211.04394628816942</v>
      </c>
      <c r="L8" s="77">
        <f t="shared" si="5"/>
        <v>2.1983744405017647</v>
      </c>
      <c r="M8" s="113">
        <v>35.799999999999997</v>
      </c>
      <c r="N8" s="149">
        <f t="shared" si="1"/>
        <v>38</v>
      </c>
      <c r="O8" s="128">
        <f t="shared" si="2"/>
        <v>3436.7999999999997</v>
      </c>
      <c r="P8" s="128">
        <f t="shared" si="6"/>
        <v>3648</v>
      </c>
      <c r="Q8" s="128">
        <f t="shared" si="8"/>
        <v>211.20000000000027</v>
      </c>
      <c r="R8" s="138">
        <f t="shared" si="3"/>
        <v>6.1407107276585611E-2</v>
      </c>
    </row>
    <row r="9" spans="1:22" s="70" customFormat="1">
      <c r="A9" s="156"/>
      <c r="B9" s="55">
        <v>21</v>
      </c>
      <c r="C9" s="106" t="s">
        <v>101</v>
      </c>
      <c r="D9" s="108">
        <v>602</v>
      </c>
      <c r="E9" s="79">
        <f>References!$B$7</f>
        <v>4.333333333333333</v>
      </c>
      <c r="F9" s="78">
        <f t="shared" si="4"/>
        <v>31304</v>
      </c>
      <c r="G9" s="111">
        <f>References!B20</f>
        <v>37</v>
      </c>
      <c r="H9" s="78">
        <f t="shared" si="7"/>
        <v>1158248</v>
      </c>
      <c r="I9" s="54">
        <f t="shared" si="0"/>
        <v>1056223.8891684674</v>
      </c>
      <c r="J9" s="128">
        <f>(References!$C$49*I9)</f>
        <v>5899.0104210058898</v>
      </c>
      <c r="K9" s="128">
        <f>J9/References!$G$52</f>
        <v>6057.7227572457277</v>
      </c>
      <c r="L9" s="77">
        <f t="shared" si="5"/>
        <v>0.83855519895428121</v>
      </c>
      <c r="M9" s="113">
        <v>15.24</v>
      </c>
      <c r="N9" s="149">
        <f t="shared" si="1"/>
        <v>16.079999999999998</v>
      </c>
      <c r="O9" s="128">
        <f t="shared" si="2"/>
        <v>110093.75999999999</v>
      </c>
      <c r="P9" s="128">
        <f t="shared" si="6"/>
        <v>116161.92</v>
      </c>
      <c r="Q9" s="128">
        <f t="shared" si="8"/>
        <v>6068.1600000000035</v>
      </c>
      <c r="R9" s="138">
        <f t="shared" si="3"/>
        <v>5.5023307017997451E-2</v>
      </c>
    </row>
    <row r="10" spans="1:22" s="70" customFormat="1">
      <c r="A10" s="156"/>
      <c r="B10" s="55">
        <v>21</v>
      </c>
      <c r="C10" s="106" t="s">
        <v>102</v>
      </c>
      <c r="D10" s="108">
        <v>2</v>
      </c>
      <c r="E10" s="119">
        <f>References!B6</f>
        <v>8.6666666666666661</v>
      </c>
      <c r="F10" s="78">
        <f>D10*E10*12</f>
        <v>208</v>
      </c>
      <c r="G10" s="111">
        <f>References!B20</f>
        <v>37</v>
      </c>
      <c r="H10" s="100">
        <f>F10*G10</f>
        <v>7696</v>
      </c>
      <c r="I10" s="54">
        <f t="shared" si="0"/>
        <v>7018.0989313519431</v>
      </c>
      <c r="J10" s="128">
        <f>(References!$C$49*I10)</f>
        <v>39.196082531600602</v>
      </c>
      <c r="K10" s="128">
        <f>J10/References!$G$52</f>
        <v>40.250649549805509</v>
      </c>
      <c r="L10" s="77">
        <f t="shared" si="5"/>
        <v>1.6771103979085629</v>
      </c>
      <c r="M10" s="113">
        <v>24.69</v>
      </c>
      <c r="N10" s="149">
        <f t="shared" si="1"/>
        <v>26.37</v>
      </c>
      <c r="O10" s="128">
        <f t="shared" si="2"/>
        <v>592.56000000000006</v>
      </c>
      <c r="P10" s="128">
        <f t="shared" si="6"/>
        <v>632.88</v>
      </c>
      <c r="Q10" s="128">
        <f t="shared" si="8"/>
        <v>40.319999999999936</v>
      </c>
      <c r="R10" s="138">
        <f t="shared" si="3"/>
        <v>6.7926707084186425E-2</v>
      </c>
      <c r="T10" s="147">
        <f>ROUND(+U10*R10+U10,2)</f>
        <v>10.039999999999999</v>
      </c>
      <c r="U10" s="77">
        <v>9.4</v>
      </c>
      <c r="V10" s="138">
        <f>+T10/U10-1</f>
        <v>6.80851063829786E-2</v>
      </c>
    </row>
    <row r="11" spans="1:22" s="70" customFormat="1">
      <c r="A11" s="156"/>
      <c r="B11" s="55">
        <v>21</v>
      </c>
      <c r="C11" s="106" t="s">
        <v>103</v>
      </c>
      <c r="D11" s="108">
        <v>759</v>
      </c>
      <c r="E11" s="79">
        <f>References!$B$7</f>
        <v>4.333333333333333</v>
      </c>
      <c r="F11" s="78">
        <f t="shared" si="4"/>
        <v>39468</v>
      </c>
      <c r="G11" s="111">
        <f>References!B21</f>
        <v>47</v>
      </c>
      <c r="H11" s="78">
        <f t="shared" si="7"/>
        <v>1854996</v>
      </c>
      <c r="I11" s="54">
        <f t="shared" si="0"/>
        <v>1691598.9403926884</v>
      </c>
      <c r="J11" s="128">
        <f>(References!$C$49*I11)</f>
        <v>9447.5800820931636</v>
      </c>
      <c r="K11" s="128">
        <f>J11/References!$G$52</f>
        <v>9701.7663607446739</v>
      </c>
      <c r="L11" s="77">
        <f t="shared" si="5"/>
        <v>1.065191739212195</v>
      </c>
      <c r="M11" s="113">
        <v>22.36</v>
      </c>
      <c r="N11" s="149">
        <f t="shared" si="1"/>
        <v>23.43</v>
      </c>
      <c r="O11" s="128">
        <f t="shared" si="2"/>
        <v>203654.87999999998</v>
      </c>
      <c r="P11" s="128">
        <f t="shared" si="6"/>
        <v>213400.44</v>
      </c>
      <c r="Q11" s="128">
        <f t="shared" si="8"/>
        <v>9745.5600000000268</v>
      </c>
      <c r="R11" s="138">
        <f t="shared" si="3"/>
        <v>4.7638270984445216E-2</v>
      </c>
      <c r="U11" s="77"/>
      <c r="V11" s="138"/>
    </row>
    <row r="12" spans="1:22" s="70" customFormat="1">
      <c r="A12" s="156"/>
      <c r="B12" s="55">
        <v>21</v>
      </c>
      <c r="C12" s="106" t="s">
        <v>104</v>
      </c>
      <c r="D12" s="108">
        <v>6</v>
      </c>
      <c r="E12" s="119">
        <f>References!B6</f>
        <v>8.6666666666666661</v>
      </c>
      <c r="F12" s="78">
        <f t="shared" si="4"/>
        <v>624</v>
      </c>
      <c r="G12" s="111">
        <f>References!B21</f>
        <v>47</v>
      </c>
      <c r="H12" s="78">
        <f t="shared" si="7"/>
        <v>29328</v>
      </c>
      <c r="I12" s="54">
        <f t="shared" si="0"/>
        <v>26744.647278935783</v>
      </c>
      <c r="J12" s="128">
        <f>(References!$C$49*I12)</f>
        <v>149.36885505285633</v>
      </c>
      <c r="K12" s="128">
        <f>J12/References!$G$52</f>
        <v>153.3876104465561</v>
      </c>
      <c r="L12" s="77">
        <f t="shared" si="5"/>
        <v>2.13038347842439</v>
      </c>
      <c r="M12" s="113">
        <v>36.18</v>
      </c>
      <c r="N12" s="149">
        <f t="shared" si="1"/>
        <v>38.31</v>
      </c>
      <c r="O12" s="128">
        <f t="shared" si="2"/>
        <v>2604.96</v>
      </c>
      <c r="P12" s="128">
        <f t="shared" si="6"/>
        <v>2758.32</v>
      </c>
      <c r="Q12" s="128">
        <f t="shared" si="8"/>
        <v>153.36000000000013</v>
      </c>
      <c r="R12" s="138">
        <f t="shared" si="3"/>
        <v>5.8882904323504424E-2</v>
      </c>
      <c r="T12" s="147">
        <f>ROUND(+U12*R12+U12,2)</f>
        <v>14.56</v>
      </c>
      <c r="U12" s="77">
        <v>13.75</v>
      </c>
      <c r="V12" s="138">
        <f t="shared" ref="V12:V14" si="9">+T12/U12-1</f>
        <v>5.8909090909091022E-2</v>
      </c>
    </row>
    <row r="13" spans="1:22" s="70" customFormat="1">
      <c r="A13" s="156"/>
      <c r="B13" s="55">
        <v>21</v>
      </c>
      <c r="C13" s="106" t="s">
        <v>105</v>
      </c>
      <c r="D13" s="108">
        <v>230</v>
      </c>
      <c r="E13" s="79">
        <f>References!$B$7</f>
        <v>4.333333333333333</v>
      </c>
      <c r="F13" s="78">
        <f t="shared" si="4"/>
        <v>11960</v>
      </c>
      <c r="G13" s="111">
        <f>References!B22</f>
        <v>68</v>
      </c>
      <c r="H13" s="78">
        <f t="shared" si="7"/>
        <v>813280</v>
      </c>
      <c r="I13" s="54">
        <f t="shared" si="0"/>
        <v>741642.34652935399</v>
      </c>
      <c r="J13" s="128">
        <f>(References!$C$49*I13)</f>
        <v>4142.0725053664419</v>
      </c>
      <c r="K13" s="128">
        <f>J13/References!$G$52</f>
        <v>4253.5145875605276</v>
      </c>
      <c r="L13" s="77">
        <f t="shared" si="5"/>
        <v>1.5411284737538142</v>
      </c>
      <c r="M13" s="113">
        <v>29.72</v>
      </c>
      <c r="N13" s="149">
        <f t="shared" si="1"/>
        <v>31.26</v>
      </c>
      <c r="O13" s="128">
        <f t="shared" si="2"/>
        <v>82027.199999999997</v>
      </c>
      <c r="P13" s="128">
        <f t="shared" si="6"/>
        <v>86277.6</v>
      </c>
      <c r="Q13" s="128">
        <f t="shared" si="8"/>
        <v>4250.4000000000087</v>
      </c>
      <c r="R13" s="138">
        <f t="shared" si="3"/>
        <v>5.1854928457396171E-2</v>
      </c>
      <c r="U13" s="77"/>
      <c r="V13" s="138"/>
    </row>
    <row r="14" spans="1:22" s="70" customFormat="1">
      <c r="A14" s="156"/>
      <c r="B14" s="55">
        <v>21</v>
      </c>
      <c r="C14" s="106" t="s">
        <v>106</v>
      </c>
      <c r="D14" s="107">
        <v>12</v>
      </c>
      <c r="E14" s="119">
        <f>References!B6</f>
        <v>8.6666666666666661</v>
      </c>
      <c r="F14" s="78">
        <f t="shared" si="4"/>
        <v>1248</v>
      </c>
      <c r="G14" s="111">
        <f>References!B22</f>
        <v>68</v>
      </c>
      <c r="H14" s="100">
        <f t="shared" si="7"/>
        <v>84864</v>
      </c>
      <c r="I14" s="54">
        <f t="shared" si="0"/>
        <v>77388.766594367378</v>
      </c>
      <c r="J14" s="128">
        <f>(References!$C$49*I14)</f>
        <v>432.21626142954176</v>
      </c>
      <c r="K14" s="128">
        <f>J14/References!$G$52</f>
        <v>443.84500044109853</v>
      </c>
      <c r="L14" s="77">
        <f t="shared" si="5"/>
        <v>3.0822569475076285</v>
      </c>
      <c r="M14" s="113">
        <v>48.13</v>
      </c>
      <c r="N14" s="149">
        <f t="shared" si="1"/>
        <v>51.21</v>
      </c>
      <c r="O14" s="128">
        <f t="shared" si="2"/>
        <v>6930.7200000000012</v>
      </c>
      <c r="P14" s="128">
        <f t="shared" si="6"/>
        <v>7374.24</v>
      </c>
      <c r="Q14" s="128">
        <f t="shared" si="8"/>
        <v>443.51999999999862</v>
      </c>
      <c r="R14" s="138">
        <f t="shared" si="3"/>
        <v>6.4040244078695782E-2</v>
      </c>
      <c r="T14" s="147">
        <f>ROUND(+U14*R14+U14,2)</f>
        <v>19.48</v>
      </c>
      <c r="U14" s="77">
        <v>18.309999999999999</v>
      </c>
      <c r="V14" s="138">
        <f t="shared" si="9"/>
        <v>6.3899508465319554E-2</v>
      </c>
    </row>
    <row r="15" spans="1:22" s="70" customFormat="1">
      <c r="A15" s="72"/>
      <c r="B15" s="55">
        <v>21</v>
      </c>
      <c r="C15" s="124" t="s">
        <v>127</v>
      </c>
      <c r="D15" s="134">
        <v>4</v>
      </c>
      <c r="E15" s="79">
        <f>+E13*3</f>
        <v>13</v>
      </c>
      <c r="F15" s="78">
        <f t="shared" si="4"/>
        <v>624</v>
      </c>
      <c r="G15" s="125">
        <f>+G14</f>
        <v>68</v>
      </c>
      <c r="H15" s="100">
        <f t="shared" si="7"/>
        <v>42432</v>
      </c>
      <c r="I15" s="54">
        <f t="shared" si="0"/>
        <v>38694.383297183689</v>
      </c>
      <c r="J15" s="128">
        <f>(References!$C$49*I15)</f>
        <v>216.10813071477088</v>
      </c>
      <c r="K15" s="128">
        <f>J15/References!$G$52</f>
        <v>221.92250022054927</v>
      </c>
      <c r="L15" s="77">
        <f t="shared" si="5"/>
        <v>4.6233854212614434</v>
      </c>
      <c r="M15" s="113">
        <v>66.540000000000006</v>
      </c>
      <c r="N15" s="149">
        <f t="shared" si="1"/>
        <v>71.16</v>
      </c>
      <c r="O15" s="128">
        <f t="shared" si="2"/>
        <v>3193.92</v>
      </c>
      <c r="P15" s="128">
        <f t="shared" si="6"/>
        <v>3415.68</v>
      </c>
      <c r="Q15" s="128">
        <f t="shared" si="8"/>
        <v>221.75999999999976</v>
      </c>
      <c r="R15" s="138">
        <f t="shared" si="3"/>
        <v>6.9482798636330667E-2</v>
      </c>
    </row>
    <row r="16" spans="1:22" s="70" customFormat="1">
      <c r="A16" s="109"/>
      <c r="B16" s="99">
        <v>23</v>
      </c>
      <c r="C16" s="110" t="s">
        <v>128</v>
      </c>
      <c r="D16" s="135">
        <v>425</v>
      </c>
      <c r="E16" s="97">
        <v>1</v>
      </c>
      <c r="F16" s="86">
        <f t="shared" si="4"/>
        <v>5100</v>
      </c>
      <c r="G16" s="136">
        <f>+G5</f>
        <v>34</v>
      </c>
      <c r="H16" s="103">
        <f t="shared" si="7"/>
        <v>173400</v>
      </c>
      <c r="I16" s="54">
        <f t="shared" si="0"/>
        <v>158126.08558945256</v>
      </c>
      <c r="J16" s="128">
        <f>(References!$C$49*I16)</f>
        <v>883.13418801709247</v>
      </c>
      <c r="K16" s="128">
        <f>J16/References!$G$52</f>
        <v>906.89483263205227</v>
      </c>
      <c r="L16" s="77">
        <f t="shared" si="5"/>
        <v>0.1778225162023632</v>
      </c>
      <c r="M16" s="113">
        <v>4.4000000000000004</v>
      </c>
      <c r="N16" s="149">
        <f t="shared" si="1"/>
        <v>4.58</v>
      </c>
      <c r="O16" s="128">
        <f>+D16*M16*12</f>
        <v>22440.000000000004</v>
      </c>
      <c r="P16" s="128">
        <f>+N16*D16*12</f>
        <v>23358</v>
      </c>
      <c r="Q16" s="128">
        <f t="shared" si="8"/>
        <v>917.99999999999636</v>
      </c>
      <c r="R16" s="138">
        <f t="shared" si="3"/>
        <v>4.0414208227809813E-2</v>
      </c>
    </row>
    <row r="17" spans="1:18" s="70" customFormat="1">
      <c r="A17" s="58"/>
      <c r="B17" s="89"/>
      <c r="C17" s="60" t="s">
        <v>15</v>
      </c>
      <c r="D17" s="61">
        <f>SUM(D2:D16)</f>
        <v>3260</v>
      </c>
      <c r="E17" s="62"/>
      <c r="F17" s="63">
        <f>SUM(F2:F16)</f>
        <v>153216</v>
      </c>
      <c r="G17" s="64"/>
      <c r="H17" s="90">
        <f>SUM(H2:H16)</f>
        <v>6590620</v>
      </c>
      <c r="I17" s="65">
        <f>SUM(I2:I16)</f>
        <v>6010086.1719005648</v>
      </c>
      <c r="J17" s="129">
        <f>SUM(J2:J16)</f>
        <v>33566.331270064649</v>
      </c>
      <c r="K17" s="129">
        <f>SUM(K2:K16)</f>
        <v>34469.430345106441</v>
      </c>
      <c r="L17" s="84"/>
      <c r="M17" s="84"/>
      <c r="N17" s="84"/>
      <c r="O17" s="129">
        <f>SUM(O2:O16)</f>
        <v>663376.67999999982</v>
      </c>
      <c r="P17" s="83">
        <f>SUM(P2:P16)</f>
        <v>697917</v>
      </c>
      <c r="Q17" s="129">
        <f>SUM(Q2:Q16)</f>
        <v>34540.320000000051</v>
      </c>
      <c r="R17" s="139">
        <f>+K17/O17</f>
        <v>5.1960569890859669E-2</v>
      </c>
    </row>
    <row r="18" spans="1:18" s="70" customFormat="1" ht="15" customHeight="1">
      <c r="A18" s="155" t="s">
        <v>13</v>
      </c>
      <c r="B18" s="55">
        <v>32</v>
      </c>
      <c r="C18" s="116" t="s">
        <v>97</v>
      </c>
      <c r="D18" s="67">
        <v>13</v>
      </c>
      <c r="E18" s="79">
        <v>4.3330000000000002</v>
      </c>
      <c r="F18" s="121">
        <f>ROUND(+E18*D18*12,0)</f>
        <v>676</v>
      </c>
      <c r="G18" s="118">
        <f>References!B26</f>
        <v>29</v>
      </c>
      <c r="H18" s="78">
        <f t="shared" ref="H18:H19" si="10">F18*G18</f>
        <v>19604</v>
      </c>
      <c r="I18" s="54">
        <f>$D$64*H18</f>
        <v>17877.184439997854</v>
      </c>
      <c r="J18" s="128">
        <f>(References!$C$49*I18)</f>
        <v>99.844075097388014</v>
      </c>
      <c r="K18" s="128">
        <f>J18/References!$G$52</f>
        <v>102.53037081268023</v>
      </c>
      <c r="L18" s="77">
        <f>K18/F18</f>
        <v>0.15167214617260388</v>
      </c>
      <c r="M18" s="113">
        <v>4.3499999999999996</v>
      </c>
      <c r="N18" s="149">
        <f t="shared" si="1"/>
        <v>4.5</v>
      </c>
      <c r="O18" s="128">
        <f>F18*M18</f>
        <v>2940.6</v>
      </c>
      <c r="P18" s="128">
        <f>+N18*F18</f>
        <v>3042</v>
      </c>
      <c r="Q18" s="128">
        <f t="shared" ref="Q18" si="11">P18-O18</f>
        <v>101.40000000000009</v>
      </c>
      <c r="R18" s="138">
        <f t="shared" si="3"/>
        <v>3.486716003967906E-2</v>
      </c>
    </row>
    <row r="19" spans="1:18" s="70" customFormat="1">
      <c r="A19" s="156"/>
      <c r="B19" s="55">
        <v>32</v>
      </c>
      <c r="C19" s="116" t="s">
        <v>98</v>
      </c>
      <c r="D19" s="67">
        <v>8</v>
      </c>
      <c r="E19" s="79">
        <f>+E18</f>
        <v>4.3330000000000002</v>
      </c>
      <c r="F19" s="121">
        <f t="shared" ref="F19:F54" si="12">ROUND(+E19*D19*12,0)</f>
        <v>416</v>
      </c>
      <c r="G19" s="118">
        <f>References!B26</f>
        <v>29</v>
      </c>
      <c r="H19" s="78">
        <f t="shared" si="10"/>
        <v>12064</v>
      </c>
      <c r="I19" s="54">
        <f>$D$64*H19</f>
        <v>11001.344270767911</v>
      </c>
      <c r="J19" s="128">
        <f>(References!$C$49*I19)</f>
        <v>61.442507752238782</v>
      </c>
      <c r="K19" s="128">
        <f>J19/References!$G$52</f>
        <v>63.095612807803228</v>
      </c>
      <c r="L19" s="77">
        <f t="shared" ref="L19" si="13">K19/F19</f>
        <v>0.15167214617260391</v>
      </c>
      <c r="M19" s="113">
        <v>4.3499999999999996</v>
      </c>
      <c r="N19" s="149">
        <f t="shared" si="1"/>
        <v>4.5</v>
      </c>
      <c r="O19" s="128">
        <f>F19*M19</f>
        <v>1809.6</v>
      </c>
      <c r="P19" s="128">
        <f t="shared" ref="P19:P54" si="14">+N19*F19</f>
        <v>1872</v>
      </c>
      <c r="Q19" s="128">
        <f t="shared" ref="Q19" si="15">P19-O19</f>
        <v>62.400000000000091</v>
      </c>
      <c r="R19" s="138">
        <f t="shared" si="3"/>
        <v>3.486716003967906E-2</v>
      </c>
    </row>
    <row r="20" spans="1:18" s="70" customFormat="1">
      <c r="A20" s="156"/>
      <c r="B20" s="55">
        <v>30</v>
      </c>
      <c r="C20" s="116" t="s">
        <v>105</v>
      </c>
      <c r="D20" s="98">
        <v>11</v>
      </c>
      <c r="E20" s="79">
        <f>+E19</f>
        <v>4.3330000000000002</v>
      </c>
      <c r="F20" s="121">
        <f t="shared" si="12"/>
        <v>572</v>
      </c>
      <c r="G20" s="118">
        <f>References!B22</f>
        <v>68</v>
      </c>
      <c r="H20" s="78">
        <f t="shared" ref="H20:H21" si="16">F20*G20</f>
        <v>38896</v>
      </c>
      <c r="I20" s="54">
        <f>$D$64*H20</f>
        <v>35469.851355751714</v>
      </c>
      <c r="J20" s="128">
        <f>(References!$C$49*I20)</f>
        <v>198.0991198218733</v>
      </c>
      <c r="K20" s="128">
        <f>J20/References!$G$52</f>
        <v>203.42895853550348</v>
      </c>
      <c r="L20" s="77">
        <f t="shared" ref="L20:L21" si="17">K20/F20</f>
        <v>0.35564503240472639</v>
      </c>
      <c r="M20" s="113">
        <v>10.24</v>
      </c>
      <c r="N20" s="149">
        <f t="shared" si="1"/>
        <v>10.6</v>
      </c>
      <c r="O20" s="128">
        <f>F20*M20</f>
        <v>5857.28</v>
      </c>
      <c r="P20" s="128">
        <f t="shared" si="14"/>
        <v>6063.2</v>
      </c>
      <c r="Q20" s="128">
        <f t="shared" ref="Q20:Q21" si="18">P20-O20</f>
        <v>205.92000000000007</v>
      </c>
      <c r="R20" s="138">
        <f t="shared" si="3"/>
        <v>3.4730960195774062E-2</v>
      </c>
    </row>
    <row r="21" spans="1:18" s="70" customFormat="1">
      <c r="A21" s="156"/>
      <c r="B21" s="55">
        <v>30</v>
      </c>
      <c r="C21" s="116" t="s">
        <v>106</v>
      </c>
      <c r="D21" s="98">
        <v>2</v>
      </c>
      <c r="E21" s="79">
        <f t="shared" ref="E21:E25" si="19">+E20</f>
        <v>4.3330000000000002</v>
      </c>
      <c r="F21" s="121">
        <f t="shared" si="12"/>
        <v>104</v>
      </c>
      <c r="G21" s="118">
        <f>References!B22</f>
        <v>68</v>
      </c>
      <c r="H21" s="78">
        <f t="shared" si="16"/>
        <v>7072</v>
      </c>
      <c r="I21" s="54">
        <f>$D$64*H21</f>
        <v>6449.0638828639476</v>
      </c>
      <c r="J21" s="128">
        <f>(References!$C$49*I21)</f>
        <v>36.018021785795142</v>
      </c>
      <c r="K21" s="128">
        <f>J21/References!$G$52</f>
        <v>36.98708337009154</v>
      </c>
      <c r="L21" s="77">
        <f t="shared" si="17"/>
        <v>0.35564503240472634</v>
      </c>
      <c r="M21" s="113">
        <v>10.24</v>
      </c>
      <c r="N21" s="149">
        <f t="shared" si="1"/>
        <v>10.6</v>
      </c>
      <c r="O21" s="128">
        <f>F21*M21</f>
        <v>1064.96</v>
      </c>
      <c r="P21" s="128">
        <f t="shared" si="14"/>
        <v>1102.3999999999999</v>
      </c>
      <c r="Q21" s="128">
        <f t="shared" si="18"/>
        <v>37.439999999999827</v>
      </c>
      <c r="R21" s="138">
        <f t="shared" si="3"/>
        <v>3.4730960195774055E-2</v>
      </c>
    </row>
    <row r="22" spans="1:18" s="70" customFormat="1">
      <c r="A22" s="156"/>
      <c r="B22" s="55">
        <v>30</v>
      </c>
      <c r="C22" s="116" t="s">
        <v>129</v>
      </c>
      <c r="D22" s="98">
        <v>6</v>
      </c>
      <c r="E22" s="79">
        <v>1</v>
      </c>
      <c r="F22" s="121">
        <f t="shared" si="12"/>
        <v>72</v>
      </c>
      <c r="G22" s="120">
        <v>158.55000000000001</v>
      </c>
      <c r="H22" s="78">
        <f t="shared" ref="H22:H54" si="20">F22*G22</f>
        <v>11415.6</v>
      </c>
      <c r="I22" s="54">
        <f t="shared" ref="I22:I54" si="21">$D$64*H22</f>
        <v>10410.05849281981</v>
      </c>
      <c r="J22" s="128">
        <f>(References!$C$49*I22)</f>
        <v>58.140176682398632</v>
      </c>
      <c r="K22" s="128">
        <f>J22/References!$G$52</f>
        <v>59.704432822344046</v>
      </c>
      <c r="L22" s="77">
        <f t="shared" ref="L22:L54" si="22">K22/F22</f>
        <v>0.82922823364366727</v>
      </c>
      <c r="M22" s="113">
        <v>25.67</v>
      </c>
      <c r="N22" s="149">
        <f t="shared" si="1"/>
        <v>26.5</v>
      </c>
      <c r="O22" s="128">
        <f t="shared" ref="O22:O54" si="23">F22*M22</f>
        <v>1848.2400000000002</v>
      </c>
      <c r="P22" s="128">
        <f t="shared" si="14"/>
        <v>1908</v>
      </c>
      <c r="Q22" s="128">
        <f t="shared" ref="Q22:Q54" si="24">P22-O22</f>
        <v>59.759999999999764</v>
      </c>
      <c r="R22" s="138">
        <f t="shared" si="3"/>
        <v>3.2303398272055597E-2</v>
      </c>
    </row>
    <row r="23" spans="1:18" s="70" customFormat="1">
      <c r="A23" s="156"/>
      <c r="B23" s="55">
        <v>30</v>
      </c>
      <c r="C23" s="116" t="s">
        <v>130</v>
      </c>
      <c r="D23" s="98">
        <v>6</v>
      </c>
      <c r="E23" s="79">
        <v>2.1667000000000001</v>
      </c>
      <c r="F23" s="121">
        <f t="shared" si="12"/>
        <v>156</v>
      </c>
      <c r="G23" s="115">
        <f>+G22</f>
        <v>158.55000000000001</v>
      </c>
      <c r="H23" s="78">
        <f t="shared" si="20"/>
        <v>24733.800000000003</v>
      </c>
      <c r="I23" s="54">
        <f t="shared" si="21"/>
        <v>22555.126734442922</v>
      </c>
      <c r="J23" s="128">
        <f>(References!$C$49*I23)</f>
        <v>125.97038281186371</v>
      </c>
      <c r="K23" s="128">
        <f>J23/References!$G$52</f>
        <v>129.35960444841211</v>
      </c>
      <c r="L23" s="77">
        <f t="shared" si="22"/>
        <v>0.82922823364366738</v>
      </c>
      <c r="M23" s="113">
        <v>25.67</v>
      </c>
      <c r="N23" s="149">
        <f t="shared" si="1"/>
        <v>26.5</v>
      </c>
      <c r="O23" s="128">
        <f t="shared" si="23"/>
        <v>4004.5200000000004</v>
      </c>
      <c r="P23" s="128">
        <f t="shared" si="14"/>
        <v>4134</v>
      </c>
      <c r="Q23" s="128">
        <f t="shared" si="24"/>
        <v>129.47999999999956</v>
      </c>
      <c r="R23" s="138">
        <f t="shared" si="3"/>
        <v>3.2303398272055604E-2</v>
      </c>
    </row>
    <row r="24" spans="1:18" s="70" customFormat="1">
      <c r="A24" s="156"/>
      <c r="B24" s="55">
        <v>30</v>
      </c>
      <c r="C24" s="116" t="s">
        <v>107</v>
      </c>
      <c r="D24" s="98">
        <v>37</v>
      </c>
      <c r="E24" s="79">
        <v>4.3330000000000002</v>
      </c>
      <c r="F24" s="121">
        <f t="shared" si="12"/>
        <v>1924</v>
      </c>
      <c r="G24" s="115">
        <f>+G23</f>
        <v>158.55000000000001</v>
      </c>
      <c r="H24" s="78">
        <f t="shared" si="20"/>
        <v>305050.2</v>
      </c>
      <c r="I24" s="54">
        <f t="shared" si="21"/>
        <v>278179.89639146265</v>
      </c>
      <c r="J24" s="128">
        <f>(References!$C$49*I24)</f>
        <v>1553.6347213463189</v>
      </c>
      <c r="K24" s="128">
        <f>J24/References!$G$52</f>
        <v>1595.4351215304157</v>
      </c>
      <c r="L24" s="77">
        <f t="shared" si="22"/>
        <v>0.82922823364366716</v>
      </c>
      <c r="M24" s="113">
        <v>25.67</v>
      </c>
      <c r="N24" s="149">
        <f t="shared" si="1"/>
        <v>26.5</v>
      </c>
      <c r="O24" s="128">
        <f t="shared" si="23"/>
        <v>49389.08</v>
      </c>
      <c r="P24" s="128">
        <f t="shared" si="14"/>
        <v>50986</v>
      </c>
      <c r="Q24" s="128">
        <f t="shared" si="24"/>
        <v>1596.9199999999983</v>
      </c>
      <c r="R24" s="138">
        <f t="shared" si="3"/>
        <v>3.2303398272055597E-2</v>
      </c>
    </row>
    <row r="25" spans="1:18" s="70" customFormat="1">
      <c r="A25" s="156"/>
      <c r="B25" s="55">
        <v>30</v>
      </c>
      <c r="C25" s="116" t="s">
        <v>108</v>
      </c>
      <c r="D25" s="67">
        <v>4</v>
      </c>
      <c r="E25" s="79">
        <f t="shared" si="19"/>
        <v>4.3330000000000002</v>
      </c>
      <c r="F25" s="121">
        <f t="shared" si="12"/>
        <v>208</v>
      </c>
      <c r="G25" s="115">
        <f>+G24</f>
        <v>158.55000000000001</v>
      </c>
      <c r="H25" s="78">
        <f t="shared" si="20"/>
        <v>32978.400000000001</v>
      </c>
      <c r="I25" s="54">
        <f t="shared" si="21"/>
        <v>30073.502312590557</v>
      </c>
      <c r="J25" s="128">
        <f>(References!$C$49*I25)</f>
        <v>167.96051041581825</v>
      </c>
      <c r="K25" s="128">
        <f>J25/References!$G$52</f>
        <v>172.47947259788279</v>
      </c>
      <c r="L25" s="77">
        <f t="shared" si="22"/>
        <v>0.82922823364366727</v>
      </c>
      <c r="M25" s="113">
        <v>25.67</v>
      </c>
      <c r="N25" s="149">
        <f t="shared" si="1"/>
        <v>26.5</v>
      </c>
      <c r="O25" s="128">
        <f t="shared" si="23"/>
        <v>5339.3600000000006</v>
      </c>
      <c r="P25" s="128">
        <f t="shared" si="14"/>
        <v>5512</v>
      </c>
      <c r="Q25" s="128">
        <f t="shared" si="24"/>
        <v>172.63999999999942</v>
      </c>
      <c r="R25" s="138">
        <f t="shared" si="3"/>
        <v>3.2303398272055597E-2</v>
      </c>
    </row>
    <row r="26" spans="1:18" s="70" customFormat="1">
      <c r="A26" s="156"/>
      <c r="B26" s="55">
        <v>30</v>
      </c>
      <c r="C26" s="116" t="s">
        <v>131</v>
      </c>
      <c r="D26" s="67">
        <v>4</v>
      </c>
      <c r="E26" s="79">
        <v>1</v>
      </c>
      <c r="F26" s="121">
        <f t="shared" si="12"/>
        <v>48</v>
      </c>
      <c r="G26" s="115">
        <f>+References!B28</f>
        <v>250</v>
      </c>
      <c r="H26" s="78">
        <f t="shared" si="20"/>
        <v>12000</v>
      </c>
      <c r="I26" s="54">
        <f t="shared" si="21"/>
        <v>10942.981701692219</v>
      </c>
      <c r="J26" s="128">
        <f>(References!$C$49*I26)</f>
        <v>61.116552803951038</v>
      </c>
      <c r="K26" s="128">
        <f>J26/References!$G$52</f>
        <v>62.760888071422301</v>
      </c>
      <c r="L26" s="77">
        <f t="shared" si="22"/>
        <v>1.3075185014879647</v>
      </c>
      <c r="M26" s="113">
        <v>29.44</v>
      </c>
      <c r="N26" s="149">
        <f t="shared" si="1"/>
        <v>30.75</v>
      </c>
      <c r="O26" s="128">
        <f t="shared" si="23"/>
        <v>1413.1200000000001</v>
      </c>
      <c r="P26" s="128">
        <f t="shared" si="14"/>
        <v>1476</v>
      </c>
      <c r="Q26" s="128">
        <f t="shared" si="24"/>
        <v>62.879999999999882</v>
      </c>
      <c r="R26" s="138">
        <f t="shared" si="3"/>
        <v>4.4412992577716193E-2</v>
      </c>
    </row>
    <row r="27" spans="1:18" s="70" customFormat="1">
      <c r="A27" s="156"/>
      <c r="B27" s="55">
        <v>30</v>
      </c>
      <c r="C27" s="116" t="s">
        <v>132</v>
      </c>
      <c r="D27" s="67">
        <v>10</v>
      </c>
      <c r="E27" s="79">
        <f>+E23</f>
        <v>2.1667000000000001</v>
      </c>
      <c r="F27" s="121">
        <f t="shared" si="12"/>
        <v>260</v>
      </c>
      <c r="G27" s="118">
        <f>+G26</f>
        <v>250</v>
      </c>
      <c r="H27" s="78">
        <f t="shared" si="20"/>
        <v>65000</v>
      </c>
      <c r="I27" s="54">
        <f t="shared" si="21"/>
        <v>59274.484217499521</v>
      </c>
      <c r="J27" s="128">
        <f>(References!$C$49*I27)</f>
        <v>331.04799435473478</v>
      </c>
      <c r="K27" s="128">
        <f>J27/References!$G$52</f>
        <v>339.9548103868708</v>
      </c>
      <c r="L27" s="77">
        <f t="shared" si="22"/>
        <v>1.3075185014879647</v>
      </c>
      <c r="M27" s="113">
        <v>29.44</v>
      </c>
      <c r="N27" s="149">
        <f t="shared" si="1"/>
        <v>30.75</v>
      </c>
      <c r="O27" s="128">
        <f t="shared" si="23"/>
        <v>7654.4000000000005</v>
      </c>
      <c r="P27" s="128">
        <f t="shared" si="14"/>
        <v>7995</v>
      </c>
      <c r="Q27" s="128">
        <f t="shared" si="24"/>
        <v>340.59999999999945</v>
      </c>
      <c r="R27" s="138">
        <f t="shared" si="3"/>
        <v>4.4412992577716193E-2</v>
      </c>
    </row>
    <row r="28" spans="1:18" s="70" customFormat="1">
      <c r="A28" s="156"/>
      <c r="B28" s="55">
        <v>30</v>
      </c>
      <c r="C28" s="116" t="s">
        <v>109</v>
      </c>
      <c r="D28" s="67">
        <v>44</v>
      </c>
      <c r="E28" s="79">
        <f>+E25</f>
        <v>4.3330000000000002</v>
      </c>
      <c r="F28" s="121">
        <f t="shared" si="12"/>
        <v>2288</v>
      </c>
      <c r="G28" s="118">
        <f>+G27</f>
        <v>250</v>
      </c>
      <c r="H28" s="78">
        <f t="shared" si="20"/>
        <v>572000</v>
      </c>
      <c r="I28" s="54">
        <f t="shared" si="21"/>
        <v>521615.46111399581</v>
      </c>
      <c r="J28" s="128">
        <f>(References!$C$49*I28)</f>
        <v>2913.2223503216665</v>
      </c>
      <c r="K28" s="128">
        <f>J28/References!$G$52</f>
        <v>2991.6023314044633</v>
      </c>
      <c r="L28" s="77">
        <f t="shared" si="22"/>
        <v>1.3075185014879647</v>
      </c>
      <c r="M28" s="113">
        <v>29.44</v>
      </c>
      <c r="N28" s="149">
        <f t="shared" si="1"/>
        <v>30.75</v>
      </c>
      <c r="O28" s="128">
        <f t="shared" si="23"/>
        <v>67358.720000000001</v>
      </c>
      <c r="P28" s="128">
        <f t="shared" si="14"/>
        <v>70356</v>
      </c>
      <c r="Q28" s="128">
        <f t="shared" si="24"/>
        <v>2997.2799999999988</v>
      </c>
      <c r="R28" s="138">
        <f t="shared" si="3"/>
        <v>4.4412992577716193E-2</v>
      </c>
    </row>
    <row r="29" spans="1:18" s="70" customFormat="1">
      <c r="A29" s="156"/>
      <c r="B29" s="55">
        <v>30</v>
      </c>
      <c r="C29" s="116" t="s">
        <v>133</v>
      </c>
      <c r="D29" s="67">
        <v>3</v>
      </c>
      <c r="E29" s="79">
        <v>1</v>
      </c>
      <c r="F29" s="121">
        <f t="shared" si="12"/>
        <v>36</v>
      </c>
      <c r="G29" s="118">
        <f>+References!B29</f>
        <v>324</v>
      </c>
      <c r="H29" s="78">
        <f t="shared" si="20"/>
        <v>11664</v>
      </c>
      <c r="I29" s="54">
        <f t="shared" si="21"/>
        <v>10636.578214044837</v>
      </c>
      <c r="J29" s="128">
        <f>(References!$C$49*I29)</f>
        <v>59.405289325440414</v>
      </c>
      <c r="K29" s="128">
        <f>J29/References!$G$52</f>
        <v>61.00358320542248</v>
      </c>
      <c r="L29" s="77">
        <f t="shared" si="22"/>
        <v>1.6945439779284022</v>
      </c>
      <c r="M29" s="113">
        <v>36.89</v>
      </c>
      <c r="N29" s="149">
        <f t="shared" si="1"/>
        <v>38.58</v>
      </c>
      <c r="O29" s="128">
        <f t="shared" si="23"/>
        <v>1328.04</v>
      </c>
      <c r="P29" s="128">
        <f t="shared" si="14"/>
        <v>1388.8799999999999</v>
      </c>
      <c r="Q29" s="128">
        <f t="shared" si="24"/>
        <v>60.839999999999918</v>
      </c>
      <c r="R29" s="138">
        <f t="shared" si="3"/>
        <v>4.5935049550783466E-2</v>
      </c>
    </row>
    <row r="30" spans="1:18" s="70" customFormat="1">
      <c r="A30" s="156"/>
      <c r="B30" s="55">
        <v>30</v>
      </c>
      <c r="C30" s="116" t="s">
        <v>134</v>
      </c>
      <c r="D30" s="67">
        <v>5</v>
      </c>
      <c r="E30" s="79">
        <f>+E27</f>
        <v>2.1667000000000001</v>
      </c>
      <c r="F30" s="121">
        <f t="shared" si="12"/>
        <v>130</v>
      </c>
      <c r="G30" s="118">
        <f>+G29</f>
        <v>324</v>
      </c>
      <c r="H30" s="78">
        <f t="shared" si="20"/>
        <v>42120</v>
      </c>
      <c r="I30" s="54">
        <f t="shared" si="21"/>
        <v>38409.865772939687</v>
      </c>
      <c r="J30" s="128">
        <f>(References!$C$49*I30)</f>
        <v>214.51910034186815</v>
      </c>
      <c r="K30" s="128">
        <f>J30/References!$G$52</f>
        <v>220.29071713069229</v>
      </c>
      <c r="L30" s="77">
        <f t="shared" si="22"/>
        <v>1.6945439779284022</v>
      </c>
      <c r="M30" s="113">
        <v>36.89</v>
      </c>
      <c r="N30" s="149">
        <f t="shared" si="1"/>
        <v>38.58</v>
      </c>
      <c r="O30" s="128">
        <f t="shared" si="23"/>
        <v>4795.7</v>
      </c>
      <c r="P30" s="128">
        <f t="shared" si="14"/>
        <v>5015.3999999999996</v>
      </c>
      <c r="Q30" s="128">
        <f t="shared" si="24"/>
        <v>219.69999999999982</v>
      </c>
      <c r="R30" s="138">
        <f t="shared" si="3"/>
        <v>4.5935049550783466E-2</v>
      </c>
    </row>
    <row r="31" spans="1:18" s="70" customFormat="1">
      <c r="A31" s="156"/>
      <c r="B31" s="55">
        <v>30</v>
      </c>
      <c r="C31" s="116" t="s">
        <v>110</v>
      </c>
      <c r="D31" s="67">
        <v>24</v>
      </c>
      <c r="E31" s="79">
        <f>+E28</f>
        <v>4.3330000000000002</v>
      </c>
      <c r="F31" s="121">
        <f t="shared" si="12"/>
        <v>1248</v>
      </c>
      <c r="G31" s="118">
        <f>+G30</f>
        <v>324</v>
      </c>
      <c r="H31" s="78">
        <f t="shared" si="20"/>
        <v>404352</v>
      </c>
      <c r="I31" s="54">
        <f t="shared" si="21"/>
        <v>368734.71142022102</v>
      </c>
      <c r="J31" s="128">
        <f>(References!$C$49*I31)</f>
        <v>2059.3833632819342</v>
      </c>
      <c r="K31" s="128">
        <f>J31/References!$G$52</f>
        <v>2114.7908844546459</v>
      </c>
      <c r="L31" s="77">
        <f t="shared" si="22"/>
        <v>1.6945439779284022</v>
      </c>
      <c r="M31" s="113">
        <v>36.89</v>
      </c>
      <c r="N31" s="149">
        <f t="shared" si="1"/>
        <v>38.58</v>
      </c>
      <c r="O31" s="128">
        <f t="shared" si="23"/>
        <v>46038.720000000001</v>
      </c>
      <c r="P31" s="128">
        <f t="shared" si="14"/>
        <v>48147.839999999997</v>
      </c>
      <c r="Q31" s="128">
        <f t="shared" si="24"/>
        <v>2109.1199999999953</v>
      </c>
      <c r="R31" s="138">
        <f t="shared" si="3"/>
        <v>4.5935049550783466E-2</v>
      </c>
    </row>
    <row r="32" spans="1:18" s="70" customFormat="1">
      <c r="A32" s="156"/>
      <c r="B32" s="55">
        <v>30</v>
      </c>
      <c r="C32" s="116" t="s">
        <v>111</v>
      </c>
      <c r="D32" s="67">
        <v>4</v>
      </c>
      <c r="E32" s="79">
        <f>+E31</f>
        <v>4.3330000000000002</v>
      </c>
      <c r="F32" s="121">
        <f t="shared" si="12"/>
        <v>208</v>
      </c>
      <c r="G32" s="118">
        <f>+G31</f>
        <v>324</v>
      </c>
      <c r="H32" s="78">
        <f t="shared" si="20"/>
        <v>67392</v>
      </c>
      <c r="I32" s="54">
        <f t="shared" si="21"/>
        <v>61455.785236703501</v>
      </c>
      <c r="J32" s="128">
        <f>(References!$C$49*I32)</f>
        <v>343.23056054698901</v>
      </c>
      <c r="K32" s="128">
        <f>J32/References!$G$52</f>
        <v>352.46514740910766</v>
      </c>
      <c r="L32" s="77">
        <f t="shared" si="22"/>
        <v>1.6945439779284022</v>
      </c>
      <c r="M32" s="113">
        <v>36.89</v>
      </c>
      <c r="N32" s="149">
        <f t="shared" si="1"/>
        <v>38.58</v>
      </c>
      <c r="O32" s="128">
        <f t="shared" si="23"/>
        <v>7673.12</v>
      </c>
      <c r="P32" s="128">
        <f t="shared" si="14"/>
        <v>8024.6399999999994</v>
      </c>
      <c r="Q32" s="128">
        <f t="shared" si="24"/>
        <v>351.51999999999953</v>
      </c>
      <c r="R32" s="138">
        <f t="shared" si="3"/>
        <v>4.5935049550783466E-2</v>
      </c>
    </row>
    <row r="33" spans="1:18" s="70" customFormat="1">
      <c r="A33" s="156"/>
      <c r="B33" s="55">
        <v>30</v>
      </c>
      <c r="C33" s="116" t="s">
        <v>112</v>
      </c>
      <c r="D33" s="67">
        <v>1</v>
      </c>
      <c r="E33" s="79">
        <f>+E31*2</f>
        <v>8.6660000000000004</v>
      </c>
      <c r="F33" s="121">
        <f t="shared" si="12"/>
        <v>104</v>
      </c>
      <c r="G33" s="118">
        <f>+G32</f>
        <v>324</v>
      </c>
      <c r="H33" s="78">
        <f t="shared" si="20"/>
        <v>33696</v>
      </c>
      <c r="I33" s="54">
        <f t="shared" si="21"/>
        <v>30727.892618351751</v>
      </c>
      <c r="J33" s="128">
        <f>(References!$C$49*I33)</f>
        <v>171.61528027349451</v>
      </c>
      <c r="K33" s="128">
        <f>J33/References!$G$52</f>
        <v>176.23257370455383</v>
      </c>
      <c r="L33" s="77">
        <f t="shared" si="22"/>
        <v>1.6945439779284022</v>
      </c>
      <c r="M33" s="113">
        <v>36.89</v>
      </c>
      <c r="N33" s="149">
        <f t="shared" si="1"/>
        <v>38.58</v>
      </c>
      <c r="O33" s="128">
        <f t="shared" si="23"/>
        <v>3836.56</v>
      </c>
      <c r="P33" s="128">
        <f t="shared" si="14"/>
        <v>4012.3199999999997</v>
      </c>
      <c r="Q33" s="128">
        <f t="shared" si="24"/>
        <v>175.75999999999976</v>
      </c>
      <c r="R33" s="138">
        <f t="shared" si="3"/>
        <v>4.5935049550783466E-2</v>
      </c>
    </row>
    <row r="34" spans="1:18" s="70" customFormat="1">
      <c r="A34" s="156"/>
      <c r="B34" s="55">
        <v>30</v>
      </c>
      <c r="C34" s="116" t="s">
        <v>135</v>
      </c>
      <c r="D34" s="67">
        <v>6</v>
      </c>
      <c r="E34" s="79">
        <v>1</v>
      </c>
      <c r="F34" s="121">
        <f t="shared" si="12"/>
        <v>72</v>
      </c>
      <c r="G34" s="118">
        <f>+References!B30</f>
        <v>473</v>
      </c>
      <c r="H34" s="78">
        <f t="shared" si="20"/>
        <v>34056</v>
      </c>
      <c r="I34" s="54">
        <f t="shared" si="21"/>
        <v>31056.182069402519</v>
      </c>
      <c r="J34" s="128">
        <f>(References!$C$49*I34)</f>
        <v>173.44877685761307</v>
      </c>
      <c r="K34" s="128">
        <f>J34/References!$G$52</f>
        <v>178.11540034669653</v>
      </c>
      <c r="L34" s="77">
        <f t="shared" si="22"/>
        <v>2.4738250048152297</v>
      </c>
      <c r="M34" s="113">
        <v>52.68</v>
      </c>
      <c r="N34" s="149">
        <f t="shared" si="1"/>
        <v>55.15</v>
      </c>
      <c r="O34" s="128">
        <f t="shared" si="23"/>
        <v>3792.96</v>
      </c>
      <c r="P34" s="128">
        <f t="shared" si="14"/>
        <v>3970.7999999999997</v>
      </c>
      <c r="Q34" s="128">
        <f t="shared" si="24"/>
        <v>177.83999999999969</v>
      </c>
      <c r="R34" s="138">
        <f t="shared" si="3"/>
        <v>4.6959472376902615E-2</v>
      </c>
    </row>
    <row r="35" spans="1:18" s="70" customFormat="1">
      <c r="A35" s="156"/>
      <c r="B35" s="55">
        <v>30</v>
      </c>
      <c r="C35" s="116" t="s">
        <v>136</v>
      </c>
      <c r="D35" s="67">
        <v>5</v>
      </c>
      <c r="E35" s="79">
        <f>+E30</f>
        <v>2.1667000000000001</v>
      </c>
      <c r="F35" s="121">
        <f t="shared" si="12"/>
        <v>130</v>
      </c>
      <c r="G35" s="118">
        <f t="shared" ref="G35:G40" si="25">+G34</f>
        <v>473</v>
      </c>
      <c r="H35" s="78">
        <f t="shared" si="20"/>
        <v>61490</v>
      </c>
      <c r="I35" s="54">
        <f t="shared" si="21"/>
        <v>56073.662069754551</v>
      </c>
      <c r="J35" s="128">
        <f>(References!$C$49*I35)</f>
        <v>313.17140265957914</v>
      </c>
      <c r="K35" s="128">
        <f>J35/References!$G$52</f>
        <v>321.59725062597983</v>
      </c>
      <c r="L35" s="77">
        <f t="shared" si="22"/>
        <v>2.4738250048152293</v>
      </c>
      <c r="M35" s="113">
        <v>52.68</v>
      </c>
      <c r="N35" s="149">
        <f t="shared" si="1"/>
        <v>55.15</v>
      </c>
      <c r="O35" s="128">
        <f t="shared" si="23"/>
        <v>6848.4</v>
      </c>
      <c r="P35" s="128">
        <f t="shared" si="14"/>
        <v>7169.5</v>
      </c>
      <c r="Q35" s="128">
        <f t="shared" si="24"/>
        <v>321.10000000000036</v>
      </c>
      <c r="R35" s="138">
        <f t="shared" si="3"/>
        <v>4.6959472376902608E-2</v>
      </c>
    </row>
    <row r="36" spans="1:18" s="70" customFormat="1">
      <c r="A36" s="156"/>
      <c r="B36" s="55">
        <v>30</v>
      </c>
      <c r="C36" s="116" t="s">
        <v>113</v>
      </c>
      <c r="D36" s="67">
        <v>21</v>
      </c>
      <c r="E36" s="79">
        <f>+E32</f>
        <v>4.3330000000000002</v>
      </c>
      <c r="F36" s="121">
        <f t="shared" si="12"/>
        <v>1092</v>
      </c>
      <c r="G36" s="118">
        <f t="shared" si="25"/>
        <v>473</v>
      </c>
      <c r="H36" s="78">
        <f t="shared" si="20"/>
        <v>516516</v>
      </c>
      <c r="I36" s="54">
        <f t="shared" si="21"/>
        <v>471018.76138593821</v>
      </c>
      <c r="J36" s="128">
        <f>(References!$C$49*I36)</f>
        <v>2630.6397823404645</v>
      </c>
      <c r="K36" s="128">
        <f>J36/References!$G$52</f>
        <v>2701.4169052582301</v>
      </c>
      <c r="L36" s="77">
        <f t="shared" si="22"/>
        <v>2.4738250048152293</v>
      </c>
      <c r="M36" s="113">
        <v>52.68</v>
      </c>
      <c r="N36" s="149">
        <f t="shared" si="1"/>
        <v>55.15</v>
      </c>
      <c r="O36" s="128">
        <f t="shared" si="23"/>
        <v>57526.559999999998</v>
      </c>
      <c r="P36" s="128">
        <f t="shared" si="14"/>
        <v>60223.799999999996</v>
      </c>
      <c r="Q36" s="128">
        <f t="shared" si="24"/>
        <v>2697.239999999998</v>
      </c>
      <c r="R36" s="138">
        <f t="shared" si="3"/>
        <v>4.6959472376902608E-2</v>
      </c>
    </row>
    <row r="37" spans="1:18" s="70" customFormat="1">
      <c r="A37" s="156"/>
      <c r="B37" s="55">
        <v>30</v>
      </c>
      <c r="C37" s="116" t="s">
        <v>114</v>
      </c>
      <c r="D37" s="67">
        <v>4</v>
      </c>
      <c r="E37" s="79">
        <f>+E36</f>
        <v>4.3330000000000002</v>
      </c>
      <c r="F37" s="121">
        <f t="shared" si="12"/>
        <v>208</v>
      </c>
      <c r="G37" s="118">
        <f t="shared" si="25"/>
        <v>473</v>
      </c>
      <c r="H37" s="78">
        <f t="shared" si="20"/>
        <v>98384</v>
      </c>
      <c r="I37" s="54">
        <f t="shared" si="21"/>
        <v>89717.859311607273</v>
      </c>
      <c r="J37" s="128">
        <f>(References!$C$49*I37)</f>
        <v>501.07424425532662</v>
      </c>
      <c r="K37" s="128">
        <f>J37/References!$G$52</f>
        <v>514.55560100156765</v>
      </c>
      <c r="L37" s="77">
        <f t="shared" si="22"/>
        <v>2.4738250048152293</v>
      </c>
      <c r="M37" s="113">
        <v>52.68</v>
      </c>
      <c r="N37" s="149">
        <f t="shared" si="1"/>
        <v>55.15</v>
      </c>
      <c r="O37" s="128">
        <f t="shared" si="23"/>
        <v>10957.44</v>
      </c>
      <c r="P37" s="128">
        <f t="shared" si="14"/>
        <v>11471.199999999999</v>
      </c>
      <c r="Q37" s="128">
        <f t="shared" si="24"/>
        <v>513.7599999999984</v>
      </c>
      <c r="R37" s="138">
        <f t="shared" si="3"/>
        <v>4.6959472376902608E-2</v>
      </c>
    </row>
    <row r="38" spans="1:18" s="70" customFormat="1">
      <c r="A38" s="156"/>
      <c r="B38" s="55">
        <v>30</v>
      </c>
      <c r="C38" s="117" t="s">
        <v>115</v>
      </c>
      <c r="D38" s="67">
        <v>6</v>
      </c>
      <c r="E38" s="79">
        <f>+E37</f>
        <v>4.3330000000000002</v>
      </c>
      <c r="F38" s="121">
        <f t="shared" si="12"/>
        <v>312</v>
      </c>
      <c r="G38" s="118">
        <f t="shared" si="25"/>
        <v>473</v>
      </c>
      <c r="H38" s="78">
        <f t="shared" si="20"/>
        <v>147576</v>
      </c>
      <c r="I38" s="54">
        <f t="shared" si="21"/>
        <v>134576.78896741092</v>
      </c>
      <c r="J38" s="128">
        <f>(References!$C$49*I38)</f>
        <v>751.6113663829899</v>
      </c>
      <c r="K38" s="128">
        <f>J38/References!$G$52</f>
        <v>771.83340150235153</v>
      </c>
      <c r="L38" s="77">
        <f t="shared" si="22"/>
        <v>2.4738250048152293</v>
      </c>
      <c r="M38" s="113">
        <v>52.68</v>
      </c>
      <c r="N38" s="149">
        <f t="shared" si="1"/>
        <v>55.15</v>
      </c>
      <c r="O38" s="128">
        <f t="shared" si="23"/>
        <v>16436.16</v>
      </c>
      <c r="P38" s="128">
        <f t="shared" si="14"/>
        <v>17206.8</v>
      </c>
      <c r="Q38" s="128">
        <f t="shared" si="24"/>
        <v>770.63999999999942</v>
      </c>
      <c r="R38" s="138">
        <f t="shared" si="3"/>
        <v>4.6959472376902608E-2</v>
      </c>
    </row>
    <row r="39" spans="1:18" s="70" customFormat="1">
      <c r="A39" s="156"/>
      <c r="B39" s="55">
        <v>30</v>
      </c>
      <c r="C39" s="117" t="s">
        <v>116</v>
      </c>
      <c r="D39" s="67">
        <v>5</v>
      </c>
      <c r="E39" s="79">
        <f>+E38</f>
        <v>4.3330000000000002</v>
      </c>
      <c r="F39" s="121">
        <f t="shared" si="12"/>
        <v>260</v>
      </c>
      <c r="G39" s="118">
        <f t="shared" si="25"/>
        <v>473</v>
      </c>
      <c r="H39" s="78">
        <f t="shared" si="20"/>
        <v>122980</v>
      </c>
      <c r="I39" s="54">
        <f t="shared" si="21"/>
        <v>112147.3241395091</v>
      </c>
      <c r="J39" s="128">
        <f>(References!$C$49*I39)</f>
        <v>626.34280531915829</v>
      </c>
      <c r="K39" s="128">
        <f>J39/References!$G$52</f>
        <v>643.19450125195965</v>
      </c>
      <c r="L39" s="77">
        <f t="shared" si="22"/>
        <v>2.4738250048152293</v>
      </c>
      <c r="M39" s="113">
        <v>52.68</v>
      </c>
      <c r="N39" s="149">
        <f t="shared" si="1"/>
        <v>55.15</v>
      </c>
      <c r="O39" s="128">
        <f t="shared" si="23"/>
        <v>13696.8</v>
      </c>
      <c r="P39" s="128">
        <f t="shared" si="14"/>
        <v>14339</v>
      </c>
      <c r="Q39" s="128">
        <f t="shared" si="24"/>
        <v>642.20000000000073</v>
      </c>
      <c r="R39" s="138">
        <f t="shared" si="3"/>
        <v>4.6959472376902608E-2</v>
      </c>
    </row>
    <row r="40" spans="1:18" s="70" customFormat="1">
      <c r="A40" s="156"/>
      <c r="B40" s="55">
        <v>30</v>
      </c>
      <c r="C40" s="117" t="s">
        <v>137</v>
      </c>
      <c r="D40" s="67">
        <v>6</v>
      </c>
      <c r="E40" s="79">
        <f>+E39</f>
        <v>4.3330000000000002</v>
      </c>
      <c r="F40" s="121">
        <f t="shared" si="12"/>
        <v>312</v>
      </c>
      <c r="G40" s="118">
        <f t="shared" si="25"/>
        <v>473</v>
      </c>
      <c r="H40" s="78">
        <f t="shared" si="20"/>
        <v>147576</v>
      </c>
      <c r="I40" s="54">
        <f t="shared" si="21"/>
        <v>134576.78896741092</v>
      </c>
      <c r="J40" s="128">
        <f>(References!$C$49*I40)</f>
        <v>751.6113663829899</v>
      </c>
      <c r="K40" s="128">
        <f>J40/References!$G$52</f>
        <v>771.83340150235153</v>
      </c>
      <c r="L40" s="77">
        <f t="shared" si="22"/>
        <v>2.4738250048152293</v>
      </c>
      <c r="M40" s="113">
        <v>52.68</v>
      </c>
      <c r="N40" s="149">
        <f t="shared" si="1"/>
        <v>55.15</v>
      </c>
      <c r="O40" s="128">
        <f t="shared" si="23"/>
        <v>16436.16</v>
      </c>
      <c r="P40" s="128">
        <f t="shared" si="14"/>
        <v>17206.8</v>
      </c>
      <c r="Q40" s="128">
        <f t="shared" si="24"/>
        <v>770.63999999999942</v>
      </c>
      <c r="R40" s="138">
        <f t="shared" si="3"/>
        <v>4.6959472376902608E-2</v>
      </c>
    </row>
    <row r="41" spans="1:18" s="70" customFormat="1">
      <c r="A41" s="156"/>
      <c r="B41" s="55">
        <v>30</v>
      </c>
      <c r="C41" s="116" t="s">
        <v>138</v>
      </c>
      <c r="D41" s="67">
        <v>1</v>
      </c>
      <c r="E41" s="79">
        <v>1</v>
      </c>
      <c r="F41" s="121">
        <f t="shared" si="12"/>
        <v>12</v>
      </c>
      <c r="G41" s="118">
        <f>+References!B31</f>
        <v>613</v>
      </c>
      <c r="H41" s="78">
        <f t="shared" si="20"/>
        <v>7356</v>
      </c>
      <c r="I41" s="54">
        <f t="shared" si="21"/>
        <v>6708.047783137331</v>
      </c>
      <c r="J41" s="128">
        <f>(References!$C$49*I41)</f>
        <v>37.464446868821994</v>
      </c>
      <c r="K41" s="128">
        <f>J41/References!$G$52</f>
        <v>38.472424387781878</v>
      </c>
      <c r="L41" s="77">
        <f t="shared" si="22"/>
        <v>3.2060353656484897</v>
      </c>
      <c r="M41" s="113">
        <v>66.3</v>
      </c>
      <c r="N41" s="149">
        <f t="shared" si="1"/>
        <v>69.510000000000005</v>
      </c>
      <c r="O41" s="128">
        <f t="shared" si="23"/>
        <v>795.59999999999991</v>
      </c>
      <c r="P41" s="128">
        <f t="shared" si="14"/>
        <v>834.12000000000012</v>
      </c>
      <c r="Q41" s="128">
        <f t="shared" si="24"/>
        <v>38.520000000000209</v>
      </c>
      <c r="R41" s="138">
        <f t="shared" si="3"/>
        <v>4.8356491186251731E-2</v>
      </c>
    </row>
    <row r="42" spans="1:18" s="70" customFormat="1">
      <c r="A42" s="156"/>
      <c r="B42" s="55">
        <v>30</v>
      </c>
      <c r="C42" s="116" t="s">
        <v>139</v>
      </c>
      <c r="D42" s="67">
        <v>5</v>
      </c>
      <c r="E42" s="79">
        <f>+E35</f>
        <v>2.1667000000000001</v>
      </c>
      <c r="F42" s="121">
        <f t="shared" si="12"/>
        <v>130</v>
      </c>
      <c r="G42" s="118">
        <f>+G41</f>
        <v>613</v>
      </c>
      <c r="H42" s="78">
        <f t="shared" si="20"/>
        <v>79690</v>
      </c>
      <c r="I42" s="54">
        <f t="shared" si="21"/>
        <v>72670.517650654408</v>
      </c>
      <c r="J42" s="128">
        <f>(References!$C$49*I42)</f>
        <v>405.86484107890487</v>
      </c>
      <c r="K42" s="128">
        <f>J42/References!$G$52</f>
        <v>416.78459753430366</v>
      </c>
      <c r="L42" s="77">
        <f t="shared" si="22"/>
        <v>3.2060353656484897</v>
      </c>
      <c r="M42" s="113">
        <v>66.3</v>
      </c>
      <c r="N42" s="149">
        <f t="shared" si="1"/>
        <v>69.510000000000005</v>
      </c>
      <c r="O42" s="128">
        <f t="shared" si="23"/>
        <v>8619</v>
      </c>
      <c r="P42" s="128">
        <f t="shared" si="14"/>
        <v>9036.3000000000011</v>
      </c>
      <c r="Q42" s="128">
        <f t="shared" si="24"/>
        <v>417.30000000000109</v>
      </c>
      <c r="R42" s="138">
        <f t="shared" si="3"/>
        <v>4.8356491186251731E-2</v>
      </c>
    </row>
    <row r="43" spans="1:18" s="70" customFormat="1">
      <c r="A43" s="156"/>
      <c r="B43" s="55">
        <v>30</v>
      </c>
      <c r="C43" s="116" t="s">
        <v>117</v>
      </c>
      <c r="D43" s="67">
        <v>21</v>
      </c>
      <c r="E43" s="79">
        <f>+E40</f>
        <v>4.3330000000000002</v>
      </c>
      <c r="F43" s="121">
        <f t="shared" si="12"/>
        <v>1092</v>
      </c>
      <c r="G43" s="118">
        <f>+G42</f>
        <v>613</v>
      </c>
      <c r="H43" s="78">
        <f t="shared" si="20"/>
        <v>669396</v>
      </c>
      <c r="I43" s="54">
        <f t="shared" si="21"/>
        <v>610432.34826549713</v>
      </c>
      <c r="J43" s="128">
        <f>(References!$C$49*I43)</f>
        <v>3409.2646650628012</v>
      </c>
      <c r="K43" s="128">
        <f>J43/References!$G$52</f>
        <v>3500.9906192881508</v>
      </c>
      <c r="L43" s="77">
        <f t="shared" si="22"/>
        <v>3.2060353656484897</v>
      </c>
      <c r="M43" s="113">
        <v>66.3</v>
      </c>
      <c r="N43" s="149">
        <f t="shared" si="1"/>
        <v>69.510000000000005</v>
      </c>
      <c r="O43" s="128">
        <f t="shared" si="23"/>
        <v>72399.599999999991</v>
      </c>
      <c r="P43" s="128">
        <f t="shared" si="14"/>
        <v>75904.920000000013</v>
      </c>
      <c r="Q43" s="128">
        <f t="shared" si="24"/>
        <v>3505.3200000000215</v>
      </c>
      <c r="R43" s="138">
        <f t="shared" si="3"/>
        <v>4.8356491186251731E-2</v>
      </c>
    </row>
    <row r="44" spans="1:18" s="70" customFormat="1">
      <c r="A44" s="156"/>
      <c r="B44" s="55">
        <v>30</v>
      </c>
      <c r="C44" s="116" t="s">
        <v>118</v>
      </c>
      <c r="D44" s="67">
        <v>4</v>
      </c>
      <c r="E44" s="79">
        <f>+E43</f>
        <v>4.3330000000000002</v>
      </c>
      <c r="F44" s="121">
        <f t="shared" si="12"/>
        <v>208</v>
      </c>
      <c r="G44" s="118">
        <f>+G43</f>
        <v>613</v>
      </c>
      <c r="H44" s="78">
        <f t="shared" si="20"/>
        <v>127504</v>
      </c>
      <c r="I44" s="54">
        <f t="shared" si="21"/>
        <v>116272.82824104706</v>
      </c>
      <c r="J44" s="128">
        <f>(References!$C$49*I44)</f>
        <v>649.38374572624775</v>
      </c>
      <c r="K44" s="128">
        <f>J44/References!$G$52</f>
        <v>666.85535605488576</v>
      </c>
      <c r="L44" s="77">
        <f t="shared" si="22"/>
        <v>3.2060353656484892</v>
      </c>
      <c r="M44" s="113">
        <v>66.3</v>
      </c>
      <c r="N44" s="149">
        <f t="shared" si="1"/>
        <v>69.510000000000005</v>
      </c>
      <c r="O44" s="128">
        <f t="shared" si="23"/>
        <v>13790.4</v>
      </c>
      <c r="P44" s="128">
        <f t="shared" si="14"/>
        <v>14458.080000000002</v>
      </c>
      <c r="Q44" s="128">
        <f t="shared" si="24"/>
        <v>667.68000000000211</v>
      </c>
      <c r="R44" s="138">
        <f t="shared" si="3"/>
        <v>4.8356491186251724E-2</v>
      </c>
    </row>
    <row r="45" spans="1:18" s="70" customFormat="1">
      <c r="A45" s="156"/>
      <c r="B45" s="55">
        <v>30</v>
      </c>
      <c r="C45" s="116" t="s">
        <v>140</v>
      </c>
      <c r="D45" s="67">
        <v>4</v>
      </c>
      <c r="E45" s="79">
        <f>+E44*2</f>
        <v>8.6660000000000004</v>
      </c>
      <c r="F45" s="121">
        <f t="shared" si="12"/>
        <v>416</v>
      </c>
      <c r="G45" s="118">
        <f>+G44</f>
        <v>613</v>
      </c>
      <c r="H45" s="78">
        <f t="shared" si="20"/>
        <v>255008</v>
      </c>
      <c r="I45" s="54">
        <f t="shared" si="21"/>
        <v>232545.65648209411</v>
      </c>
      <c r="J45" s="128">
        <f>(References!$C$49*I45)</f>
        <v>1298.7674914524955</v>
      </c>
      <c r="K45" s="128">
        <f>J45/References!$G$52</f>
        <v>1333.7107121097715</v>
      </c>
      <c r="L45" s="77">
        <f t="shared" si="22"/>
        <v>3.2060353656484892</v>
      </c>
      <c r="M45" s="113">
        <v>66.3</v>
      </c>
      <c r="N45" s="149">
        <f t="shared" si="1"/>
        <v>69.510000000000005</v>
      </c>
      <c r="O45" s="128">
        <f t="shared" si="23"/>
        <v>27580.799999999999</v>
      </c>
      <c r="P45" s="128">
        <f t="shared" si="14"/>
        <v>28916.160000000003</v>
      </c>
      <c r="Q45" s="128">
        <f t="shared" si="24"/>
        <v>1335.3600000000042</v>
      </c>
      <c r="R45" s="138">
        <f t="shared" si="3"/>
        <v>4.8356491186251724E-2</v>
      </c>
    </row>
    <row r="46" spans="1:18" s="70" customFormat="1">
      <c r="A46" s="156"/>
      <c r="B46" s="55">
        <v>30</v>
      </c>
      <c r="C46" s="116" t="s">
        <v>119</v>
      </c>
      <c r="D46" s="67">
        <v>13</v>
      </c>
      <c r="E46" s="79">
        <f>+E44</f>
        <v>4.3330000000000002</v>
      </c>
      <c r="F46" s="121">
        <f t="shared" si="12"/>
        <v>676</v>
      </c>
      <c r="G46" s="118">
        <f>+References!B32</f>
        <v>840</v>
      </c>
      <c r="H46" s="78">
        <f t="shared" si="20"/>
        <v>567840</v>
      </c>
      <c r="I46" s="54">
        <f t="shared" si="21"/>
        <v>517821.89412407583</v>
      </c>
      <c r="J46" s="128">
        <f>(References!$C$49*I46)</f>
        <v>2892.0352786829635</v>
      </c>
      <c r="K46" s="128">
        <f>J46/References!$G$52</f>
        <v>2969.845223539704</v>
      </c>
      <c r="L46" s="77">
        <f t="shared" si="22"/>
        <v>4.3932621649995625</v>
      </c>
      <c r="M46" s="113">
        <v>92.91</v>
      </c>
      <c r="N46" s="149">
        <f t="shared" si="1"/>
        <v>97.3</v>
      </c>
      <c r="O46" s="128">
        <f t="shared" si="23"/>
        <v>62807.159999999996</v>
      </c>
      <c r="P46" s="128">
        <f t="shared" si="14"/>
        <v>65774.8</v>
      </c>
      <c r="Q46" s="128">
        <f t="shared" si="24"/>
        <v>2967.6400000000067</v>
      </c>
      <c r="R46" s="138">
        <f t="shared" si="3"/>
        <v>4.7285137929174069E-2</v>
      </c>
    </row>
    <row r="47" spans="1:18" s="70" customFormat="1">
      <c r="A47" s="156"/>
      <c r="B47" s="55">
        <v>30</v>
      </c>
      <c r="C47" s="116" t="s">
        <v>141</v>
      </c>
      <c r="D47" s="67">
        <v>2</v>
      </c>
      <c r="E47" s="79">
        <f>+E45</f>
        <v>8.6660000000000004</v>
      </c>
      <c r="F47" s="121">
        <f t="shared" si="12"/>
        <v>208</v>
      </c>
      <c r="G47" s="118">
        <f>+G46</f>
        <v>840</v>
      </c>
      <c r="H47" s="78">
        <f t="shared" si="20"/>
        <v>174720</v>
      </c>
      <c r="I47" s="54">
        <f t="shared" si="21"/>
        <v>159329.81357663873</v>
      </c>
      <c r="J47" s="128">
        <f>(References!$C$49*I47)</f>
        <v>889.85700882552726</v>
      </c>
      <c r="K47" s="128">
        <f>J47/References!$G$52</f>
        <v>913.79853031990888</v>
      </c>
      <c r="L47" s="77">
        <f t="shared" si="22"/>
        <v>4.3932621649995616</v>
      </c>
      <c r="M47" s="113">
        <v>92.91</v>
      </c>
      <c r="N47" s="149">
        <f t="shared" si="1"/>
        <v>97.3</v>
      </c>
      <c r="O47" s="128">
        <f t="shared" si="23"/>
        <v>19325.28</v>
      </c>
      <c r="P47" s="128">
        <f t="shared" si="14"/>
        <v>20238.399999999998</v>
      </c>
      <c r="Q47" s="128">
        <f t="shared" si="24"/>
        <v>913.11999999999898</v>
      </c>
      <c r="R47" s="138">
        <f t="shared" si="3"/>
        <v>4.7285137929174055E-2</v>
      </c>
    </row>
    <row r="48" spans="1:18" s="70" customFormat="1">
      <c r="A48" s="156"/>
      <c r="B48" s="55">
        <v>30</v>
      </c>
      <c r="C48" s="116" t="s">
        <v>120</v>
      </c>
      <c r="D48" s="67">
        <v>14</v>
      </c>
      <c r="E48" s="79">
        <f>+E46</f>
        <v>4.3330000000000002</v>
      </c>
      <c r="F48" s="121">
        <f t="shared" si="12"/>
        <v>728</v>
      </c>
      <c r="G48" s="118">
        <f>+G47</f>
        <v>840</v>
      </c>
      <c r="H48" s="78">
        <f t="shared" si="20"/>
        <v>611520</v>
      </c>
      <c r="I48" s="54">
        <f t="shared" si="21"/>
        <v>557654.34751823556</v>
      </c>
      <c r="J48" s="128">
        <f>(References!$C$49*I48)</f>
        <v>3114.4995308893454</v>
      </c>
      <c r="K48" s="128">
        <f>J48/References!$G$52</f>
        <v>3198.2948561196808</v>
      </c>
      <c r="L48" s="77">
        <f t="shared" si="22"/>
        <v>4.3932621649995616</v>
      </c>
      <c r="M48" s="113">
        <v>92.91</v>
      </c>
      <c r="N48" s="149">
        <f t="shared" si="1"/>
        <v>97.3</v>
      </c>
      <c r="O48" s="128">
        <f t="shared" si="23"/>
        <v>67638.48</v>
      </c>
      <c r="P48" s="128">
        <f t="shared" si="14"/>
        <v>70834.399999999994</v>
      </c>
      <c r="Q48" s="128">
        <f t="shared" si="24"/>
        <v>3195.9199999999983</v>
      </c>
      <c r="R48" s="138">
        <f t="shared" si="3"/>
        <v>4.7285137929174055E-2</v>
      </c>
    </row>
    <row r="49" spans="1:20" s="70" customFormat="1">
      <c r="A49" s="156"/>
      <c r="B49" s="55">
        <v>30</v>
      </c>
      <c r="C49" s="117" t="s">
        <v>121</v>
      </c>
      <c r="D49" s="67">
        <v>3</v>
      </c>
      <c r="E49" s="79">
        <f>+E48</f>
        <v>4.3330000000000002</v>
      </c>
      <c r="F49" s="121">
        <f t="shared" si="12"/>
        <v>156</v>
      </c>
      <c r="G49" s="118">
        <f>+G48</f>
        <v>840</v>
      </c>
      <c r="H49" s="78">
        <f t="shared" si="20"/>
        <v>131040</v>
      </c>
      <c r="I49" s="54">
        <f t="shared" si="21"/>
        <v>119497.36018247904</v>
      </c>
      <c r="J49" s="128">
        <f>(References!$C$49*I49)</f>
        <v>667.39275661914542</v>
      </c>
      <c r="K49" s="128">
        <f>J49/References!$G$52</f>
        <v>685.34889773993166</v>
      </c>
      <c r="L49" s="77">
        <f t="shared" si="22"/>
        <v>4.3932621649995616</v>
      </c>
      <c r="M49" s="113">
        <v>92.91</v>
      </c>
      <c r="N49" s="149">
        <f t="shared" si="1"/>
        <v>97.3</v>
      </c>
      <c r="O49" s="128">
        <f t="shared" si="23"/>
        <v>14493.96</v>
      </c>
      <c r="P49" s="128">
        <f t="shared" si="14"/>
        <v>15178.8</v>
      </c>
      <c r="Q49" s="128">
        <f t="shared" si="24"/>
        <v>684.84000000000015</v>
      </c>
      <c r="R49" s="138">
        <f t="shared" si="3"/>
        <v>4.7285137929174055E-2</v>
      </c>
    </row>
    <row r="50" spans="1:20" s="70" customFormat="1">
      <c r="A50" s="156"/>
      <c r="B50" s="55">
        <v>30</v>
      </c>
      <c r="C50" s="116" t="s">
        <v>142</v>
      </c>
      <c r="D50" s="67">
        <v>2</v>
      </c>
      <c r="E50" s="79">
        <v>1</v>
      </c>
      <c r="F50" s="121">
        <f t="shared" si="12"/>
        <v>24</v>
      </c>
      <c r="G50" s="118">
        <f>+References!B33</f>
        <v>980</v>
      </c>
      <c r="H50" s="78">
        <f t="shared" si="20"/>
        <v>23520</v>
      </c>
      <c r="I50" s="54">
        <f t="shared" si="21"/>
        <v>21448.244135316749</v>
      </c>
      <c r="J50" s="128">
        <f>(References!$C$49*I50)</f>
        <v>119.78844349574403</v>
      </c>
      <c r="K50" s="128">
        <f>J50/References!$G$52</f>
        <v>123.01134061998771</v>
      </c>
      <c r="L50" s="77">
        <f t="shared" si="22"/>
        <v>5.1254725258328211</v>
      </c>
      <c r="M50" s="113">
        <v>115.6</v>
      </c>
      <c r="N50" s="149">
        <f t="shared" si="1"/>
        <v>120.73</v>
      </c>
      <c r="O50" s="128">
        <f t="shared" si="23"/>
        <v>2774.3999999999996</v>
      </c>
      <c r="P50" s="128">
        <f t="shared" si="14"/>
        <v>2897.52</v>
      </c>
      <c r="Q50" s="128">
        <f t="shared" si="24"/>
        <v>123.12000000000035</v>
      </c>
      <c r="R50" s="138">
        <f t="shared" si="3"/>
        <v>4.4337997628311601E-2</v>
      </c>
    </row>
    <row r="51" spans="1:20" s="70" customFormat="1">
      <c r="A51" s="156"/>
      <c r="B51" s="55">
        <v>30</v>
      </c>
      <c r="C51" s="116" t="s">
        <v>143</v>
      </c>
      <c r="D51" s="67">
        <v>2</v>
      </c>
      <c r="E51" s="79">
        <f>+E42</f>
        <v>2.1667000000000001</v>
      </c>
      <c r="F51" s="121">
        <f t="shared" si="12"/>
        <v>52</v>
      </c>
      <c r="G51" s="118">
        <f>+G50</f>
        <v>980</v>
      </c>
      <c r="H51" s="78">
        <f t="shared" si="20"/>
        <v>50960</v>
      </c>
      <c r="I51" s="54">
        <f t="shared" si="21"/>
        <v>46471.195626519628</v>
      </c>
      <c r="J51" s="128">
        <f>(References!$C$49*I51)</f>
        <v>259.54162757411211</v>
      </c>
      <c r="K51" s="128">
        <f>J51/References!$G$52</f>
        <v>266.52457134330677</v>
      </c>
      <c r="L51" s="77">
        <f t="shared" si="22"/>
        <v>5.1254725258328229</v>
      </c>
      <c r="M51" s="113">
        <v>115.6</v>
      </c>
      <c r="N51" s="149">
        <f t="shared" si="1"/>
        <v>120.73</v>
      </c>
      <c r="O51" s="128">
        <f t="shared" si="23"/>
        <v>6011.2</v>
      </c>
      <c r="P51" s="128">
        <f t="shared" si="14"/>
        <v>6277.96</v>
      </c>
      <c r="Q51" s="128">
        <f t="shared" si="24"/>
        <v>266.76000000000022</v>
      </c>
      <c r="R51" s="138">
        <f t="shared" si="3"/>
        <v>4.4337997628311622E-2</v>
      </c>
    </row>
    <row r="52" spans="1:20" s="70" customFormat="1">
      <c r="A52" s="156"/>
      <c r="B52" s="55">
        <v>30</v>
      </c>
      <c r="C52" s="116" t="s">
        <v>122</v>
      </c>
      <c r="D52" s="67">
        <v>4</v>
      </c>
      <c r="E52" s="79">
        <f>+E49</f>
        <v>4.3330000000000002</v>
      </c>
      <c r="F52" s="121">
        <f t="shared" si="12"/>
        <v>208</v>
      </c>
      <c r="G52" s="118">
        <f>+G51</f>
        <v>980</v>
      </c>
      <c r="H52" s="78">
        <f t="shared" si="20"/>
        <v>203840</v>
      </c>
      <c r="I52" s="54">
        <f t="shared" si="21"/>
        <v>185884.78250607851</v>
      </c>
      <c r="J52" s="128">
        <f>(References!$C$49*I52)</f>
        <v>1038.1665102964485</v>
      </c>
      <c r="K52" s="128">
        <f>J52/References!$G$52</f>
        <v>1066.0982853732271</v>
      </c>
      <c r="L52" s="77">
        <f t="shared" si="22"/>
        <v>5.1254725258328229</v>
      </c>
      <c r="M52" s="113">
        <v>115.6</v>
      </c>
      <c r="N52" s="149">
        <f t="shared" si="1"/>
        <v>120.73</v>
      </c>
      <c r="O52" s="128">
        <f t="shared" si="23"/>
        <v>24044.799999999999</v>
      </c>
      <c r="P52" s="128">
        <f t="shared" si="14"/>
        <v>25111.84</v>
      </c>
      <c r="Q52" s="128">
        <f t="shared" si="24"/>
        <v>1067.0400000000009</v>
      </c>
      <c r="R52" s="138">
        <f t="shared" si="3"/>
        <v>4.4337997628311622E-2</v>
      </c>
    </row>
    <row r="53" spans="1:20" s="70" customFormat="1">
      <c r="A53" s="156"/>
      <c r="B53" s="55">
        <v>30</v>
      </c>
      <c r="C53" s="116" t="s">
        <v>123</v>
      </c>
      <c r="D53" s="67">
        <v>2</v>
      </c>
      <c r="E53" s="79">
        <f>+E47</f>
        <v>8.6660000000000004</v>
      </c>
      <c r="F53" s="121">
        <f t="shared" si="12"/>
        <v>208</v>
      </c>
      <c r="G53" s="118">
        <f>+G52</f>
        <v>980</v>
      </c>
      <c r="H53" s="78">
        <f t="shared" si="20"/>
        <v>203840</v>
      </c>
      <c r="I53" s="54">
        <f t="shared" si="21"/>
        <v>185884.78250607851</v>
      </c>
      <c r="J53" s="128">
        <f>(References!$C$49*I53)</f>
        <v>1038.1665102964485</v>
      </c>
      <c r="K53" s="128">
        <f>J53/References!$G$52</f>
        <v>1066.0982853732271</v>
      </c>
      <c r="L53" s="77">
        <f t="shared" si="22"/>
        <v>5.1254725258328229</v>
      </c>
      <c r="M53" s="113">
        <v>115.6</v>
      </c>
      <c r="N53" s="149">
        <f t="shared" si="1"/>
        <v>120.73</v>
      </c>
      <c r="O53" s="128">
        <f t="shared" si="23"/>
        <v>24044.799999999999</v>
      </c>
      <c r="P53" s="128">
        <f t="shared" si="14"/>
        <v>25111.84</v>
      </c>
      <c r="Q53" s="128">
        <f t="shared" si="24"/>
        <v>1067.0400000000009</v>
      </c>
      <c r="R53" s="138">
        <f t="shared" si="3"/>
        <v>4.4337997628311622E-2</v>
      </c>
    </row>
    <row r="54" spans="1:20" s="70" customFormat="1">
      <c r="A54" s="156"/>
      <c r="B54" s="55">
        <v>24</v>
      </c>
      <c r="C54" s="116" t="s">
        <v>124</v>
      </c>
      <c r="D54" s="67">
        <v>9</v>
      </c>
      <c r="E54" s="79">
        <v>1</v>
      </c>
      <c r="F54" s="121">
        <f t="shared" si="12"/>
        <v>108</v>
      </c>
      <c r="G54" s="118">
        <f>+References!B42</f>
        <v>125</v>
      </c>
      <c r="H54" s="78">
        <f t="shared" si="20"/>
        <v>13500</v>
      </c>
      <c r="I54" s="54">
        <f t="shared" si="21"/>
        <v>12310.854414403748</v>
      </c>
      <c r="J54" s="128">
        <f>(References!$C$49*I54)</f>
        <v>68.756121904444925</v>
      </c>
      <c r="K54" s="128">
        <f>J54/References!$G$52</f>
        <v>70.605999080350102</v>
      </c>
      <c r="L54" s="77">
        <f t="shared" si="22"/>
        <v>0.65375925074398245</v>
      </c>
      <c r="M54" s="113">
        <v>22.6</v>
      </c>
      <c r="N54" s="149">
        <f t="shared" si="1"/>
        <v>23.25</v>
      </c>
      <c r="O54" s="128">
        <f t="shared" si="23"/>
        <v>2440.8000000000002</v>
      </c>
      <c r="P54" s="128">
        <f t="shared" si="14"/>
        <v>2511</v>
      </c>
      <c r="Q54" s="128">
        <f t="shared" si="24"/>
        <v>70.199999999999818</v>
      </c>
      <c r="R54" s="138">
        <f t="shared" si="3"/>
        <v>2.8927400475397453E-2</v>
      </c>
    </row>
    <row r="55" spans="1:20" s="70" customFormat="1">
      <c r="A55" s="58"/>
      <c r="B55" s="56"/>
      <c r="C55" s="60" t="s">
        <v>15</v>
      </c>
      <c r="D55" s="61">
        <f>SUM(D18:D54)</f>
        <v>321</v>
      </c>
      <c r="E55" s="61"/>
      <c r="F55" s="61">
        <f>SUM(F18:F54)</f>
        <v>15062</v>
      </c>
      <c r="G55" s="61"/>
      <c r="H55" s="61">
        <f>SUM(H18:H54)</f>
        <v>5908350</v>
      </c>
      <c r="I55" s="65">
        <f>SUM(I18:I54)</f>
        <v>5387913.8280994343</v>
      </c>
      <c r="J55" s="129">
        <f>SUM(J18:J54)</f>
        <v>30091.498729935338</v>
      </c>
      <c r="K55" s="129">
        <f>SUM(K18:K54)</f>
        <v>30901.107753065677</v>
      </c>
      <c r="L55" s="83"/>
      <c r="M55" s="83"/>
      <c r="N55" s="83"/>
      <c r="O55" s="129">
        <f>SUM(O18:O54)</f>
        <v>684812.77999999991</v>
      </c>
      <c r="P55" s="83">
        <f>SUM(P18:P54)</f>
        <v>715709.72</v>
      </c>
      <c r="Q55" s="129">
        <f>SUM(Q18:Q54)</f>
        <v>30896.940000000021</v>
      </c>
      <c r="R55" s="139">
        <f>+K55/O55</f>
        <v>4.512343907055251E-2</v>
      </c>
      <c r="T55" s="150">
        <f>+I55/2000</f>
        <v>2693.9569140497169</v>
      </c>
    </row>
    <row r="56" spans="1:20">
      <c r="C56" s="73" t="s">
        <v>3</v>
      </c>
      <c r="D56" s="74">
        <f>D17+D55</f>
        <v>3581</v>
      </c>
      <c r="E56" s="74"/>
      <c r="F56" s="96">
        <f>F17+F55</f>
        <v>168278</v>
      </c>
      <c r="G56" s="74"/>
      <c r="H56" s="74">
        <f>H17+H55</f>
        <v>12498970</v>
      </c>
      <c r="I56" s="74">
        <f>I17+I55</f>
        <v>11398000</v>
      </c>
      <c r="J56" s="130">
        <f t="shared" ref="J56:K56" si="26">J17+J55</f>
        <v>63657.829999999987</v>
      </c>
      <c r="K56" s="130">
        <f t="shared" si="26"/>
        <v>65370.538098172117</v>
      </c>
      <c r="L56" s="85"/>
      <c r="M56" s="85"/>
      <c r="N56" s="85"/>
      <c r="O56" s="130">
        <f>O17+O55</f>
        <v>1348189.4599999997</v>
      </c>
      <c r="P56" s="130">
        <f>P17+P55</f>
        <v>1413626.72</v>
      </c>
      <c r="Q56" s="130">
        <f>Q17+Q55</f>
        <v>65437.260000000068</v>
      </c>
      <c r="R56" s="146">
        <f>+Q56/O56</f>
        <v>4.8537139579773958E-2</v>
      </c>
      <c r="T56" s="150">
        <f>+I56/2000</f>
        <v>5699</v>
      </c>
    </row>
    <row r="57" spans="1:20">
      <c r="J57" s="128"/>
    </row>
    <row r="58" spans="1:20">
      <c r="A58" s="72"/>
      <c r="C58" s="75"/>
    </row>
    <row r="59" spans="1:20">
      <c r="A59" s="72"/>
      <c r="C59" s="154" t="s">
        <v>80</v>
      </c>
      <c r="D59" s="154"/>
      <c r="E59" s="91"/>
      <c r="F59" s="91"/>
      <c r="H59" s="94" t="s">
        <v>88</v>
      </c>
    </row>
    <row r="60" spans="1:20">
      <c r="A60" s="72"/>
      <c r="D60" s="66" t="s">
        <v>15</v>
      </c>
      <c r="E60" s="44"/>
      <c r="F60" s="44"/>
      <c r="H60" s="92" t="s">
        <v>89</v>
      </c>
      <c r="O60" s="131"/>
      <c r="P60" s="47"/>
    </row>
    <row r="61" spans="1:20">
      <c r="A61" s="72"/>
      <c r="C61" s="68" t="s">
        <v>29</v>
      </c>
      <c r="D61" s="76">
        <f>+D70</f>
        <v>5699</v>
      </c>
      <c r="G61" s="51"/>
      <c r="H61" s="93" t="s">
        <v>90</v>
      </c>
      <c r="O61" s="131"/>
      <c r="P61" s="95"/>
    </row>
    <row r="62" spans="1:20">
      <c r="A62" s="72"/>
      <c r="C62" s="68" t="s">
        <v>30</v>
      </c>
      <c r="D62" s="42">
        <f>D61*2000</f>
        <v>11398000</v>
      </c>
      <c r="E62" s="42"/>
      <c r="F62" s="42"/>
      <c r="G62" s="42"/>
      <c r="H62" s="104" t="s">
        <v>92</v>
      </c>
      <c r="P62" s="95"/>
    </row>
    <row r="63" spans="1:20">
      <c r="A63" s="72"/>
      <c r="C63" s="68" t="s">
        <v>4</v>
      </c>
      <c r="D63" s="42">
        <f>F17+F55</f>
        <v>168278</v>
      </c>
      <c r="E63" s="67"/>
      <c r="F63" s="67"/>
      <c r="G63" s="67"/>
      <c r="H63" s="105" t="s">
        <v>93</v>
      </c>
      <c r="O63" s="131"/>
      <c r="P63" s="95"/>
    </row>
    <row r="64" spans="1:20">
      <c r="C64" s="48" t="s">
        <v>11</v>
      </c>
      <c r="D64" s="41">
        <f>D62/$H$56</f>
        <v>0.91191514180768496</v>
      </c>
      <c r="E64" s="41"/>
      <c r="F64" s="41"/>
      <c r="G64" s="41"/>
      <c r="H64" s="37"/>
      <c r="M64" s="46"/>
      <c r="N64" s="46"/>
      <c r="O64" s="132"/>
      <c r="P64" s="45"/>
    </row>
    <row r="65" spans="2:16">
      <c r="G65" s="50"/>
      <c r="H65" s="38"/>
      <c r="M65" s="49"/>
      <c r="N65" s="36"/>
      <c r="P65" s="37"/>
    </row>
    <row r="66" spans="2:16">
      <c r="D66" s="40"/>
      <c r="E66" s="39"/>
      <c r="G66" s="50"/>
      <c r="H66" s="38"/>
      <c r="M66" s="49"/>
      <c r="N66" s="36"/>
      <c r="P66" s="37"/>
    </row>
    <row r="67" spans="2:16">
      <c r="B67" s="140" t="s">
        <v>126</v>
      </c>
      <c r="D67" s="40"/>
      <c r="E67" s="39"/>
      <c r="G67" s="50"/>
      <c r="H67" s="38"/>
      <c r="M67" s="49"/>
      <c r="N67" s="36"/>
      <c r="P67" s="37"/>
    </row>
    <row r="68" spans="2:16">
      <c r="C68" s="68" t="s">
        <v>12</v>
      </c>
      <c r="D68" s="67">
        <v>1936</v>
      </c>
      <c r="I68" s="68"/>
    </row>
    <row r="69" spans="2:16" ht="17.25">
      <c r="C69" s="68" t="s">
        <v>13</v>
      </c>
      <c r="D69" s="122">
        <v>3763</v>
      </c>
      <c r="E69" s="47"/>
      <c r="I69" s="68"/>
    </row>
    <row r="70" spans="2:16" ht="17.25">
      <c r="D70" s="123">
        <f>SUM(D68:D69)</f>
        <v>5699</v>
      </c>
      <c r="I70" s="68"/>
    </row>
    <row r="71" spans="2:16">
      <c r="D71" s="68"/>
      <c r="I71" s="68"/>
    </row>
    <row r="72" spans="2:16" ht="17.25">
      <c r="C72" s="68" t="s">
        <v>144</v>
      </c>
      <c r="D72" s="122">
        <v>2561</v>
      </c>
    </row>
    <row r="74" spans="2:16" ht="17.25">
      <c r="D74" s="141">
        <f>+D72+D70</f>
        <v>8260</v>
      </c>
    </row>
  </sheetData>
  <mergeCells count="3">
    <mergeCell ref="C59:D59"/>
    <mergeCell ref="A2:A14"/>
    <mergeCell ref="A18:A54"/>
  </mergeCells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2020-04-22T07:00:00+00:00</OpenedDate>
    <SignificantOrder xmlns="dc463f71-b30c-4ab2-9473-d307f9d35888">false</SignificantOrder>
    <Date1 xmlns="dc463f71-b30c-4ab2-9473-d307f9d35888">2020-04-22T07:00:00+00:00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200371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6DACCFE549854EB83714105F611BDE" ma:contentTypeVersion="52" ma:contentTypeDescription="" ma:contentTypeScope="" ma:versionID="bb58a86a934d97b5993d0e9c21c9a7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B232F-ECE8-4483-9CBD-52CC00352728}"/>
</file>

<file path=customXml/itemProps4.xml><?xml version="1.0" encoding="utf-8"?>
<ds:datastoreItem xmlns:ds="http://schemas.openxmlformats.org/officeDocument/2006/customXml" ds:itemID="{4D6FF45E-D588-4716-9F3C-2C36BBD67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2016-06-27T17:35:33Z</cp:lastPrinted>
  <dcterms:created xsi:type="dcterms:W3CDTF">2013-10-29T22:33:54Z</dcterms:created>
  <dcterms:modified xsi:type="dcterms:W3CDTF">2020-04-22T21:21:27Z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0x0101006E56B4D1795A2E4DB2F0B01679ED314A002A6DACCFE549854EB83714105F611BDE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