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0-09 Electric Schedule 140 - Property Tax Tracker (UE-20xxxx) (Eff. 05-1-20)\Workpapers\"/>
    </mc:Choice>
  </mc:AlternateContent>
  <bookViews>
    <workbookView xWindow="-15" yWindow="105" windowWidth="14520" windowHeight="12690" tabRatio="960"/>
  </bookViews>
  <sheets>
    <sheet name="2020 Rev Req Estimate" sheetId="28" r:id="rId1"/>
    <sheet name="2019 FINAL Rev Req " sheetId="39" r:id="rId2"/>
    <sheet name="Est Pmt due Apr&amp;Oct 2020" sheetId="29" r:id="rId3"/>
    <sheet name="Electric summary" sheetId="42" r:id="rId4"/>
    <sheet name="Gas summary" sheetId="43" r:id="rId5"/>
    <sheet name="Elec Load Variance 2019" sheetId="38" r:id="rId6"/>
    <sheet name="Gas Load Variance 2019" sheetId="44" r:id="rId7"/>
    <sheet name="E Conv Fctr" sheetId="11" r:id="rId8"/>
    <sheet name="G Conv Fctr" sheetId="12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62913"/>
</workbook>
</file>

<file path=xl/calcChain.xml><?xml version="1.0" encoding="utf-8"?>
<calcChain xmlns="http://schemas.openxmlformats.org/spreadsheetml/2006/main">
  <c r="E21" i="39" l="1"/>
  <c r="D21" i="39"/>
  <c r="D6" i="39"/>
  <c r="I19" i="39" l="1"/>
  <c r="H19" i="39"/>
  <c r="J19" i="39" s="1"/>
  <c r="I9" i="39"/>
  <c r="H9" i="39"/>
  <c r="I6" i="39"/>
  <c r="H6" i="39"/>
  <c r="I5" i="39"/>
  <c r="H5" i="39"/>
  <c r="E26" i="39"/>
  <c r="I26" i="39" s="1"/>
  <c r="D26" i="39"/>
  <c r="H26" i="39" s="1"/>
  <c r="J26" i="39" s="1"/>
  <c r="E25" i="39"/>
  <c r="E27" i="39" s="1"/>
  <c r="D25" i="39"/>
  <c r="D27" i="39" s="1"/>
  <c r="E18" i="39"/>
  <c r="D18" i="39"/>
  <c r="F18" i="39" s="1"/>
  <c r="E11" i="39"/>
  <c r="I11" i="39" s="1"/>
  <c r="I12" i="39" s="1"/>
  <c r="D11" i="39"/>
  <c r="H11" i="39" s="1"/>
  <c r="E10" i="39"/>
  <c r="I10" i="39" s="1"/>
  <c r="D10" i="39"/>
  <c r="F10" i="39" s="1"/>
  <c r="E9" i="39"/>
  <c r="D9" i="39"/>
  <c r="E6" i="39"/>
  <c r="F9" i="39"/>
  <c r="F11" i="39"/>
  <c r="F19" i="39"/>
  <c r="F21" i="39"/>
  <c r="A25" i="39"/>
  <c r="A26" i="39" s="1"/>
  <c r="A27" i="39" s="1"/>
  <c r="A30" i="39" s="1"/>
  <c r="A31" i="39" s="1"/>
  <c r="A32" i="39" s="1"/>
  <c r="A33" i="39" s="1"/>
  <c r="F25" i="39"/>
  <c r="F26" i="39"/>
  <c r="H12" i="39" l="1"/>
  <c r="J11" i="39"/>
  <c r="D28" i="39"/>
  <c r="F27" i="39"/>
  <c r="I25" i="39"/>
  <c r="I27" i="39" s="1"/>
  <c r="I28" i="39" s="1"/>
  <c r="I15" i="39"/>
  <c r="I18" i="39" s="1"/>
  <c r="I21" i="39" s="1"/>
  <c r="H13" i="39"/>
  <c r="J13" i="39" s="1"/>
  <c r="D13" i="39"/>
  <c r="D15" i="39" s="1"/>
  <c r="H10" i="39"/>
  <c r="J10" i="39" s="1"/>
  <c r="E13" i="39"/>
  <c r="E15" i="39" s="1"/>
  <c r="I13" i="39"/>
  <c r="H25" i="39"/>
  <c r="J25" i="39" s="1"/>
  <c r="J9" i="39"/>
  <c r="J6" i="39"/>
  <c r="E28" i="39"/>
  <c r="F13" i="39"/>
  <c r="F28" i="39" s="1"/>
  <c r="F6" i="39"/>
  <c r="I30" i="39" l="1"/>
  <c r="I31" i="39" s="1"/>
  <c r="H27" i="39"/>
  <c r="H15" i="39"/>
  <c r="F15" i="39"/>
  <c r="H28" i="39"/>
  <c r="J27" i="39"/>
  <c r="J28" i="39" s="1"/>
  <c r="H30" i="39"/>
  <c r="H31" i="39" s="1"/>
  <c r="H18" i="39" l="1"/>
  <c r="J15" i="39"/>
  <c r="D115" i="29"/>
  <c r="H21" i="39" l="1"/>
  <c r="J21" i="39" s="1"/>
  <c r="J18" i="39"/>
  <c r="L23" i="29"/>
  <c r="H19" i="29"/>
  <c r="H18" i="29"/>
  <c r="H17" i="29"/>
  <c r="E13" i="29"/>
  <c r="E15" i="29" s="1"/>
  <c r="B8" i="29"/>
  <c r="H10" i="29"/>
  <c r="H13" i="29" s="1"/>
  <c r="E10" i="29"/>
  <c r="D10" i="29"/>
  <c r="C10" i="29"/>
  <c r="C13" i="29" s="1"/>
  <c r="B10" i="29"/>
  <c r="B13" i="29" s="1"/>
  <c r="H11" i="29"/>
  <c r="H7" i="29"/>
  <c r="H6" i="29"/>
  <c r="E18" i="29"/>
  <c r="E11" i="29"/>
  <c r="D13" i="29"/>
  <c r="D11" i="29"/>
  <c r="C11" i="29"/>
  <c r="E7" i="29"/>
  <c r="E6" i="29"/>
  <c r="D6" i="29"/>
  <c r="C6" i="29"/>
  <c r="B19" i="29"/>
  <c r="B18" i="29"/>
  <c r="B17" i="29"/>
  <c r="B11" i="29"/>
  <c r="B7" i="29"/>
  <c r="B6" i="29"/>
  <c r="L23" i="44" l="1"/>
  <c r="J23" i="44"/>
  <c r="I23" i="44"/>
  <c r="K23" i="44" s="1"/>
  <c r="M23" i="44" s="1"/>
  <c r="F23" i="44"/>
  <c r="D23" i="44"/>
  <c r="C23" i="44"/>
  <c r="E23" i="44" s="1"/>
  <c r="G23" i="44" s="1"/>
  <c r="M22" i="44"/>
  <c r="L22" i="44"/>
  <c r="G22" i="44"/>
  <c r="F22" i="44"/>
  <c r="L19" i="44"/>
  <c r="K19" i="44"/>
  <c r="M19" i="44" s="1"/>
  <c r="J19" i="44"/>
  <c r="I19" i="44"/>
  <c r="F19" i="44"/>
  <c r="D19" i="44"/>
  <c r="C19" i="44"/>
  <c r="E19" i="44" s="1"/>
  <c r="G19" i="44" s="1"/>
  <c r="L18" i="44"/>
  <c r="J18" i="44"/>
  <c r="K18" i="44" s="1"/>
  <c r="M18" i="44" s="1"/>
  <c r="I18" i="44"/>
  <c r="F18" i="44"/>
  <c r="E18" i="44"/>
  <c r="G18" i="44" s="1"/>
  <c r="D18" i="44"/>
  <c r="C18" i="44"/>
  <c r="L17" i="44"/>
  <c r="J17" i="44"/>
  <c r="I17" i="44"/>
  <c r="K17" i="44" s="1"/>
  <c r="M17" i="44" s="1"/>
  <c r="F17" i="44"/>
  <c r="D17" i="44"/>
  <c r="E17" i="44" s="1"/>
  <c r="G17" i="44" s="1"/>
  <c r="C17" i="44"/>
  <c r="L16" i="44"/>
  <c r="J16" i="44"/>
  <c r="I16" i="44"/>
  <c r="K16" i="44" s="1"/>
  <c r="M16" i="44" s="1"/>
  <c r="F16" i="44"/>
  <c r="D16" i="44"/>
  <c r="C16" i="44"/>
  <c r="E16" i="44" s="1"/>
  <c r="G16" i="44" s="1"/>
  <c r="O16" i="44" s="1"/>
  <c r="L15" i="44"/>
  <c r="K15" i="44"/>
  <c r="M15" i="44" s="1"/>
  <c r="J15" i="44"/>
  <c r="I15" i="44"/>
  <c r="F15" i="44"/>
  <c r="D15" i="44"/>
  <c r="C15" i="44"/>
  <c r="E15" i="44" s="1"/>
  <c r="G15" i="44" s="1"/>
  <c r="O15" i="44" s="1"/>
  <c r="L14" i="44"/>
  <c r="J14" i="44"/>
  <c r="K14" i="44" s="1"/>
  <c r="M14" i="44" s="1"/>
  <c r="I14" i="44"/>
  <c r="F14" i="44"/>
  <c r="E14" i="44"/>
  <c r="G14" i="44" s="1"/>
  <c r="O14" i="44" s="1"/>
  <c r="D14" i="44"/>
  <c r="C14" i="44"/>
  <c r="L13" i="44"/>
  <c r="J13" i="44"/>
  <c r="I13" i="44"/>
  <c r="K13" i="44" s="1"/>
  <c r="M13" i="44" s="1"/>
  <c r="F13" i="44"/>
  <c r="D13" i="44"/>
  <c r="E13" i="44" s="1"/>
  <c r="G13" i="44" s="1"/>
  <c r="O13" i="44" s="1"/>
  <c r="C13" i="44"/>
  <c r="L12" i="44"/>
  <c r="J12" i="44"/>
  <c r="I12" i="44"/>
  <c r="K12" i="44" s="1"/>
  <c r="M12" i="44" s="1"/>
  <c r="F12" i="44"/>
  <c r="D12" i="44"/>
  <c r="C12" i="44"/>
  <c r="E12" i="44" s="1"/>
  <c r="G12" i="44" s="1"/>
  <c r="L11" i="44"/>
  <c r="K11" i="44"/>
  <c r="M11" i="44" s="1"/>
  <c r="J11" i="44"/>
  <c r="I11" i="44"/>
  <c r="F11" i="44"/>
  <c r="D11" i="44"/>
  <c r="C11" i="44"/>
  <c r="E11" i="44" s="1"/>
  <c r="G11" i="44" s="1"/>
  <c r="L10" i="44"/>
  <c r="J10" i="44"/>
  <c r="K10" i="44" s="1"/>
  <c r="M10" i="44" s="1"/>
  <c r="I10" i="44"/>
  <c r="F10" i="44"/>
  <c r="E10" i="44"/>
  <c r="G10" i="44" s="1"/>
  <c r="D10" i="44"/>
  <c r="C10" i="44"/>
  <c r="L9" i="44"/>
  <c r="J9" i="44"/>
  <c r="I9" i="44"/>
  <c r="I20" i="44" s="1"/>
  <c r="I21" i="44" s="1"/>
  <c r="F9" i="44"/>
  <c r="D9" i="44"/>
  <c r="E9" i="44" s="1"/>
  <c r="G9" i="44" s="1"/>
  <c r="C9" i="44"/>
  <c r="L8" i="44"/>
  <c r="J8" i="44"/>
  <c r="I8" i="44"/>
  <c r="K8" i="44" s="1"/>
  <c r="M8" i="44" s="1"/>
  <c r="F8" i="44"/>
  <c r="D8" i="44"/>
  <c r="C8" i="44"/>
  <c r="E8" i="44" s="1"/>
  <c r="G8" i="44" s="1"/>
  <c r="O8" i="44" s="1"/>
  <c r="L7" i="44"/>
  <c r="K7" i="44"/>
  <c r="J7" i="44"/>
  <c r="J20" i="44" s="1"/>
  <c r="I7" i="44"/>
  <c r="F7" i="44"/>
  <c r="D7" i="44"/>
  <c r="D20" i="44" s="1"/>
  <c r="D21" i="44" s="1"/>
  <c r="C7" i="44"/>
  <c r="E7" i="44" s="1"/>
  <c r="G7" i="44" l="1"/>
  <c r="E20" i="44"/>
  <c r="K20" i="44"/>
  <c r="O10" i="44"/>
  <c r="O12" i="44"/>
  <c r="O18" i="44"/>
  <c r="O23" i="44"/>
  <c r="O9" i="44"/>
  <c r="O11" i="44"/>
  <c r="O17" i="44"/>
  <c r="O19" i="44"/>
  <c r="C20" i="44"/>
  <c r="C21" i="44" s="1"/>
  <c r="M7" i="44"/>
  <c r="K9" i="44"/>
  <c r="M9" i="44" s="1"/>
  <c r="H20" i="43"/>
  <c r="H19" i="43"/>
  <c r="H18" i="43"/>
  <c r="H17" i="43"/>
  <c r="H16" i="43"/>
  <c r="H15" i="43"/>
  <c r="H14" i="43"/>
  <c r="H13" i="43"/>
  <c r="H12" i="43"/>
  <c r="H11" i="43"/>
  <c r="H10" i="43"/>
  <c r="H9" i="43"/>
  <c r="G8" i="43"/>
  <c r="L8" i="43"/>
  <c r="I1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P40" i="43"/>
  <c r="P39" i="43"/>
  <c r="P38" i="43"/>
  <c r="P37" i="43"/>
  <c r="P36" i="43"/>
  <c r="P35" i="43"/>
  <c r="P34" i="43"/>
  <c r="P33" i="43"/>
  <c r="P32" i="43"/>
  <c r="P31" i="43"/>
  <c r="P30" i="43"/>
  <c r="P29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B46" i="42"/>
  <c r="B47" i="42" s="1"/>
  <c r="L8" i="42"/>
  <c r="P40" i="42"/>
  <c r="P39" i="42"/>
  <c r="P38" i="42"/>
  <c r="P37" i="42"/>
  <c r="P36" i="42"/>
  <c r="P35" i="42"/>
  <c r="P34" i="42"/>
  <c r="P33" i="42"/>
  <c r="P32" i="42"/>
  <c r="P31" i="42"/>
  <c r="P30" i="42"/>
  <c r="P29" i="42"/>
  <c r="O40" i="42"/>
  <c r="O39" i="42"/>
  <c r="O38" i="42"/>
  <c r="O37" i="42"/>
  <c r="O36" i="42"/>
  <c r="O35" i="42"/>
  <c r="O34" i="42"/>
  <c r="O33" i="42"/>
  <c r="O32" i="42"/>
  <c r="O31" i="42"/>
  <c r="O30" i="42"/>
  <c r="O29" i="42"/>
  <c r="N40" i="42"/>
  <c r="N39" i="42"/>
  <c r="N38" i="42"/>
  <c r="N37" i="42"/>
  <c r="N36" i="42"/>
  <c r="N35" i="42"/>
  <c r="N34" i="42"/>
  <c r="N33" i="42"/>
  <c r="N32" i="42"/>
  <c r="N31" i="42"/>
  <c r="N30" i="42"/>
  <c r="N29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I20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G8" i="42"/>
  <c r="I1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M20" i="44" l="1"/>
  <c r="G20" i="44"/>
  <c r="O7" i="44"/>
  <c r="O20" i="44" s="1"/>
  <c r="O26" i="44" s="1"/>
  <c r="M33" i="38"/>
  <c r="M31" i="38"/>
  <c r="M28" i="38"/>
  <c r="M27" i="38"/>
  <c r="M24" i="38"/>
  <c r="M21" i="38"/>
  <c r="M20" i="38"/>
  <c r="M19" i="38"/>
  <c r="M15" i="38"/>
  <c r="M14" i="38"/>
  <c r="M13" i="38"/>
  <c r="M12" i="38"/>
  <c r="M8" i="38"/>
  <c r="K33" i="38"/>
  <c r="J33" i="38"/>
  <c r="K31" i="38"/>
  <c r="J31" i="38"/>
  <c r="K28" i="38"/>
  <c r="J28" i="38"/>
  <c r="K27" i="38"/>
  <c r="K29" i="38" s="1"/>
  <c r="J27" i="38"/>
  <c r="K24" i="38"/>
  <c r="J24" i="38"/>
  <c r="L24" i="38" s="1"/>
  <c r="N24" i="38" s="1"/>
  <c r="K21" i="38"/>
  <c r="J21" i="38"/>
  <c r="K20" i="38"/>
  <c r="J20" i="38"/>
  <c r="K19" i="38"/>
  <c r="K22" i="38" s="1"/>
  <c r="J19" i="38"/>
  <c r="K15" i="38"/>
  <c r="J15" i="38"/>
  <c r="L15" i="38" s="1"/>
  <c r="N15" i="38" s="1"/>
  <c r="K14" i="38"/>
  <c r="J14" i="38"/>
  <c r="K13" i="38"/>
  <c r="J13" i="38"/>
  <c r="L13" i="38" s="1"/>
  <c r="N13" i="38" s="1"/>
  <c r="K12" i="38"/>
  <c r="J12" i="38"/>
  <c r="K8" i="38"/>
  <c r="J8" i="38"/>
  <c r="J9" i="38" s="1"/>
  <c r="G33" i="38"/>
  <c r="H33" i="38" s="1"/>
  <c r="G31" i="38"/>
  <c r="G28" i="38"/>
  <c r="G27" i="38"/>
  <c r="G24" i="38"/>
  <c r="H24" i="38" s="1"/>
  <c r="G21" i="38"/>
  <c r="G20" i="38"/>
  <c r="G19" i="38"/>
  <c r="G15" i="38"/>
  <c r="H15" i="38" s="1"/>
  <c r="G14" i="38"/>
  <c r="H14" i="38" s="1"/>
  <c r="G13" i="38"/>
  <c r="G12" i="38"/>
  <c r="G8" i="38"/>
  <c r="E24" i="38"/>
  <c r="D24" i="38"/>
  <c r="E33" i="38"/>
  <c r="F33" i="38" s="1"/>
  <c r="D33" i="38"/>
  <c r="E31" i="38"/>
  <c r="D31" i="38"/>
  <c r="F31" i="38" s="1"/>
  <c r="H31" i="38" s="1"/>
  <c r="E28" i="38"/>
  <c r="F28" i="38" s="1"/>
  <c r="H28" i="38" s="1"/>
  <c r="D28" i="38"/>
  <c r="E27" i="38"/>
  <c r="D27" i="38"/>
  <c r="F27" i="38" s="1"/>
  <c r="E21" i="38"/>
  <c r="F21" i="38" s="1"/>
  <c r="H21" i="38" s="1"/>
  <c r="D21" i="38"/>
  <c r="E20" i="38"/>
  <c r="D20" i="38"/>
  <c r="D22" i="38" s="1"/>
  <c r="E19" i="38"/>
  <c r="F19" i="38" s="1"/>
  <c r="D19" i="38"/>
  <c r="E15" i="38"/>
  <c r="D15" i="38"/>
  <c r="F15" i="38" s="1"/>
  <c r="E14" i="38"/>
  <c r="D14" i="38"/>
  <c r="E13" i="38"/>
  <c r="D13" i="38"/>
  <c r="F13" i="38" s="1"/>
  <c r="H13" i="38" s="1"/>
  <c r="E12" i="38"/>
  <c r="E16" i="38" s="1"/>
  <c r="D12" i="38"/>
  <c r="E8" i="38"/>
  <c r="E9" i="38" s="1"/>
  <c r="D8" i="38"/>
  <c r="L8" i="38"/>
  <c r="L9" i="38" s="1"/>
  <c r="A9" i="38"/>
  <c r="K9" i="38"/>
  <c r="A10" i="38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F14" i="38"/>
  <c r="K16" i="38"/>
  <c r="L20" i="38"/>
  <c r="N20" i="38"/>
  <c r="J22" i="38"/>
  <c r="F24" i="38"/>
  <c r="L28" i="38"/>
  <c r="N28" i="38" s="1"/>
  <c r="E29" i="38"/>
  <c r="L33" i="38"/>
  <c r="N33" i="38" s="1"/>
  <c r="H19" i="38" l="1"/>
  <c r="E22" i="38"/>
  <c r="E35" i="38" s="1"/>
  <c r="L19" i="38"/>
  <c r="L22" i="38" s="1"/>
  <c r="H27" i="38"/>
  <c r="F12" i="38"/>
  <c r="H12" i="38" s="1"/>
  <c r="L12" i="38"/>
  <c r="N12" i="38" s="1"/>
  <c r="N16" i="38" s="1"/>
  <c r="L14" i="38"/>
  <c r="N14" i="38" s="1"/>
  <c r="P14" i="38" s="1"/>
  <c r="L21" i="38"/>
  <c r="N21" i="38" s="1"/>
  <c r="L27" i="38"/>
  <c r="L31" i="38"/>
  <c r="N31" i="38" s="1"/>
  <c r="N19" i="38"/>
  <c r="P19" i="38" s="1"/>
  <c r="N27" i="38"/>
  <c r="P13" i="38"/>
  <c r="J29" i="38"/>
  <c r="P24" i="38"/>
  <c r="J16" i="38"/>
  <c r="P15" i="38"/>
  <c r="K35" i="38"/>
  <c r="N29" i="38"/>
  <c r="N8" i="38"/>
  <c r="N9" i="38" s="1"/>
  <c r="P31" i="38"/>
  <c r="P21" i="38"/>
  <c r="D29" i="38"/>
  <c r="F20" i="38"/>
  <c r="F16" i="38"/>
  <c r="D16" i="38"/>
  <c r="F8" i="38"/>
  <c r="H8" i="38" s="1"/>
  <c r="H9" i="38" s="1"/>
  <c r="D9" i="38"/>
  <c r="D35" i="38" s="1"/>
  <c r="P33" i="38"/>
  <c r="P28" i="38"/>
  <c r="H29" i="38"/>
  <c r="P27" i="38"/>
  <c r="L29" i="38"/>
  <c r="F29" i="38"/>
  <c r="P12" i="38" l="1"/>
  <c r="P16" i="38" s="1"/>
  <c r="H16" i="38"/>
  <c r="F9" i="38"/>
  <c r="H20" i="38"/>
  <c r="H22" i="38" s="1"/>
  <c r="N22" i="38"/>
  <c r="N35" i="38" s="1"/>
  <c r="L16" i="38"/>
  <c r="L35" i="38" s="1"/>
  <c r="J35" i="38"/>
  <c r="P8" i="38"/>
  <c r="P9" i="38" s="1"/>
  <c r="P29" i="38"/>
  <c r="F22" i="38"/>
  <c r="H35" i="38"/>
  <c r="F35" i="38" l="1"/>
  <c r="P20" i="38"/>
  <c r="P22" i="38" s="1"/>
  <c r="P35" i="38" s="1"/>
  <c r="H26" i="29" l="1"/>
  <c r="L54" i="29" l="1"/>
  <c r="H54" i="29"/>
  <c r="I25" i="29" l="1"/>
  <c r="D116" i="29"/>
  <c r="L55" i="29"/>
  <c r="D26" i="29" s="1"/>
  <c r="H55" i="29"/>
  <c r="C26" i="29" s="1"/>
  <c r="H15" i="29"/>
  <c r="D53" i="29"/>
  <c r="D54" i="29" s="1"/>
  <c r="D15" i="29"/>
  <c r="C15" i="29"/>
  <c r="C23" i="29" s="1"/>
  <c r="B15" i="29"/>
  <c r="D8" i="29"/>
  <c r="C8" i="29"/>
  <c r="H22" i="29" l="1"/>
  <c r="B22" i="29"/>
  <c r="D55" i="29"/>
  <c r="B26" i="29" s="1"/>
  <c r="E8" i="29"/>
  <c r="H8" i="29"/>
  <c r="E22" i="29"/>
  <c r="F8" i="29" l="1"/>
  <c r="I5" i="28"/>
  <c r="E11" i="28" s="1"/>
  <c r="I11" i="28" s="1"/>
  <c r="I12" i="28" s="1"/>
  <c r="H5" i="28"/>
  <c r="F20" i="29" l="1"/>
  <c r="F21" i="29"/>
  <c r="J21" i="29" s="1"/>
  <c r="J8" i="29" l="1"/>
  <c r="B40" i="43" l="1"/>
  <c r="B39" i="43"/>
  <c r="B38" i="43"/>
  <c r="B37" i="43"/>
  <c r="B36" i="43"/>
  <c r="B35" i="43"/>
  <c r="B34" i="43"/>
  <c r="B33" i="43"/>
  <c r="F33" i="43"/>
  <c r="B32" i="43"/>
  <c r="B31" i="43"/>
  <c r="B30" i="43"/>
  <c r="E29" i="43"/>
  <c r="B29" i="43"/>
  <c r="C29" i="43" s="1"/>
  <c r="F29" i="43"/>
  <c r="D29" i="43"/>
  <c r="D30" i="43" s="1"/>
  <c r="I22" i="43"/>
  <c r="F34" i="43"/>
  <c r="J13" i="43"/>
  <c r="K13" i="43" s="1"/>
  <c r="K9" i="43"/>
  <c r="F33" i="42"/>
  <c r="F29" i="42"/>
  <c r="C29" i="42"/>
  <c r="I22" i="42"/>
  <c r="J13" i="42"/>
  <c r="F32" i="42"/>
  <c r="F31" i="42"/>
  <c r="F30" i="42"/>
  <c r="D9" i="42"/>
  <c r="K9" i="42"/>
  <c r="L9" i="42" s="1"/>
  <c r="K12" i="42" l="1"/>
  <c r="K10" i="42"/>
  <c r="K10" i="43"/>
  <c r="J22" i="43"/>
  <c r="D10" i="42"/>
  <c r="D11" i="42" s="1"/>
  <c r="D12" i="42" s="1"/>
  <c r="D13" i="42"/>
  <c r="C30" i="43"/>
  <c r="C31" i="43" s="1"/>
  <c r="C32" i="43" s="1"/>
  <c r="K11" i="43"/>
  <c r="F31" i="43"/>
  <c r="E30" i="43"/>
  <c r="E31" i="43" s="1"/>
  <c r="G29" i="43"/>
  <c r="C9" i="43" s="1"/>
  <c r="F9" i="43" s="1"/>
  <c r="G9" i="43" s="1"/>
  <c r="D31" i="43"/>
  <c r="D32" i="43" s="1"/>
  <c r="L9" i="43"/>
  <c r="E13" i="43"/>
  <c r="K14" i="43"/>
  <c r="F30" i="43"/>
  <c r="G29" i="42"/>
  <c r="C30" i="42"/>
  <c r="K11" i="42"/>
  <c r="L10" i="42"/>
  <c r="L11" i="42" s="1"/>
  <c r="L12" i="42" s="1"/>
  <c r="J22" i="42"/>
  <c r="K13" i="42"/>
  <c r="E13" i="42"/>
  <c r="F34" i="42"/>
  <c r="K14" i="42"/>
  <c r="L10" i="43" l="1"/>
  <c r="L11" i="43" s="1"/>
  <c r="D14" i="42"/>
  <c r="D15" i="42" s="1"/>
  <c r="G30" i="43"/>
  <c r="C10" i="43" s="1"/>
  <c r="F10" i="43" s="1"/>
  <c r="G10" i="43" s="1"/>
  <c r="D33" i="43"/>
  <c r="K17" i="43"/>
  <c r="F37" i="43"/>
  <c r="C33" i="43"/>
  <c r="E32" i="43"/>
  <c r="F32" i="43"/>
  <c r="K12" i="43"/>
  <c r="L12" i="43"/>
  <c r="L13" i="43" s="1"/>
  <c r="L14" i="43" s="1"/>
  <c r="F35" i="43"/>
  <c r="K15" i="43"/>
  <c r="G31" i="43"/>
  <c r="C11" i="43" s="1"/>
  <c r="F11" i="43" s="1"/>
  <c r="G30" i="42"/>
  <c r="C10" i="42" s="1"/>
  <c r="F10" i="42" s="1"/>
  <c r="F35" i="42"/>
  <c r="K15" i="42"/>
  <c r="L13" i="42"/>
  <c r="L14" i="42" s="1"/>
  <c r="C9" i="42"/>
  <c r="F9" i="42" s="1"/>
  <c r="G9" i="42" s="1"/>
  <c r="C31" i="42"/>
  <c r="L15" i="42" l="1"/>
  <c r="G11" i="43"/>
  <c r="D16" i="42"/>
  <c r="D17" i="42" s="1"/>
  <c r="D34" i="43"/>
  <c r="F36" i="43"/>
  <c r="K16" i="43"/>
  <c r="L15" i="43"/>
  <c r="L16" i="43" s="1"/>
  <c r="L17" i="43" s="1"/>
  <c r="G32" i="43"/>
  <c r="C12" i="43" s="1"/>
  <c r="F12" i="43" s="1"/>
  <c r="E33" i="43"/>
  <c r="F38" i="43"/>
  <c r="K18" i="43"/>
  <c r="C34" i="43"/>
  <c r="G31" i="42"/>
  <c r="C11" i="42" s="1"/>
  <c r="F11" i="42" s="1"/>
  <c r="C32" i="42"/>
  <c r="G32" i="42" s="1"/>
  <c r="C12" i="42" s="1"/>
  <c r="F12" i="42" s="1"/>
  <c r="G10" i="42"/>
  <c r="K16" i="42"/>
  <c r="F36" i="42"/>
  <c r="L18" i="43" l="1"/>
  <c r="L16" i="42"/>
  <c r="D18" i="42"/>
  <c r="D19" i="42" s="1"/>
  <c r="D20" i="42" s="1"/>
  <c r="G12" i="43"/>
  <c r="D35" i="43"/>
  <c r="D36" i="43" s="1"/>
  <c r="D37" i="43" s="1"/>
  <c r="C35" i="43"/>
  <c r="E34" i="43"/>
  <c r="G33" i="43"/>
  <c r="C13" i="43" s="1"/>
  <c r="F13" i="43" s="1"/>
  <c r="G13" i="43" s="1"/>
  <c r="F39" i="43"/>
  <c r="K19" i="43"/>
  <c r="L19" i="43" s="1"/>
  <c r="K17" i="42"/>
  <c r="L17" i="42" s="1"/>
  <c r="F37" i="42"/>
  <c r="C33" i="42"/>
  <c r="C34" i="42" s="1"/>
  <c r="G11" i="42"/>
  <c r="G12" i="42" s="1"/>
  <c r="D38" i="43" l="1"/>
  <c r="D39" i="43" s="1"/>
  <c r="D40" i="43" s="1"/>
  <c r="F40" i="43"/>
  <c r="K20" i="43"/>
  <c r="K22" i="43" s="1"/>
  <c r="H22" i="43"/>
  <c r="C36" i="43"/>
  <c r="G34" i="43"/>
  <c r="C14" i="43" s="1"/>
  <c r="F14" i="43" s="1"/>
  <c r="G14" i="43" s="1"/>
  <c r="E35" i="43"/>
  <c r="G35" i="43" s="1"/>
  <c r="C15" i="43" s="1"/>
  <c r="F15" i="43" s="1"/>
  <c r="D42" i="42"/>
  <c r="G34" i="42"/>
  <c r="C14" i="42" s="1"/>
  <c r="F14" i="42" s="1"/>
  <c r="F38" i="42"/>
  <c r="K18" i="42"/>
  <c r="L18" i="42" s="1"/>
  <c r="G33" i="42"/>
  <c r="C35" i="42"/>
  <c r="G15" i="43" l="1"/>
  <c r="L20" i="43"/>
  <c r="E36" i="43"/>
  <c r="E37" i="43" s="1"/>
  <c r="E38" i="43" s="1"/>
  <c r="E39" i="43" s="1"/>
  <c r="E40" i="43" s="1"/>
  <c r="C37" i="43"/>
  <c r="E42" i="42"/>
  <c r="G35" i="42"/>
  <c r="C15" i="42" s="1"/>
  <c r="F15" i="42" s="1"/>
  <c r="C36" i="42"/>
  <c r="F39" i="42"/>
  <c r="K19" i="42"/>
  <c r="L19" i="42" s="1"/>
  <c r="H22" i="42"/>
  <c r="C13" i="42"/>
  <c r="F13" i="42" s="1"/>
  <c r="G13" i="42" s="1"/>
  <c r="G14" i="42" s="1"/>
  <c r="G36" i="43" l="1"/>
  <c r="C16" i="43" s="1"/>
  <c r="F16" i="43" s="1"/>
  <c r="G16" i="43" s="1"/>
  <c r="G37" i="43"/>
  <c r="C17" i="43" s="1"/>
  <c r="F17" i="43" s="1"/>
  <c r="C38" i="43"/>
  <c r="G36" i="42"/>
  <c r="C37" i="42"/>
  <c r="K20" i="42"/>
  <c r="K22" i="42" s="1"/>
  <c r="F40" i="42"/>
  <c r="F42" i="42" s="1"/>
  <c r="G15" i="42"/>
  <c r="G17" i="43" l="1"/>
  <c r="G38" i="43"/>
  <c r="C18" i="43" s="1"/>
  <c r="F18" i="43" s="1"/>
  <c r="C39" i="43"/>
  <c r="G37" i="42"/>
  <c r="C17" i="42" s="1"/>
  <c r="F17" i="42" s="1"/>
  <c r="C38" i="42"/>
  <c r="C16" i="42"/>
  <c r="F16" i="42" s="1"/>
  <c r="G16" i="42" s="1"/>
  <c r="L20" i="42"/>
  <c r="G18" i="43" l="1"/>
  <c r="G39" i="43"/>
  <c r="C19" i="43" s="1"/>
  <c r="F19" i="43" s="1"/>
  <c r="C40" i="43"/>
  <c r="G40" i="43" s="1"/>
  <c r="C20" i="43" s="1"/>
  <c r="F20" i="43" s="1"/>
  <c r="G38" i="42"/>
  <c r="C18" i="42" s="1"/>
  <c r="F18" i="42" s="1"/>
  <c r="C39" i="42"/>
  <c r="G17" i="42"/>
  <c r="G19" i="43" l="1"/>
  <c r="G20" i="43" s="1"/>
  <c r="E19" i="28" s="1"/>
  <c r="G39" i="42"/>
  <c r="C19" i="42" s="1"/>
  <c r="F19" i="42" s="1"/>
  <c r="C40" i="42"/>
  <c r="G18" i="42"/>
  <c r="G40" i="42" l="1"/>
  <c r="C42" i="42"/>
  <c r="G19" i="42"/>
  <c r="C20" i="42" l="1"/>
  <c r="F20" i="42" s="1"/>
  <c r="G20" i="42" s="1"/>
  <c r="D19" i="28" s="1"/>
  <c r="G42" i="42"/>
  <c r="E26" i="28" l="1"/>
  <c r="I26" i="28" s="1"/>
  <c r="H19" i="28" l="1"/>
  <c r="D11" i="28"/>
  <c r="H11" i="28" l="1"/>
  <c r="H12" i="28" s="1"/>
  <c r="D26" i="28"/>
  <c r="H26" i="28" s="1"/>
  <c r="I19" i="28"/>
  <c r="E6" i="28"/>
  <c r="I6" i="28" l="1"/>
  <c r="E10" i="28"/>
  <c r="I10" i="28" l="1"/>
  <c r="D6" i="28" l="1"/>
  <c r="H6" i="28" l="1"/>
  <c r="D10" i="28"/>
  <c r="H10" i="28" l="1"/>
  <c r="J20" i="29" l="1"/>
  <c r="F18" i="29"/>
  <c r="F17" i="29"/>
  <c r="F14" i="29"/>
  <c r="J14" i="29" s="1"/>
  <c r="D23" i="29"/>
  <c r="D25" i="29" s="1"/>
  <c r="C25" i="29"/>
  <c r="F9" i="29"/>
  <c r="F10" i="29" s="1"/>
  <c r="J9" i="29" l="1"/>
  <c r="J10" i="29"/>
  <c r="B23" i="29"/>
  <c r="B25" i="29" s="1"/>
  <c r="F6" i="29"/>
  <c r="J6" i="29" s="1"/>
  <c r="J18" i="29"/>
  <c r="F19" i="29"/>
  <c r="J19" i="29" s="1"/>
  <c r="J17" i="29"/>
  <c r="H23" i="29"/>
  <c r="D117" i="29" s="1"/>
  <c r="E9" i="28" l="1"/>
  <c r="E25" i="28" s="1"/>
  <c r="I25" i="28" s="1"/>
  <c r="H25" i="29"/>
  <c r="F22" i="29"/>
  <c r="J22" i="29"/>
  <c r="E13" i="28" l="1"/>
  <c r="E15" i="28" s="1"/>
  <c r="E18" i="28" s="1"/>
  <c r="E21" i="28" s="1"/>
  <c r="I9" i="28"/>
  <c r="I13" i="28" s="1"/>
  <c r="I15" i="28" s="1"/>
  <c r="I18" i="28" s="1"/>
  <c r="I21" i="28" s="1"/>
  <c r="E27" i="28"/>
  <c r="I27" i="28"/>
  <c r="E28" i="28" l="1"/>
  <c r="I30" i="28"/>
  <c r="I31" i="28" s="1"/>
  <c r="I28" i="28"/>
  <c r="B13" i="12" l="1"/>
  <c r="B15" i="11"/>
  <c r="F19" i="28" l="1"/>
  <c r="A25" i="28"/>
  <c r="A26" i="28" s="1"/>
  <c r="A27" i="28" s="1"/>
  <c r="A30" i="28" s="1"/>
  <c r="A31" i="28" s="1"/>
  <c r="A32" i="28" s="1"/>
  <c r="A33" i="28" s="1"/>
  <c r="F11" i="28"/>
  <c r="F26" i="28" l="1"/>
  <c r="J19" i="28" l="1"/>
  <c r="J11" i="28"/>
  <c r="J26" i="28"/>
  <c r="F6" i="28" l="1"/>
  <c r="F10" i="28" l="1"/>
  <c r="J6" i="28"/>
  <c r="J10" i="28" l="1"/>
  <c r="F13" i="29" l="1"/>
  <c r="E23" i="29"/>
  <c r="F23" i="29" l="1"/>
  <c r="F25" i="29" s="1"/>
  <c r="E25" i="29"/>
  <c r="F15" i="29"/>
  <c r="J13" i="29"/>
  <c r="J15" i="29" s="1"/>
  <c r="D9" i="28"/>
  <c r="J23" i="29" l="1"/>
  <c r="D13" i="28"/>
  <c r="D25" i="28"/>
  <c r="H9" i="28"/>
  <c r="F9" i="28"/>
  <c r="J25" i="29" l="1"/>
  <c r="M23" i="29"/>
  <c r="H13" i="28"/>
  <c r="J9" i="28"/>
  <c r="F25" i="28"/>
  <c r="D27" i="28"/>
  <c r="H25" i="28"/>
  <c r="F13" i="28"/>
  <c r="D15" i="28"/>
  <c r="D18" i="28" l="1"/>
  <c r="F15" i="28"/>
  <c r="J25" i="28"/>
  <c r="H27" i="28"/>
  <c r="J13" i="28"/>
  <c r="H15" i="28"/>
  <c r="F27" i="28"/>
  <c r="F28" i="28" s="1"/>
  <c r="D28" i="28"/>
  <c r="J15" i="28" l="1"/>
  <c r="H18" i="28"/>
  <c r="H28" i="28"/>
  <c r="J27" i="28"/>
  <c r="J28" i="28" s="1"/>
  <c r="H30" i="28"/>
  <c r="H31" i="28" s="1"/>
  <c r="F18" i="28"/>
  <c r="D21" i="28"/>
  <c r="F21" i="28" s="1"/>
  <c r="J18" i="28" l="1"/>
  <c r="H21" i="28"/>
  <c r="J21" i="28" s="1"/>
  <c r="J83" i="29"/>
  <c r="J85" i="29" s="1"/>
  <c r="D86" i="29" s="1"/>
  <c r="D87" i="29" s="1"/>
  <c r="E26" i="29" s="1"/>
</calcChain>
</file>

<file path=xl/comments1.xml><?xml version="1.0" encoding="utf-8"?>
<comments xmlns="http://schemas.openxmlformats.org/spreadsheetml/2006/main">
  <authors>
    <author>Paul Schmidt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2018 Property Tax Filing prorated for 4 months.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Paul Schmidt:</t>
        </r>
        <r>
          <rPr>
            <sz val="9"/>
            <color indexed="81"/>
            <rFont val="Tahoma"/>
            <family val="2"/>
          </rPr>
          <t xml:space="preserve">
Rentals forecast from 2019 Property Tax Filing prorated for 8 months.</t>
        </r>
      </text>
    </comment>
  </commentList>
</comments>
</file>

<file path=xl/sharedStrings.xml><?xml version="1.0" encoding="utf-8"?>
<sst xmlns="http://schemas.openxmlformats.org/spreadsheetml/2006/main" count="430" uniqueCount="235">
  <si>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</si>
  <si>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</si>
  <si>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</si>
  <si>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</si>
  <si>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</si>
  <si>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</si>
  <si>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</si>
  <si>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</si>
  <si>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</si>
  <si>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</si>
  <si>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</si>
  <si>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</si>
  <si>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</si>
  <si>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</si>
  <si>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PUGET SOUND ENERGY-ELECTRIC</t>
  </si>
  <si>
    <t>CONVERSION FACTOR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</si>
  <si>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</si>
  <si>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</si>
  <si>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</si>
  <si>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</si>
  <si>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</si>
  <si>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</si>
  <si>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</si>
  <si>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PUGET SOUND ENERGY-GAS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</si>
  <si>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</si>
  <si>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</si>
  <si>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</si>
  <si>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</si>
  <si>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</si>
  <si>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</si>
  <si>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</si>
  <si>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>= 10 - 9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</si>
  <si>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</si>
  <si>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</si>
  <si>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</si>
  <si>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</si>
  <si>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</si>
  <si>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</si>
  <si>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</si>
  <si>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</si>
  <si>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</si>
  <si>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</si>
  <si>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Jan-Apr  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</si>
  <si>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</si>
  <si>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</si>
  <si>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</si>
  <si>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</si>
  <si>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</si>
  <si>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</si>
  <si>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</si>
  <si>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</si>
  <si>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</si>
  <si>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Subtotal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</si>
  <si>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</si>
  <si>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</si>
  <si>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</si>
  <si>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</si>
  <si>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</si>
  <si>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</si>
  <si>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</si>
  <si>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</si>
  <si>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</si>
  <si>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</si>
  <si>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</si>
  <si>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</si>
  <si>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</si>
  <si>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</si>
  <si>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</si>
  <si>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Campus Rate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</si>
  <si>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</si>
  <si>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</si>
  <si>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</si>
  <si>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</si>
  <si>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</si>
  <si>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</si>
  <si>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</si>
  <si>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</si>
  <si>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Rental Schedules</t>
  </si>
  <si>
    <t>Surface Water Management Fees</t>
  </si>
  <si>
    <t>Estimated Centrally Assessed Taxes</t>
  </si>
  <si>
    <t>--</t>
  </si>
  <si>
    <t>Washington</t>
  </si>
  <si>
    <t>Combined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</si>
  <si>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</si>
  <si>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</si>
  <si>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</si>
  <si>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</si>
  <si>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</si>
  <si>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</si>
  <si>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</si>
  <si>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</si>
  <si>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</si>
  <si>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</si>
  <si>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</si>
  <si>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</si>
  <si>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</si>
  <si>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</si>
  <si>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</si>
  <si>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</si>
  <si>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</si>
  <si>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</si>
  <si>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</si>
  <si>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</si>
  <si>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</si>
  <si>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</si>
  <si>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</si>
  <si>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</si>
  <si>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</si>
  <si>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</si>
  <si>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</si>
  <si>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</si>
  <si>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</si>
  <si>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</si>
  <si>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</si>
  <si>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</si>
  <si>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</si>
  <si>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</si>
  <si>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</si>
  <si>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</si>
  <si>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</si>
  <si>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</si>
  <si>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</si>
  <si>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</si>
  <si>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</si>
  <si>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</si>
  <si>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</si>
  <si>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</si>
  <si>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</si>
  <si>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</si>
  <si>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Less Property Taxes on Non-Utility Property</t>
  </si>
  <si>
    <t>Add Locally Assessed Taxes</t>
  </si>
  <si>
    <t>Add Additional Centrally Assessed Taxes</t>
  </si>
  <si>
    <t>May-Dec Variance</t>
  </si>
  <si>
    <t>&lt;==Check Load</t>
  </si>
  <si>
    <t>Revenue Requirement Increase / (Decrease)</t>
  </si>
  <si>
    <t>CONVERSION FACTOR - ELECTRIC</t>
  </si>
  <si>
    <t>FOR THE TWELVE MONTHS ENDED SEPTEMBER 30, 2016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</si>
  <si>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</si>
  <si>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</si>
  <si>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</si>
  <si>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Difference from Actual Number Collected</t>
  </si>
  <si>
    <t>total</t>
  </si>
  <si>
    <t>2017 GRC</t>
  </si>
  <si>
    <t>PSE Compliance Filing</t>
  </si>
  <si>
    <t>GENERAL RATE CASE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</si>
  <si>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</si>
  <si>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</si>
  <si>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</si>
  <si>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</si>
  <si>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</si>
  <si>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</si>
  <si>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</si>
  <si>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</si>
  <si>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</si>
  <si>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</si>
  <si>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</si>
  <si>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</si>
  <si>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</si>
  <si>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</si>
  <si>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</si>
  <si>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</si>
  <si>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</si>
  <si>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Variance (Rentals)</t>
  </si>
  <si>
    <t>71,72 &amp; 74</t>
  </si>
  <si>
    <t>Property Tax Variance Calculation</t>
  </si>
  <si>
    <t>Revenue Requirement from 2018 Filing</t>
  </si>
  <si>
    <t>Cash Payment expected to be made 2019</t>
  </si>
  <si>
    <t>True-up for 2018 Load Variance</t>
  </si>
  <si>
    <t>= 7 - 9</t>
  </si>
  <si>
    <t>Step 1:</t>
  </si>
  <si>
    <t>Updated by Property Tax</t>
  </si>
  <si>
    <t>YTD</t>
  </si>
  <si>
    <t>relink cells</t>
  </si>
  <si>
    <t>MT Late entry</t>
  </si>
  <si>
    <t>CHECK&gt;&gt;&gt;&gt;</t>
  </si>
  <si>
    <t>Gas Schedule 140 Property Tax Tracker</t>
  </si>
  <si>
    <t>Revenue Variance</t>
  </si>
  <si>
    <t>Schedule 140 Rates Effective May 1, 2018</t>
  </si>
  <si>
    <t>16 &amp; 23</t>
  </si>
  <si>
    <t>Less Non-Utility</t>
  </si>
  <si>
    <t>Total Payable</t>
  </si>
  <si>
    <t>Check</t>
  </si>
  <si>
    <t>Washington (Electric)</t>
  </si>
  <si>
    <t>Oregon 1st half (Electric)</t>
  </si>
  <si>
    <t>Oregon 2nd half (Electric)</t>
  </si>
  <si>
    <t>Montana (Electric)</t>
  </si>
  <si>
    <t>Washington (Gas)</t>
  </si>
  <si>
    <t>Plus Amounts Already Paid</t>
  </si>
  <si>
    <t>Year End Accrual used for initial PTT Filing</t>
  </si>
  <si>
    <t>See Reconciliation&gt;&gt;&gt;</t>
  </si>
  <si>
    <t>Actual payment</t>
  </si>
  <si>
    <r>
      <t>Deferral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</si>
  <si>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Represents 1) the difference between the base property taxes set in rates and the amount that is being accrued toward for the next year's payment and 2) load variances.</t>
    </r>
  </si>
  <si>
    <t>January 2019 - December 2019</t>
  </si>
  <si>
    <t>Jan - Apr 2019 (Actual Therms)</t>
  </si>
  <si>
    <t>Jan - Apr 2019 Variance ($)</t>
  </si>
  <si>
    <t>May - Dec 2019 (Actual Therms)</t>
  </si>
  <si>
    <t>Schedule 140 Rates Effective May 1, 2019</t>
  </si>
  <si>
    <t>May - Dec 2019 Variance ($)</t>
  </si>
  <si>
    <t>Jan - Apr 2019 (Forecasted Rentals)</t>
  </si>
  <si>
    <t>Jan - Apr 2019 (Actual Rentals)</t>
  </si>
  <si>
    <t>May - Dec 2019 (Forecasted Rentals)</t>
  </si>
  <si>
    <t>May - Dec 2019 (Actual Rentals)</t>
  </si>
  <si>
    <t>Actual Delivered January 2019 to April 2019</t>
  </si>
  <si>
    <t>Actual 8 Months ended December 2019</t>
  </si>
  <si>
    <t>F2018 Projected January 2019 to April 2019</t>
  </si>
  <si>
    <t>F2018 Projected 8 Months ended December 2019</t>
  </si>
  <si>
    <t>year 2019</t>
  </si>
  <si>
    <r>
      <t xml:space="preserve">Property Tax Revenue Requirement - </t>
    </r>
    <r>
      <rPr>
        <b/>
        <sz val="14"/>
        <color rgb="FFFF0000"/>
        <rFont val="Calibri"/>
        <family val="2"/>
      </rPr>
      <t>Preliminary</t>
    </r>
    <r>
      <rPr>
        <b/>
        <sz val="14"/>
        <color theme="1"/>
        <rFont val="Calibri"/>
        <family val="2"/>
        <scheme val="minor"/>
      </rPr>
      <t xml:space="preserve"> Filing - March, 2020</t>
    </r>
  </si>
  <si>
    <t>Property Tax Revenue Requirement - Final April, 2019</t>
  </si>
  <si>
    <t>Property Tracker Charge Effective 
5-1-18</t>
  </si>
  <si>
    <t>Property Tracker Charge Effective 5-1-19</t>
  </si>
  <si>
    <t>agrees to ending bal :</t>
  </si>
  <si>
    <t>Non-oper</t>
  </si>
  <si>
    <t>MT</t>
  </si>
  <si>
    <t>OR</t>
  </si>
  <si>
    <t>agrees to ending bal</t>
  </si>
  <si>
    <t>agrees to ending bal in 23600232</t>
  </si>
  <si>
    <t>Jan - Apr 2019 (F2017 Forecasted Therms)</t>
  </si>
  <si>
    <t>May - Dec 2019 (F2018 Forecasted Therms)</t>
  </si>
  <si>
    <t>check</t>
  </si>
  <si>
    <t>Revenue Requirement from 2019 Filing</t>
  </si>
  <si>
    <t>True-up for 2019 Load Variance</t>
  </si>
  <si>
    <t>Estimated Property Taxes on 1-1-2019 Property to be Paid in April and October of 2020</t>
  </si>
  <si>
    <r>
      <t xml:space="preserve">TOTAL EST'D </t>
    </r>
    <r>
      <rPr>
        <sz val="10"/>
        <color indexed="10"/>
        <rFont val="Arial"/>
        <family val="2"/>
      </rPr>
      <t>19-20</t>
    </r>
    <r>
      <rPr>
        <sz val="10"/>
        <rFont val="Arial"/>
        <family val="2"/>
      </rPr>
      <t xml:space="preserve"> PROPERTY TAX</t>
    </r>
  </si>
  <si>
    <t>Est 1-1-19 DOR Value</t>
  </si>
  <si>
    <t>EST'D 1-1-19 ASSESSED VALUE</t>
  </si>
  <si>
    <t>1-1-18 AVERAGE SYSTEM RATIO (18-19 rates)</t>
  </si>
  <si>
    <t>2019 True up booked in January 2020</t>
  </si>
  <si>
    <t>Payable at 12/31/2019</t>
  </si>
  <si>
    <t>2019 related booked in 2020</t>
  </si>
  <si>
    <t>True-up made in 2020</t>
  </si>
  <si>
    <t>EST'D 1-1-18 LEVY RATE(18-19 rates)</t>
  </si>
  <si>
    <t>PLNG</t>
  </si>
  <si>
    <t>Cash Payment expected to be made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</si>
</sst>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0.00000%"/>
    <numFmt numFmtId="169" formatCode="0.0%"/>
    <numFmt numFmtId="170" formatCode="0.000%"/>
    <numFmt numFmtId="171" formatCode="&quot;PAGE&quot;\ 0.00"/>
    <numFmt numFmtId="172" formatCode="_(&quot;$&quot;* #,##0.000000_);_(&quot;$&quot;* \(#,##0.000000\);_(&quot;$&quot;* &quot;-&quot;??_);_(@_)"/>
    <numFmt numFmtId="173" formatCode="_(&quot;$&quot;* #,##0.00000_);_(&quot;$&quot;* \(#,##0.00000\);_(&quot;$&quot;* &quot;-&quot;??_);_(@_)"/>
    <numFmt numFmtId="174" formatCode="_(* #,##0.000_);_(* \(#,##0.000\);_(* &quot;-&quot;???_);_(@_)"/>
    <numFmt numFmtId="175" formatCode="&quot;Adj.&quot;\ 0.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General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56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8"/>
      <name val="Helv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500EA"/>
      <name val="Calibri"/>
      <family val="2"/>
      <scheme val="minor"/>
    </font>
    <font>
      <b/>
      <sz val="12"/>
      <color rgb="FFD6009E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F0"/>
      <name val="Calibri"/>
      <family val="2"/>
      <scheme val="minor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sz val="11"/>
      <color rgb="FF0000FF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3" borderId="0" applyNumberFormat="0" applyBorder="0" applyAlignment="0" applyProtection="0"/>
    <xf numFmtId="0" fontId="30" fillId="7" borderId="0" applyNumberFormat="0" applyBorder="0" applyAlignment="0" applyProtection="0"/>
    <xf numFmtId="0" fontId="31" fillId="24" borderId="43" applyNumberFormat="0" applyAlignment="0" applyProtection="0"/>
    <xf numFmtId="0" fontId="32" fillId="25" borderId="44" applyNumberFormat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6" fillId="0" borderId="45" applyNumberFormat="0" applyFill="0" applyAlignment="0" applyProtection="0"/>
    <xf numFmtId="0" fontId="37" fillId="0" borderId="46" applyNumberFormat="0" applyFill="0" applyAlignment="0" applyProtection="0"/>
    <xf numFmtId="0" fontId="38" fillId="0" borderId="47" applyNumberFormat="0" applyFill="0" applyAlignment="0" applyProtection="0"/>
    <xf numFmtId="0" fontId="38" fillId="0" borderId="0" applyNumberFormat="0" applyFill="0" applyBorder="0" applyAlignment="0" applyProtection="0"/>
    <xf numFmtId="0" fontId="39" fillId="11" borderId="43" applyNumberFormat="0" applyAlignment="0" applyProtection="0"/>
    <xf numFmtId="0" fontId="40" fillId="0" borderId="48" applyNumberFormat="0" applyFill="0" applyAlignment="0" applyProtection="0"/>
    <xf numFmtId="0" fontId="41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8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7" borderId="49" applyNumberFormat="0" applyFont="0" applyAlignment="0" applyProtection="0"/>
    <xf numFmtId="0" fontId="28" fillId="27" borderId="49" applyNumberFormat="0" applyFont="0" applyAlignment="0" applyProtection="0"/>
    <xf numFmtId="0" fontId="42" fillId="24" borderId="5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51" applyNumberFormat="0" applyFill="0" applyAlignment="0" applyProtection="0"/>
    <xf numFmtId="0" fontId="45" fillId="0" borderId="0" applyNumberForma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" fillId="0" borderId="0"/>
    <xf numFmtId="178" fontId="3" fillId="0" borderId="0"/>
    <xf numFmtId="0" fontId="3" fillId="0" borderId="0"/>
    <xf numFmtId="9" fontId="3" fillId="0" borderId="0" applyFont="0" applyFill="0" applyBorder="0" applyAlignment="0" applyProtection="0"/>
  </cellStyleXfs>
  <cellXfs count="366">
    <xf numFmtId="0" fontId="0" fillId="0" borderId="0" xfId="0"/>
    <xf numFmtId="164" fontId="0" fillId="0" borderId="0" xfId="1" applyNumberFormat="1" applyFont="1" applyFill="1"/>
    <xf numFmtId="42" fontId="0" fillId="0" borderId="0" xfId="0" applyNumberFormat="1"/>
    <xf numFmtId="41" fontId="0" fillId="0" borderId="0" xfId="0" applyNumberFormat="1"/>
    <xf numFmtId="0" fontId="0" fillId="0" borderId="0" xfId="0" applyAlignment="1">
      <alignment horizontal="left" indent="1"/>
    </xf>
    <xf numFmtId="0" fontId="0" fillId="0" borderId="4" xfId="0" applyBorder="1" applyAlignment="1">
      <alignment horizontal="center"/>
    </xf>
    <xf numFmtId="42" fontId="0" fillId="0" borderId="2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0" applyNumberFormat="1" applyFill="1"/>
    <xf numFmtId="0" fontId="7" fillId="0" borderId="0" xfId="0" applyNumberFormat="1" applyFont="1" applyFill="1" applyAlignment="1"/>
    <xf numFmtId="171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protection locked="0"/>
    </xf>
    <xf numFmtId="0" fontId="7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9" fontId="8" fillId="0" borderId="0" xfId="0" applyNumberFormat="1" applyFont="1" applyFill="1" applyAlignment="1"/>
    <xf numFmtId="166" fontId="7" fillId="0" borderId="3" xfId="0" applyNumberFormat="1" applyFont="1" applyFill="1" applyBorder="1" applyAlignment="1" applyProtection="1">
      <protection locked="0"/>
    </xf>
    <xf numFmtId="166" fontId="8" fillId="0" borderId="0" xfId="0" applyNumberFormat="1" applyFont="1" applyFill="1" applyAlignment="1">
      <alignment horizontal="left"/>
    </xf>
    <xf numFmtId="170" fontId="8" fillId="0" borderId="4" xfId="0" applyNumberFormat="1" applyFont="1" applyFill="1" applyBorder="1" applyAlignment="1"/>
    <xf numFmtId="168" fontId="8" fillId="0" borderId="0" xfId="0" applyNumberFormat="1" applyFont="1" applyFill="1"/>
    <xf numFmtId="168" fontId="8" fillId="0" borderId="0" xfId="0" applyNumberFormat="1" applyFont="1" applyFill="1" applyAlignment="1"/>
    <xf numFmtId="168" fontId="9" fillId="0" borderId="0" xfId="0" applyNumberFormat="1" applyFont="1" applyFill="1"/>
    <xf numFmtId="167" fontId="8" fillId="0" borderId="0" xfId="0" applyNumberFormat="1" applyFont="1" applyFill="1"/>
    <xf numFmtId="9" fontId="9" fillId="0" borderId="0" xfId="0" applyNumberFormat="1" applyFont="1" applyFill="1"/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13" fillId="0" borderId="0" xfId="0" applyFont="1"/>
    <xf numFmtId="41" fontId="13" fillId="0" borderId="0" xfId="0" applyNumberFormat="1" applyFont="1"/>
    <xf numFmtId="164" fontId="13" fillId="0" borderId="0" xfId="0" applyNumberFormat="1" applyFont="1"/>
    <xf numFmtId="10" fontId="0" fillId="0" borderId="0" xfId="0" applyNumberFormat="1" applyFont="1" applyAlignment="1">
      <alignment horizontal="center"/>
    </xf>
    <xf numFmtId="0" fontId="14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 inden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17" fontId="0" fillId="0" borderId="4" xfId="0" quotePrefix="1" applyNumberFormat="1" applyFill="1" applyBorder="1" applyAlignment="1">
      <alignment horizontal="center" wrapText="1"/>
    </xf>
    <xf numFmtId="41" fontId="1" fillId="0" borderId="0" xfId="0" applyNumberFormat="1" applyFont="1"/>
    <xf numFmtId="0" fontId="0" fillId="0" borderId="0" xfId="0" applyBorder="1" applyAlignment="1">
      <alignment horizontal="center"/>
    </xf>
    <xf numFmtId="42" fontId="0" fillId="0" borderId="0" xfId="0" applyNumberFormat="1" applyFill="1"/>
    <xf numFmtId="0" fontId="0" fillId="0" borderId="1" xfId="0" applyFill="1" applyBorder="1"/>
    <xf numFmtId="42" fontId="0" fillId="0" borderId="3" xfId="0" applyNumberFormat="1" applyFill="1" applyBorder="1"/>
    <xf numFmtId="0" fontId="0" fillId="0" borderId="0" xfId="0" applyAlignment="1">
      <alignment horizontal="center"/>
    </xf>
    <xf numFmtId="42" fontId="1" fillId="0" borderId="17" xfId="0" applyNumberFormat="1" applyFont="1" applyBorder="1"/>
    <xf numFmtId="42" fontId="1" fillId="0" borderId="18" xfId="0" applyNumberFormat="1" applyFont="1" applyBorder="1"/>
    <xf numFmtId="42" fontId="1" fillId="0" borderId="7" xfId="0" applyNumberFormat="1" applyFont="1" applyBorder="1"/>
    <xf numFmtId="0" fontId="0" fillId="0" borderId="2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2" fontId="0" fillId="4" borderId="3" xfId="0" applyNumberFormat="1" applyFill="1" applyBorder="1"/>
    <xf numFmtId="41" fontId="13" fillId="0" borderId="0" xfId="0" applyNumberFormat="1" applyFont="1" applyFill="1"/>
    <xf numFmtId="169" fontId="0" fillId="0" borderId="0" xfId="0" applyNumberFormat="1" applyFont="1"/>
    <xf numFmtId="0" fontId="3" fillId="0" borderId="0" xfId="0" applyFont="1"/>
    <xf numFmtId="167" fontId="8" fillId="0" borderId="0" xfId="0" applyNumberFormat="1" applyFont="1" applyFill="1" applyAlignment="1"/>
    <xf numFmtId="166" fontId="8" fillId="0" borderId="0" xfId="0" applyNumberFormat="1" applyFont="1" applyFill="1" applyAlignment="1"/>
    <xf numFmtId="166" fontId="8" fillId="0" borderId="4" xfId="0" applyNumberFormat="1" applyFont="1" applyFill="1" applyBorder="1" applyAlignment="1"/>
    <xf numFmtId="166" fontId="8" fillId="0" borderId="0" xfId="0" applyNumberFormat="1" applyFont="1" applyFill="1" applyBorder="1" applyAlignment="1"/>
    <xf numFmtId="166" fontId="7" fillId="0" borderId="2" xfId="0" applyNumberFormat="1" applyFont="1" applyFill="1" applyBorder="1" applyAlignment="1" applyProtection="1">
      <protection locked="0"/>
    </xf>
    <xf numFmtId="42" fontId="1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2" fillId="0" borderId="22" xfId="0" applyFont="1" applyBorder="1"/>
    <xf numFmtId="42" fontId="2" fillId="0" borderId="17" xfId="0" applyNumberFormat="1" applyFont="1" applyBorder="1"/>
    <xf numFmtId="0" fontId="2" fillId="3" borderId="29" xfId="0" applyFont="1" applyFill="1" applyBorder="1" applyAlignment="1">
      <alignment horizontal="center"/>
    </xf>
    <xf numFmtId="0" fontId="0" fillId="0" borderId="0" xfId="0" applyFill="1" applyBorder="1"/>
    <xf numFmtId="164" fontId="8" fillId="0" borderId="0" xfId="0" quotePrefix="1" applyNumberFormat="1" applyFont="1" applyFill="1" applyAlignment="1">
      <alignment horizontal="left"/>
    </xf>
    <xf numFmtId="172" fontId="0" fillId="0" borderId="0" xfId="0" applyNumberFormat="1" applyFont="1" applyFill="1" applyAlignment="1">
      <alignment horizontal="right"/>
    </xf>
    <xf numFmtId="165" fontId="8" fillId="0" borderId="0" xfId="0" quotePrefix="1" applyNumberFormat="1" applyFont="1" applyFill="1" applyAlignment="1">
      <alignment horizontal="left"/>
    </xf>
    <xf numFmtId="164" fontId="8" fillId="0" borderId="6" xfId="0" applyNumberFormat="1" applyFont="1" applyFill="1" applyBorder="1"/>
    <xf numFmtId="165" fontId="8" fillId="0" borderId="6" xfId="0" applyNumberFormat="1" applyFont="1" applyFill="1" applyBorder="1"/>
    <xf numFmtId="165" fontId="8" fillId="0" borderId="0" xfId="0" applyNumberFormat="1" applyFont="1" applyFill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5" fontId="8" fillId="0" borderId="0" xfId="0" applyNumberFormat="1" applyFont="1" applyFill="1"/>
    <xf numFmtId="164" fontId="8" fillId="0" borderId="2" xfId="0" applyNumberFormat="1" applyFont="1" applyFill="1" applyBorder="1"/>
    <xf numFmtId="165" fontId="8" fillId="0" borderId="2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2" fontId="2" fillId="0" borderId="0" xfId="0" applyNumberFormat="1" applyFont="1" applyFill="1" applyBorder="1"/>
    <xf numFmtId="10" fontId="2" fillId="0" borderId="0" xfId="0" applyNumberFormat="1" applyFont="1" applyFill="1" applyBorder="1"/>
    <xf numFmtId="174" fontId="21" fillId="0" borderId="0" xfId="0" applyNumberFormat="1" applyFont="1" applyFill="1" applyBorder="1"/>
    <xf numFmtId="41" fontId="2" fillId="0" borderId="0" xfId="0" applyNumberFormat="1" applyFont="1" applyFill="1" applyBorder="1"/>
    <xf numFmtId="41" fontId="1" fillId="0" borderId="0" xfId="0" applyNumberFormat="1" applyFont="1" applyFill="1" applyBorder="1"/>
    <xf numFmtId="41" fontId="0" fillId="0" borderId="0" xfId="0" applyNumberFormat="1" applyFill="1" applyBorder="1"/>
    <xf numFmtId="42" fontId="2" fillId="0" borderId="0" xfId="0" applyNumberFormat="1" applyFont="1" applyFill="1" applyBorder="1"/>
    <xf numFmtId="10" fontId="2" fillId="0" borderId="0" xfId="0" quotePrefix="1" applyNumberFormat="1" applyFont="1" applyFill="1" applyBorder="1" applyAlignment="1">
      <alignment horizontal="right"/>
    </xf>
    <xf numFmtId="10" fontId="21" fillId="0" borderId="0" xfId="0" quotePrefix="1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centerContinuous"/>
    </xf>
    <xf numFmtId="0" fontId="0" fillId="3" borderId="26" xfId="0" applyFill="1" applyBorder="1" applyAlignment="1">
      <alignment horizontal="center"/>
    </xf>
    <xf numFmtId="0" fontId="25" fillId="0" borderId="31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2" fillId="0" borderId="5" xfId="0" applyFont="1" applyBorder="1" applyAlignment="1">
      <alignment horizontal="centerContinuous"/>
    </xf>
    <xf numFmtId="0" fontId="2" fillId="0" borderId="30" xfId="0" applyFont="1" applyBorder="1" applyAlignment="1">
      <alignment horizontal="centerContinuous"/>
    </xf>
    <xf numFmtId="0" fontId="7" fillId="0" borderId="0" xfId="0" quotePrefix="1" applyNumberFormat="1" applyFont="1" applyFill="1" applyBorder="1" applyAlignment="1">
      <alignment horizontal="right"/>
    </xf>
    <xf numFmtId="175" fontId="7" fillId="0" borderId="0" xfId="0" quotePrefix="1" applyNumberFormat="1" applyFont="1" applyFill="1" applyBorder="1" applyAlignment="1">
      <alignment horizontal="right"/>
    </xf>
    <xf numFmtId="0" fontId="15" fillId="0" borderId="0" xfId="0" applyFont="1" applyFill="1"/>
    <xf numFmtId="0" fontId="3" fillId="0" borderId="34" xfId="0" applyFont="1" applyBorder="1"/>
    <xf numFmtId="0" fontId="0" fillId="0" borderId="0" xfId="0" applyAlignment="1">
      <alignment horizontal="center"/>
    </xf>
    <xf numFmtId="166" fontId="26" fillId="0" borderId="0" xfId="0" applyNumberFormat="1" applyFont="1" applyFill="1" applyAlignment="1">
      <alignment horizontal="left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1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quotePrefix="1" applyFill="1" applyAlignment="1">
      <alignment horizontal="left"/>
    </xf>
    <xf numFmtId="169" fontId="0" fillId="0" borderId="0" xfId="0" applyNumberFormat="1" applyFont="1" applyFill="1"/>
    <xf numFmtId="41" fontId="13" fillId="0" borderId="1" xfId="0" applyNumberFormat="1" applyFont="1" applyFill="1" applyBorder="1"/>
    <xf numFmtId="0" fontId="13" fillId="0" borderId="1" xfId="0" applyFont="1" applyFill="1" applyBorder="1"/>
    <xf numFmtId="41" fontId="20" fillId="0" borderId="0" xfId="0" applyNumberFormat="1" applyFont="1" applyFill="1"/>
    <xf numFmtId="0" fontId="20" fillId="0" borderId="0" xfId="0" applyFont="1" applyFill="1"/>
    <xf numFmtId="42" fontId="0" fillId="0" borderId="2" xfId="0" applyNumberFormat="1" applyFill="1" applyBorder="1"/>
    <xf numFmtId="0" fontId="13" fillId="0" borderId="0" xfId="0" applyFont="1" applyFill="1"/>
    <xf numFmtId="0" fontId="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27" fillId="0" borderId="0" xfId="0" applyFont="1" applyAlignment="1">
      <alignment horizontal="left"/>
    </xf>
    <xf numFmtId="0" fontId="3" fillId="0" borderId="0" xfId="68" applyFont="1"/>
    <xf numFmtId="0" fontId="47" fillId="0" borderId="0" xfId="68" applyFont="1"/>
    <xf numFmtId="0" fontId="3" fillId="0" borderId="0" xfId="68" applyFont="1" applyAlignment="1">
      <alignment horizontal="left"/>
    </xf>
    <xf numFmtId="42" fontId="1" fillId="0" borderId="24" xfId="0" applyNumberFormat="1" applyFont="1" applyFill="1" applyBorder="1"/>
    <xf numFmtId="42" fontId="1" fillId="0" borderId="23" xfId="0" applyNumberFormat="1" applyFont="1" applyFill="1" applyBorder="1"/>
    <xf numFmtId="42" fontId="2" fillId="0" borderId="22" xfId="0" applyNumberFormat="1" applyFont="1" applyFill="1" applyBorder="1"/>
    <xf numFmtId="10" fontId="1" fillId="0" borderId="24" xfId="0" applyNumberFormat="1" applyFont="1" applyFill="1" applyBorder="1"/>
    <xf numFmtId="10" fontId="0" fillId="0" borderId="24" xfId="0" quotePrefix="1" applyNumberFormat="1" applyFill="1" applyBorder="1" applyAlignment="1">
      <alignment horizontal="right"/>
    </xf>
    <xf numFmtId="10" fontId="0" fillId="0" borderId="23" xfId="0" quotePrefix="1" applyNumberFormat="1" applyFill="1" applyBorder="1" applyAlignment="1">
      <alignment horizontal="right"/>
    </xf>
    <xf numFmtId="10" fontId="1" fillId="0" borderId="0" xfId="0" applyNumberFormat="1" applyFont="1" applyFill="1" applyBorder="1"/>
    <xf numFmtId="10" fontId="2" fillId="0" borderId="22" xfId="0" quotePrefix="1" applyNumberFormat="1" applyFont="1" applyFill="1" applyBorder="1" applyAlignment="1">
      <alignment horizontal="right"/>
    </xf>
    <xf numFmtId="10" fontId="0" fillId="0" borderId="22" xfId="0" applyNumberFormat="1" applyFont="1" applyFill="1" applyBorder="1"/>
    <xf numFmtId="41" fontId="1" fillId="0" borderId="21" xfId="0" applyNumberFormat="1" applyFont="1" applyFill="1" applyBorder="1"/>
    <xf numFmtId="41" fontId="1" fillId="0" borderId="20" xfId="0" applyNumberFormat="1" applyFont="1" applyFill="1" applyBorder="1"/>
    <xf numFmtId="41" fontId="1" fillId="0" borderId="1" xfId="0" applyNumberFormat="1" applyFont="1" applyFill="1" applyBorder="1"/>
    <xf numFmtId="41" fontId="2" fillId="0" borderId="19" xfId="0" applyNumberFormat="1" applyFont="1" applyFill="1" applyBorder="1"/>
    <xf numFmtId="41" fontId="1" fillId="0" borderId="4" xfId="0" applyNumberFormat="1" applyFont="1" applyFill="1" applyBorder="1"/>
    <xf numFmtId="41" fontId="1" fillId="0" borderId="27" xfId="0" applyNumberFormat="1" applyFont="1" applyFill="1" applyBorder="1"/>
    <xf numFmtId="41" fontId="1" fillId="0" borderId="26" xfId="0" applyNumberFormat="1" applyFont="1" applyFill="1" applyBorder="1"/>
    <xf numFmtId="41" fontId="2" fillId="0" borderId="29" xfId="0" applyNumberFormat="1" applyFont="1" applyFill="1" applyBorder="1"/>
    <xf numFmtId="41" fontId="1" fillId="0" borderId="24" xfId="0" applyNumberFormat="1" applyFont="1" applyFill="1" applyBorder="1"/>
    <xf numFmtId="41" fontId="1" fillId="0" borderId="23" xfId="0" applyNumberFormat="1" applyFont="1" applyFill="1" applyBorder="1"/>
    <xf numFmtId="41" fontId="2" fillId="0" borderId="22" xfId="0" applyNumberFormat="1" applyFont="1" applyFill="1" applyBorder="1"/>
    <xf numFmtId="174" fontId="20" fillId="0" borderId="24" xfId="0" applyNumberFormat="1" applyFont="1" applyFill="1" applyBorder="1"/>
    <xf numFmtId="174" fontId="20" fillId="0" borderId="23" xfId="0" applyNumberFormat="1" applyFont="1" applyFill="1" applyBorder="1"/>
    <xf numFmtId="174" fontId="20" fillId="0" borderId="0" xfId="0" applyNumberFormat="1" applyFont="1" applyFill="1" applyBorder="1"/>
    <xf numFmtId="10" fontId="20" fillId="0" borderId="22" xfId="0" quotePrefix="1" applyNumberFormat="1" applyFont="1" applyFill="1" applyBorder="1" applyAlignment="1">
      <alignment horizontal="right"/>
    </xf>
    <xf numFmtId="174" fontId="20" fillId="0" borderId="22" xfId="0" applyNumberFormat="1" applyFont="1" applyFill="1" applyBorder="1"/>
    <xf numFmtId="0" fontId="0" fillId="0" borderId="21" xfId="0" applyFill="1" applyBorder="1"/>
    <xf numFmtId="0" fontId="0" fillId="0" borderId="20" xfId="0" applyFill="1" applyBorder="1"/>
    <xf numFmtId="0" fontId="2" fillId="0" borderId="19" xfId="0" applyFont="1" applyFill="1" applyBorder="1"/>
    <xf numFmtId="164" fontId="0" fillId="0" borderId="29" xfId="0" applyNumberFormat="1" applyFont="1" applyFill="1" applyBorder="1"/>
    <xf numFmtId="0" fontId="2" fillId="0" borderId="29" xfId="0" applyFont="1" applyFill="1" applyBorder="1"/>
    <xf numFmtId="0" fontId="2" fillId="0" borderId="22" xfId="0" applyFont="1" applyFill="1" applyBorder="1"/>
    <xf numFmtId="0" fontId="6" fillId="0" borderId="0" xfId="0" applyFont="1" applyFill="1"/>
    <xf numFmtId="41" fontId="46" fillId="0" borderId="0" xfId="0" applyNumberFormat="1" applyFont="1"/>
    <xf numFmtId="41" fontId="46" fillId="0" borderId="0" xfId="0" applyNumberFormat="1" applyFont="1" applyFill="1" applyBorder="1"/>
    <xf numFmtId="43" fontId="6" fillId="0" borderId="0" xfId="1" applyFont="1"/>
    <xf numFmtId="43" fontId="1" fillId="0" borderId="0" xfId="1" applyFont="1"/>
    <xf numFmtId="43" fontId="1" fillId="0" borderId="0" xfId="1" applyFont="1" applyFill="1" applyBorder="1"/>
    <xf numFmtId="0" fontId="48" fillId="0" borderId="0" xfId="0" applyFont="1" applyAlignment="1">
      <alignment horizontal="right"/>
    </xf>
    <xf numFmtId="0" fontId="27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1" fontId="6" fillId="0" borderId="0" xfId="0" applyNumberFormat="1" applyFont="1"/>
    <xf numFmtId="42" fontId="0" fillId="0" borderId="1" xfId="0" applyNumberFormat="1" applyBorder="1"/>
    <xf numFmtId="164" fontId="6" fillId="0" borderId="0" xfId="1" applyNumberFormat="1" applyFont="1"/>
    <xf numFmtId="166" fontId="4" fillId="0" borderId="0" xfId="0" applyNumberFormat="1" applyFont="1" applyFill="1" applyAlignment="1">
      <alignment horizontal="left" wrapText="1"/>
    </xf>
    <xf numFmtId="166" fontId="19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centerContinuous"/>
    </xf>
    <xf numFmtId="0" fontId="0" fillId="0" borderId="0" xfId="0" quotePrefix="1" applyFill="1" applyAlignment="1">
      <alignment horizontal="centerContinuous"/>
    </xf>
    <xf numFmtId="17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72" fontId="0" fillId="0" borderId="0" xfId="0" applyNumberFormat="1" applyFon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0" fontId="49" fillId="0" borderId="0" xfId="72" applyFont="1" applyFill="1" applyAlignment="1"/>
    <xf numFmtId="0" fontId="49" fillId="0" borderId="0" xfId="72" applyFont="1" applyFill="1"/>
    <xf numFmtId="0" fontId="50" fillId="0" borderId="0" xfId="72" applyFont="1" applyFill="1"/>
    <xf numFmtId="0" fontId="50" fillId="0" borderId="35" xfId="72" applyFont="1" applyFill="1" applyBorder="1"/>
    <xf numFmtId="0" fontId="49" fillId="0" borderId="36" xfId="72" applyFont="1" applyFill="1" applyBorder="1"/>
    <xf numFmtId="0" fontId="49" fillId="0" borderId="37" xfId="72" applyFont="1" applyFill="1" applyBorder="1"/>
    <xf numFmtId="0" fontId="50" fillId="0" borderId="23" xfId="72" applyFont="1" applyFill="1" applyBorder="1"/>
    <xf numFmtId="0" fontId="49" fillId="0" borderId="10" xfId="72" applyFont="1" applyFill="1" applyBorder="1" applyAlignment="1">
      <alignment horizontal="centerContinuous"/>
    </xf>
    <xf numFmtId="0" fontId="50" fillId="0" borderId="6" xfId="72" applyFont="1" applyFill="1" applyBorder="1" applyAlignment="1">
      <alignment horizontal="centerContinuous"/>
    </xf>
    <xf numFmtId="0" fontId="50" fillId="0" borderId="38" xfId="72" applyFont="1" applyFill="1" applyBorder="1" applyAlignment="1">
      <alignment horizontal="centerContinuous"/>
    </xf>
    <xf numFmtId="0" fontId="49" fillId="0" borderId="6" xfId="72" applyFont="1" applyFill="1" applyBorder="1" applyAlignment="1">
      <alignment horizontal="centerContinuous"/>
    </xf>
    <xf numFmtId="0" fontId="50" fillId="0" borderId="11" xfId="72" applyFont="1" applyFill="1" applyBorder="1" applyAlignment="1">
      <alignment horizontal="centerContinuous"/>
    </xf>
    <xf numFmtId="0" fontId="50" fillId="0" borderId="24" xfId="72" applyFont="1" applyFill="1" applyBorder="1"/>
    <xf numFmtId="0" fontId="50" fillId="0" borderId="0" xfId="72" applyFont="1" applyFill="1" applyBorder="1"/>
    <xf numFmtId="0" fontId="50" fillId="0" borderId="0" xfId="72" applyFont="1" applyFill="1" applyBorder="1" applyAlignment="1">
      <alignment horizontal="center"/>
    </xf>
    <xf numFmtId="0" fontId="50" fillId="0" borderId="12" xfId="72" applyFont="1" applyFill="1" applyBorder="1" applyAlignment="1">
      <alignment horizontal="center"/>
    </xf>
    <xf numFmtId="0" fontId="50" fillId="0" borderId="1" xfId="72" applyFont="1" applyFill="1" applyBorder="1" applyAlignment="1">
      <alignment horizontal="center"/>
    </xf>
    <xf numFmtId="0" fontId="50" fillId="0" borderId="39" xfId="72" applyFont="1" applyFill="1" applyBorder="1"/>
    <xf numFmtId="0" fontId="50" fillId="0" borderId="1" xfId="72" applyFont="1" applyFill="1" applyBorder="1"/>
    <xf numFmtId="0" fontId="50" fillId="0" borderId="13" xfId="72" applyFont="1" applyFill="1" applyBorder="1"/>
    <xf numFmtId="0" fontId="50" fillId="0" borderId="24" xfId="72" applyFont="1" applyFill="1" applyBorder="1" applyAlignment="1">
      <alignment horizontal="center"/>
    </xf>
    <xf numFmtId="0" fontId="50" fillId="0" borderId="14" xfId="72" applyFont="1" applyFill="1" applyBorder="1" applyAlignment="1">
      <alignment horizontal="center"/>
    </xf>
    <xf numFmtId="0" fontId="50" fillId="0" borderId="40" xfId="72" applyFont="1" applyFill="1" applyBorder="1" applyAlignment="1">
      <alignment horizontal="center"/>
    </xf>
    <xf numFmtId="0" fontId="50" fillId="0" borderId="9" xfId="72" applyFont="1" applyFill="1" applyBorder="1" applyAlignment="1">
      <alignment horizontal="center"/>
    </xf>
    <xf numFmtId="0" fontId="50" fillId="0" borderId="4" xfId="72" applyFont="1" applyFill="1" applyBorder="1" applyAlignment="1">
      <alignment horizontal="center"/>
    </xf>
    <xf numFmtId="0" fontId="50" fillId="0" borderId="15" xfId="72" applyFont="1" applyFill="1" applyBorder="1" applyAlignment="1">
      <alignment horizontal="center"/>
    </xf>
    <xf numFmtId="0" fontId="50" fillId="0" borderId="41" xfId="72" applyFont="1" applyFill="1" applyBorder="1" applyAlignment="1">
      <alignment horizontal="center"/>
    </xf>
    <xf numFmtId="0" fontId="50" fillId="0" borderId="8" xfId="72" applyFont="1" applyFill="1" applyBorder="1" applyAlignment="1">
      <alignment horizontal="center"/>
    </xf>
    <xf numFmtId="0" fontId="51" fillId="0" borderId="0" xfId="72" quotePrefix="1" applyFont="1" applyFill="1" applyAlignment="1">
      <alignment horizontal="center"/>
    </xf>
    <xf numFmtId="0" fontId="52" fillId="0" borderId="14" xfId="72" applyFont="1" applyFill="1" applyBorder="1" applyAlignment="1">
      <alignment horizontal="centerContinuous"/>
    </xf>
    <xf numFmtId="0" fontId="52" fillId="0" borderId="0" xfId="72" applyFont="1" applyFill="1" applyBorder="1" applyAlignment="1">
      <alignment horizontal="centerContinuous"/>
    </xf>
    <xf numFmtId="0" fontId="50" fillId="0" borderId="40" xfId="72" applyFont="1" applyFill="1" applyBorder="1"/>
    <xf numFmtId="0" fontId="50" fillId="0" borderId="9" xfId="72" applyFont="1" applyFill="1" applyBorder="1"/>
    <xf numFmtId="0" fontId="50" fillId="0" borderId="14" xfId="72" applyFont="1" applyFill="1" applyBorder="1"/>
    <xf numFmtId="42" fontId="50" fillId="0" borderId="40" xfId="72" applyNumberFormat="1" applyFont="1" applyFill="1" applyBorder="1"/>
    <xf numFmtId="41" fontId="50" fillId="0" borderId="9" xfId="3" applyNumberFormat="1" applyFont="1" applyFill="1" applyBorder="1"/>
    <xf numFmtId="42" fontId="50" fillId="0" borderId="0" xfId="72" applyNumberFormat="1" applyFont="1" applyFill="1"/>
    <xf numFmtId="42" fontId="50" fillId="0" borderId="14" xfId="72" applyNumberFormat="1" applyFont="1" applyFill="1" applyBorder="1"/>
    <xf numFmtId="42" fontId="50" fillId="0" borderId="0" xfId="72" applyNumberFormat="1" applyFont="1" applyFill="1" applyBorder="1"/>
    <xf numFmtId="41" fontId="50" fillId="0" borderId="40" xfId="72" applyNumberFormat="1" applyFont="1" applyFill="1" applyBorder="1"/>
    <xf numFmtId="42" fontId="50" fillId="0" borderId="24" xfId="72" applyNumberFormat="1" applyFont="1" applyFill="1" applyBorder="1"/>
    <xf numFmtId="41" fontId="50" fillId="0" borderId="0" xfId="72" applyNumberFormat="1" applyFont="1" applyFill="1"/>
    <xf numFmtId="41" fontId="50" fillId="0" borderId="14" xfId="72" applyNumberFormat="1" applyFont="1" applyFill="1" applyBorder="1"/>
    <xf numFmtId="41" fontId="50" fillId="0" borderId="0" xfId="72" applyNumberFormat="1" applyFont="1" applyFill="1" applyBorder="1"/>
    <xf numFmtId="41" fontId="50" fillId="0" borderId="24" xfId="72" applyNumberFormat="1" applyFont="1" applyFill="1" applyBorder="1"/>
    <xf numFmtId="41" fontId="50" fillId="0" borderId="32" xfId="72" applyNumberFormat="1" applyFont="1" applyFill="1" applyBorder="1"/>
    <xf numFmtId="41" fontId="50" fillId="0" borderId="16" xfId="72" applyNumberFormat="1" applyFont="1" applyFill="1" applyBorder="1"/>
    <xf numFmtId="41" fontId="50" fillId="0" borderId="42" xfId="72" applyNumberFormat="1" applyFont="1" applyFill="1" applyBorder="1"/>
    <xf numFmtId="41" fontId="50" fillId="0" borderId="33" xfId="3" applyNumberFormat="1" applyFont="1" applyFill="1" applyBorder="1"/>
    <xf numFmtId="164" fontId="50" fillId="0" borderId="0" xfId="1" applyNumberFormat="1" applyFont="1" applyFill="1" applyAlignment="1">
      <alignment horizontal="right"/>
    </xf>
    <xf numFmtId="42" fontId="50" fillId="0" borderId="3" xfId="72" applyNumberFormat="1" applyFont="1" applyFill="1" applyBorder="1"/>
    <xf numFmtId="0" fontId="50" fillId="0" borderId="0" xfId="72" applyFont="1" applyFill="1" applyAlignment="1">
      <alignment horizontal="centerContinuous"/>
    </xf>
    <xf numFmtId="0" fontId="50" fillId="0" borderId="0" xfId="72" applyFont="1" applyFill="1" applyAlignment="1">
      <alignment horizontal="center"/>
    </xf>
    <xf numFmtId="0" fontId="50" fillId="0" borderId="23" xfId="72" applyFont="1" applyFill="1" applyBorder="1" applyAlignment="1">
      <alignment horizontal="center"/>
    </xf>
    <xf numFmtId="0" fontId="53" fillId="0" borderId="0" xfId="72" applyFont="1" applyFill="1" applyAlignment="1">
      <alignment horizontal="center"/>
    </xf>
    <xf numFmtId="0" fontId="53" fillId="0" borderId="0" xfId="72" applyFont="1" applyFill="1" applyBorder="1" applyAlignment="1">
      <alignment horizontal="center"/>
    </xf>
    <xf numFmtId="0" fontId="53" fillId="0" borderId="23" xfId="72" applyFont="1" applyFill="1" applyBorder="1" applyAlignment="1">
      <alignment horizontal="center"/>
    </xf>
    <xf numFmtId="164" fontId="50" fillId="0" borderId="0" xfId="3" applyNumberFormat="1" applyFont="1" applyFill="1"/>
    <xf numFmtId="41" fontId="50" fillId="0" borderId="23" xfId="72" applyNumberFormat="1" applyFont="1" applyFill="1" applyBorder="1"/>
    <xf numFmtId="4" fontId="50" fillId="0" borderId="0" xfId="72" applyNumberFormat="1" applyFont="1" applyFill="1"/>
    <xf numFmtId="41" fontId="50" fillId="0" borderId="52" xfId="72" applyNumberFormat="1" applyFont="1" applyFill="1" applyBorder="1"/>
    <xf numFmtId="41" fontId="50" fillId="0" borderId="7" xfId="72" applyNumberFormat="1" applyFont="1" applyFill="1" applyBorder="1"/>
    <xf numFmtId="41" fontId="50" fillId="0" borderId="18" xfId="72" applyNumberFormat="1" applyFont="1" applyFill="1" applyBorder="1"/>
    <xf numFmtId="164" fontId="50" fillId="0" borderId="0" xfId="1" applyNumberFormat="1" applyFont="1" applyFill="1"/>
    <xf numFmtId="0" fontId="49" fillId="0" borderId="0" xfId="2" applyFont="1" applyFill="1" applyAlignment="1"/>
    <xf numFmtId="0" fontId="49" fillId="0" borderId="0" xfId="2" applyFont="1" applyFill="1"/>
    <xf numFmtId="0" fontId="50" fillId="0" borderId="0" xfId="2" applyFont="1" applyFill="1"/>
    <xf numFmtId="0" fontId="50" fillId="0" borderId="35" xfId="2" applyFont="1" applyFill="1" applyBorder="1"/>
    <xf numFmtId="0" fontId="49" fillId="0" borderId="36" xfId="2" applyFont="1" applyFill="1" applyBorder="1"/>
    <xf numFmtId="0" fontId="49" fillId="0" borderId="37" xfId="2" applyFont="1" applyFill="1" applyBorder="1"/>
    <xf numFmtId="0" fontId="50" fillId="0" borderId="23" xfId="2" applyFont="1" applyFill="1" applyBorder="1"/>
    <xf numFmtId="0" fontId="49" fillId="0" borderId="10" xfId="2" applyFont="1" applyFill="1" applyBorder="1" applyAlignment="1">
      <alignment horizontal="centerContinuous"/>
    </xf>
    <xf numFmtId="0" fontId="50" fillId="0" borderId="6" xfId="2" applyFont="1" applyFill="1" applyBorder="1" applyAlignment="1">
      <alignment horizontal="centerContinuous"/>
    </xf>
    <xf numFmtId="0" fontId="50" fillId="0" borderId="38" xfId="2" applyFont="1" applyFill="1" applyBorder="1" applyAlignment="1">
      <alignment horizontal="centerContinuous"/>
    </xf>
    <xf numFmtId="0" fontId="49" fillId="0" borderId="6" xfId="2" applyFont="1" applyFill="1" applyBorder="1" applyAlignment="1">
      <alignment horizontal="centerContinuous"/>
    </xf>
    <xf numFmtId="0" fontId="50" fillId="0" borderId="11" xfId="2" applyFont="1" applyFill="1" applyBorder="1" applyAlignment="1">
      <alignment horizontal="centerContinuous"/>
    </xf>
    <xf numFmtId="0" fontId="50" fillId="0" borderId="27" xfId="2" applyFont="1" applyFill="1" applyBorder="1"/>
    <xf numFmtId="0" fontId="50" fillId="0" borderId="4" xfId="2" applyFont="1" applyFill="1" applyBorder="1"/>
    <xf numFmtId="0" fontId="50" fillId="0" borderId="26" xfId="2" applyFont="1" applyFill="1" applyBorder="1"/>
    <xf numFmtId="0" fontId="50" fillId="0" borderId="0" xfId="2" applyFont="1" applyFill="1" applyBorder="1" applyAlignment="1">
      <alignment horizontal="center"/>
    </xf>
    <xf numFmtId="0" fontId="50" fillId="0" borderId="12" xfId="2" applyFont="1" applyFill="1" applyBorder="1" applyAlignment="1">
      <alignment horizontal="center"/>
    </xf>
    <xf numFmtId="0" fontId="50" fillId="0" borderId="1" xfId="2" applyFont="1" applyFill="1" applyBorder="1" applyAlignment="1">
      <alignment horizontal="center"/>
    </xf>
    <xf numFmtId="0" fontId="50" fillId="0" borderId="39" xfId="2" applyFont="1" applyFill="1" applyBorder="1"/>
    <xf numFmtId="0" fontId="50" fillId="0" borderId="1" xfId="2" applyFont="1" applyFill="1" applyBorder="1"/>
    <xf numFmtId="0" fontId="50" fillId="0" borderId="13" xfId="2" applyFont="1" applyFill="1" applyBorder="1"/>
    <xf numFmtId="0" fontId="50" fillId="0" borderId="24" xfId="2" applyFont="1" applyFill="1" applyBorder="1" applyAlignment="1">
      <alignment horizontal="center"/>
    </xf>
    <xf numFmtId="0" fontId="50" fillId="0" borderId="0" xfId="2" applyFont="1" applyFill="1" applyBorder="1"/>
    <xf numFmtId="0" fontId="50" fillId="0" borderId="14" xfId="2" applyFont="1" applyFill="1" applyBorder="1" applyAlignment="1">
      <alignment horizontal="center"/>
    </xf>
    <xf numFmtId="0" fontId="50" fillId="0" borderId="40" xfId="2" applyFont="1" applyFill="1" applyBorder="1" applyAlignment="1">
      <alignment horizontal="center"/>
    </xf>
    <xf numFmtId="0" fontId="50" fillId="0" borderId="9" xfId="2" applyFont="1" applyFill="1" applyBorder="1" applyAlignment="1">
      <alignment horizontal="center"/>
    </xf>
    <xf numFmtId="0" fontId="50" fillId="0" borderId="4" xfId="2" applyFont="1" applyFill="1" applyBorder="1" applyAlignment="1">
      <alignment horizontal="center"/>
    </xf>
    <xf numFmtId="0" fontId="50" fillId="0" borderId="15" xfId="2" applyFont="1" applyFill="1" applyBorder="1" applyAlignment="1">
      <alignment horizontal="center"/>
    </xf>
    <xf numFmtId="0" fontId="50" fillId="0" borderId="41" xfId="2" applyFont="1" applyFill="1" applyBorder="1" applyAlignment="1">
      <alignment horizontal="center"/>
    </xf>
    <xf numFmtId="0" fontId="50" fillId="0" borderId="8" xfId="2" applyFont="1" applyFill="1" applyBorder="1" applyAlignment="1">
      <alignment horizontal="center"/>
    </xf>
    <xf numFmtId="0" fontId="50" fillId="0" borderId="27" xfId="2" applyFont="1" applyFill="1" applyBorder="1" applyAlignment="1">
      <alignment horizontal="center"/>
    </xf>
    <xf numFmtId="0" fontId="51" fillId="0" borderId="0" xfId="2" quotePrefix="1" applyFont="1" applyFill="1" applyAlignment="1">
      <alignment horizontal="center"/>
    </xf>
    <xf numFmtId="0" fontId="52" fillId="0" borderId="14" xfId="2" applyFont="1" applyFill="1" applyBorder="1" applyAlignment="1">
      <alignment horizontal="centerContinuous"/>
    </xf>
    <xf numFmtId="0" fontId="52" fillId="0" borderId="0" xfId="2" applyFont="1" applyFill="1" applyBorder="1" applyAlignment="1">
      <alignment horizontal="centerContinuous"/>
    </xf>
    <xf numFmtId="0" fontId="50" fillId="0" borderId="40" xfId="2" applyFont="1" applyFill="1" applyBorder="1"/>
    <xf numFmtId="0" fontId="50" fillId="0" borderId="9" xfId="2" applyFont="1" applyFill="1" applyBorder="1"/>
    <xf numFmtId="0" fontId="50" fillId="0" borderId="24" xfId="2" applyFont="1" applyFill="1" applyBorder="1"/>
    <xf numFmtId="0" fontId="50" fillId="0" borderId="14" xfId="2" applyFont="1" applyFill="1" applyBorder="1"/>
    <xf numFmtId="42" fontId="50" fillId="0" borderId="40" xfId="2" applyNumberFormat="1" applyFont="1" applyFill="1" applyBorder="1"/>
    <xf numFmtId="3" fontId="50" fillId="0" borderId="9" xfId="2" applyNumberFormat="1" applyFont="1" applyFill="1" applyBorder="1"/>
    <xf numFmtId="42" fontId="50" fillId="0" borderId="0" xfId="2" applyNumberFormat="1" applyFont="1" applyFill="1"/>
    <xf numFmtId="42" fontId="50" fillId="0" borderId="14" xfId="2" applyNumberFormat="1" applyFont="1" applyFill="1" applyBorder="1"/>
    <xf numFmtId="42" fontId="50" fillId="0" borderId="0" xfId="2" applyNumberFormat="1" applyFont="1" applyFill="1" applyBorder="1"/>
    <xf numFmtId="41" fontId="50" fillId="0" borderId="40" xfId="2" applyNumberFormat="1" applyFont="1" applyFill="1" applyBorder="1"/>
    <xf numFmtId="42" fontId="50" fillId="0" borderId="24" xfId="2" applyNumberFormat="1" applyFont="1" applyFill="1" applyBorder="1"/>
    <xf numFmtId="41" fontId="50" fillId="0" borderId="0" xfId="2" applyNumberFormat="1" applyFont="1" applyFill="1"/>
    <xf numFmtId="41" fontId="50" fillId="0" borderId="14" xfId="2" applyNumberFormat="1" applyFont="1" applyFill="1" applyBorder="1"/>
    <xf numFmtId="41" fontId="50" fillId="0" borderId="0" xfId="2" applyNumberFormat="1" applyFont="1" applyFill="1" applyBorder="1"/>
    <xf numFmtId="41" fontId="50" fillId="0" borderId="24" xfId="2" applyNumberFormat="1" applyFont="1" applyFill="1" applyBorder="1"/>
    <xf numFmtId="41" fontId="50" fillId="0" borderId="32" xfId="2" applyNumberFormat="1" applyFont="1" applyFill="1" applyBorder="1"/>
    <xf numFmtId="41" fontId="50" fillId="0" borderId="16" xfId="2" applyNumberFormat="1" applyFont="1" applyFill="1" applyBorder="1"/>
    <xf numFmtId="41" fontId="50" fillId="0" borderId="42" xfId="2" applyNumberFormat="1" applyFont="1" applyFill="1" applyBorder="1"/>
    <xf numFmtId="3" fontId="50" fillId="0" borderId="33" xfId="2" applyNumberFormat="1" applyFont="1" applyFill="1" applyBorder="1"/>
    <xf numFmtId="41" fontId="50" fillId="0" borderId="0" xfId="2" applyNumberFormat="1" applyFont="1" applyFill="1" applyAlignment="1">
      <alignment horizontal="right"/>
    </xf>
    <xf numFmtId="42" fontId="50" fillId="0" borderId="3" xfId="2" applyNumberFormat="1" applyFont="1" applyFill="1" applyBorder="1"/>
    <xf numFmtId="0" fontId="50" fillId="0" borderId="0" xfId="2" quotePrefix="1" applyFont="1" applyFill="1"/>
    <xf numFmtId="0" fontId="50" fillId="0" borderId="0" xfId="2" applyFont="1" applyFill="1" applyAlignment="1">
      <alignment horizontal="centerContinuous"/>
    </xf>
    <xf numFmtId="0" fontId="50" fillId="0" borderId="0" xfId="2" applyFont="1" applyFill="1" applyAlignment="1">
      <alignment horizontal="center"/>
    </xf>
    <xf numFmtId="0" fontId="50" fillId="0" borderId="23" xfId="2" applyFont="1" applyFill="1" applyBorder="1" applyAlignment="1">
      <alignment horizontal="center"/>
    </xf>
    <xf numFmtId="0" fontId="53" fillId="0" borderId="0" xfId="2" applyFont="1" applyFill="1" applyAlignment="1">
      <alignment horizontal="center"/>
    </xf>
    <xf numFmtId="0" fontId="53" fillId="0" borderId="0" xfId="2" applyFont="1" applyFill="1" applyBorder="1" applyAlignment="1">
      <alignment horizontal="center"/>
    </xf>
    <xf numFmtId="0" fontId="53" fillId="0" borderId="23" xfId="2" applyFont="1" applyFill="1" applyBorder="1" applyAlignment="1">
      <alignment horizontal="center"/>
    </xf>
    <xf numFmtId="42" fontId="50" fillId="0" borderId="23" xfId="2" applyNumberFormat="1" applyFont="1" applyFill="1" applyBorder="1"/>
    <xf numFmtId="41" fontId="50" fillId="0" borderId="23" xfId="2" applyNumberFormat="1" applyFont="1" applyFill="1" applyBorder="1"/>
    <xf numFmtId="4" fontId="50" fillId="0" borderId="0" xfId="2" applyNumberFormat="1" applyFont="1" applyFill="1"/>
    <xf numFmtId="41" fontId="50" fillId="0" borderId="27" xfId="2" applyNumberFormat="1" applyFont="1" applyFill="1" applyBorder="1"/>
    <xf numFmtId="41" fontId="50" fillId="0" borderId="4" xfId="2" applyNumberFormat="1" applyFont="1" applyFill="1" applyBorder="1"/>
    <xf numFmtId="38" fontId="50" fillId="0" borderId="0" xfId="2" applyNumberFormat="1" applyFont="1" applyFill="1"/>
    <xf numFmtId="38" fontId="1" fillId="0" borderId="0" xfId="72" applyNumberFormat="1"/>
    <xf numFmtId="38" fontId="1" fillId="0" borderId="2" xfId="72" applyNumberFormat="1" applyBorder="1"/>
    <xf numFmtId="38" fontId="50" fillId="0" borderId="0" xfId="2" applyNumberFormat="1" applyFont="1" applyFill="1" applyAlignment="1">
      <alignment horizontal="right"/>
    </xf>
    <xf numFmtId="0" fontId="55" fillId="0" borderId="40" xfId="72" applyFont="1" applyBorder="1"/>
    <xf numFmtId="0" fontId="1" fillId="0" borderId="0" xfId="72" applyBorder="1"/>
    <xf numFmtId="0" fontId="15" fillId="0" borderId="0" xfId="0" applyFont="1" applyFill="1" applyAlignment="1">
      <alignment horizontal="centerContinuous"/>
    </xf>
    <xf numFmtId="0" fontId="15" fillId="0" borderId="4" xfId="0" applyFont="1" applyFill="1" applyBorder="1" applyAlignment="1">
      <alignment wrapText="1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 wrapText="1"/>
    </xf>
    <xf numFmtId="2" fontId="15" fillId="0" borderId="4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164" fontId="56" fillId="0" borderId="0" xfId="0" applyNumberFormat="1" applyFont="1" applyFill="1" applyBorder="1"/>
    <xf numFmtId="164" fontId="15" fillId="0" borderId="0" xfId="0" applyNumberFormat="1" applyFont="1" applyFill="1" applyBorder="1"/>
    <xf numFmtId="173" fontId="56" fillId="0" borderId="0" xfId="0" applyNumberFormat="1" applyFont="1" applyFill="1"/>
    <xf numFmtId="165" fontId="15" fillId="0" borderId="0" xfId="0" applyNumberFormat="1" applyFont="1" applyFill="1"/>
    <xf numFmtId="0" fontId="15" fillId="0" borderId="4" xfId="0" applyFont="1" applyFill="1" applyBorder="1" applyAlignment="1">
      <alignment horizontal="left"/>
    </xf>
    <xf numFmtId="173" fontId="56" fillId="0" borderId="4" xfId="0" applyNumberFormat="1" applyFont="1" applyFill="1" applyBorder="1"/>
    <xf numFmtId="165" fontId="15" fillId="0" borderId="4" xfId="0" applyNumberFormat="1" applyFont="1" applyFill="1" applyBorder="1"/>
    <xf numFmtId="164" fontId="15" fillId="0" borderId="1" xfId="0" applyNumberFormat="1" applyFont="1" applyFill="1" applyBorder="1"/>
    <xf numFmtId="165" fontId="15" fillId="0" borderId="1" xfId="0" applyNumberFormat="1" applyFont="1" applyFill="1" applyBorder="1"/>
    <xf numFmtId="0" fontId="57" fillId="0" borderId="0" xfId="0" applyFont="1" applyFill="1" applyAlignment="1">
      <alignment horizontal="right"/>
    </xf>
    <xf numFmtId="164" fontId="57" fillId="0" borderId="0" xfId="0" applyNumberFormat="1" applyFont="1" applyFill="1" applyBorder="1"/>
    <xf numFmtId="164" fontId="57" fillId="0" borderId="0" xfId="0" applyNumberFormat="1" applyFont="1" applyFill="1"/>
    <xf numFmtId="44" fontId="56" fillId="0" borderId="0" xfId="0" applyNumberFormat="1" applyFont="1" applyFill="1"/>
    <xf numFmtId="164" fontId="58" fillId="0" borderId="0" xfId="0" applyNumberFormat="1" applyFont="1" applyFill="1" applyBorder="1"/>
    <xf numFmtId="44" fontId="58" fillId="0" borderId="0" xfId="0" applyNumberFormat="1" applyFont="1" applyFill="1"/>
    <xf numFmtId="165" fontId="15" fillId="0" borderId="2" xfId="0" applyNumberFormat="1" applyFont="1" applyFill="1" applyBorder="1"/>
    <xf numFmtId="37" fontId="0" fillId="0" borderId="22" xfId="0" applyNumberFormat="1" applyBorder="1"/>
    <xf numFmtId="37" fontId="13" fillId="0" borderId="0" xfId="0" applyNumberFormat="1" applyFont="1"/>
    <xf numFmtId="42" fontId="13" fillId="0" borderId="0" xfId="0" applyNumberFormat="1" applyFont="1"/>
    <xf numFmtId="164" fontId="0" fillId="0" borderId="0" xfId="1" applyNumberFormat="1" applyFont="1"/>
    <xf numFmtId="0" fontId="15" fillId="0" borderId="0" xfId="0" applyFont="1" applyFill="1" applyAlignment="1">
      <alignment horizontal="center"/>
    </xf>
  </cellXfs>
  <cellStyles count="109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" xfId="1" builtinId="3"/>
    <cellStyle name="Comma 2" xfId="3"/>
    <cellStyle name="Comma 2 2" xfId="43"/>
    <cellStyle name="Comma 2 2 2" xfId="100"/>
    <cellStyle name="Comma 2 3" xfId="101"/>
    <cellStyle name="Comma 3" xfId="44"/>
    <cellStyle name="Comma 3 2" xfId="102"/>
    <cellStyle name="Comma 4" xfId="45"/>
    <cellStyle name="Comma 4 2" xfId="46"/>
    <cellStyle name="Comma 4 3" xfId="47"/>
    <cellStyle name="Comma 4 4" xfId="48"/>
    <cellStyle name="Comma 4 5" xfId="49"/>
    <cellStyle name="Comma 5" xfId="50"/>
    <cellStyle name="Comma 6" xfId="51"/>
    <cellStyle name="Comma 6 2" xfId="52"/>
    <cellStyle name="Comma 6 3" xfId="53"/>
    <cellStyle name="Comma 6 4" xfId="54"/>
    <cellStyle name="Comma 6 5" xfId="55"/>
    <cellStyle name="Comma 7" xfId="56"/>
    <cellStyle name="Currency 2" xfId="57"/>
    <cellStyle name="Currency 2 2" xfId="103"/>
    <cellStyle name="Currency 3" xfId="58"/>
    <cellStyle name="Explanatory Text 2" xfId="59"/>
    <cellStyle name="Good 2" xfId="60"/>
    <cellStyle name="Heading 1 2" xfId="61"/>
    <cellStyle name="Heading 2 2" xfId="62"/>
    <cellStyle name="Heading 3 2" xfId="63"/>
    <cellStyle name="Heading 4 2" xfId="64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104"/>
    <cellStyle name="Normal 2 3" xfId="70"/>
    <cellStyle name="Normal 2 3 2" xfId="105"/>
    <cellStyle name="Normal 2 4" xfId="71"/>
    <cellStyle name="Normal 2 4 2" xfId="106"/>
    <cellStyle name="Normal 2 5" xfId="72"/>
    <cellStyle name="Normal 2 5 2" xfId="73"/>
    <cellStyle name="Normal 2 5 3" xfId="2"/>
    <cellStyle name="Normal 3" xfId="74"/>
    <cellStyle name="Normal 3 2" xfId="75"/>
    <cellStyle name="Normal 3 2 2" xfId="76"/>
    <cellStyle name="Normal 3 2 3" xfId="77"/>
    <cellStyle name="Normal 3 2 4" xfId="78"/>
    <cellStyle name="Normal 3 2 5" xfId="79"/>
    <cellStyle name="Normal 3 3" xfId="107"/>
    <cellStyle name="Normal 4" xfId="80"/>
    <cellStyle name="Normal 5" xfId="81"/>
    <cellStyle name="Normal 5 2" xfId="82"/>
    <cellStyle name="Normal 5 3" xfId="83"/>
    <cellStyle name="Normal 5 4" xfId="84"/>
    <cellStyle name="Normal 5 5" xfId="85"/>
    <cellStyle name="Normal 6" xfId="86"/>
    <cellStyle name="Normal 7" xfId="87"/>
    <cellStyle name="Normal 7 2" xfId="88"/>
    <cellStyle name="Normal 7 3" xfId="89"/>
    <cellStyle name="Normal 7 4" xfId="90"/>
    <cellStyle name="Normal 7 5" xfId="91"/>
    <cellStyle name="Note 2" xfId="92"/>
    <cellStyle name="Note 2 2" xfId="93"/>
    <cellStyle name="Output 2" xfId="94"/>
    <cellStyle name="Percent 2" xfId="95"/>
    <cellStyle name="Percent 2 2" xfId="108"/>
    <cellStyle name="Percent 3" xfId="96"/>
    <cellStyle name="Title 2" xfId="97"/>
    <cellStyle name="Total 2" xfId="98"/>
    <cellStyle name="Warning Text 2" xfId="99"/>
  </cellStyles>
  <dxfs count="0"/>
  <tableStyles count="0" defaultTableStyle="TableStyleMedium2" defaultPivotStyle="PivotStyleLight16"/>
  <colors>
    <mruColors>
      <color rgb="FFD6009E"/>
      <color rgb="FF66FF66"/>
      <color rgb="FFCCFF33"/>
      <color rgb="FFFFCCFF"/>
      <color rgb="FF7500EA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4</xdr:col>
      <xdr:colOff>75387</xdr:colOff>
      <xdr:row>48</xdr:row>
      <xdr:rowOff>9048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81625"/>
          <a:ext cx="6504762" cy="38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27</xdr:row>
      <xdr:rowOff>178593</xdr:rowOff>
    </xdr:from>
    <xdr:to>
      <xdr:col>12</xdr:col>
      <xdr:colOff>599256</xdr:colOff>
      <xdr:row>47</xdr:row>
      <xdr:rowOff>178117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9406" y="5369718"/>
          <a:ext cx="6552381" cy="3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4</xdr:col>
      <xdr:colOff>142054</xdr:colOff>
      <xdr:row>77</xdr:row>
      <xdr:rowOff>161452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096625"/>
          <a:ext cx="6571429" cy="37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392907</xdr:colOff>
      <xdr:row>55</xdr:row>
      <xdr:rowOff>83344</xdr:rowOff>
    </xdr:from>
    <xdr:to>
      <xdr:col>17</xdr:col>
      <xdr:colOff>248907</xdr:colOff>
      <xdr:row>79</xdr:row>
      <xdr:rowOff>54201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22282" y="10608469"/>
          <a:ext cx="9000000" cy="45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90</xdr:row>
      <xdr:rowOff>130968</xdr:rowOff>
    </xdr:from>
    <xdr:to>
      <xdr:col>4</xdr:col>
      <xdr:colOff>225398</xdr:colOff>
      <xdr:row>110</xdr:row>
      <xdr:rowOff>120968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4" y="17323593"/>
          <a:ext cx="6571429" cy="38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40%20Property%20Tax%20Tracker/2019%20Filing/April%20Filing/Final%20Rev%20Req%20Workpapers/Final%20Approved%20clean%20workpaper/Final%20Work%20Papers%20for%20April%202019%20PTT%20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40%20Property%20Tax%20Tracker/2020%20Filing/March%20Filing/TAX/Budget%2019-20%20final%20accru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40%20Property%20Tax%20Tracker/2020%20Filing/March%20Filing/TAX/19-20%20Trac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40%20Property%20Tax%20Tracker/2020%20Filing/March%20Filing/COS/2019%20Schedule%20140%20Elec%20Load%20Variance%20for%202020%20True-u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40%20Property%20Tax%20Tracker/2020%20Filing/March%20Filing/COS/Gas%20Property%20Tax%20Tracker%20Revenue%20Variance_CY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Rev Req"/>
      <sheetName val="2018 Rev Req "/>
      <sheetName val="2019 Final Payment"/>
      <sheetName val="Electic summary"/>
      <sheetName val="Gas summary"/>
      <sheetName val="Elec Load Variance 2018"/>
      <sheetName val="Gas Load Variance 2018"/>
      <sheetName val="Electric CF"/>
      <sheetName val="Gas CF"/>
    </sheetNames>
    <sheetDataSet>
      <sheetData sheetId="0">
        <row r="6">
          <cell r="D6">
            <v>60313314.240019262</v>
          </cell>
          <cell r="E6">
            <v>22019078.859071229</v>
          </cell>
        </row>
        <row r="9">
          <cell r="D9">
            <v>55733659</v>
          </cell>
          <cell r="E9">
            <v>20139263</v>
          </cell>
        </row>
        <row r="10">
          <cell r="D10">
            <v>60313314.240019262</v>
          </cell>
          <cell r="E10">
            <v>22019078.859071229</v>
          </cell>
        </row>
        <row r="11">
          <cell r="D11">
            <v>1392396.3898532353</v>
          </cell>
          <cell r="E11">
            <v>1169755.7052719721</v>
          </cell>
        </row>
        <row r="18">
          <cell r="D18">
            <v>29926824.772686236</v>
          </cell>
          <cell r="E18">
            <v>12414096.93711197</v>
          </cell>
        </row>
        <row r="21">
          <cell r="D21">
            <v>57126055.389853239</v>
          </cell>
          <cell r="E21">
            <v>21309018.70527197</v>
          </cell>
        </row>
        <row r="25">
          <cell r="D25">
            <v>-5476715</v>
          </cell>
          <cell r="E25">
            <v>-2140814</v>
          </cell>
        </row>
        <row r="26">
          <cell r="D26">
            <v>2289456.1498339772</v>
          </cell>
          <cell r="E26">
            <v>1430753.8462007449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35">
          <cell r="P35">
            <v>1462008.4607010554</v>
          </cell>
        </row>
      </sheetData>
      <sheetData sheetId="6">
        <row r="26">
          <cell r="O26">
            <v>1225467.928224934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-18-"/>
      <sheetName val="DEC-18- final"/>
      <sheetName val="PWC"/>
      <sheetName val="Budget-19"/>
      <sheetName val="Budget-19 -final"/>
      <sheetName val="Jan-19"/>
      <sheetName val="Jan-19-FINAL"/>
      <sheetName val="Jan-19-Recon"/>
      <sheetName val="Feb-19"/>
      <sheetName val="Feb-19 -2"/>
      <sheetName val="Feb-19 -Final"/>
      <sheetName val="Mar-19 "/>
      <sheetName val="Mar-19-2"/>
      <sheetName val="Mar-19-PLNG Entry"/>
      <sheetName val="Mar-19-3"/>
      <sheetName val="Mar-19-final"/>
      <sheetName val="APRIL-19"/>
      <sheetName val="APRIL-19 final"/>
      <sheetName val="May-19"/>
      <sheetName val="May-19 final"/>
      <sheetName val="June-19 "/>
      <sheetName val="June-19  final"/>
      <sheetName val="FEDERAL TAX"/>
      <sheetName val="July-19"/>
      <sheetName val="July-19 final"/>
      <sheetName val="Aug-19"/>
      <sheetName val="Aug-19 Final"/>
      <sheetName val="Sept-19"/>
      <sheetName val="Sept-19-2"/>
      <sheetName val="Sept-19 final"/>
      <sheetName val="Oct-19"/>
      <sheetName val="Oct-19 Final"/>
      <sheetName val="Nov-19 "/>
      <sheetName val="Nov-19 Final"/>
      <sheetName val="Dec-19"/>
      <sheetName val="Dec-19 (2)"/>
      <sheetName val="Federal Tax YE"/>
      <sheetName val="PWC-19"/>
      <sheetName val="Budget-Jan-13  (2)"/>
      <sheetName val="Aug-13 (2)"/>
      <sheetName val="Dec-1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6">
          <cell r="C16">
            <v>4137998000</v>
          </cell>
          <cell r="D16">
            <v>1761974000</v>
          </cell>
          <cell r="F16">
            <v>504242175</v>
          </cell>
          <cell r="G16">
            <v>44900000</v>
          </cell>
        </row>
        <row r="18">
          <cell r="C18">
            <v>0.94574000000000003</v>
          </cell>
          <cell r="D18">
            <v>0.95455000000000001</v>
          </cell>
          <cell r="F18">
            <v>6.0905399999999998E-2</v>
          </cell>
        </row>
        <row r="20">
          <cell r="H20">
            <v>44900000</v>
          </cell>
        </row>
        <row r="22">
          <cell r="C22">
            <v>10.14</v>
          </cell>
          <cell r="D22">
            <v>10.38</v>
          </cell>
          <cell r="F22">
            <v>353.23860000000002</v>
          </cell>
          <cell r="G22">
            <v>11.17</v>
          </cell>
          <cell r="H22">
            <v>11.3415</v>
          </cell>
        </row>
        <row r="26">
          <cell r="C26">
            <v>372000</v>
          </cell>
          <cell r="D26">
            <v>75000</v>
          </cell>
        </row>
        <row r="27">
          <cell r="C27">
            <v>350000</v>
          </cell>
          <cell r="D27">
            <v>6000</v>
          </cell>
          <cell r="F27">
            <v>7000</v>
          </cell>
        </row>
        <row r="28">
          <cell r="E28">
            <v>1401260</v>
          </cell>
        </row>
        <row r="29">
          <cell r="C29">
            <v>73000</v>
          </cell>
          <cell r="D29">
            <v>2757</v>
          </cell>
        </row>
        <row r="30">
          <cell r="I30">
            <v>69380207</v>
          </cell>
        </row>
      </sheetData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mmary"/>
      <sheetName val="Electric summary"/>
      <sheetName val="Gas summary"/>
      <sheetName val="overall"/>
      <sheetName val="RATE BASE -LOAD"/>
      <sheetName val="DEC-18-"/>
      <sheetName val="DEC-18-Final"/>
      <sheetName val="Jan-19"/>
      <sheetName val="Jan-19 final"/>
      <sheetName val="FEB-19"/>
      <sheetName val="FEB-19 -Final"/>
      <sheetName val="MAR-19"/>
      <sheetName val="MAR-19 (2)"/>
      <sheetName val="MAR-19 (3)"/>
      <sheetName val="MAR-19 -Final"/>
      <sheetName val="APRIL-19"/>
      <sheetName val="APRIL-19 -Final"/>
      <sheetName val="MAY-19"/>
      <sheetName val="MAY-19 Final"/>
      <sheetName val="June-19 "/>
      <sheetName val="June-19  -1"/>
      <sheetName val="June-19-2"/>
      <sheetName val="June-19  Final"/>
      <sheetName val="July-19"/>
      <sheetName val="July-19 final"/>
      <sheetName val="Aug-19 "/>
      <sheetName val="Aug-19 Final"/>
      <sheetName val="SEPT-19 "/>
      <sheetName val="SEPT-19 Final"/>
      <sheetName val="OCT-19"/>
      <sheetName val="OCT-19 Final)"/>
      <sheetName val="NOV-19"/>
      <sheetName val="NOV-19 Final"/>
      <sheetName val="EST-Dec-19Federal Tax"/>
      <sheetName val="Dec-19"/>
      <sheetName val="Dec-19 final"/>
    </sheetNames>
    <sheetDataSet>
      <sheetData sheetId="0" refreshError="1"/>
      <sheetData sheetId="1">
        <row r="8">
          <cell r="G8">
            <v>27199229</v>
          </cell>
          <cell r="L8">
            <v>7652894</v>
          </cell>
        </row>
        <row r="9">
          <cell r="H9">
            <v>-1913223</v>
          </cell>
          <cell r="N9">
            <v>-5954855.3700899994</v>
          </cell>
        </row>
        <row r="10">
          <cell r="H10">
            <v>-1913223</v>
          </cell>
          <cell r="N10">
            <v>-12074869.710756</v>
          </cell>
        </row>
        <row r="11">
          <cell r="H11">
            <v>-1913223</v>
          </cell>
          <cell r="I11">
            <v>-7778986</v>
          </cell>
          <cell r="N11">
            <v>-17563361.656751998</v>
          </cell>
        </row>
        <row r="12">
          <cell r="H12">
            <v>-1913223</v>
          </cell>
          <cell r="N12">
            <v>-22217828.230055999</v>
          </cell>
        </row>
        <row r="13">
          <cell r="H13">
            <v>-1618354</v>
          </cell>
          <cell r="N13">
            <v>-26025404.105339278</v>
          </cell>
        </row>
        <row r="14">
          <cell r="H14">
            <v>-1618354</v>
          </cell>
          <cell r="N14">
            <v>-30040391.098943278</v>
          </cell>
        </row>
        <row r="15">
          <cell r="H15">
            <v>-1618354</v>
          </cell>
          <cell r="N15">
            <v>-34063409.287493341</v>
          </cell>
        </row>
        <row r="16">
          <cell r="H16">
            <v>-1618354</v>
          </cell>
          <cell r="N16">
            <v>-38466485.280815274</v>
          </cell>
        </row>
        <row r="17">
          <cell r="H17">
            <v>-1618354</v>
          </cell>
          <cell r="N17">
            <v>-42426371.982389279</v>
          </cell>
        </row>
        <row r="18">
          <cell r="H18">
            <v>-1618354</v>
          </cell>
          <cell r="N18">
            <v>-47265686.202047274</v>
          </cell>
        </row>
        <row r="19">
          <cell r="H19">
            <v>-1618353</v>
          </cell>
          <cell r="N19">
            <v>-52704744.552713275</v>
          </cell>
        </row>
        <row r="20">
          <cell r="H20">
            <v>-1618353</v>
          </cell>
          <cell r="I20">
            <v>-3386</v>
          </cell>
          <cell r="N20">
            <v>-58456211.225801274</v>
          </cell>
        </row>
        <row r="29">
          <cell r="B29">
            <v>66256428</v>
          </cell>
          <cell r="D29">
            <v>1585</v>
          </cell>
          <cell r="E29">
            <v>1150</v>
          </cell>
          <cell r="N29">
            <v>5521369</v>
          </cell>
          <cell r="O29">
            <v>1585</v>
          </cell>
          <cell r="P29">
            <v>1150</v>
          </cell>
        </row>
        <row r="30">
          <cell r="B30">
            <v>66256440</v>
          </cell>
          <cell r="D30">
            <v>19368</v>
          </cell>
          <cell r="E30">
            <v>-930</v>
          </cell>
          <cell r="N30">
            <v>11042740</v>
          </cell>
          <cell r="O30">
            <v>20953</v>
          </cell>
          <cell r="P30">
            <v>220</v>
          </cell>
        </row>
        <row r="31">
          <cell r="B31">
            <v>58022052</v>
          </cell>
          <cell r="D31">
            <v>5629</v>
          </cell>
          <cell r="E31">
            <v>0</v>
          </cell>
          <cell r="N31">
            <v>14505513</v>
          </cell>
          <cell r="O31">
            <v>26582</v>
          </cell>
          <cell r="P31">
            <v>220</v>
          </cell>
        </row>
        <row r="32">
          <cell r="B32">
            <v>58022052</v>
          </cell>
          <cell r="D32">
            <v>1664</v>
          </cell>
          <cell r="E32">
            <v>95</v>
          </cell>
          <cell r="N32">
            <v>19340684</v>
          </cell>
          <cell r="O32">
            <v>28246</v>
          </cell>
          <cell r="P32">
            <v>315</v>
          </cell>
        </row>
        <row r="33">
          <cell r="B33">
            <v>58022052</v>
          </cell>
          <cell r="D33">
            <v>2441</v>
          </cell>
          <cell r="E33">
            <v>0</v>
          </cell>
          <cell r="N33">
            <v>24175855</v>
          </cell>
          <cell r="O33">
            <v>30687</v>
          </cell>
          <cell r="P33">
            <v>315</v>
          </cell>
        </row>
        <row r="34">
          <cell r="B34">
            <v>53328070</v>
          </cell>
          <cell r="D34">
            <v>2427</v>
          </cell>
          <cell r="E34">
            <v>-55</v>
          </cell>
          <cell r="N34">
            <v>26664035</v>
          </cell>
          <cell r="O34">
            <v>33114</v>
          </cell>
          <cell r="P34">
            <v>260</v>
          </cell>
        </row>
        <row r="35">
          <cell r="B35">
            <v>53611908</v>
          </cell>
          <cell r="D35">
            <v>1627</v>
          </cell>
          <cell r="E35">
            <v>0</v>
          </cell>
          <cell r="N35">
            <v>31273613</v>
          </cell>
          <cell r="O35">
            <v>34741</v>
          </cell>
          <cell r="P35">
            <v>260</v>
          </cell>
        </row>
        <row r="36">
          <cell r="B36">
            <v>51752152.5</v>
          </cell>
          <cell r="D36">
            <v>2503</v>
          </cell>
          <cell r="E36">
            <v>0</v>
          </cell>
          <cell r="N36">
            <v>34501435</v>
          </cell>
          <cell r="O36">
            <v>37244</v>
          </cell>
          <cell r="P36">
            <v>260</v>
          </cell>
        </row>
        <row r="37">
          <cell r="B37">
            <v>51752874.666666672</v>
          </cell>
          <cell r="D37">
            <v>2597</v>
          </cell>
          <cell r="E37">
            <v>-3480</v>
          </cell>
          <cell r="N37">
            <v>38814656</v>
          </cell>
          <cell r="O37">
            <v>39841</v>
          </cell>
          <cell r="P37">
            <v>-3220</v>
          </cell>
        </row>
        <row r="38">
          <cell r="B38">
            <v>51753453.599999994</v>
          </cell>
          <cell r="D38">
            <v>3025</v>
          </cell>
          <cell r="E38">
            <v>0</v>
          </cell>
          <cell r="N38">
            <v>43127878</v>
          </cell>
          <cell r="O38">
            <v>42866</v>
          </cell>
          <cell r="P38">
            <v>-3220</v>
          </cell>
        </row>
        <row r="39">
          <cell r="B39">
            <v>51818728.36363636</v>
          </cell>
          <cell r="D39">
            <v>2467</v>
          </cell>
          <cell r="E39">
            <v>0</v>
          </cell>
          <cell r="N39">
            <v>47500501</v>
          </cell>
          <cell r="O39">
            <v>45333</v>
          </cell>
          <cell r="P39">
            <v>-3220</v>
          </cell>
        </row>
        <row r="40">
          <cell r="B40">
            <v>51481427</v>
          </cell>
          <cell r="D40">
            <v>774</v>
          </cell>
          <cell r="E40">
            <v>3385</v>
          </cell>
          <cell r="N40">
            <v>51481427</v>
          </cell>
          <cell r="O40">
            <v>46107</v>
          </cell>
          <cell r="P40">
            <v>165</v>
          </cell>
        </row>
      </sheetData>
      <sheetData sheetId="2">
        <row r="8">
          <cell r="G8">
            <v>8894921</v>
          </cell>
          <cell r="L8">
            <v>1874799</v>
          </cell>
        </row>
        <row r="9">
          <cell r="D9">
            <v>-2927505.0464920001</v>
          </cell>
          <cell r="H9">
            <v>-468700</v>
          </cell>
          <cell r="N9">
            <v>-2927505.0464920001</v>
          </cell>
        </row>
        <row r="10">
          <cell r="D10">
            <v>-3509481.1378640002</v>
          </cell>
          <cell r="H10">
            <v>-468700</v>
          </cell>
          <cell r="N10">
            <v>-6436986.1843560003</v>
          </cell>
        </row>
        <row r="11">
          <cell r="D11">
            <v>-2334883.9473439995</v>
          </cell>
          <cell r="H11">
            <v>-468700</v>
          </cell>
          <cell r="I11">
            <v>-4068532</v>
          </cell>
          <cell r="N11">
            <v>-8771870.1316999998</v>
          </cell>
        </row>
        <row r="12">
          <cell r="D12">
            <v>-1328003.8561140001</v>
          </cell>
          <cell r="H12">
            <v>-468700</v>
          </cell>
          <cell r="N12">
            <v>-10099873.987814</v>
          </cell>
        </row>
        <row r="13">
          <cell r="D13">
            <v>-501823.53551200032</v>
          </cell>
          <cell r="H13">
            <v>-402199</v>
          </cell>
          <cell r="N13">
            <v>-10601697.523326</v>
          </cell>
        </row>
        <row r="14">
          <cell r="D14">
            <v>-1204175.4595260005</v>
          </cell>
          <cell r="H14">
            <v>-402199</v>
          </cell>
          <cell r="N14">
            <v>-11805872.982852001</v>
          </cell>
        </row>
        <row r="15">
          <cell r="D15">
            <v>-636338.93954799883</v>
          </cell>
          <cell r="H15">
            <v>-402199</v>
          </cell>
          <cell r="N15">
            <v>-12442211.9224</v>
          </cell>
        </row>
        <row r="16">
          <cell r="D16">
            <v>-594802.21847799979</v>
          </cell>
          <cell r="H16">
            <v>-402199</v>
          </cell>
          <cell r="N16">
            <v>-13037014.140877999</v>
          </cell>
        </row>
        <row r="17">
          <cell r="D17">
            <v>-787888.07419400103</v>
          </cell>
          <cell r="H17">
            <v>-402199</v>
          </cell>
          <cell r="N17">
            <v>-13824902.215072</v>
          </cell>
        </row>
        <row r="18">
          <cell r="D18">
            <v>-1750984.4619019981</v>
          </cell>
          <cell r="H18">
            <v>-402200</v>
          </cell>
          <cell r="N18">
            <v>-15575886.676973999</v>
          </cell>
        </row>
        <row r="19">
          <cell r="D19">
            <v>-2152678.87029</v>
          </cell>
          <cell r="H19">
            <v>-402199</v>
          </cell>
          <cell r="N19">
            <v>-17728565.547263999</v>
          </cell>
        </row>
        <row r="20">
          <cell r="D20">
            <v>-2814828.5173580013</v>
          </cell>
          <cell r="H20">
            <v>-402199</v>
          </cell>
          <cell r="N20">
            <v>-20543394.064622</v>
          </cell>
        </row>
        <row r="29">
          <cell r="N29">
            <v>2220557</v>
          </cell>
          <cell r="O29">
            <v>481</v>
          </cell>
          <cell r="P29">
            <v>0</v>
          </cell>
        </row>
        <row r="30">
          <cell r="N30">
            <v>4441115</v>
          </cell>
          <cell r="O30">
            <v>680</v>
          </cell>
          <cell r="P30">
            <v>0</v>
          </cell>
        </row>
        <row r="31">
          <cell r="N31">
            <v>5524804</v>
          </cell>
          <cell r="O31">
            <v>824</v>
          </cell>
          <cell r="P31">
            <v>0</v>
          </cell>
        </row>
        <row r="32">
          <cell r="N32">
            <v>7366406</v>
          </cell>
          <cell r="O32">
            <v>988</v>
          </cell>
          <cell r="P32">
            <v>0</v>
          </cell>
        </row>
        <row r="33">
          <cell r="N33">
            <v>9208007</v>
          </cell>
          <cell r="O33">
            <v>1297</v>
          </cell>
          <cell r="P33">
            <v>0</v>
          </cell>
        </row>
        <row r="34">
          <cell r="N34">
            <v>9320798</v>
          </cell>
          <cell r="O34">
            <v>1297</v>
          </cell>
          <cell r="P34">
            <v>0</v>
          </cell>
        </row>
        <row r="35">
          <cell r="N35">
            <v>10874264</v>
          </cell>
          <cell r="O35">
            <v>1569</v>
          </cell>
          <cell r="P35">
            <v>0</v>
          </cell>
        </row>
        <row r="36">
          <cell r="N36">
            <v>10873972</v>
          </cell>
          <cell r="O36">
            <v>1934</v>
          </cell>
          <cell r="P36">
            <v>0</v>
          </cell>
        </row>
        <row r="37">
          <cell r="N37">
            <v>12233219</v>
          </cell>
          <cell r="O37">
            <v>2085</v>
          </cell>
          <cell r="P37">
            <v>0</v>
          </cell>
        </row>
        <row r="38">
          <cell r="N38">
            <v>13592465</v>
          </cell>
          <cell r="O38">
            <v>2424</v>
          </cell>
          <cell r="P38">
            <v>0</v>
          </cell>
        </row>
        <row r="39">
          <cell r="N39">
            <v>14951712</v>
          </cell>
          <cell r="O39">
            <v>2572</v>
          </cell>
          <cell r="P39">
            <v>0</v>
          </cell>
        </row>
        <row r="40">
          <cell r="N40">
            <v>16140517</v>
          </cell>
          <cell r="O40">
            <v>2757</v>
          </cell>
          <cell r="P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oad Variance 2019"/>
      <sheetName val="2019 Prop Tax Rate Impacts"/>
      <sheetName val="2018 Actual Delivered"/>
      <sheetName val="F2018 Sch Level Delivered Load"/>
      <sheetName val="Old Variance Analysis====&gt;"/>
      <sheetName val="Elec Load Variance 2018"/>
      <sheetName val="Elec Load Variance 2017"/>
    </sheetNames>
    <sheetDataSet>
      <sheetData sheetId="0">
        <row r="8">
          <cell r="D8">
            <v>4216181000</v>
          </cell>
          <cell r="E8">
            <v>4253704994.8765984</v>
          </cell>
          <cell r="G8">
            <v>3.4720000000000003E-3</v>
          </cell>
          <cell r="J8">
            <v>6592018000</v>
          </cell>
          <cell r="K8">
            <v>6500548369.3158875</v>
          </cell>
          <cell r="M8">
            <v>3.228E-3</v>
          </cell>
        </row>
        <row r="12">
          <cell r="D12">
            <v>1069367000</v>
          </cell>
          <cell r="E12">
            <v>965592198.74044168</v>
          </cell>
          <cell r="G12">
            <v>2.6289999999999998E-3</v>
          </cell>
          <cell r="J12">
            <v>2019429000</v>
          </cell>
          <cell r="K12">
            <v>1758947086.7200952</v>
          </cell>
          <cell r="M12">
            <v>2.4450000000000001E-3</v>
          </cell>
        </row>
        <row r="13">
          <cell r="D13">
            <v>1086441000</v>
          </cell>
          <cell r="E13">
            <v>1021322262.928602</v>
          </cell>
          <cell r="G13">
            <v>2.467E-3</v>
          </cell>
          <cell r="J13">
            <v>2165030000</v>
          </cell>
          <cell r="K13">
            <v>2032046917.3711851</v>
          </cell>
          <cell r="M13">
            <v>2.1359999999999999E-3</v>
          </cell>
        </row>
        <row r="14">
          <cell r="D14">
            <v>630802000</v>
          </cell>
          <cell r="E14">
            <v>619832713.26491678</v>
          </cell>
          <cell r="G14">
            <v>2.2649999999999997E-3</v>
          </cell>
          <cell r="J14">
            <v>1305405000</v>
          </cell>
          <cell r="K14">
            <v>1265706494.1980691</v>
          </cell>
          <cell r="M14">
            <v>2.0959999999999998E-3</v>
          </cell>
        </row>
        <row r="15">
          <cell r="D15">
            <v>1566000</v>
          </cell>
          <cell r="E15">
            <v>999633.79680952383</v>
          </cell>
          <cell r="G15">
            <v>2.467E-3</v>
          </cell>
          <cell r="J15">
            <v>14659000</v>
          </cell>
          <cell r="K15">
            <v>14215721.014714286</v>
          </cell>
          <cell r="M15">
            <v>2.1359999999999999E-3</v>
          </cell>
        </row>
        <row r="19">
          <cell r="D19">
            <v>472588000</v>
          </cell>
          <cell r="E19">
            <v>437347619.38864279</v>
          </cell>
          <cell r="G19">
            <v>2.2539999999999999E-3</v>
          </cell>
          <cell r="J19">
            <v>944473000</v>
          </cell>
          <cell r="K19">
            <v>851856526.80293417</v>
          </cell>
          <cell r="M19">
            <v>1.9780000000000002E-3</v>
          </cell>
        </row>
        <row r="20">
          <cell r="D20">
            <v>444000</v>
          </cell>
          <cell r="E20">
            <v>125100</v>
          </cell>
          <cell r="G20">
            <v>2.2539999999999999E-3</v>
          </cell>
          <cell r="J20">
            <v>4723000</v>
          </cell>
          <cell r="K20">
            <v>4579660.8</v>
          </cell>
          <cell r="M20">
            <v>1.9780000000000002E-3</v>
          </cell>
        </row>
        <row r="21">
          <cell r="D21">
            <v>52295000</v>
          </cell>
          <cell r="E21">
            <v>52677846.805</v>
          </cell>
          <cell r="G21">
            <v>3.2960000000000003E-3</v>
          </cell>
          <cell r="J21">
            <v>73389000</v>
          </cell>
          <cell r="K21">
            <v>69422101.465000004</v>
          </cell>
          <cell r="M21">
            <v>2.8159999999999999E-3</v>
          </cell>
        </row>
        <row r="24">
          <cell r="D24">
            <v>193762000</v>
          </cell>
          <cell r="E24">
            <v>162534216.02009088</v>
          </cell>
          <cell r="G24">
            <v>2.104E-3</v>
          </cell>
          <cell r="J24">
            <v>392795000</v>
          </cell>
          <cell r="K24">
            <v>108936501.15463637</v>
          </cell>
          <cell r="M24">
            <v>2.186E-3</v>
          </cell>
        </row>
        <row r="27">
          <cell r="D27">
            <v>25901000</v>
          </cell>
          <cell r="E27">
            <v>25590858.102000002</v>
          </cell>
          <cell r="G27">
            <v>1.6520000000000003E-3</v>
          </cell>
          <cell r="J27">
            <v>50442000</v>
          </cell>
          <cell r="K27">
            <v>51963906.890000008</v>
          </cell>
          <cell r="M27">
            <v>1.5579999999999999E-3</v>
          </cell>
        </row>
        <row r="28">
          <cell r="D28">
            <v>191760000</v>
          </cell>
          <cell r="E28">
            <v>188684512.38800001</v>
          </cell>
          <cell r="G28">
            <v>1.6520000000000003E-3</v>
          </cell>
          <cell r="J28">
            <v>411517000</v>
          </cell>
          <cell r="K28">
            <v>375920703.77899998</v>
          </cell>
          <cell r="M28">
            <v>1.5579999999999999E-3</v>
          </cell>
        </row>
        <row r="31">
          <cell r="D31">
            <v>23160000</v>
          </cell>
          <cell r="E31">
            <v>23203845.387499999</v>
          </cell>
          <cell r="G31">
            <v>9.2829999999999996E-3</v>
          </cell>
          <cell r="J31">
            <v>47972000</v>
          </cell>
          <cell r="K31">
            <v>47470139.316999994</v>
          </cell>
          <cell r="M31">
            <v>9.1549999999999999E-3</v>
          </cell>
        </row>
        <row r="33">
          <cell r="D33">
            <v>677513000</v>
          </cell>
          <cell r="E33">
            <v>682084694.48099995</v>
          </cell>
          <cell r="G33">
            <v>2.9999999999999997E-5</v>
          </cell>
          <cell r="J33">
            <v>1351086000</v>
          </cell>
          <cell r="K33">
            <v>1639936429.4250002</v>
          </cell>
          <cell r="M33">
            <v>2.4999999999999998E-5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venue Variance 2019"/>
      <sheetName val="Work Papers--&gt;"/>
      <sheetName val="Sched 140 Rates 5-1-19"/>
      <sheetName val="F2018 Forecast Load"/>
      <sheetName val="Sched 140 Rates 5-1-18"/>
      <sheetName val="F2017 Forecast Load"/>
      <sheetName val="2019 Actual Therms"/>
      <sheetName val="2019 Actual Rentals"/>
    </sheetNames>
    <sheetDataSet>
      <sheetData sheetId="0" refreshError="1"/>
      <sheetData sheetId="1" refreshError="1"/>
      <sheetData sheetId="2">
        <row r="11">
          <cell r="L11">
            <v>2.2350000000000002E-2</v>
          </cell>
        </row>
        <row r="12">
          <cell r="L12">
            <v>2.528E-2</v>
          </cell>
        </row>
        <row r="13">
          <cell r="L13">
            <v>8.94E-3</v>
          </cell>
        </row>
        <row r="14">
          <cell r="L14">
            <v>5.0499999999999998E-3</v>
          </cell>
        </row>
        <row r="15">
          <cell r="L15">
            <v>7.6699999999999997E-3</v>
          </cell>
        </row>
        <row r="16">
          <cell r="L16">
            <v>2.7299999999999998E-3</v>
          </cell>
        </row>
        <row r="17">
          <cell r="L17">
            <v>3.4299999999999999E-3</v>
          </cell>
        </row>
        <row r="20">
          <cell r="F20">
            <v>337918</v>
          </cell>
          <cell r="R20">
            <v>0.52</v>
          </cell>
        </row>
      </sheetData>
      <sheetData sheetId="3">
        <row r="22">
          <cell r="Q22">
            <v>679062999</v>
          </cell>
        </row>
        <row r="34">
          <cell r="P34" t="str">
            <v>16 &amp; 23</v>
          </cell>
          <cell r="Q34">
            <v>330137004</v>
          </cell>
          <cell r="R34">
            <v>309296856</v>
          </cell>
        </row>
        <row r="35">
          <cell r="P35">
            <v>31</v>
          </cell>
          <cell r="Q35">
            <v>128978118</v>
          </cell>
          <cell r="R35">
            <v>109539482</v>
          </cell>
        </row>
        <row r="36">
          <cell r="P36">
            <v>41</v>
          </cell>
          <cell r="Q36">
            <v>39365595</v>
          </cell>
          <cell r="R36">
            <v>27955025</v>
          </cell>
        </row>
        <row r="37">
          <cell r="P37">
            <v>53</v>
          </cell>
          <cell r="Q37">
            <v>0</v>
          </cell>
          <cell r="R37">
            <v>0</v>
          </cell>
        </row>
        <row r="38">
          <cell r="P38">
            <v>85</v>
          </cell>
          <cell r="Q38">
            <v>8861106</v>
          </cell>
          <cell r="R38">
            <v>7033851</v>
          </cell>
        </row>
        <row r="39">
          <cell r="P39">
            <v>86</v>
          </cell>
          <cell r="Q39">
            <v>4638808</v>
          </cell>
          <cell r="R39">
            <v>4367250</v>
          </cell>
        </row>
        <row r="40">
          <cell r="P40">
            <v>87</v>
          </cell>
          <cell r="Q40">
            <v>13747361</v>
          </cell>
          <cell r="R40">
            <v>8307667</v>
          </cell>
        </row>
        <row r="41">
          <cell r="P41">
            <v>99</v>
          </cell>
          <cell r="Q41">
            <v>22107417</v>
          </cell>
          <cell r="R41">
            <v>14087493</v>
          </cell>
        </row>
        <row r="42">
          <cell r="P42" t="str">
            <v>31T</v>
          </cell>
          <cell r="Q42">
            <v>15772</v>
          </cell>
          <cell r="R42">
            <v>7279</v>
          </cell>
        </row>
        <row r="43">
          <cell r="P43" t="str">
            <v>41T</v>
          </cell>
          <cell r="Q43">
            <v>14920154</v>
          </cell>
          <cell r="R43">
            <v>8497398</v>
          </cell>
        </row>
        <row r="44">
          <cell r="P44" t="str">
            <v>85T</v>
          </cell>
          <cell r="Q44">
            <v>50244049</v>
          </cell>
          <cell r="R44">
            <v>29082711</v>
          </cell>
        </row>
        <row r="45">
          <cell r="P45" t="str">
            <v>86T</v>
          </cell>
          <cell r="Q45">
            <v>136292</v>
          </cell>
          <cell r="R45">
            <v>90282</v>
          </cell>
        </row>
        <row r="46">
          <cell r="P46" t="str">
            <v>87T</v>
          </cell>
          <cell r="Q46">
            <v>65911323</v>
          </cell>
          <cell r="R46">
            <v>34470894</v>
          </cell>
        </row>
      </sheetData>
      <sheetData sheetId="4">
        <row r="11">
          <cell r="M11">
            <v>2.4480000000000002E-2</v>
          </cell>
        </row>
        <row r="12">
          <cell r="M12">
            <v>2.6370000000000001E-2</v>
          </cell>
        </row>
        <row r="13">
          <cell r="M13">
            <v>9.1199999999999996E-3</v>
          </cell>
        </row>
        <row r="14">
          <cell r="M14">
            <v>4.4099999999999999E-3</v>
          </cell>
        </row>
        <row r="15">
          <cell r="M15">
            <v>8.5299999999999994E-3</v>
          </cell>
        </row>
        <row r="16">
          <cell r="M16">
            <v>2.9399999999999999E-3</v>
          </cell>
        </row>
        <row r="17">
          <cell r="M17">
            <v>3.2100000000000002E-3</v>
          </cell>
        </row>
        <row r="20">
          <cell r="G20">
            <v>356929</v>
          </cell>
          <cell r="S20">
            <v>0.59</v>
          </cell>
        </row>
      </sheetData>
      <sheetData sheetId="5">
        <row r="22">
          <cell r="R22">
            <v>539119396</v>
          </cell>
        </row>
        <row r="34">
          <cell r="P34" t="str">
            <v>16 &amp; 23</v>
          </cell>
          <cell r="Q34">
            <v>316601092</v>
          </cell>
          <cell r="R34">
            <v>293817875</v>
          </cell>
        </row>
        <row r="35">
          <cell r="P35">
            <v>31</v>
          </cell>
          <cell r="Q35">
            <v>124745715</v>
          </cell>
          <cell r="R35">
            <v>104133945</v>
          </cell>
        </row>
        <row r="36">
          <cell r="P36">
            <v>41</v>
          </cell>
          <cell r="Q36">
            <v>39447969</v>
          </cell>
          <cell r="R36">
            <v>27898617</v>
          </cell>
        </row>
        <row r="37">
          <cell r="P37">
            <v>53</v>
          </cell>
          <cell r="Q37">
            <v>194</v>
          </cell>
          <cell r="R37">
            <v>109</v>
          </cell>
        </row>
        <row r="38">
          <cell r="P38">
            <v>85</v>
          </cell>
          <cell r="Q38">
            <v>9309199</v>
          </cell>
          <cell r="R38">
            <v>7186504</v>
          </cell>
        </row>
        <row r="39">
          <cell r="P39">
            <v>86</v>
          </cell>
          <cell r="Q39">
            <v>4399461</v>
          </cell>
          <cell r="R39">
            <v>4389510</v>
          </cell>
        </row>
        <row r="40">
          <cell r="P40">
            <v>87</v>
          </cell>
          <cell r="Q40">
            <v>14878564</v>
          </cell>
          <cell r="R40">
            <v>9924218</v>
          </cell>
        </row>
        <row r="41">
          <cell r="P41">
            <v>99</v>
          </cell>
          <cell r="Q41">
            <v>24792529</v>
          </cell>
          <cell r="R41">
            <v>16063545</v>
          </cell>
        </row>
        <row r="42">
          <cell r="P42" t="str">
            <v>31T</v>
          </cell>
          <cell r="Q42">
            <v>21558</v>
          </cell>
          <cell r="R42">
            <v>10500</v>
          </cell>
        </row>
        <row r="43">
          <cell r="P43" t="str">
            <v>41T</v>
          </cell>
          <cell r="Q43">
            <v>15883135</v>
          </cell>
          <cell r="R43">
            <v>9313753</v>
          </cell>
        </row>
        <row r="44">
          <cell r="P44" t="str">
            <v>85T</v>
          </cell>
          <cell r="Q44">
            <v>58752375</v>
          </cell>
          <cell r="R44">
            <v>33070553</v>
          </cell>
        </row>
        <row r="45">
          <cell r="P45" t="str">
            <v>86T</v>
          </cell>
          <cell r="Q45">
            <v>325371</v>
          </cell>
          <cell r="R45">
            <v>212906</v>
          </cell>
        </row>
        <row r="46">
          <cell r="P46" t="str">
            <v>87T</v>
          </cell>
          <cell r="Q46">
            <v>59600788</v>
          </cell>
          <cell r="R46">
            <v>33097361</v>
          </cell>
        </row>
      </sheetData>
      <sheetData sheetId="6">
        <row r="102">
          <cell r="U102" t="str">
            <v>16 &amp; 23</v>
          </cell>
          <cell r="V102">
            <v>309327641.14715487</v>
          </cell>
          <cell r="W102">
            <v>295986127.94985878</v>
          </cell>
        </row>
        <row r="103">
          <cell r="U103">
            <v>31</v>
          </cell>
          <cell r="V103">
            <v>110618184.98539457</v>
          </cell>
          <cell r="W103">
            <v>124151015.49078098</v>
          </cell>
        </row>
        <row r="104">
          <cell r="U104">
            <v>41</v>
          </cell>
          <cell r="V104">
            <v>27578959.21197189</v>
          </cell>
          <cell r="W104">
            <v>38205351.175879657</v>
          </cell>
        </row>
        <row r="105">
          <cell r="U105">
            <v>53</v>
          </cell>
          <cell r="V105">
            <v>0</v>
          </cell>
          <cell r="W105">
            <v>0</v>
          </cell>
        </row>
        <row r="106">
          <cell r="U106">
            <v>85</v>
          </cell>
          <cell r="V106">
            <v>5487489.3094999995</v>
          </cell>
          <cell r="W106">
            <v>9007536.2307937182</v>
          </cell>
        </row>
        <row r="107">
          <cell r="U107">
            <v>86</v>
          </cell>
          <cell r="V107">
            <v>4080101.0284578362</v>
          </cell>
          <cell r="W107">
            <v>4064476.4841364878</v>
          </cell>
        </row>
        <row r="108">
          <cell r="U108">
            <v>87</v>
          </cell>
          <cell r="V108">
            <v>8532318.3340000007</v>
          </cell>
          <cell r="W108">
            <v>14003506.483999999</v>
          </cell>
        </row>
        <row r="109">
          <cell r="U109" t="str">
            <v>31T</v>
          </cell>
          <cell r="V109">
            <v>10490.089999999998</v>
          </cell>
          <cell r="W109">
            <v>15686.229999999992</v>
          </cell>
        </row>
        <row r="110">
          <cell r="U110" t="str">
            <v>41T</v>
          </cell>
          <cell r="V110">
            <v>8302071.2000000002</v>
          </cell>
          <cell r="W110">
            <v>13772903.59</v>
          </cell>
        </row>
        <row r="111">
          <cell r="U111" t="str">
            <v>85T</v>
          </cell>
          <cell r="V111">
            <v>25827496.57</v>
          </cell>
          <cell r="W111">
            <v>47096341.325000003</v>
          </cell>
        </row>
        <row r="112">
          <cell r="U112" t="str">
            <v>86T</v>
          </cell>
          <cell r="V112">
            <v>146731.37</v>
          </cell>
          <cell r="W112">
            <v>268138.49</v>
          </cell>
        </row>
        <row r="113">
          <cell r="U113" t="str">
            <v>87T</v>
          </cell>
          <cell r="V113">
            <v>31151710.649999999</v>
          </cell>
          <cell r="W113">
            <v>64382821.990000002</v>
          </cell>
        </row>
        <row r="114">
          <cell r="U114">
            <v>99</v>
          </cell>
          <cell r="V114">
            <v>15337968.09</v>
          </cell>
          <cell r="W114">
            <v>21344623.93</v>
          </cell>
        </row>
        <row r="115">
          <cell r="V115">
            <v>546401161.98647904</v>
          </cell>
        </row>
      </sheetData>
      <sheetData sheetId="7">
        <row r="64">
          <cell r="U64">
            <v>111663.52894331407</v>
          </cell>
          <cell r="V64">
            <v>218210.92901008498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90" zoomScaleNormal="9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E6" sqref="E6"/>
    </sheetView>
  </sheetViews>
  <sheetFormatPr defaultRowHeight="15" x14ac:dyDescent="0.25"/>
  <cols>
    <col min="1" max="1" width="5.140625" style="59" customWidth="1"/>
    <col min="2" max="2" width="46.28515625" bestFit="1" customWidth="1"/>
    <col min="3" max="3" width="8.85546875" style="8" bestFit="1" customWidth="1"/>
    <col min="4" max="6" width="13.28515625" bestFit="1" customWidth="1"/>
    <col min="7" max="7" width="3.7109375" customWidth="1"/>
    <col min="8" max="8" width="13.7109375" bestFit="1" customWidth="1"/>
    <col min="9" max="9" width="13.42578125" bestFit="1" customWidth="1"/>
    <col min="10" max="10" width="13.140625" bestFit="1" customWidth="1"/>
    <col min="12" max="14" width="12.5703125" bestFit="1" customWidth="1"/>
    <col min="15" max="15" width="4.5703125" customWidth="1"/>
    <col min="16" max="18" width="12.5703125" bestFit="1" customWidth="1"/>
    <col min="19" max="19" width="4.7109375" customWidth="1"/>
    <col min="20" max="22" width="12.28515625" bestFit="1" customWidth="1"/>
    <col min="23" max="23" width="5.28515625" customWidth="1"/>
    <col min="24" max="26" width="12.28515625" bestFit="1" customWidth="1"/>
  </cols>
  <sheetData>
    <row r="1" spans="1:14" ht="18.75" x14ac:dyDescent="0.3">
      <c r="A1" s="36" t="s">
        <v>208</v>
      </c>
      <c r="C1" s="37"/>
    </row>
    <row r="2" spans="1:14" ht="18.75" x14ac:dyDescent="0.3">
      <c r="B2" s="36"/>
      <c r="C2" s="37"/>
    </row>
    <row r="3" spans="1:14" x14ac:dyDescent="0.25">
      <c r="D3" s="35" t="s">
        <v>25</v>
      </c>
      <c r="E3" s="33"/>
      <c r="F3" s="34"/>
      <c r="H3" s="35" t="s">
        <v>26</v>
      </c>
      <c r="I3" s="34"/>
      <c r="J3" s="34"/>
    </row>
    <row r="4" spans="1:14" x14ac:dyDescent="0.25">
      <c r="D4" s="5" t="s">
        <v>0</v>
      </c>
      <c r="E4" s="5" t="s">
        <v>1</v>
      </c>
      <c r="F4" s="5" t="s">
        <v>2</v>
      </c>
      <c r="H4" s="5" t="s">
        <v>0</v>
      </c>
      <c r="I4" s="5" t="s">
        <v>1</v>
      </c>
      <c r="J4" s="5" t="s">
        <v>2</v>
      </c>
    </row>
    <row r="5" spans="1:14" x14ac:dyDescent="0.25">
      <c r="H5" s="9">
        <f>'E Conv Fctr'!E19</f>
        <v>0.95238599999999995</v>
      </c>
      <c r="I5" s="9">
        <f>'G Conv Fctr'!E17</f>
        <v>0.954538</v>
      </c>
      <c r="J5" s="9"/>
      <c r="K5" s="177"/>
      <c r="L5" s="9"/>
    </row>
    <row r="6" spans="1:14" x14ac:dyDescent="0.25">
      <c r="A6" s="59">
        <v>1</v>
      </c>
      <c r="B6" t="s">
        <v>221</v>
      </c>
      <c r="C6" s="38"/>
      <c r="D6" s="56">
        <f>'2019 FINAL Rev Req '!D21</f>
        <v>57126055.389853239</v>
      </c>
      <c r="E6" s="56">
        <f>'2019 FINAL Rev Req '!E21</f>
        <v>21309018.70527197</v>
      </c>
      <c r="F6" s="56">
        <f>SUM(D6:E6)</f>
        <v>78435074.095125213</v>
      </c>
      <c r="G6" s="9"/>
      <c r="H6" s="56">
        <f>D6/$H$5</f>
        <v>59982040.254532553</v>
      </c>
      <c r="I6" s="56">
        <f>E6/$I$5</f>
        <v>22323908.220806263</v>
      </c>
      <c r="J6" s="56">
        <f>SUM(H6:I6)</f>
        <v>82305948.475338817</v>
      </c>
    </row>
    <row r="7" spans="1:14" x14ac:dyDescent="0.25">
      <c r="D7" s="9"/>
      <c r="E7" s="9"/>
      <c r="F7" s="9"/>
      <c r="G7" s="9"/>
      <c r="H7" s="9"/>
      <c r="I7" s="9"/>
      <c r="J7" s="9"/>
    </row>
    <row r="8" spans="1:14" x14ac:dyDescent="0.25">
      <c r="A8" s="59">
        <v>2</v>
      </c>
      <c r="B8" t="s">
        <v>3</v>
      </c>
      <c r="D8" s="9"/>
      <c r="E8" s="184"/>
      <c r="F8" s="9"/>
      <c r="G8" s="9"/>
      <c r="H8" s="9"/>
      <c r="I8" s="9"/>
      <c r="J8" s="9"/>
    </row>
    <row r="9" spans="1:14" x14ac:dyDescent="0.25">
      <c r="A9" s="59">
        <v>3</v>
      </c>
      <c r="B9" s="4" t="s">
        <v>234</v>
      </c>
      <c r="C9" s="142"/>
      <c r="D9" s="10">
        <f>'Est Pmt due Apr&amp;Oct 2020'!F23</f>
        <v>51838430</v>
      </c>
      <c r="E9" s="10">
        <f>'Est Pmt due Apr&amp;Oct 2020'!H23</f>
        <v>17541777</v>
      </c>
      <c r="F9" s="10">
        <f>SUM(D9:E9)</f>
        <v>69380207</v>
      </c>
      <c r="G9" s="9"/>
      <c r="H9" s="56">
        <f>D9/$H$5</f>
        <v>54430063.020665996</v>
      </c>
      <c r="I9" s="56">
        <f>E9/$I$5</f>
        <v>18377243.231804285</v>
      </c>
      <c r="J9" s="10">
        <f>SUM(H9:I9)</f>
        <v>72807306.252470285</v>
      </c>
      <c r="L9" s="3"/>
      <c r="M9" s="3"/>
      <c r="N9" s="3"/>
    </row>
    <row r="10" spans="1:14" x14ac:dyDescent="0.25">
      <c r="A10" s="59">
        <v>4</v>
      </c>
      <c r="B10" s="4" t="s">
        <v>221</v>
      </c>
      <c r="C10" s="38" t="s">
        <v>27</v>
      </c>
      <c r="D10" s="10">
        <f>D6</f>
        <v>57126055.389853239</v>
      </c>
      <c r="E10" s="10">
        <f>E6</f>
        <v>21309018.70527197</v>
      </c>
      <c r="F10" s="10">
        <f>SUM(D10:E10)</f>
        <v>78435074.095125213</v>
      </c>
      <c r="G10" s="9"/>
      <c r="H10" s="56">
        <f>D10/$H$5</f>
        <v>59982040.254532553</v>
      </c>
      <c r="I10" s="56">
        <f>E10/$I$5</f>
        <v>22323908.220806263</v>
      </c>
      <c r="J10" s="10">
        <f>SUM(H10:I10)</f>
        <v>82305948.475338817</v>
      </c>
      <c r="L10" s="3"/>
      <c r="M10" s="3"/>
      <c r="N10" s="3"/>
    </row>
    <row r="11" spans="1:14" x14ac:dyDescent="0.25">
      <c r="A11" s="59">
        <v>5</v>
      </c>
      <c r="B11" t="s">
        <v>222</v>
      </c>
      <c r="D11" s="10">
        <f>'Elec Load Variance 2019'!P35*'2020 Rev Req Estimate'!H5</f>
        <v>2519105.4467049497</v>
      </c>
      <c r="E11" s="10">
        <f>'Gas Load Variance 2019'!O26*'2020 Rev Req Estimate'!I5</f>
        <v>434141.46669341688</v>
      </c>
      <c r="F11" s="10">
        <f>SUM(D11:E11)</f>
        <v>2953246.9133983664</v>
      </c>
      <c r="G11" s="9"/>
      <c r="H11" s="56">
        <f>D11/$H$5</f>
        <v>2645046.700292686</v>
      </c>
      <c r="I11" s="56">
        <f>E11/$I$5</f>
        <v>454818.42178458779</v>
      </c>
      <c r="J11" s="10">
        <f>SUM(H11:I11)</f>
        <v>3099865.1220772737</v>
      </c>
      <c r="M11" s="68"/>
      <c r="N11" s="3"/>
    </row>
    <row r="12" spans="1:14" x14ac:dyDescent="0.25">
      <c r="D12" s="57"/>
      <c r="E12" s="57"/>
      <c r="F12" s="57"/>
      <c r="G12" s="9"/>
      <c r="H12" s="133">
        <f>'Elec Load Variance 2019'!P35-'2020 Rev Req Estimate'!H11</f>
        <v>0</v>
      </c>
      <c r="I12" s="133">
        <f>'Gas Load Variance 2019'!O26-'2020 Rev Req Estimate'!I11</f>
        <v>0</v>
      </c>
      <c r="J12" s="134" t="s">
        <v>133</v>
      </c>
      <c r="L12" s="3"/>
      <c r="M12" s="3"/>
    </row>
    <row r="13" spans="1:14" x14ac:dyDescent="0.25">
      <c r="A13" s="59">
        <v>6</v>
      </c>
      <c r="B13" t="s">
        <v>134</v>
      </c>
      <c r="C13" s="38" t="s">
        <v>29</v>
      </c>
      <c r="D13" s="10">
        <f>D9-D10+D11</f>
        <v>-2768519.9431482893</v>
      </c>
      <c r="E13" s="10">
        <f>E9-E10+E11</f>
        <v>-3333100.2385785538</v>
      </c>
      <c r="F13" s="10">
        <f>SUM(D13:E13)</f>
        <v>-6101620.1817268431</v>
      </c>
      <c r="G13" s="9"/>
      <c r="H13" s="10">
        <f>H9-H10+H11</f>
        <v>-2906930.5335738715</v>
      </c>
      <c r="I13" s="10">
        <f>I9-I10+I11</f>
        <v>-3491846.5672173905</v>
      </c>
      <c r="J13" s="10">
        <f>SUM(H13:I13)</f>
        <v>-6398777.1007912625</v>
      </c>
      <c r="L13" s="3"/>
      <c r="M13" s="3"/>
      <c r="N13" s="3"/>
    </row>
    <row r="14" spans="1:14" x14ac:dyDescent="0.25">
      <c r="D14" s="57"/>
      <c r="E14" s="57"/>
      <c r="F14" s="57"/>
      <c r="G14" s="9"/>
      <c r="H14" s="57"/>
      <c r="I14" s="57"/>
      <c r="J14" s="57"/>
    </row>
    <row r="15" spans="1:14" ht="15.75" thickBot="1" x14ac:dyDescent="0.3">
      <c r="A15" s="59">
        <v>7</v>
      </c>
      <c r="B15" t="s">
        <v>24</v>
      </c>
      <c r="C15" s="38" t="s">
        <v>28</v>
      </c>
      <c r="D15" s="58">
        <f>D6+D13</f>
        <v>54357535.446704946</v>
      </c>
      <c r="E15" s="58">
        <f>E6+E13</f>
        <v>17975918.466693416</v>
      </c>
      <c r="F15" s="58">
        <f>SUM(D15:E15)</f>
        <v>72333453.913398355</v>
      </c>
      <c r="G15" s="9"/>
      <c r="H15" s="58">
        <f>H6+H13</f>
        <v>57075109.72095868</v>
      </c>
      <c r="I15" s="58">
        <f>I6+I13</f>
        <v>18832061.653588872</v>
      </c>
      <c r="J15" s="58">
        <f>SUM(H15:I15)</f>
        <v>75907171.374547556</v>
      </c>
    </row>
    <row r="16" spans="1:14" ht="15.75" thickTop="1" x14ac:dyDescent="0.25">
      <c r="D16" s="9"/>
      <c r="E16" s="9"/>
      <c r="F16" s="9"/>
      <c r="G16" s="9"/>
      <c r="H16" s="9"/>
      <c r="I16" s="9"/>
      <c r="J16" s="9"/>
    </row>
    <row r="17" spans="1:11" x14ac:dyDescent="0.25">
      <c r="D17" s="9"/>
      <c r="E17" s="9"/>
      <c r="F17" s="9"/>
      <c r="G17" s="9"/>
      <c r="H17" s="9"/>
      <c r="I17" s="9"/>
      <c r="J17" s="9"/>
    </row>
    <row r="18" spans="1:11" x14ac:dyDescent="0.25">
      <c r="A18" s="59">
        <v>8</v>
      </c>
      <c r="B18" t="s">
        <v>4</v>
      </c>
      <c r="C18" s="38" t="s">
        <v>168</v>
      </c>
      <c r="D18" s="56">
        <f>D15-D19</f>
        <v>40686325.672506221</v>
      </c>
      <c r="E18" s="56">
        <f>E15-E19</f>
        <v>17283645.531315416</v>
      </c>
      <c r="F18" s="56">
        <f>SUM(D18:E18)</f>
        <v>57969971.203821637</v>
      </c>
      <c r="G18" s="9"/>
      <c r="H18" s="56">
        <f>H15-H19</f>
        <v>42720415.537929185</v>
      </c>
      <c r="I18" s="56">
        <f>I15-I19</f>
        <v>18106817.676525623</v>
      </c>
      <c r="J18" s="56">
        <f>SUM(H18:I18)</f>
        <v>60827233.214454807</v>
      </c>
    </row>
    <row r="19" spans="1:11" x14ac:dyDescent="0.25">
      <c r="A19" s="59">
        <v>9</v>
      </c>
      <c r="B19" t="s">
        <v>5</v>
      </c>
      <c r="C19" s="142"/>
      <c r="D19" s="10">
        <f>'Electric summary'!G20</f>
        <v>13671209.774198726</v>
      </c>
      <c r="E19" s="10">
        <f>'Gas summary'!G20</f>
        <v>692272.93537800107</v>
      </c>
      <c r="F19" s="10">
        <f>SUM(D19:E19)</f>
        <v>14363482.709576726</v>
      </c>
      <c r="G19" s="9"/>
      <c r="H19" s="1">
        <f>D19/$H$5</f>
        <v>14354694.183029493</v>
      </c>
      <c r="I19" s="1">
        <f>E19/$I$5</f>
        <v>725243.97706325061</v>
      </c>
      <c r="J19" s="10">
        <f>SUM(H19:I19)</f>
        <v>15079938.160092743</v>
      </c>
    </row>
    <row r="20" spans="1:11" x14ac:dyDescent="0.25">
      <c r="D20" s="57"/>
      <c r="E20" s="57"/>
      <c r="F20" s="57"/>
      <c r="G20" s="9"/>
      <c r="H20" s="57"/>
      <c r="I20" s="57"/>
      <c r="J20" s="57"/>
    </row>
    <row r="21" spans="1:11" ht="15.75" thickBot="1" x14ac:dyDescent="0.3">
      <c r="A21" s="59">
        <v>10</v>
      </c>
      <c r="B21" t="s">
        <v>24</v>
      </c>
      <c r="C21" s="38" t="s">
        <v>30</v>
      </c>
      <c r="D21" s="66">
        <f>SUM(D18:D20)</f>
        <v>54357535.446704946</v>
      </c>
      <c r="E21" s="66">
        <f>SUM(E18:E20)</f>
        <v>17975918.466693416</v>
      </c>
      <c r="F21" s="66">
        <f>SUM(D21:E21)</f>
        <v>72333453.913398355</v>
      </c>
      <c r="H21" s="66">
        <f>SUM(H18:H19)</f>
        <v>57075109.72095868</v>
      </c>
      <c r="I21" s="66">
        <f>SUM(I18:I19)</f>
        <v>18832061.653588872</v>
      </c>
      <c r="J21" s="66">
        <f>SUM(H21:I21)</f>
        <v>75907171.374547556</v>
      </c>
    </row>
    <row r="22" spans="1:11" ht="15.75" thickTop="1" x14ac:dyDescent="0.25">
      <c r="D22" s="9"/>
      <c r="E22" s="9"/>
      <c r="F22" s="9"/>
    </row>
    <row r="23" spans="1:11" x14ac:dyDescent="0.25">
      <c r="D23" s="56"/>
      <c r="E23" s="56"/>
      <c r="F23" s="56"/>
    </row>
    <row r="24" spans="1:11" x14ac:dyDescent="0.25">
      <c r="A24" s="59">
        <v>11</v>
      </c>
      <c r="B24" t="s">
        <v>6</v>
      </c>
    </row>
    <row r="25" spans="1:11" x14ac:dyDescent="0.25">
      <c r="A25" s="59">
        <f>+A24+1</f>
        <v>12</v>
      </c>
      <c r="B25" s="4" t="s">
        <v>7</v>
      </c>
      <c r="D25" s="3">
        <f>-'2019 FINAL Rev Req '!D9+'2020 Rev Req Estimate'!D9</f>
        <v>-3895229</v>
      </c>
      <c r="E25" s="3">
        <f>-'2019 FINAL Rev Req '!E9+'2020 Rev Req Estimate'!E9</f>
        <v>-2597486</v>
      </c>
      <c r="F25" s="3">
        <f>SUM(D25:E25)</f>
        <v>-6492715</v>
      </c>
      <c r="H25" s="1">
        <f>D25/$H$5</f>
        <v>-4089968.7731655026</v>
      </c>
      <c r="I25" s="1">
        <f>E25/$I$5</f>
        <v>-2721197.0607770463</v>
      </c>
      <c r="J25" s="3">
        <f>SUM(H25:I25)</f>
        <v>-6811165.8339425493</v>
      </c>
    </row>
    <row r="26" spans="1:11" x14ac:dyDescent="0.25">
      <c r="A26" s="59">
        <f t="shared" ref="A26:A27" si="0">+A25+1</f>
        <v>13</v>
      </c>
      <c r="B26" s="4" t="s">
        <v>9</v>
      </c>
      <c r="D26" s="3">
        <f>-'2019 FINAL Rev Req '!D11+'2020 Rev Req Estimate'!D11</f>
        <v>1126709.0568517144</v>
      </c>
      <c r="E26" s="3">
        <f>-'2019 FINAL Rev Req '!E11+'2020 Rev Req Estimate'!E11</f>
        <v>-735614.23857855517</v>
      </c>
      <c r="F26" s="3">
        <f>SUM(D26:E26)</f>
        <v>391094.81827315921</v>
      </c>
      <c r="H26" s="1">
        <f>D26/$H$5</f>
        <v>1183038.2395916304</v>
      </c>
      <c r="I26" s="1">
        <f>E26/$I$5</f>
        <v>-770649.50644034625</v>
      </c>
      <c r="J26" s="3">
        <f>SUM(H26:I26)</f>
        <v>412388.73315128416</v>
      </c>
    </row>
    <row r="27" spans="1:11" ht="15.75" thickBot="1" x14ac:dyDescent="0.3">
      <c r="A27" s="59">
        <f t="shared" si="0"/>
        <v>14</v>
      </c>
      <c r="B27" t="s">
        <v>8</v>
      </c>
      <c r="D27" s="6">
        <f>SUM(D25:D26)</f>
        <v>-2768519.9431482856</v>
      </c>
      <c r="E27" s="6">
        <f>SUM(E25:E26)</f>
        <v>-3333100.2385785552</v>
      </c>
      <c r="F27" s="6">
        <f>SUM(D27:E27)</f>
        <v>-6101620.1817268413</v>
      </c>
      <c r="H27" s="6">
        <f>SUM(H25:H26)</f>
        <v>-2906930.5335738724</v>
      </c>
      <c r="I27" s="6">
        <f>SUM(I25:I26)</f>
        <v>-3491846.5672173924</v>
      </c>
      <c r="J27" s="6">
        <f>SUM(H27:I27)</f>
        <v>-6398777.1007912643</v>
      </c>
    </row>
    <row r="28" spans="1:11" ht="15.75" thickTop="1" x14ac:dyDescent="0.25">
      <c r="D28" s="40">
        <f>D27-D13</f>
        <v>3.7252902984619141E-9</v>
      </c>
      <c r="E28" s="40">
        <f>E27-E13</f>
        <v>0</v>
      </c>
      <c r="F28" s="40">
        <f>F27-F13</f>
        <v>0</v>
      </c>
      <c r="G28" s="39"/>
      <c r="H28" s="41">
        <f>H27-H13</f>
        <v>0</v>
      </c>
      <c r="I28" s="40">
        <f>I27-I13</f>
        <v>0</v>
      </c>
      <c r="J28" s="40">
        <f>J27-J13</f>
        <v>0</v>
      </c>
      <c r="K28" s="39"/>
    </row>
    <row r="29" spans="1:11" x14ac:dyDescent="0.25">
      <c r="D29" s="364"/>
      <c r="E29" s="364"/>
      <c r="H29" s="2"/>
      <c r="I29" s="2"/>
      <c r="J29" s="2"/>
    </row>
    <row r="30" spans="1:11" x14ac:dyDescent="0.25">
      <c r="A30" s="59">
        <f>+A27+1</f>
        <v>15</v>
      </c>
      <c r="B30" s="7" t="s">
        <v>83</v>
      </c>
      <c r="C30" s="38"/>
      <c r="H30" s="42">
        <f>H27/H6</f>
        <v>-4.8463348716355305E-2</v>
      </c>
      <c r="I30" s="42">
        <f>I27/I6</f>
        <v>-0.1564173500750613</v>
      </c>
    </row>
    <row r="31" spans="1:11" x14ac:dyDescent="0.25">
      <c r="A31" s="59">
        <f>+A30+1</f>
        <v>16</v>
      </c>
      <c r="B31" s="7" t="s">
        <v>84</v>
      </c>
      <c r="H31" s="59" t="str">
        <f>IF(ABS(H30)&gt;1%,"yes","no")</f>
        <v>yes</v>
      </c>
      <c r="I31" s="119" t="str">
        <f>IF(ABS(I30)&gt;1%,"yes","no")</f>
        <v>yes</v>
      </c>
    </row>
    <row r="32" spans="1:11" x14ac:dyDescent="0.25">
      <c r="A32" s="59">
        <f t="shared" ref="A32:A33" si="1">+A31+1</f>
        <v>17</v>
      </c>
      <c r="B32" s="43" t="s">
        <v>32</v>
      </c>
    </row>
    <row r="33" spans="1:2" x14ac:dyDescent="0.25">
      <c r="A33" s="59">
        <f t="shared" si="1"/>
        <v>18</v>
      </c>
      <c r="B33" s="43" t="s">
        <v>33</v>
      </c>
    </row>
    <row r="35" spans="1:2" x14ac:dyDescent="0.25">
      <c r="B35" s="44"/>
    </row>
    <row r="36" spans="1:2" x14ac:dyDescent="0.25">
      <c r="B36" s="44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90" zoomScaleNormal="90" workbookViewId="0">
      <pane xSplit="2" ySplit="4" topLeftCell="C5" activePane="bottomRight" state="frozen"/>
      <selection activeCell="M34" sqref="M34"/>
      <selection pane="topRight" activeCell="M34" sqref="M34"/>
      <selection pane="bottomLeft" activeCell="M34" sqref="M34"/>
      <selection pane="bottomRight" activeCell="D36" sqref="D36"/>
    </sheetView>
  </sheetViews>
  <sheetFormatPr defaultColWidth="8.85546875" defaultRowHeight="15" x14ac:dyDescent="0.25"/>
  <cols>
    <col min="1" max="1" width="5.140625" style="76" customWidth="1"/>
    <col min="2" max="2" width="40" style="9" customWidth="1"/>
    <col min="3" max="3" width="8.85546875" style="125" bestFit="1" customWidth="1"/>
    <col min="4" max="10" width="14.5703125" style="9" customWidth="1"/>
    <col min="11" max="11" width="8.85546875" style="9"/>
    <col min="12" max="14" width="12.5703125" style="9" bestFit="1" customWidth="1"/>
    <col min="15" max="15" width="4.5703125" style="9" customWidth="1"/>
    <col min="16" max="18" width="12.5703125" style="9" bestFit="1" customWidth="1"/>
    <col min="19" max="19" width="4.7109375" style="9" customWidth="1"/>
    <col min="20" max="22" width="12.28515625" style="9" bestFit="1" customWidth="1"/>
    <col min="23" max="23" width="5.28515625" style="9" customWidth="1"/>
    <col min="24" max="26" width="12.28515625" style="9" bestFit="1" customWidth="1"/>
    <col min="27" max="16384" width="8.85546875" style="9"/>
  </cols>
  <sheetData>
    <row r="1" spans="1:14" ht="18.75" x14ac:dyDescent="0.3">
      <c r="A1" s="121" t="s">
        <v>209</v>
      </c>
      <c r="C1" s="122"/>
      <c r="E1" s="123"/>
      <c r="F1" s="124"/>
      <c r="G1" s="124"/>
      <c r="H1" s="124"/>
      <c r="I1" s="124"/>
      <c r="J1" s="124"/>
      <c r="K1" s="124"/>
      <c r="L1" s="124"/>
      <c r="M1" s="124"/>
    </row>
    <row r="2" spans="1:14" ht="18.75" x14ac:dyDescent="0.3">
      <c r="B2" s="121"/>
      <c r="C2" s="122"/>
    </row>
    <row r="3" spans="1:14" x14ac:dyDescent="0.25">
      <c r="D3" s="126" t="s">
        <v>25</v>
      </c>
      <c r="E3" s="127"/>
      <c r="F3" s="128"/>
      <c r="H3" s="126" t="s">
        <v>26</v>
      </c>
      <c r="I3" s="128"/>
      <c r="J3" s="128"/>
    </row>
    <row r="4" spans="1:14" x14ac:dyDescent="0.25">
      <c r="D4" s="129" t="s">
        <v>0</v>
      </c>
      <c r="E4" s="129" t="s">
        <v>1</v>
      </c>
      <c r="F4" s="129" t="s">
        <v>2</v>
      </c>
      <c r="H4" s="129" t="s">
        <v>0</v>
      </c>
      <c r="I4" s="129" t="s">
        <v>1</v>
      </c>
      <c r="J4" s="129" t="s">
        <v>2</v>
      </c>
    </row>
    <row r="5" spans="1:14" x14ac:dyDescent="0.25">
      <c r="H5" s="9">
        <f>+'E Conv Fctr'!E19</f>
        <v>0.95238599999999995</v>
      </c>
      <c r="I5" s="9">
        <f>+'G Conv Fctr'!E17</f>
        <v>0.954538</v>
      </c>
    </row>
    <row r="6" spans="1:14" x14ac:dyDescent="0.25">
      <c r="A6" s="76">
        <v>1</v>
      </c>
      <c r="B6" s="9" t="s">
        <v>165</v>
      </c>
      <c r="D6" s="56">
        <f>+'[1]2019 Rev Req'!D6</f>
        <v>60313314.240019262</v>
      </c>
      <c r="E6" s="56">
        <f>+'[1]2019 Rev Req'!E6</f>
        <v>22019078.859071229</v>
      </c>
      <c r="F6" s="56">
        <f>SUM(D6:E6)</f>
        <v>82332393.099090487</v>
      </c>
      <c r="H6" s="56">
        <f>D6/$H$5</f>
        <v>63328644.310205385</v>
      </c>
      <c r="I6" s="56">
        <f>E6/$I$5</f>
        <v>23067786.572217375</v>
      </c>
      <c r="J6" s="56">
        <f>SUM(H6:I6)</f>
        <v>86396430.88242276</v>
      </c>
    </row>
    <row r="8" spans="1:14" x14ac:dyDescent="0.25">
      <c r="A8" s="76">
        <v>2</v>
      </c>
      <c r="B8" s="9" t="s">
        <v>3</v>
      </c>
    </row>
    <row r="9" spans="1:14" x14ac:dyDescent="0.25">
      <c r="A9" s="76">
        <v>3</v>
      </c>
      <c r="B9" s="130" t="s">
        <v>166</v>
      </c>
      <c r="D9" s="10">
        <f>+'[1]2019 Rev Req'!D9</f>
        <v>55733659</v>
      </c>
      <c r="E9" s="10">
        <f>+'[1]2019 Rev Req'!E9</f>
        <v>20139263</v>
      </c>
      <c r="F9" s="10">
        <f>SUM(D9:E9)</f>
        <v>75872922</v>
      </c>
      <c r="H9" s="56">
        <f>D9/$H$5</f>
        <v>58520031.793831497</v>
      </c>
      <c r="I9" s="56">
        <f>E9/$I$5</f>
        <v>21098440.292581331</v>
      </c>
      <c r="J9" s="10">
        <f>SUM(H9:I9)</f>
        <v>79618472.086412832</v>
      </c>
      <c r="L9" s="10"/>
      <c r="M9" s="10"/>
      <c r="N9" s="10"/>
    </row>
    <row r="10" spans="1:14" x14ac:dyDescent="0.25">
      <c r="A10" s="76">
        <v>4</v>
      </c>
      <c r="B10" s="130" t="s">
        <v>165</v>
      </c>
      <c r="C10" s="131" t="s">
        <v>27</v>
      </c>
      <c r="D10" s="10">
        <f>+'[1]2019 Rev Req'!D10</f>
        <v>60313314.240019262</v>
      </c>
      <c r="E10" s="10">
        <f>+'[1]2019 Rev Req'!E10</f>
        <v>22019078.859071229</v>
      </c>
      <c r="F10" s="10">
        <f>SUM(D10:E10)</f>
        <v>82332393.099090487</v>
      </c>
      <c r="H10" s="56">
        <f>D10/$H$5</f>
        <v>63328644.310205385</v>
      </c>
      <c r="I10" s="56">
        <f>E10/$I$5</f>
        <v>23067786.572217375</v>
      </c>
      <c r="J10" s="10">
        <f>SUM(H10:I10)</f>
        <v>86396430.88242276</v>
      </c>
      <c r="L10" s="10"/>
      <c r="M10" s="10"/>
      <c r="N10" s="10"/>
    </row>
    <row r="11" spans="1:14" x14ac:dyDescent="0.25">
      <c r="A11" s="76">
        <v>5</v>
      </c>
      <c r="B11" s="9" t="s">
        <v>167</v>
      </c>
      <c r="D11" s="10">
        <f>+'[1]2019 Rev Req'!D11</f>
        <v>1392396.3898532353</v>
      </c>
      <c r="E11" s="10">
        <f>+'[1]2019 Rev Req'!E11</f>
        <v>1169755.7052719721</v>
      </c>
      <c r="F11" s="10">
        <f>SUM(D11:E11)</f>
        <v>2562152.0951252077</v>
      </c>
      <c r="H11" s="56">
        <f>D11/$H$5</f>
        <v>1462008.4607010554</v>
      </c>
      <c r="I11" s="56">
        <f>E11/$I$5</f>
        <v>1225467.928224934</v>
      </c>
      <c r="J11" s="10">
        <f>SUM(H11:I11)</f>
        <v>2687476.3889259892</v>
      </c>
      <c r="L11" s="132"/>
      <c r="M11" s="132"/>
      <c r="N11" s="10"/>
    </row>
    <row r="12" spans="1:14" x14ac:dyDescent="0.25">
      <c r="D12" s="57"/>
      <c r="E12" s="57"/>
      <c r="F12" s="57"/>
      <c r="H12" s="133">
        <f>'[1]Elec Load Variance 2018'!P35-H11</f>
        <v>0</v>
      </c>
      <c r="I12" s="133">
        <f>'[1]Gas Load Variance 2018'!O26-I11</f>
        <v>0</v>
      </c>
      <c r="J12" s="134" t="s">
        <v>133</v>
      </c>
      <c r="L12" s="10"/>
      <c r="M12" s="10"/>
    </row>
    <row r="13" spans="1:14" x14ac:dyDescent="0.25">
      <c r="A13" s="76">
        <v>6</v>
      </c>
      <c r="B13" s="9" t="s">
        <v>134</v>
      </c>
      <c r="C13" s="131" t="s">
        <v>29</v>
      </c>
      <c r="D13" s="10">
        <f>D9-D10+D11</f>
        <v>-3187258.8501660265</v>
      </c>
      <c r="E13" s="10">
        <f>E9-E10+E11</f>
        <v>-710060.15379925654</v>
      </c>
      <c r="F13" s="10">
        <f>SUM(D13:E13)</f>
        <v>-3897319.0039652828</v>
      </c>
      <c r="H13" s="10">
        <f>H9-H10+H11</f>
        <v>-3346604.0556728323</v>
      </c>
      <c r="I13" s="10">
        <f>I9-I10+I11</f>
        <v>-743878.35141111002</v>
      </c>
      <c r="J13" s="10">
        <f>SUM(H13:I13)</f>
        <v>-4090482.4070839426</v>
      </c>
      <c r="K13" s="135"/>
      <c r="L13" s="135"/>
      <c r="M13" s="135"/>
    </row>
    <row r="14" spans="1:14" x14ac:dyDescent="0.25">
      <c r="D14" s="57"/>
      <c r="E14" s="57"/>
      <c r="F14" s="57"/>
      <c r="H14" s="57"/>
      <c r="I14" s="57"/>
      <c r="J14" s="57"/>
      <c r="K14" s="136"/>
      <c r="L14" s="136"/>
      <c r="M14" s="136"/>
    </row>
    <row r="15" spans="1:14" ht="15.75" thickBot="1" x14ac:dyDescent="0.3">
      <c r="A15" s="76">
        <v>7</v>
      </c>
      <c r="B15" s="9" t="s">
        <v>24</v>
      </c>
      <c r="C15" s="131" t="s">
        <v>28</v>
      </c>
      <c r="D15" s="58">
        <f>D6+D13</f>
        <v>57126055.389853239</v>
      </c>
      <c r="E15" s="58">
        <f>E6+E13</f>
        <v>21309018.70527197</v>
      </c>
      <c r="F15" s="58">
        <f>SUM(D15:E15)</f>
        <v>78435074.095125213</v>
      </c>
      <c r="H15" s="58">
        <f>H6+H13</f>
        <v>59982040.254532553</v>
      </c>
      <c r="I15" s="58">
        <f>I6+I13</f>
        <v>22323908.220806263</v>
      </c>
      <c r="J15" s="58">
        <f>SUM(H15:I15)</f>
        <v>82305948.475338817</v>
      </c>
    </row>
    <row r="16" spans="1:14" ht="15.75" thickTop="1" x14ac:dyDescent="0.25"/>
    <row r="18" spans="1:11" x14ac:dyDescent="0.25">
      <c r="A18" s="76">
        <v>8</v>
      </c>
      <c r="B18" s="9" t="s">
        <v>4</v>
      </c>
      <c r="C18" s="131" t="s">
        <v>31</v>
      </c>
      <c r="D18" s="56">
        <f>+'[1]2019 Rev Req'!D18</f>
        <v>29926824.772686236</v>
      </c>
      <c r="E18" s="56">
        <f>+'[1]2019 Rev Req'!E18</f>
        <v>12414096.93711197</v>
      </c>
      <c r="F18" s="56">
        <f>SUM(D18:E18)</f>
        <v>42340921.709798202</v>
      </c>
      <c r="H18" s="56">
        <f>H15-H19</f>
        <v>31422999.469423361</v>
      </c>
      <c r="I18" s="56">
        <f>I15-I19</f>
        <v>13005345.975866826</v>
      </c>
      <c r="J18" s="56">
        <f>SUM(H18:I18)</f>
        <v>44428345.445290186</v>
      </c>
    </row>
    <row r="19" spans="1:11" x14ac:dyDescent="0.25">
      <c r="A19" s="76">
        <v>9</v>
      </c>
      <c r="B19" s="9" t="s">
        <v>5</v>
      </c>
      <c r="D19" s="10">
        <v>27199230.617167003</v>
      </c>
      <c r="E19" s="10">
        <v>8894921.7681600004</v>
      </c>
      <c r="F19" s="10">
        <f>SUM(D19:E19)</f>
        <v>36094152.385327004</v>
      </c>
      <c r="H19" s="1">
        <f>D19/$H$5</f>
        <v>28559040.785109192</v>
      </c>
      <c r="I19" s="1">
        <f>E19/$I$5</f>
        <v>9318562.2449394371</v>
      </c>
      <c r="J19" s="10">
        <f>SUM(H19:I19)</f>
        <v>37877603.030048631</v>
      </c>
    </row>
    <row r="20" spans="1:11" x14ac:dyDescent="0.25">
      <c r="D20" s="57"/>
      <c r="E20" s="57"/>
      <c r="F20" s="57"/>
      <c r="H20" s="57"/>
      <c r="I20" s="57"/>
      <c r="J20" s="57"/>
    </row>
    <row r="21" spans="1:11" ht="15.75" thickBot="1" x14ac:dyDescent="0.3">
      <c r="A21" s="76">
        <v>10</v>
      </c>
      <c r="B21" s="9" t="s">
        <v>24</v>
      </c>
      <c r="C21" s="131" t="s">
        <v>30</v>
      </c>
      <c r="D21" s="58">
        <f>+'[1]2019 Rev Req'!D21</f>
        <v>57126055.389853239</v>
      </c>
      <c r="E21" s="58">
        <f>+'[1]2019 Rev Req'!E21</f>
        <v>21309018.70527197</v>
      </c>
      <c r="F21" s="58">
        <f>SUM(D21:E21)</f>
        <v>78435074.095125213</v>
      </c>
      <c r="H21" s="66">
        <f>SUM(H18:H19)</f>
        <v>59982040.254532553</v>
      </c>
      <c r="I21" s="66">
        <f>SUM(I18:I19)</f>
        <v>22323908.220806263</v>
      </c>
      <c r="J21" s="58">
        <f>SUM(H21:I21)</f>
        <v>82305948.475338817</v>
      </c>
    </row>
    <row r="22" spans="1:11" ht="15.75" thickTop="1" x14ac:dyDescent="0.25">
      <c r="H22"/>
      <c r="I22"/>
    </row>
    <row r="23" spans="1:11" x14ac:dyDescent="0.25">
      <c r="D23" s="56"/>
      <c r="E23" s="56"/>
      <c r="F23" s="56"/>
      <c r="H23"/>
      <c r="I23"/>
    </row>
    <row r="24" spans="1:11" x14ac:dyDescent="0.25">
      <c r="A24" s="76">
        <v>11</v>
      </c>
      <c r="B24" s="9" t="s">
        <v>6</v>
      </c>
      <c r="H24"/>
      <c r="I24"/>
    </row>
    <row r="25" spans="1:11" x14ac:dyDescent="0.25">
      <c r="A25" s="76">
        <f>+A24+1</f>
        <v>12</v>
      </c>
      <c r="B25" s="130" t="s">
        <v>7</v>
      </c>
      <c r="D25" s="10">
        <f>+'[1]2019 Rev Req'!D25</f>
        <v>-5476715</v>
      </c>
      <c r="E25" s="10">
        <f>+'[1]2019 Rev Req'!E25</f>
        <v>-2140814</v>
      </c>
      <c r="F25" s="10">
        <f>SUM(D25:E25)</f>
        <v>-7617529</v>
      </c>
      <c r="H25" s="1">
        <f>D25/$H$5</f>
        <v>-5750520.2722425573</v>
      </c>
      <c r="I25" s="1">
        <f>E25/$I$5</f>
        <v>-2242775.0388145889</v>
      </c>
      <c r="J25" s="10">
        <f>SUM(H25:I25)</f>
        <v>-7993295.3110571466</v>
      </c>
    </row>
    <row r="26" spans="1:11" x14ac:dyDescent="0.25">
      <c r="A26" s="76">
        <f t="shared" ref="A26:A27" si="0">+A25+1</f>
        <v>13</v>
      </c>
      <c r="B26" s="130" t="s">
        <v>9</v>
      </c>
      <c r="D26" s="10">
        <f>+'[1]2019 Rev Req'!D26</f>
        <v>2289456.1498339772</v>
      </c>
      <c r="E26" s="10">
        <f>+'[1]2019 Rev Req'!E26</f>
        <v>1430753.8462007449</v>
      </c>
      <c r="F26" s="10">
        <f>SUM(D26:E26)</f>
        <v>3720209.9960347218</v>
      </c>
      <c r="H26" s="1">
        <f>D26/$H$5</f>
        <v>2403916.2165697282</v>
      </c>
      <c r="I26" s="1">
        <f>E26/$I$5</f>
        <v>1498896.6874034819</v>
      </c>
      <c r="J26" s="10">
        <f>SUM(H26:I26)</f>
        <v>3902812.9039732101</v>
      </c>
    </row>
    <row r="27" spans="1:11" ht="15.75" thickBot="1" x14ac:dyDescent="0.3">
      <c r="A27" s="76">
        <f t="shared" si="0"/>
        <v>14</v>
      </c>
      <c r="B27" s="9" t="s">
        <v>8</v>
      </c>
      <c r="D27" s="137">
        <f>SUM(D25:D26)</f>
        <v>-3187258.8501660228</v>
      </c>
      <c r="E27" s="137">
        <f>SUM(E25:E26)</f>
        <v>-710060.15379925515</v>
      </c>
      <c r="F27" s="137">
        <f>SUM(D27:E27)</f>
        <v>-3897319.0039652782</v>
      </c>
      <c r="H27" s="6">
        <f>SUM(H25:H26)</f>
        <v>-3346604.055672829</v>
      </c>
      <c r="I27" s="6">
        <f>SUM(I25:I26)</f>
        <v>-743878.351411107</v>
      </c>
      <c r="J27" s="137">
        <f>SUM(H27:I27)</f>
        <v>-4090482.407083936</v>
      </c>
    </row>
    <row r="28" spans="1:11" ht="15.75" thickTop="1" x14ac:dyDescent="0.25">
      <c r="D28" s="67">
        <f>D27-D13</f>
        <v>3.7252902984619141E-9</v>
      </c>
      <c r="E28" s="67">
        <f>E27-E13</f>
        <v>1.3969838619232178E-9</v>
      </c>
      <c r="F28" s="67">
        <f>F27-F13</f>
        <v>4.6566128730773926E-9</v>
      </c>
      <c r="G28" s="138"/>
      <c r="H28" s="41">
        <f>H27-H13</f>
        <v>0</v>
      </c>
      <c r="I28" s="40">
        <f>I27-I13</f>
        <v>3.0267983675003052E-9</v>
      </c>
      <c r="J28" s="67">
        <f>J27-J13</f>
        <v>6.5192580223083496E-9</v>
      </c>
      <c r="K28" s="138"/>
    </row>
    <row r="29" spans="1:11" x14ac:dyDescent="0.25">
      <c r="H29" s="2"/>
      <c r="I29" s="2"/>
      <c r="J29" s="56"/>
    </row>
    <row r="30" spans="1:11" x14ac:dyDescent="0.25">
      <c r="A30" s="76">
        <f>+A27+1</f>
        <v>15</v>
      </c>
      <c r="B30" s="139" t="s">
        <v>83</v>
      </c>
      <c r="C30" s="131"/>
      <c r="H30" s="42">
        <f>H27/H6</f>
        <v>-5.2845029166896679E-2</v>
      </c>
      <c r="I30" s="42">
        <f>I27/I6</f>
        <v>-3.2247495835037207E-2</v>
      </c>
    </row>
    <row r="31" spans="1:11" x14ac:dyDescent="0.25">
      <c r="A31" s="76">
        <f>+A30+1</f>
        <v>16</v>
      </c>
      <c r="B31" s="139" t="s">
        <v>84</v>
      </c>
      <c r="H31" s="185" t="str">
        <f>IF(ABS(H30)&gt;1%,"yes","no")</f>
        <v>yes</v>
      </c>
      <c r="I31" s="185" t="str">
        <f>IF(ABS(I30)&gt;1%,"yes","no")</f>
        <v>yes</v>
      </c>
    </row>
    <row r="32" spans="1:11" x14ac:dyDescent="0.25">
      <c r="A32" s="76">
        <f t="shared" ref="A32:A33" si="1">+A31+1</f>
        <v>17</v>
      </c>
      <c r="B32" s="140" t="s">
        <v>32</v>
      </c>
    </row>
    <row r="33" spans="1:2" x14ac:dyDescent="0.25">
      <c r="A33" s="76">
        <f t="shared" si="1"/>
        <v>18</v>
      </c>
      <c r="B33" s="140" t="s">
        <v>33</v>
      </c>
    </row>
    <row r="35" spans="1:2" x14ac:dyDescent="0.25">
      <c r="B35" s="141"/>
    </row>
    <row r="36" spans="1:2" x14ac:dyDescent="0.25">
      <c r="B36" s="141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zoomScale="80" zoomScaleNormal="80" workbookViewId="0">
      <pane xSplit="1" ySplit="4" topLeftCell="B74" activePane="bottomRight" state="frozen"/>
      <selection activeCell="M34" sqref="M34"/>
      <selection pane="topRight" activeCell="M34" sqref="M34"/>
      <selection pane="bottomLeft" activeCell="M34" sqref="M34"/>
      <selection pane="bottomRight" activeCell="C11" sqref="C11"/>
    </sheetView>
  </sheetViews>
  <sheetFormatPr defaultRowHeight="15" x14ac:dyDescent="0.25"/>
  <cols>
    <col min="1" max="1" width="49.5703125" customWidth="1"/>
    <col min="2" max="2" width="16.140625" bestFit="1" customWidth="1"/>
    <col min="3" max="3" width="15.28515625" bestFit="1" customWidth="1"/>
    <col min="4" max="4" width="15.28515625" customWidth="1"/>
    <col min="5" max="5" width="16.140625" bestFit="1" customWidth="1"/>
    <col min="6" max="6" width="16.28515625" bestFit="1" customWidth="1"/>
    <col min="7" max="7" width="1.85546875" style="81" customWidth="1"/>
    <col min="8" max="8" width="16.140625" bestFit="1" customWidth="1"/>
    <col min="9" max="9" width="2.28515625" style="81" customWidth="1"/>
    <col min="10" max="10" width="16.140625" bestFit="1" customWidth="1"/>
    <col min="12" max="12" width="15.42578125" customWidth="1"/>
    <col min="13" max="13" width="13.7109375" customWidth="1"/>
    <col min="14" max="14" width="3" customWidth="1"/>
  </cols>
  <sheetData>
    <row r="1" spans="1:10" x14ac:dyDescent="0.25">
      <c r="A1" t="s">
        <v>223</v>
      </c>
    </row>
    <row r="2" spans="1:10" ht="15.75" thickBot="1" x14ac:dyDescent="0.3">
      <c r="A2" s="4"/>
    </row>
    <row r="3" spans="1:10" ht="16.5" thickBot="1" x14ac:dyDescent="0.3">
      <c r="B3" s="111" t="s">
        <v>0</v>
      </c>
      <c r="C3" s="112"/>
      <c r="D3" s="113"/>
      <c r="E3" s="112"/>
      <c r="F3" s="114"/>
      <c r="G3" s="109"/>
      <c r="H3" s="96" t="s">
        <v>1</v>
      </c>
      <c r="I3" s="97"/>
      <c r="J3" s="94" t="s">
        <v>82</v>
      </c>
    </row>
    <row r="4" spans="1:10" x14ac:dyDescent="0.25">
      <c r="A4" s="5" t="s">
        <v>10</v>
      </c>
      <c r="B4" s="65" t="s">
        <v>81</v>
      </c>
      <c r="C4" s="65" t="s">
        <v>12</v>
      </c>
      <c r="D4" s="110" t="s">
        <v>12</v>
      </c>
      <c r="E4" s="64" t="s">
        <v>11</v>
      </c>
      <c r="F4" s="80" t="s">
        <v>2</v>
      </c>
      <c r="G4" s="98"/>
      <c r="H4" s="93" t="s">
        <v>2</v>
      </c>
      <c r="I4" s="98"/>
      <c r="J4" s="95" t="s">
        <v>2</v>
      </c>
    </row>
    <row r="5" spans="1:10" x14ac:dyDescent="0.25">
      <c r="B5" s="63"/>
      <c r="C5" s="63"/>
      <c r="D5" s="77"/>
      <c r="E5" s="55"/>
      <c r="F5" s="78"/>
      <c r="G5" s="99"/>
      <c r="H5" s="78"/>
      <c r="I5" s="99"/>
      <c r="J5" s="78"/>
    </row>
    <row r="6" spans="1:10" x14ac:dyDescent="0.25">
      <c r="A6" s="143" t="s">
        <v>225</v>
      </c>
      <c r="B6" s="146">
        <f>+'[2]Federal Tax YE'!$C$16</f>
        <v>4137998000</v>
      </c>
      <c r="C6" s="146">
        <f>+'[2]Federal Tax YE'!$G$16</f>
        <v>44900000</v>
      </c>
      <c r="D6" s="147">
        <f>+'[2]Federal Tax YE'!$H$20</f>
        <v>44900000</v>
      </c>
      <c r="E6" s="75">
        <f>+'[2]Federal Tax YE'!$F$16</f>
        <v>504242175</v>
      </c>
      <c r="F6" s="148">
        <f>SUM(B6:E6)</f>
        <v>4732040175</v>
      </c>
      <c r="G6" s="106"/>
      <c r="H6" s="148">
        <f>+'[2]Federal Tax YE'!$D$16</f>
        <v>1761974000</v>
      </c>
      <c r="I6" s="106"/>
      <c r="J6" s="148">
        <f>H6+F6</f>
        <v>6494014175</v>
      </c>
    </row>
    <row r="7" spans="1:10" x14ac:dyDescent="0.25">
      <c r="A7" s="144" t="s">
        <v>227</v>
      </c>
      <c r="B7" s="149">
        <f>+'[2]Federal Tax YE'!$C$18</f>
        <v>0.94574000000000003</v>
      </c>
      <c r="C7" s="150" t="s">
        <v>80</v>
      </c>
      <c r="D7" s="151" t="s">
        <v>80</v>
      </c>
      <c r="E7" s="152">
        <f>+'[2]Federal Tax YE'!$F$18</f>
        <v>6.0905399999999998E-2</v>
      </c>
      <c r="F7" s="153" t="s">
        <v>80</v>
      </c>
      <c r="G7" s="107"/>
      <c r="H7" s="154">
        <f>+'[2]Federal Tax YE'!$D$18</f>
        <v>0.95455000000000001</v>
      </c>
      <c r="I7" s="101"/>
      <c r="J7" s="154"/>
    </row>
    <row r="8" spans="1:10" x14ac:dyDescent="0.25">
      <c r="A8" s="143" t="s">
        <v>226</v>
      </c>
      <c r="B8" s="155">
        <f>B6*B7</f>
        <v>3913470228.52</v>
      </c>
      <c r="C8" s="155">
        <f>SUM(C6:C7)</f>
        <v>44900000</v>
      </c>
      <c r="D8" s="156">
        <f>SUM(D6:D7)</f>
        <v>44900000</v>
      </c>
      <c r="E8" s="157">
        <f>E6*E7</f>
        <v>30711071.365245</v>
      </c>
      <c r="F8" s="158">
        <f>SUM(B8:E8)</f>
        <v>4033981299.8852448</v>
      </c>
      <c r="G8" s="103"/>
      <c r="H8" s="158">
        <f>H6*H7</f>
        <v>1681892281.7</v>
      </c>
      <c r="I8" s="103"/>
      <c r="J8" s="158">
        <f t="shared" ref="J8:J10" si="0">H8+F8</f>
        <v>5715873581.5852451</v>
      </c>
    </row>
    <row r="9" spans="1:10" x14ac:dyDescent="0.25">
      <c r="A9" s="118" t="s">
        <v>140</v>
      </c>
      <c r="B9" s="160">
        <v>13952</v>
      </c>
      <c r="C9" s="160"/>
      <c r="D9" s="161"/>
      <c r="E9" s="159"/>
      <c r="F9" s="162">
        <f>SUM(B9:E9)</f>
        <v>13952</v>
      </c>
      <c r="G9" s="103"/>
      <c r="H9" s="162">
        <v>-2127</v>
      </c>
      <c r="I9" s="103"/>
      <c r="J9" s="162">
        <f t="shared" si="0"/>
        <v>11825</v>
      </c>
    </row>
    <row r="10" spans="1:10" x14ac:dyDescent="0.25">
      <c r="A10" s="143" t="s">
        <v>226</v>
      </c>
      <c r="B10" s="163">
        <f>SUM(B8:B9)</f>
        <v>3913484180.52</v>
      </c>
      <c r="C10" s="163">
        <f t="shared" ref="C10:E10" si="1">SUM(C8:C9)</f>
        <v>44900000</v>
      </c>
      <c r="D10" s="164">
        <f t="shared" si="1"/>
        <v>44900000</v>
      </c>
      <c r="E10" s="104">
        <f t="shared" si="1"/>
        <v>30711071.365245</v>
      </c>
      <c r="F10" s="165">
        <f>SUM(F8:F9)</f>
        <v>4033995251.8852448</v>
      </c>
      <c r="G10" s="103"/>
      <c r="H10" s="165">
        <f>SUM(H8:H9)</f>
        <v>1681890154.7</v>
      </c>
      <c r="I10" s="103"/>
      <c r="J10" s="165">
        <f t="shared" si="0"/>
        <v>5715885406.5852451</v>
      </c>
    </row>
    <row r="11" spans="1:10" x14ac:dyDescent="0.25">
      <c r="A11" s="143" t="s">
        <v>232</v>
      </c>
      <c r="B11" s="166">
        <f>+'[2]Federal Tax YE'!$C$22</f>
        <v>10.14</v>
      </c>
      <c r="C11" s="166">
        <f>+'[2]Federal Tax YE'!$G$22</f>
        <v>11.17</v>
      </c>
      <c r="D11" s="167">
        <f>+'[2]Federal Tax YE'!$H$22</f>
        <v>11.3415</v>
      </c>
      <c r="E11" s="168">
        <f>+'[2]Federal Tax YE'!$F$22</f>
        <v>353.23860000000002</v>
      </c>
      <c r="F11" s="169" t="s">
        <v>80</v>
      </c>
      <c r="G11" s="108"/>
      <c r="H11" s="170">
        <f>+'[2]Federal Tax YE'!$D$22</f>
        <v>10.38</v>
      </c>
      <c r="I11" s="102"/>
      <c r="J11" s="169" t="s">
        <v>80</v>
      </c>
    </row>
    <row r="12" spans="1:10" x14ac:dyDescent="0.25">
      <c r="B12" s="171"/>
      <c r="C12" s="171"/>
      <c r="D12" s="172"/>
      <c r="E12" s="57"/>
      <c r="F12" s="173"/>
      <c r="G12" s="99"/>
      <c r="H12" s="173"/>
      <c r="I12" s="99"/>
      <c r="J12" s="173"/>
    </row>
    <row r="13" spans="1:10" x14ac:dyDescent="0.25">
      <c r="A13" s="69" t="s">
        <v>79</v>
      </c>
      <c r="B13" s="361">
        <f>ROUND(B10*B11/1000,0)</f>
        <v>39682730</v>
      </c>
      <c r="C13" s="163">
        <f>ROUND(C10*C11/1000,0)/2</f>
        <v>250766.5</v>
      </c>
      <c r="D13" s="164">
        <f>ROUND(D10*D11/1000,0)/2</f>
        <v>254616.5</v>
      </c>
      <c r="E13" s="104">
        <f>ROUND(E10*E11/1000,0)</f>
        <v>10848336</v>
      </c>
      <c r="F13" s="165">
        <f>SUM(B13:E13)</f>
        <v>51036449</v>
      </c>
      <c r="G13" s="103"/>
      <c r="H13" s="165">
        <f>ROUND(H10*H11/1000,0)</f>
        <v>17458020</v>
      </c>
      <c r="I13" s="103"/>
      <c r="J13" s="165">
        <f>H13+F13</f>
        <v>68494469</v>
      </c>
    </row>
    <row r="14" spans="1:10" x14ac:dyDescent="0.25">
      <c r="A14" s="69" t="s">
        <v>140</v>
      </c>
      <c r="B14" s="160"/>
      <c r="C14" s="160"/>
      <c r="D14" s="161"/>
      <c r="E14" s="174">
        <v>-9</v>
      </c>
      <c r="F14" s="162">
        <f>SUM(B14:E14)</f>
        <v>-9</v>
      </c>
      <c r="G14" s="99"/>
      <c r="H14" s="175"/>
      <c r="I14" s="99"/>
      <c r="J14" s="162">
        <f>H14+F14</f>
        <v>-9</v>
      </c>
    </row>
    <row r="15" spans="1:10" x14ac:dyDescent="0.25">
      <c r="A15" s="69" t="s">
        <v>141</v>
      </c>
      <c r="B15" s="163">
        <f>SUM(B13:B14)</f>
        <v>39682730</v>
      </c>
      <c r="C15" s="163">
        <f>SUM(C13:C14)</f>
        <v>250766.5</v>
      </c>
      <c r="D15" s="164">
        <f>SUM(D13:D14)</f>
        <v>254616.5</v>
      </c>
      <c r="E15" s="164">
        <f>SUM(E13:E14)</f>
        <v>10848327</v>
      </c>
      <c r="F15" s="165">
        <f>SUM(F13:F14)</f>
        <v>51036440</v>
      </c>
      <c r="G15" s="103"/>
      <c r="H15" s="165">
        <f>SUM(H13:H14)</f>
        <v>17458020</v>
      </c>
      <c r="I15" s="103"/>
      <c r="J15" s="165">
        <f>SUM(J13:J14)</f>
        <v>68494460</v>
      </c>
    </row>
    <row r="16" spans="1:10" x14ac:dyDescent="0.25">
      <c r="B16" s="163"/>
      <c r="C16" s="163"/>
      <c r="D16" s="164"/>
      <c r="E16" s="104"/>
      <c r="F16" s="176"/>
      <c r="G16" s="99"/>
      <c r="H16" s="176"/>
      <c r="I16" s="99"/>
      <c r="J16" s="165"/>
    </row>
    <row r="17" spans="1:13" x14ac:dyDescent="0.25">
      <c r="A17" s="69" t="s">
        <v>131</v>
      </c>
      <c r="B17" s="163">
        <f>+'[2]Federal Tax YE'!$C$26</f>
        <v>372000</v>
      </c>
      <c r="C17" s="163"/>
      <c r="D17" s="164"/>
      <c r="E17" s="104"/>
      <c r="F17" s="165">
        <f>SUM(B17:E17)</f>
        <v>372000</v>
      </c>
      <c r="G17" s="103"/>
      <c r="H17" s="165">
        <f>+'[2]Federal Tax YE'!$D$26</f>
        <v>75000</v>
      </c>
      <c r="I17" s="103"/>
      <c r="J17" s="165">
        <f t="shared" ref="J17:J18" si="2">H17+F17</f>
        <v>447000</v>
      </c>
    </row>
    <row r="18" spans="1:13" x14ac:dyDescent="0.25">
      <c r="A18" s="69" t="s">
        <v>130</v>
      </c>
      <c r="B18" s="163">
        <f>+'[2]Federal Tax YE'!$C$27</f>
        <v>350000</v>
      </c>
      <c r="C18" s="163"/>
      <c r="D18" s="164"/>
      <c r="E18" s="104">
        <f>+'[2]Federal Tax YE'!$F$27</f>
        <v>7000</v>
      </c>
      <c r="F18" s="165">
        <f>SUM(B18:E18)</f>
        <v>357000</v>
      </c>
      <c r="G18" s="103"/>
      <c r="H18" s="165">
        <f>+'[2]Federal Tax YE'!$D$27</f>
        <v>6000</v>
      </c>
      <c r="I18" s="103"/>
      <c r="J18" s="165">
        <f t="shared" si="2"/>
        <v>363000</v>
      </c>
    </row>
    <row r="19" spans="1:13" x14ac:dyDescent="0.25">
      <c r="A19" s="69" t="s">
        <v>78</v>
      </c>
      <c r="B19" s="163">
        <f>+'[2]Federal Tax YE'!$C$29</f>
        <v>73000</v>
      </c>
      <c r="C19" s="163"/>
      <c r="D19" s="164"/>
      <c r="E19" s="104">
        <v>0</v>
      </c>
      <c r="F19" s="165">
        <f>SUM(B19:E19)</f>
        <v>73000</v>
      </c>
      <c r="G19" s="103"/>
      <c r="H19" s="165">
        <f>+'[2]Federal Tax YE'!$D$29</f>
        <v>2757</v>
      </c>
      <c r="I19" s="103"/>
      <c r="J19" s="165">
        <f>H19+F19</f>
        <v>75757</v>
      </c>
    </row>
    <row r="20" spans="1:13" x14ac:dyDescent="0.25">
      <c r="A20" s="69" t="s">
        <v>129</v>
      </c>
      <c r="B20" s="163"/>
      <c r="C20" s="163"/>
      <c r="D20" s="164"/>
      <c r="E20" s="104"/>
      <c r="F20" s="165">
        <f t="shared" ref="F20:F21" si="3">SUM(B20:E20)</f>
        <v>0</v>
      </c>
      <c r="G20" s="103"/>
      <c r="H20" s="165"/>
      <c r="I20" s="103"/>
      <c r="J20" s="165">
        <f>F20+H20</f>
        <v>0</v>
      </c>
    </row>
    <row r="21" spans="1:13" x14ac:dyDescent="0.25">
      <c r="A21" s="145" t="s">
        <v>173</v>
      </c>
      <c r="B21" s="163"/>
      <c r="C21" s="163"/>
      <c r="D21" s="164"/>
      <c r="E21" s="104"/>
      <c r="F21" s="165">
        <f t="shared" si="3"/>
        <v>0</v>
      </c>
      <c r="H21" s="165">
        <v>0</v>
      </c>
      <c r="J21" s="165">
        <f>F21+H21</f>
        <v>0</v>
      </c>
    </row>
    <row r="22" spans="1:13" x14ac:dyDescent="0.25">
      <c r="A22" s="69" t="s">
        <v>52</v>
      </c>
      <c r="B22" s="155">
        <f>SUM(B17:B21)</f>
        <v>795000</v>
      </c>
      <c r="C22" s="155">
        <v>0</v>
      </c>
      <c r="D22" s="156">
        <v>0</v>
      </c>
      <c r="E22" s="157">
        <f>SUM(E18:E21)</f>
        <v>7000</v>
      </c>
      <c r="F22" s="158">
        <f>SUM(F17:F21)</f>
        <v>802000</v>
      </c>
      <c r="G22" s="103"/>
      <c r="H22" s="158">
        <f>SUM(H17:H21)</f>
        <v>83757</v>
      </c>
      <c r="I22" s="103"/>
      <c r="J22" s="158">
        <f>SUM(J17:J21)</f>
        <v>885757</v>
      </c>
      <c r="L22" s="39" t="s">
        <v>233</v>
      </c>
      <c r="M22" s="39"/>
    </row>
    <row r="23" spans="1:13" ht="15.75" thickBot="1" x14ac:dyDescent="0.3">
      <c r="A23" s="145" t="s">
        <v>224</v>
      </c>
      <c r="B23" s="60">
        <f>B15+B22</f>
        <v>40477730</v>
      </c>
      <c r="C23" s="62">
        <f>C15+C22-10</f>
        <v>250756.5</v>
      </c>
      <c r="D23" s="61">
        <f>D15+D22</f>
        <v>254616.5</v>
      </c>
      <c r="E23" s="62">
        <f>E15+E22</f>
        <v>10855327</v>
      </c>
      <c r="F23" s="79">
        <f>SUM(B23:E23)</f>
        <v>51838430</v>
      </c>
      <c r="G23" s="100"/>
      <c r="H23" s="79">
        <f>H15+H22</f>
        <v>17541777</v>
      </c>
      <c r="I23" s="100"/>
      <c r="J23" s="79">
        <f>F23+H23</f>
        <v>69380207</v>
      </c>
      <c r="L23" s="362">
        <f>+'[2]Federal Tax YE'!$E$28</f>
        <v>1401260</v>
      </c>
      <c r="M23" s="363">
        <f>+L23+J23-'[2]Federal Tax YE'!$I$30</f>
        <v>1401260</v>
      </c>
    </row>
    <row r="24" spans="1:13" x14ac:dyDescent="0.25">
      <c r="B24" s="178">
        <v>40477730</v>
      </c>
      <c r="C24" s="178">
        <v>250756.5</v>
      </c>
      <c r="D24" s="178">
        <v>254616.5</v>
      </c>
      <c r="E24" s="178">
        <v>10855327</v>
      </c>
      <c r="F24" s="178">
        <v>51838430</v>
      </c>
      <c r="G24" s="179"/>
      <c r="H24" s="178">
        <v>17541777</v>
      </c>
      <c r="I24" s="179"/>
      <c r="J24" s="178">
        <v>69380207</v>
      </c>
    </row>
    <row r="25" spans="1:13" x14ac:dyDescent="0.25">
      <c r="A25" s="183" t="s">
        <v>174</v>
      </c>
      <c r="B25" s="180">
        <f>B23-B24</f>
        <v>0</v>
      </c>
      <c r="C25" s="180">
        <f t="shared" ref="C25:J25" si="4">C23-C24</f>
        <v>0</v>
      </c>
      <c r="D25" s="180">
        <f t="shared" si="4"/>
        <v>0</v>
      </c>
      <c r="E25" s="180">
        <f t="shared" si="4"/>
        <v>0</v>
      </c>
      <c r="F25" s="180">
        <f t="shared" si="4"/>
        <v>0</v>
      </c>
      <c r="G25" s="180"/>
      <c r="H25" s="180">
        <f t="shared" si="4"/>
        <v>0</v>
      </c>
      <c r="I25" s="180">
        <f t="shared" si="4"/>
        <v>0</v>
      </c>
      <c r="J25" s="180">
        <f t="shared" si="4"/>
        <v>0</v>
      </c>
    </row>
    <row r="26" spans="1:13" x14ac:dyDescent="0.25">
      <c r="A26" s="183" t="s">
        <v>189</v>
      </c>
      <c r="B26" s="180">
        <f>ROUND(D55,0)</f>
        <v>0</v>
      </c>
      <c r="C26" s="191">
        <f>ROUND(H55,0)</f>
        <v>0</v>
      </c>
      <c r="D26" s="191">
        <f>ROUND(L55,0)</f>
        <v>0</v>
      </c>
      <c r="E26" s="191">
        <f>D87</f>
        <v>-1.3900000005960464</v>
      </c>
      <c r="F26" s="181"/>
      <c r="G26" s="182"/>
      <c r="H26" s="180">
        <f>ROUND(P55,0)</f>
        <v>0</v>
      </c>
      <c r="I26" s="182"/>
      <c r="J26" s="181"/>
    </row>
    <row r="27" spans="1:13" x14ac:dyDescent="0.25">
      <c r="A27" s="69"/>
      <c r="B27" s="54"/>
      <c r="C27" s="54"/>
      <c r="D27" s="54"/>
      <c r="E27" s="54"/>
      <c r="F27" s="54"/>
      <c r="G27" s="104"/>
      <c r="H27" s="54"/>
      <c r="I27" s="104"/>
      <c r="J27" s="54"/>
    </row>
    <row r="28" spans="1:13" x14ac:dyDescent="0.25">
      <c r="B28" s="54"/>
      <c r="C28" s="54"/>
      <c r="D28" s="54"/>
      <c r="E28" s="54"/>
    </row>
    <row r="30" spans="1:13" x14ac:dyDescent="0.25">
      <c r="B30" s="3"/>
      <c r="C30" s="3"/>
      <c r="D30" s="3"/>
      <c r="E30" s="3"/>
      <c r="F30" s="3"/>
      <c r="G30" s="105"/>
      <c r="H30" s="3"/>
      <c r="I30" s="105"/>
      <c r="J30" s="3"/>
    </row>
    <row r="31" spans="1:13" x14ac:dyDescent="0.25">
      <c r="B31" s="54"/>
      <c r="C31" s="54"/>
      <c r="D31" s="54"/>
      <c r="E31" s="54"/>
      <c r="F31" s="54"/>
      <c r="G31" s="104"/>
      <c r="H31" s="54"/>
      <c r="I31" s="104"/>
      <c r="J31" s="3"/>
    </row>
    <row r="32" spans="1:13" x14ac:dyDescent="0.25">
      <c r="B32" s="54"/>
      <c r="C32" s="54"/>
      <c r="D32" s="54"/>
      <c r="E32" s="54"/>
      <c r="F32" s="3"/>
      <c r="G32" s="105"/>
      <c r="H32" s="54"/>
      <c r="I32" s="104"/>
      <c r="J32" s="3"/>
    </row>
    <row r="33" spans="2:10" x14ac:dyDescent="0.25">
      <c r="B33" s="3"/>
      <c r="C33" s="3"/>
      <c r="D33" s="3"/>
      <c r="E33" s="3"/>
      <c r="F33" s="3"/>
      <c r="G33" s="105"/>
      <c r="H33" s="3"/>
      <c r="I33" s="105"/>
      <c r="J33" s="3"/>
    </row>
    <row r="50" spans="1:12" x14ac:dyDescent="0.25">
      <c r="D50" s="185" t="s">
        <v>182</v>
      </c>
      <c r="H50" s="185" t="s">
        <v>183</v>
      </c>
      <c r="L50" s="185" t="s">
        <v>184</v>
      </c>
    </row>
    <row r="51" spans="1:12" x14ac:dyDescent="0.25">
      <c r="A51" s="8" t="s">
        <v>180</v>
      </c>
      <c r="D51" s="2">
        <v>40477729.950000003</v>
      </c>
      <c r="H51" s="2">
        <v>250756.99</v>
      </c>
      <c r="L51" s="2">
        <v>254616.33</v>
      </c>
    </row>
    <row r="52" spans="1:12" x14ac:dyDescent="0.25">
      <c r="A52" s="8" t="s">
        <v>187</v>
      </c>
      <c r="D52" s="3">
        <v>0</v>
      </c>
      <c r="H52" s="3">
        <v>0</v>
      </c>
      <c r="L52" s="3">
        <v>0</v>
      </c>
    </row>
    <row r="53" spans="1:12" x14ac:dyDescent="0.25">
      <c r="A53" s="8" t="s">
        <v>179</v>
      </c>
      <c r="D53" s="3">
        <f>B20</f>
        <v>0</v>
      </c>
      <c r="H53" s="3">
        <v>0</v>
      </c>
      <c r="L53" s="3">
        <v>0</v>
      </c>
    </row>
    <row r="54" spans="1:12" x14ac:dyDescent="0.25">
      <c r="A54" s="8" t="s">
        <v>188</v>
      </c>
      <c r="D54" s="190">
        <f>SUM(D51:D53)</f>
        <v>40477729.950000003</v>
      </c>
      <c r="H54" s="190">
        <f>SUM(H51:H53)</f>
        <v>250756.99</v>
      </c>
      <c r="L54" s="190">
        <f>SUM(L51:L53)</f>
        <v>254616.33</v>
      </c>
    </row>
    <row r="55" spans="1:12" x14ac:dyDescent="0.25">
      <c r="A55" s="187" t="s">
        <v>181</v>
      </c>
      <c r="B55" s="188"/>
      <c r="C55" s="188"/>
      <c r="D55" s="189">
        <f>B24-D54</f>
        <v>4.9999997019767761E-2</v>
      </c>
      <c r="H55" s="189">
        <f>C24-H54</f>
        <v>-0.48999999999068677</v>
      </c>
      <c r="L55" s="189">
        <f>D24-L54</f>
        <v>0.17000000001280569</v>
      </c>
    </row>
    <row r="82" spans="1:10" x14ac:dyDescent="0.25">
      <c r="D82" s="185" t="s">
        <v>185</v>
      </c>
      <c r="F82" t="s">
        <v>228</v>
      </c>
    </row>
    <row r="83" spans="1:10" x14ac:dyDescent="0.25">
      <c r="A83" s="8" t="s">
        <v>180</v>
      </c>
      <c r="D83" s="2">
        <v>5418593.0999999996</v>
      </c>
      <c r="F83" t="s">
        <v>229</v>
      </c>
      <c r="J83" s="2">
        <f>D83</f>
        <v>5418593.0999999996</v>
      </c>
    </row>
    <row r="84" spans="1:10" x14ac:dyDescent="0.25">
      <c r="A84" s="8" t="s">
        <v>187</v>
      </c>
      <c r="D84" s="3">
        <v>5429735.29</v>
      </c>
      <c r="F84" t="s">
        <v>190</v>
      </c>
      <c r="J84" s="3">
        <v>5418593</v>
      </c>
    </row>
    <row r="85" spans="1:10" x14ac:dyDescent="0.25">
      <c r="A85" s="8" t="s">
        <v>231</v>
      </c>
      <c r="D85" s="189">
        <v>7000</v>
      </c>
      <c r="F85" t="s">
        <v>230</v>
      </c>
      <c r="J85" s="2">
        <f>J84-J83</f>
        <v>-9.999999962747097E-2</v>
      </c>
    </row>
    <row r="86" spans="1:10" x14ac:dyDescent="0.25">
      <c r="A86" s="8" t="s">
        <v>188</v>
      </c>
      <c r="D86" s="190">
        <f>SUM(D83:D85)</f>
        <v>10855328.390000001</v>
      </c>
    </row>
    <row r="87" spans="1:10" x14ac:dyDescent="0.25">
      <c r="A87" s="187" t="s">
        <v>181</v>
      </c>
      <c r="B87" s="188"/>
      <c r="C87" s="188"/>
      <c r="D87" s="189">
        <f>E24-D86</f>
        <v>-1.3900000005960464</v>
      </c>
    </row>
    <row r="112" spans="4:4" x14ac:dyDescent="0.25">
      <c r="D112" s="185" t="s">
        <v>186</v>
      </c>
    </row>
    <row r="113" spans="1:4" x14ac:dyDescent="0.25">
      <c r="A113" s="8" t="s">
        <v>180</v>
      </c>
      <c r="D113" s="2">
        <v>16140515.73</v>
      </c>
    </row>
    <row r="114" spans="1:4" x14ac:dyDescent="0.25">
      <c r="A114" s="8" t="s">
        <v>187</v>
      </c>
      <c r="D114" s="3">
        <v>0</v>
      </c>
    </row>
    <row r="115" spans="1:4" x14ac:dyDescent="0.25">
      <c r="A115" s="8" t="s">
        <v>179</v>
      </c>
      <c r="D115" s="3">
        <f>+L23</f>
        <v>1401260</v>
      </c>
    </row>
    <row r="116" spans="1:4" x14ac:dyDescent="0.25">
      <c r="A116" s="8" t="s">
        <v>188</v>
      </c>
      <c r="D116" s="190">
        <f>SUM(D113:D115)</f>
        <v>17541775.73</v>
      </c>
    </row>
    <row r="117" spans="1:4" x14ac:dyDescent="0.25">
      <c r="A117" s="187" t="s">
        <v>181</v>
      </c>
      <c r="D117" s="189">
        <f>H23-D116</f>
        <v>1.2699999995529652</v>
      </c>
    </row>
  </sheetData>
  <printOptions horizontalCentered="1"/>
  <pageMargins left="0.2" right="0.2" top="0.5" bottom="0.5" header="0.3" footer="0.3"/>
  <pageSetup paperSize="17" scale="5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80" zoomScaleNormal="80" workbookViewId="0">
      <selection activeCell="I50" sqref="I50"/>
    </sheetView>
  </sheetViews>
  <sheetFormatPr defaultColWidth="9.140625" defaultRowHeight="15" x14ac:dyDescent="0.25"/>
  <cols>
    <col min="1" max="1" width="10.85546875" style="268" bestFit="1" customWidth="1"/>
    <col min="2" max="2" width="14.28515625" style="268" bestFit="1" customWidth="1"/>
    <col min="3" max="3" width="13.7109375" style="268" bestFit="1" customWidth="1"/>
    <col min="4" max="5" width="13.42578125" style="268" bestFit="1" customWidth="1"/>
    <col min="6" max="6" width="13.7109375" style="268" bestFit="1" customWidth="1"/>
    <col min="7" max="7" width="14.85546875" style="268" bestFit="1" customWidth="1"/>
    <col min="8" max="8" width="14.28515625" style="268" bestFit="1" customWidth="1"/>
    <col min="9" max="9" width="13" style="268" bestFit="1" customWidth="1"/>
    <col min="10" max="10" width="14.28515625" style="268" bestFit="1" customWidth="1"/>
    <col min="11" max="11" width="13.140625" style="268" bestFit="1" customWidth="1"/>
    <col min="12" max="12" width="14.28515625" style="268" bestFit="1" customWidth="1"/>
    <col min="13" max="13" width="9.140625" style="268"/>
    <col min="14" max="14" width="14.7109375" style="268" customWidth="1"/>
    <col min="15" max="15" width="12.7109375" style="268" bestFit="1" customWidth="1"/>
    <col min="16" max="16" width="11.5703125" style="268" bestFit="1" customWidth="1"/>
    <col min="17" max="16384" width="9.140625" style="268"/>
  </cols>
  <sheetData>
    <row r="1" spans="1:16" ht="15.75" thickBot="1" x14ac:dyDescent="0.3">
      <c r="A1" s="266" t="s">
        <v>0</v>
      </c>
      <c r="B1" s="267" t="s">
        <v>207</v>
      </c>
      <c r="N1" s="267" t="s">
        <v>169</v>
      </c>
      <c r="P1" s="269"/>
    </row>
    <row r="2" spans="1:16" x14ac:dyDescent="0.25">
      <c r="N2" s="270" t="s">
        <v>170</v>
      </c>
      <c r="O2" s="271"/>
      <c r="P2" s="272"/>
    </row>
    <row r="3" spans="1:16" x14ac:dyDescent="0.25">
      <c r="C3" s="273" t="s">
        <v>85</v>
      </c>
      <c r="D3" s="274"/>
      <c r="E3" s="274"/>
      <c r="F3" s="274"/>
      <c r="G3" s="275"/>
      <c r="H3" s="276" t="s">
        <v>86</v>
      </c>
      <c r="I3" s="274"/>
      <c r="J3" s="274"/>
      <c r="K3" s="274"/>
      <c r="L3" s="277"/>
      <c r="N3" s="278"/>
      <c r="O3" s="279"/>
      <c r="P3" s="280"/>
    </row>
    <row r="4" spans="1:16" x14ac:dyDescent="0.25">
      <c r="B4" s="281" t="s">
        <v>87</v>
      </c>
      <c r="C4" s="282" t="s">
        <v>88</v>
      </c>
      <c r="D4" s="283" t="s">
        <v>89</v>
      </c>
      <c r="E4" s="283"/>
      <c r="F4" s="283" t="s">
        <v>88</v>
      </c>
      <c r="G4" s="284"/>
      <c r="H4" s="285"/>
      <c r="I4" s="285"/>
      <c r="J4" s="285"/>
      <c r="K4" s="285"/>
      <c r="L4" s="286"/>
      <c r="N4" s="287" t="s">
        <v>171</v>
      </c>
      <c r="O4" s="288"/>
      <c r="P4" s="272"/>
    </row>
    <row r="5" spans="1:16" x14ac:dyDescent="0.25">
      <c r="B5" s="281" t="s">
        <v>90</v>
      </c>
      <c r="C5" s="289" t="s">
        <v>91</v>
      </c>
      <c r="D5" s="281" t="s">
        <v>92</v>
      </c>
      <c r="E5" s="281"/>
      <c r="F5" s="281" t="s">
        <v>93</v>
      </c>
      <c r="G5" s="290" t="s">
        <v>94</v>
      </c>
      <c r="H5" s="288"/>
      <c r="I5" s="288"/>
      <c r="J5" s="288"/>
      <c r="K5" s="281" t="s">
        <v>95</v>
      </c>
      <c r="L5" s="291" t="s">
        <v>94</v>
      </c>
      <c r="N5" s="287" t="s">
        <v>99</v>
      </c>
      <c r="O5" s="288"/>
      <c r="P5" s="272"/>
    </row>
    <row r="6" spans="1:16" ht="17.25" x14ac:dyDescent="0.25">
      <c r="A6" s="292" t="s">
        <v>96</v>
      </c>
      <c r="B6" s="292" t="s">
        <v>97</v>
      </c>
      <c r="C6" s="293" t="s">
        <v>98</v>
      </c>
      <c r="D6" s="292" t="s">
        <v>99</v>
      </c>
      <c r="E6" s="292" t="s">
        <v>100</v>
      </c>
      <c r="F6" s="292" t="s">
        <v>191</v>
      </c>
      <c r="G6" s="294" t="s">
        <v>13</v>
      </c>
      <c r="H6" s="292" t="s">
        <v>101</v>
      </c>
      <c r="I6" s="292" t="s">
        <v>102</v>
      </c>
      <c r="J6" s="292" t="s">
        <v>100</v>
      </c>
      <c r="K6" s="292" t="s">
        <v>75</v>
      </c>
      <c r="L6" s="295" t="s">
        <v>13</v>
      </c>
      <c r="N6" s="296" t="s">
        <v>89</v>
      </c>
      <c r="O6" s="279"/>
      <c r="P6" s="280"/>
    </row>
    <row r="7" spans="1:16" x14ac:dyDescent="0.25">
      <c r="A7" s="297" t="s">
        <v>172</v>
      </c>
      <c r="C7" s="298" t="s">
        <v>103</v>
      </c>
      <c r="D7" s="299"/>
      <c r="E7" s="288"/>
      <c r="F7" s="288"/>
      <c r="G7" s="300"/>
      <c r="H7" s="288"/>
      <c r="I7" s="288"/>
      <c r="J7" s="288"/>
      <c r="K7" s="288"/>
      <c r="L7" s="301"/>
      <c r="N7" s="302"/>
      <c r="O7" s="288"/>
      <c r="P7" s="272"/>
    </row>
    <row r="8" spans="1:16" x14ac:dyDescent="0.25">
      <c r="A8" s="268" t="s">
        <v>104</v>
      </c>
      <c r="C8" s="303"/>
      <c r="D8" s="288"/>
      <c r="E8" s="288"/>
      <c r="F8" s="288"/>
      <c r="G8" s="304">
        <f>+'[3]Electric summary'!G8</f>
        <v>27199229</v>
      </c>
      <c r="H8" s="288"/>
      <c r="I8" s="288"/>
      <c r="J8" s="288"/>
      <c r="K8" s="288"/>
      <c r="L8" s="305">
        <f>+'[3]Electric summary'!L8</f>
        <v>7652894</v>
      </c>
      <c r="N8" s="302"/>
      <c r="O8" s="288"/>
      <c r="P8" s="272"/>
    </row>
    <row r="9" spans="1:16" x14ac:dyDescent="0.25">
      <c r="A9" s="268" t="s">
        <v>105</v>
      </c>
      <c r="B9" s="306"/>
      <c r="C9" s="307">
        <f t="shared" ref="C9:C20" si="0">G29</f>
        <v>7437327</v>
      </c>
      <c r="D9" s="308">
        <f>+N9</f>
        <v>-5954855.3700899994</v>
      </c>
      <c r="E9" s="308"/>
      <c r="F9" s="308">
        <f t="shared" ref="F9:F20" si="1">SUM(C9:E9)</f>
        <v>1482471.6299100006</v>
      </c>
      <c r="G9" s="309">
        <f>F9+G8</f>
        <v>28681700.62991</v>
      </c>
      <c r="H9" s="308">
        <f>+'[3]Electric summary'!H9</f>
        <v>-1913223</v>
      </c>
      <c r="I9" s="308"/>
      <c r="J9" s="308"/>
      <c r="K9" s="308">
        <f>SUM(H9:J9)</f>
        <v>-1913223</v>
      </c>
      <c r="L9" s="305">
        <f>L8+K9</f>
        <v>5739671</v>
      </c>
      <c r="N9" s="310">
        <f>+'[3]Electric summary'!N9</f>
        <v>-5954855.3700899994</v>
      </c>
      <c r="O9" s="288"/>
      <c r="P9" s="272"/>
    </row>
    <row r="10" spans="1:16" x14ac:dyDescent="0.25">
      <c r="A10" s="268" t="s">
        <v>106</v>
      </c>
      <c r="B10" s="311"/>
      <c r="C10" s="312">
        <f t="shared" si="0"/>
        <v>7453032</v>
      </c>
      <c r="D10" s="313">
        <f>N10-SUM($D$9:D9)</f>
        <v>-6120014.3406660007</v>
      </c>
      <c r="E10" s="313"/>
      <c r="F10" s="313">
        <f>SUM(C10:E10)+1</f>
        <v>1333018.6593339993</v>
      </c>
      <c r="G10" s="309">
        <f>F10+G9</f>
        <v>30014719.289244</v>
      </c>
      <c r="H10" s="308">
        <f>+'[3]Electric summary'!H10</f>
        <v>-1913223</v>
      </c>
      <c r="I10" s="313"/>
      <c r="J10" s="313"/>
      <c r="K10" s="313">
        <f t="shared" ref="K10:K20" si="2">SUM(H10:J10)</f>
        <v>-1913223</v>
      </c>
      <c r="L10" s="305">
        <f t="shared" ref="L10:L20" si="3">L9+K10</f>
        <v>3826448</v>
      </c>
      <c r="N10" s="314">
        <f>+'[3]Electric summary'!N10</f>
        <v>-12074869.710756</v>
      </c>
      <c r="O10" s="288"/>
      <c r="P10" s="272"/>
    </row>
    <row r="11" spans="1:16" x14ac:dyDescent="0.25">
      <c r="A11" s="268" t="s">
        <v>107</v>
      </c>
      <c r="B11" s="311"/>
      <c r="C11" s="312">
        <f t="shared" si="0"/>
        <v>5381625</v>
      </c>
      <c r="D11" s="313">
        <f>N11-SUM($D$9:D10)</f>
        <v>-5488491.9459959976</v>
      </c>
      <c r="E11" s="313"/>
      <c r="F11" s="313">
        <f>SUM(C11:E11)-1</f>
        <v>-106867.94599599764</v>
      </c>
      <c r="G11" s="309">
        <f t="shared" ref="G11:G20" si="4">F11+G10</f>
        <v>29907851.343248002</v>
      </c>
      <c r="H11" s="308">
        <f>+'[3]Electric summary'!H11</f>
        <v>-1913223</v>
      </c>
      <c r="I11" s="313">
        <f>+'[3]Electric summary'!I11</f>
        <v>-7778986</v>
      </c>
      <c r="J11" s="313"/>
      <c r="K11" s="313">
        <f t="shared" si="2"/>
        <v>-9692209</v>
      </c>
      <c r="L11" s="305">
        <f t="shared" si="3"/>
        <v>-5865761</v>
      </c>
      <c r="N11" s="314">
        <f>+'[3]Electric summary'!N11</f>
        <v>-17563361.656751998</v>
      </c>
      <c r="O11" s="288"/>
      <c r="P11" s="272"/>
    </row>
    <row r="12" spans="1:16" x14ac:dyDescent="0.25">
      <c r="A12" s="268" t="s">
        <v>108</v>
      </c>
      <c r="B12" s="311"/>
      <c r="C12" s="312">
        <f t="shared" si="0"/>
        <v>6750153</v>
      </c>
      <c r="D12" s="313">
        <f>N12-SUM($D$9:D11)</f>
        <v>-4654466.5733040012</v>
      </c>
      <c r="E12" s="313"/>
      <c r="F12" s="313">
        <f t="shared" si="1"/>
        <v>2095686.4266959988</v>
      </c>
      <c r="G12" s="309">
        <f>F12+G11</f>
        <v>32003537.769944001</v>
      </c>
      <c r="H12" s="308">
        <f>+'[3]Electric summary'!H12</f>
        <v>-1913223</v>
      </c>
      <c r="I12" s="313"/>
      <c r="J12" s="313"/>
      <c r="K12" s="313">
        <f t="shared" si="2"/>
        <v>-1913223</v>
      </c>
      <c r="L12" s="305">
        <f t="shared" si="3"/>
        <v>-7778984</v>
      </c>
      <c r="N12" s="314">
        <f>+'[3]Electric summary'!N12</f>
        <v>-22217828.230055999</v>
      </c>
      <c r="O12" s="288"/>
      <c r="P12" s="272"/>
    </row>
    <row r="13" spans="1:16" x14ac:dyDescent="0.25">
      <c r="A13" s="268" t="s">
        <v>109</v>
      </c>
      <c r="B13" s="311"/>
      <c r="C13" s="312">
        <f t="shared" si="0"/>
        <v>6455966</v>
      </c>
      <c r="D13" s="313">
        <f>N13-SUM($D$9:D12)</f>
        <v>-3807575.8752832785</v>
      </c>
      <c r="E13" s="313">
        <f>-J13</f>
        <v>-27199229</v>
      </c>
      <c r="F13" s="313">
        <f t="shared" si="1"/>
        <v>-24550838.875283279</v>
      </c>
      <c r="G13" s="309">
        <f>F13+G12</f>
        <v>7452698.8946607225</v>
      </c>
      <c r="H13" s="308">
        <f>+'[3]Electric summary'!H13</f>
        <v>-1618354</v>
      </c>
      <c r="I13" s="313"/>
      <c r="J13" s="313">
        <f>+G8</f>
        <v>27199229</v>
      </c>
      <c r="K13" s="313">
        <f t="shared" si="2"/>
        <v>25580875</v>
      </c>
      <c r="L13" s="305">
        <f t="shared" si="3"/>
        <v>17801891</v>
      </c>
      <c r="N13" s="314">
        <f>+'[3]Electric summary'!N13</f>
        <v>-26025404.105339278</v>
      </c>
      <c r="O13" s="288"/>
      <c r="P13" s="272"/>
    </row>
    <row r="14" spans="1:16" x14ac:dyDescent="0.25">
      <c r="A14" s="268" t="s">
        <v>110</v>
      </c>
      <c r="B14" s="311"/>
      <c r="C14" s="312">
        <f t="shared" si="0"/>
        <v>4108906</v>
      </c>
      <c r="D14" s="313">
        <f>N14-SUM($D$9:D13)</f>
        <v>-4014986.9936040007</v>
      </c>
      <c r="E14" s="313"/>
      <c r="F14" s="313">
        <f>SUM(C14:E14)</f>
        <v>93919.006395999342</v>
      </c>
      <c r="G14" s="309">
        <f t="shared" si="4"/>
        <v>7546617.9010567218</v>
      </c>
      <c r="H14" s="313">
        <f>+'[3]Electric summary'!H14</f>
        <v>-1618354</v>
      </c>
      <c r="I14" s="313"/>
      <c r="J14" s="313"/>
      <c r="K14" s="313">
        <f t="shared" si="2"/>
        <v>-1618354</v>
      </c>
      <c r="L14" s="305">
        <f t="shared" si="3"/>
        <v>16183537</v>
      </c>
      <c r="N14" s="314">
        <f>+'[3]Electric summary'!N14</f>
        <v>-30040391.098943278</v>
      </c>
      <c r="O14" s="288"/>
      <c r="P14" s="272"/>
    </row>
    <row r="15" spans="1:16" x14ac:dyDescent="0.25">
      <c r="A15" s="268" t="s">
        <v>76</v>
      </c>
      <c r="B15" s="311"/>
      <c r="C15" s="312">
        <f t="shared" si="0"/>
        <v>6229559</v>
      </c>
      <c r="D15" s="313">
        <f>N15-SUM($D$9:D14)</f>
        <v>-4023018.1885500625</v>
      </c>
      <c r="E15" s="313"/>
      <c r="F15" s="313">
        <f t="shared" si="1"/>
        <v>2206540.8114499375</v>
      </c>
      <c r="G15" s="309">
        <f t="shared" si="4"/>
        <v>9753158.7125066593</v>
      </c>
      <c r="H15" s="313">
        <f>+'[3]Electric summary'!H15</f>
        <v>-1618354</v>
      </c>
      <c r="I15" s="313"/>
      <c r="J15" s="313"/>
      <c r="K15" s="313">
        <f t="shared" si="2"/>
        <v>-1618354</v>
      </c>
      <c r="L15" s="305">
        <f t="shared" si="3"/>
        <v>14565183</v>
      </c>
      <c r="N15" s="314">
        <f>+'[3]Electric summary'!N15</f>
        <v>-34063409.287493341</v>
      </c>
      <c r="O15" s="288"/>
      <c r="P15" s="272"/>
    </row>
    <row r="16" spans="1:16" x14ac:dyDescent="0.25">
      <c r="A16" s="268" t="s">
        <v>111</v>
      </c>
      <c r="B16" s="311"/>
      <c r="C16" s="312">
        <f t="shared" si="0"/>
        <v>4848679</v>
      </c>
      <c r="D16" s="313">
        <f>N16-SUM($D$9:D15)</f>
        <v>-4403075.9933219329</v>
      </c>
      <c r="E16" s="313"/>
      <c r="F16" s="313">
        <f t="shared" si="1"/>
        <v>445603.00667806715</v>
      </c>
      <c r="G16" s="309">
        <f t="shared" si="4"/>
        <v>10198761.719184726</v>
      </c>
      <c r="H16" s="313">
        <f>+'[3]Electric summary'!H16</f>
        <v>-1618354</v>
      </c>
      <c r="I16" s="313"/>
      <c r="J16" s="313"/>
      <c r="K16" s="313">
        <f t="shared" si="2"/>
        <v>-1618354</v>
      </c>
      <c r="L16" s="305">
        <f t="shared" si="3"/>
        <v>12946829</v>
      </c>
      <c r="N16" s="314">
        <f>+'[3]Electric summary'!N16</f>
        <v>-38466485.280815274</v>
      </c>
      <c r="O16" s="288"/>
      <c r="P16" s="272"/>
    </row>
    <row r="17" spans="1:16" x14ac:dyDescent="0.25">
      <c r="A17" s="268" t="s">
        <v>112</v>
      </c>
      <c r="B17" s="311"/>
      <c r="C17" s="312">
        <f t="shared" si="0"/>
        <v>5930692</v>
      </c>
      <c r="D17" s="313">
        <f>N17-SUM($D$9:D16)</f>
        <v>-3959886.7015740052</v>
      </c>
      <c r="E17" s="313"/>
      <c r="F17" s="313">
        <f t="shared" si="1"/>
        <v>1970805.2984259948</v>
      </c>
      <c r="G17" s="309">
        <f t="shared" si="4"/>
        <v>12169567.017610721</v>
      </c>
      <c r="H17" s="313">
        <f>+'[3]Electric summary'!H17</f>
        <v>-1618354</v>
      </c>
      <c r="I17" s="313"/>
      <c r="J17" s="313"/>
      <c r="K17" s="313">
        <f t="shared" si="2"/>
        <v>-1618354</v>
      </c>
      <c r="L17" s="305">
        <f t="shared" si="3"/>
        <v>11328475</v>
      </c>
      <c r="N17" s="314">
        <f>+'[3]Electric summary'!N17</f>
        <v>-42426371.982389279</v>
      </c>
      <c r="O17" s="288"/>
      <c r="P17" s="272"/>
    </row>
    <row r="18" spans="1:16" x14ac:dyDescent="0.25">
      <c r="A18" s="268" t="s">
        <v>113</v>
      </c>
      <c r="B18" s="311"/>
      <c r="C18" s="312">
        <f t="shared" si="0"/>
        <v>5934601</v>
      </c>
      <c r="D18" s="313">
        <f>N18-SUM($D$9:D17)</f>
        <v>-4839314.2196579948</v>
      </c>
      <c r="E18" s="313"/>
      <c r="F18" s="313">
        <f t="shared" si="1"/>
        <v>1095286.7803420052</v>
      </c>
      <c r="G18" s="309">
        <f t="shared" si="4"/>
        <v>13264853.797952726</v>
      </c>
      <c r="H18" s="313">
        <f>+'[3]Electric summary'!H18</f>
        <v>-1618354</v>
      </c>
      <c r="I18" s="313"/>
      <c r="J18" s="313"/>
      <c r="K18" s="313">
        <f t="shared" si="2"/>
        <v>-1618354</v>
      </c>
      <c r="L18" s="305">
        <f t="shared" si="3"/>
        <v>9710121</v>
      </c>
      <c r="N18" s="314">
        <f>+'[3]Electric summary'!N18</f>
        <v>-47265686.202047274</v>
      </c>
      <c r="O18" s="288"/>
      <c r="P18" s="272"/>
    </row>
    <row r="19" spans="1:16" x14ac:dyDescent="0.25">
      <c r="A19" s="268" t="s">
        <v>114</v>
      </c>
      <c r="B19" s="311"/>
      <c r="C19" s="312">
        <f t="shared" si="0"/>
        <v>5993443</v>
      </c>
      <c r="D19" s="313">
        <f>N19-SUM($D$9:D18)</f>
        <v>-5439058.3506660014</v>
      </c>
      <c r="E19" s="313"/>
      <c r="F19" s="313">
        <f>SUM(C19:E19)</f>
        <v>554384.64933399856</v>
      </c>
      <c r="G19" s="309">
        <f t="shared" si="4"/>
        <v>13819238.447286725</v>
      </c>
      <c r="H19" s="313">
        <f>+'[3]Electric summary'!H19</f>
        <v>-1618353</v>
      </c>
      <c r="I19" s="313"/>
      <c r="J19" s="313"/>
      <c r="K19" s="313">
        <f t="shared" si="2"/>
        <v>-1618353</v>
      </c>
      <c r="L19" s="305">
        <f t="shared" si="3"/>
        <v>8091768</v>
      </c>
      <c r="N19" s="314">
        <f>+'[3]Electric summary'!N19</f>
        <v>-52704744.552713275</v>
      </c>
      <c r="O19" s="288"/>
      <c r="P19" s="272"/>
    </row>
    <row r="20" spans="1:16" x14ac:dyDescent="0.25">
      <c r="A20" s="268" t="s">
        <v>115</v>
      </c>
      <c r="B20" s="311"/>
      <c r="C20" s="315">
        <f t="shared" si="0"/>
        <v>5603438</v>
      </c>
      <c r="D20" s="313">
        <f>N20-SUM($D$9:D19)</f>
        <v>-5751466.6730879992</v>
      </c>
      <c r="E20" s="316"/>
      <c r="F20" s="316">
        <f t="shared" si="1"/>
        <v>-148028.67308799922</v>
      </c>
      <c r="G20" s="317">
        <f t="shared" si="4"/>
        <v>13671209.774198726</v>
      </c>
      <c r="H20" s="316">
        <f>+'[3]Electric summary'!H20</f>
        <v>-1618353</v>
      </c>
      <c r="I20" s="316">
        <f>+'[3]Electric summary'!I20</f>
        <v>-3386</v>
      </c>
      <c r="J20" s="316"/>
      <c r="K20" s="316">
        <f t="shared" si="2"/>
        <v>-1621739</v>
      </c>
      <c r="L20" s="318">
        <f t="shared" si="3"/>
        <v>6470029</v>
      </c>
      <c r="N20" s="314">
        <f>+'[3]Electric summary'!N20</f>
        <v>-58456211.225801274</v>
      </c>
      <c r="O20" s="288"/>
      <c r="P20" s="272"/>
    </row>
    <row r="21" spans="1:16" x14ac:dyDescent="0.25">
      <c r="C21" s="311"/>
      <c r="D21" s="311"/>
      <c r="E21" s="311"/>
      <c r="F21" s="319"/>
      <c r="G21" s="337" t="s">
        <v>216</v>
      </c>
      <c r="H21" s="338"/>
      <c r="I21" s="338"/>
      <c r="J21" s="338"/>
      <c r="K21" s="338"/>
      <c r="L21" s="337" t="s">
        <v>216</v>
      </c>
      <c r="N21" s="302"/>
      <c r="O21" s="288"/>
      <c r="P21" s="272"/>
    </row>
    <row r="22" spans="1:16" ht="15.75" thickBot="1" x14ac:dyDescent="0.3">
      <c r="C22" s="311"/>
      <c r="D22" s="311"/>
      <c r="E22" s="311"/>
      <c r="F22" s="311"/>
      <c r="G22" s="300"/>
      <c r="H22" s="320">
        <f>SUM(H9:H21)</f>
        <v>-20599722</v>
      </c>
      <c r="I22" s="320">
        <f>SUM(I9:I21)</f>
        <v>-7782372</v>
      </c>
      <c r="J22" s="320">
        <f>SUM(J9:J21)</f>
        <v>27199229</v>
      </c>
      <c r="K22" s="320">
        <f>SUM(K9:K21)</f>
        <v>-1182865</v>
      </c>
      <c r="N22" s="302"/>
      <c r="O22" s="288"/>
      <c r="P22" s="272"/>
    </row>
    <row r="23" spans="1:16" ht="15.75" thickTop="1" x14ac:dyDescent="0.25">
      <c r="C23" s="311"/>
      <c r="D23" s="311"/>
      <c r="E23" s="311"/>
      <c r="F23" s="311"/>
      <c r="G23" s="319"/>
      <c r="H23" s="306"/>
      <c r="I23" s="306"/>
      <c r="J23" s="306"/>
      <c r="K23" s="306"/>
      <c r="N23" s="302"/>
      <c r="O23" s="288"/>
      <c r="P23" s="272"/>
    </row>
    <row r="24" spans="1:16" ht="17.25" x14ac:dyDescent="0.25">
      <c r="A24" s="321" t="s">
        <v>192</v>
      </c>
      <c r="C24" s="311"/>
      <c r="D24" s="311"/>
      <c r="E24" s="311"/>
      <c r="F24" s="311"/>
      <c r="N24" s="302"/>
      <c r="O24" s="288"/>
      <c r="P24" s="272"/>
    </row>
    <row r="25" spans="1:16" x14ac:dyDescent="0.25">
      <c r="B25" s="322" t="s">
        <v>116</v>
      </c>
      <c r="C25" s="322"/>
      <c r="D25" s="323" t="s">
        <v>117</v>
      </c>
      <c r="E25" s="323" t="s">
        <v>118</v>
      </c>
      <c r="N25" s="302"/>
      <c r="O25" s="281" t="s">
        <v>171</v>
      </c>
      <c r="P25" s="324" t="s">
        <v>171</v>
      </c>
    </row>
    <row r="26" spans="1:16" x14ac:dyDescent="0.25">
      <c r="B26" s="322" t="s">
        <v>119</v>
      </c>
      <c r="C26" s="322"/>
      <c r="D26" s="323" t="s">
        <v>120</v>
      </c>
      <c r="E26" s="323" t="s">
        <v>121</v>
      </c>
      <c r="N26" s="302"/>
      <c r="O26" s="281" t="s">
        <v>117</v>
      </c>
      <c r="P26" s="324" t="s">
        <v>118</v>
      </c>
    </row>
    <row r="27" spans="1:16" x14ac:dyDescent="0.25">
      <c r="A27" s="297"/>
      <c r="B27" s="325" t="s">
        <v>122</v>
      </c>
      <c r="C27" s="325" t="s">
        <v>123</v>
      </c>
      <c r="D27" s="325" t="s">
        <v>124</v>
      </c>
      <c r="E27" s="325" t="s">
        <v>125</v>
      </c>
      <c r="F27" s="325" t="s">
        <v>101</v>
      </c>
      <c r="G27" s="325" t="s">
        <v>126</v>
      </c>
      <c r="N27" s="287" t="s">
        <v>171</v>
      </c>
      <c r="O27" s="281" t="s">
        <v>120</v>
      </c>
      <c r="P27" s="324" t="s">
        <v>121</v>
      </c>
    </row>
    <row r="28" spans="1:16" x14ac:dyDescent="0.25">
      <c r="A28" s="297" t="s">
        <v>172</v>
      </c>
      <c r="N28" s="287">
        <v>236</v>
      </c>
      <c r="O28" s="326" t="s">
        <v>124</v>
      </c>
      <c r="P28" s="327" t="s">
        <v>125</v>
      </c>
    </row>
    <row r="29" spans="1:16" x14ac:dyDescent="0.25">
      <c r="A29" s="268" t="s">
        <v>105</v>
      </c>
      <c r="B29" s="259">
        <f>+'[3]Electric summary'!B29</f>
        <v>66256428</v>
      </c>
      <c r="C29" s="306">
        <f>B29/12</f>
        <v>5521369</v>
      </c>
      <c r="D29" s="306">
        <f>+'[3]Electric summary'!D29</f>
        <v>1585</v>
      </c>
      <c r="E29" s="306">
        <f>+'[3]Electric summary'!E29</f>
        <v>1150</v>
      </c>
      <c r="F29" s="311">
        <f t="shared" ref="F29:F40" si="5">-H9</f>
        <v>1913223</v>
      </c>
      <c r="G29" s="306">
        <f t="shared" ref="G29:G40" si="6">SUM(C29:F29)</f>
        <v>7437327</v>
      </c>
      <c r="N29" s="310">
        <f>+'[3]Electric summary'!N29</f>
        <v>5521369</v>
      </c>
      <c r="O29" s="308">
        <f>+'[3]Electric summary'!O29</f>
        <v>1585</v>
      </c>
      <c r="P29" s="328">
        <f>+'[3]Electric summary'!P29</f>
        <v>1150</v>
      </c>
    </row>
    <row r="30" spans="1:16" x14ac:dyDescent="0.25">
      <c r="A30" s="268" t="s">
        <v>106</v>
      </c>
      <c r="B30" s="259">
        <f>+'[3]Electric summary'!B30</f>
        <v>66256440</v>
      </c>
      <c r="C30" s="311">
        <f>B30/12*2-C29</f>
        <v>5521371</v>
      </c>
      <c r="D30" s="311">
        <f>+'[3]Electric summary'!D30</f>
        <v>19368</v>
      </c>
      <c r="E30" s="311">
        <f>+'[3]Electric summary'!E30</f>
        <v>-930</v>
      </c>
      <c r="F30" s="311">
        <f t="shared" si="5"/>
        <v>1913223</v>
      </c>
      <c r="G30" s="311">
        <f t="shared" si="6"/>
        <v>7453032</v>
      </c>
      <c r="N30" s="314">
        <f>+'[3]Electric summary'!N30</f>
        <v>11042740</v>
      </c>
      <c r="O30" s="313">
        <f>+'[3]Electric summary'!O30</f>
        <v>20953</v>
      </c>
      <c r="P30" s="328">
        <f>+'[3]Electric summary'!P30</f>
        <v>220</v>
      </c>
    </row>
    <row r="31" spans="1:16" x14ac:dyDescent="0.25">
      <c r="A31" s="268" t="s">
        <v>107</v>
      </c>
      <c r="B31" s="259">
        <f>+'[3]Electric summary'!B31</f>
        <v>58022052</v>
      </c>
      <c r="C31" s="311">
        <f>B31/12*3-SUM($C$29:C30)</f>
        <v>3462773</v>
      </c>
      <c r="D31" s="311">
        <f>+'[3]Electric summary'!D31</f>
        <v>5629</v>
      </c>
      <c r="E31" s="311">
        <f>+'[3]Electric summary'!E31</f>
        <v>0</v>
      </c>
      <c r="F31" s="311">
        <f t="shared" si="5"/>
        <v>1913223</v>
      </c>
      <c r="G31" s="311">
        <f t="shared" si="6"/>
        <v>5381625</v>
      </c>
      <c r="N31" s="314">
        <f>+'[3]Electric summary'!N31</f>
        <v>14505513</v>
      </c>
      <c r="O31" s="313">
        <f>+'[3]Electric summary'!O31</f>
        <v>26582</v>
      </c>
      <c r="P31" s="328">
        <f>+'[3]Electric summary'!P31</f>
        <v>220</v>
      </c>
    </row>
    <row r="32" spans="1:16" x14ac:dyDescent="0.25">
      <c r="A32" s="268" t="s">
        <v>108</v>
      </c>
      <c r="B32" s="259">
        <f>+'[3]Electric summary'!B32</f>
        <v>58022052</v>
      </c>
      <c r="C32" s="311">
        <f>B32/12*4-SUM($C$29:C31)</f>
        <v>4835171</v>
      </c>
      <c r="D32" s="311">
        <f>+'[3]Electric summary'!D32</f>
        <v>1664</v>
      </c>
      <c r="E32" s="311">
        <f>+'[3]Electric summary'!E32</f>
        <v>95</v>
      </c>
      <c r="F32" s="311">
        <f t="shared" si="5"/>
        <v>1913223</v>
      </c>
      <c r="G32" s="311">
        <f t="shared" si="6"/>
        <v>6750153</v>
      </c>
      <c r="N32" s="314">
        <f>+'[3]Electric summary'!N32</f>
        <v>19340684</v>
      </c>
      <c r="O32" s="313">
        <f>+'[3]Electric summary'!O32</f>
        <v>28246</v>
      </c>
      <c r="P32" s="328">
        <f>+'[3]Electric summary'!P32</f>
        <v>315</v>
      </c>
    </row>
    <row r="33" spans="1:16" x14ac:dyDescent="0.25">
      <c r="A33" s="268" t="s">
        <v>109</v>
      </c>
      <c r="B33" s="259">
        <f>+'[3]Electric summary'!B33</f>
        <v>58022052</v>
      </c>
      <c r="C33" s="311">
        <f>B33/12*5-SUM($C$29:C32)</f>
        <v>4835171</v>
      </c>
      <c r="D33" s="311">
        <f>+'[3]Electric summary'!D33</f>
        <v>2441</v>
      </c>
      <c r="E33" s="311">
        <f>+'[3]Electric summary'!E33</f>
        <v>0</v>
      </c>
      <c r="F33" s="311">
        <f t="shared" si="5"/>
        <v>1618354</v>
      </c>
      <c r="G33" s="311">
        <f t="shared" si="6"/>
        <v>6455966</v>
      </c>
      <c r="N33" s="314">
        <f>+'[3]Electric summary'!N33</f>
        <v>24175855</v>
      </c>
      <c r="O33" s="313">
        <f>+'[3]Electric summary'!O33</f>
        <v>30687</v>
      </c>
      <c r="P33" s="328">
        <f>+'[3]Electric summary'!P33</f>
        <v>315</v>
      </c>
    </row>
    <row r="34" spans="1:16" x14ac:dyDescent="0.25">
      <c r="A34" s="268" t="s">
        <v>110</v>
      </c>
      <c r="B34" s="259">
        <f>+'[3]Electric summary'!B34</f>
        <v>53328070</v>
      </c>
      <c r="C34" s="311">
        <f>B34/12*6-SUM($C$29:C33)</f>
        <v>2488180</v>
      </c>
      <c r="D34" s="311">
        <f>+'[3]Electric summary'!D34</f>
        <v>2427</v>
      </c>
      <c r="E34" s="311">
        <f>+'[3]Electric summary'!E34</f>
        <v>-55</v>
      </c>
      <c r="F34" s="311">
        <f t="shared" si="5"/>
        <v>1618354</v>
      </c>
      <c r="G34" s="311">
        <f t="shared" si="6"/>
        <v>4108906</v>
      </c>
      <c r="N34" s="314">
        <f>+'[3]Electric summary'!N34</f>
        <v>26664035</v>
      </c>
      <c r="O34" s="313">
        <f>+'[3]Electric summary'!O34</f>
        <v>33114</v>
      </c>
      <c r="P34" s="328">
        <f>+'[3]Electric summary'!P34</f>
        <v>260</v>
      </c>
    </row>
    <row r="35" spans="1:16" x14ac:dyDescent="0.25">
      <c r="A35" s="268" t="s">
        <v>76</v>
      </c>
      <c r="B35" s="259">
        <f>+'[3]Electric summary'!B35</f>
        <v>53611908</v>
      </c>
      <c r="C35" s="311">
        <f>B35/12*7-SUM($C$29:C34)</f>
        <v>4609578</v>
      </c>
      <c r="D35" s="311">
        <f>+'[3]Electric summary'!D35</f>
        <v>1627</v>
      </c>
      <c r="E35" s="311">
        <f>+'[3]Electric summary'!E35</f>
        <v>0</v>
      </c>
      <c r="F35" s="311">
        <f t="shared" si="5"/>
        <v>1618354</v>
      </c>
      <c r="G35" s="311">
        <f t="shared" si="6"/>
        <v>6229559</v>
      </c>
      <c r="N35" s="314">
        <f>+'[3]Electric summary'!N35</f>
        <v>31273613</v>
      </c>
      <c r="O35" s="313">
        <f>+'[3]Electric summary'!O35</f>
        <v>34741</v>
      </c>
      <c r="P35" s="329">
        <f>+'[3]Electric summary'!P35</f>
        <v>260</v>
      </c>
    </row>
    <row r="36" spans="1:16" x14ac:dyDescent="0.25">
      <c r="A36" s="268" t="s">
        <v>111</v>
      </c>
      <c r="B36" s="259">
        <f>+'[3]Electric summary'!B36</f>
        <v>51752152.5</v>
      </c>
      <c r="C36" s="311">
        <f>B36/12*8-SUM($C$29:C35)</f>
        <v>3227822</v>
      </c>
      <c r="D36" s="311">
        <f>+'[3]Electric summary'!D36</f>
        <v>2503</v>
      </c>
      <c r="E36" s="311">
        <f>+'[3]Electric summary'!E36</f>
        <v>0</v>
      </c>
      <c r="F36" s="311">
        <f t="shared" si="5"/>
        <v>1618354</v>
      </c>
      <c r="G36" s="311">
        <f t="shared" si="6"/>
        <v>4848679</v>
      </c>
      <c r="N36" s="314">
        <f>+'[3]Electric summary'!N36</f>
        <v>34501435</v>
      </c>
      <c r="O36" s="313">
        <f>+'[3]Electric summary'!O36</f>
        <v>37244</v>
      </c>
      <c r="P36" s="329">
        <f>+'[3]Electric summary'!P36</f>
        <v>260</v>
      </c>
    </row>
    <row r="37" spans="1:16" x14ac:dyDescent="0.25">
      <c r="A37" s="268" t="s">
        <v>112</v>
      </c>
      <c r="B37" s="259">
        <f>+'[3]Electric summary'!B37</f>
        <v>51752874.666666672</v>
      </c>
      <c r="C37" s="311">
        <f>B37/12*9-SUM($C$29:C36)</f>
        <v>4313221</v>
      </c>
      <c r="D37" s="311">
        <f>+'[3]Electric summary'!D37</f>
        <v>2597</v>
      </c>
      <c r="E37" s="311">
        <f>+'[3]Electric summary'!E37</f>
        <v>-3480</v>
      </c>
      <c r="F37" s="311">
        <f t="shared" si="5"/>
        <v>1618354</v>
      </c>
      <c r="G37" s="311">
        <f t="shared" si="6"/>
        <v>5930692</v>
      </c>
      <c r="N37" s="314">
        <f>+'[3]Electric summary'!N37</f>
        <v>38814656</v>
      </c>
      <c r="O37" s="313">
        <f>+'[3]Electric summary'!O37</f>
        <v>39841</v>
      </c>
      <c r="P37" s="329">
        <f>+'[3]Electric summary'!P37</f>
        <v>-3220</v>
      </c>
    </row>
    <row r="38" spans="1:16" x14ac:dyDescent="0.25">
      <c r="A38" s="268" t="s">
        <v>113</v>
      </c>
      <c r="B38" s="259">
        <f>+'[3]Electric summary'!B38</f>
        <v>51753453.599999994</v>
      </c>
      <c r="C38" s="311">
        <f>B38/12*10-SUM($C$29:C37)</f>
        <v>4313222</v>
      </c>
      <c r="D38" s="311">
        <f>+'[3]Electric summary'!D38</f>
        <v>3025</v>
      </c>
      <c r="E38" s="311">
        <f>+'[3]Electric summary'!E38</f>
        <v>0</v>
      </c>
      <c r="F38" s="311">
        <f t="shared" si="5"/>
        <v>1618354</v>
      </c>
      <c r="G38" s="311">
        <f t="shared" si="6"/>
        <v>5934601</v>
      </c>
      <c r="N38" s="314">
        <f>+'[3]Electric summary'!N38</f>
        <v>43127878</v>
      </c>
      <c r="O38" s="313">
        <f>+'[3]Electric summary'!O38</f>
        <v>42866</v>
      </c>
      <c r="P38" s="329">
        <f>+'[3]Electric summary'!P38</f>
        <v>-3220</v>
      </c>
    </row>
    <row r="39" spans="1:16" x14ac:dyDescent="0.25">
      <c r="A39" s="268" t="s">
        <v>114</v>
      </c>
      <c r="B39" s="259">
        <f>+'[3]Electric summary'!B39</f>
        <v>51818728.36363636</v>
      </c>
      <c r="C39" s="311">
        <f>B39/12*11-SUM($C$29:C38)</f>
        <v>4372623</v>
      </c>
      <c r="D39" s="311">
        <f>+'[3]Electric summary'!D39</f>
        <v>2467</v>
      </c>
      <c r="E39" s="311">
        <f>+'[3]Electric summary'!E39</f>
        <v>0</v>
      </c>
      <c r="F39" s="311">
        <f t="shared" si="5"/>
        <v>1618353</v>
      </c>
      <c r="G39" s="311">
        <f>SUM(C39:F39)</f>
        <v>5993443</v>
      </c>
      <c r="I39" s="330"/>
      <c r="K39" s="330"/>
      <c r="N39" s="314">
        <f>+'[3]Electric summary'!N39</f>
        <v>47500501</v>
      </c>
      <c r="O39" s="313">
        <f>+'[3]Electric summary'!O39</f>
        <v>45333</v>
      </c>
      <c r="P39" s="329">
        <f>+'[3]Electric summary'!P39</f>
        <v>-3220</v>
      </c>
    </row>
    <row r="40" spans="1:16" x14ac:dyDescent="0.25">
      <c r="A40" s="268" t="s">
        <v>115</v>
      </c>
      <c r="B40" s="259">
        <f>+'[3]Electric summary'!B40</f>
        <v>51481427</v>
      </c>
      <c r="C40" s="311">
        <f>B40/12*12-SUM($C$29:C39)</f>
        <v>3980926</v>
      </c>
      <c r="D40" s="311">
        <f>+'[3]Electric summary'!D40</f>
        <v>774</v>
      </c>
      <c r="E40" s="311">
        <f>+'[3]Electric summary'!E40</f>
        <v>3385</v>
      </c>
      <c r="F40" s="311">
        <f t="shared" si="5"/>
        <v>1618353</v>
      </c>
      <c r="G40" s="311">
        <f t="shared" si="6"/>
        <v>5603438</v>
      </c>
      <c r="I40" s="330"/>
      <c r="K40" s="330"/>
      <c r="N40" s="331">
        <f>+'[3]Electric summary'!N40</f>
        <v>51481427</v>
      </c>
      <c r="O40" s="332">
        <f>+'[3]Electric summary'!O40</f>
        <v>46107</v>
      </c>
      <c r="P40" s="329">
        <f>+'[3]Electric summary'!P40</f>
        <v>165</v>
      </c>
    </row>
    <row r="41" spans="1:16" x14ac:dyDescent="0.25">
      <c r="A41" s="268" t="s">
        <v>212</v>
      </c>
      <c r="C41" s="311"/>
      <c r="D41" s="311"/>
      <c r="E41" s="311"/>
      <c r="F41" s="311"/>
      <c r="I41" s="330"/>
      <c r="K41" s="330"/>
    </row>
    <row r="42" spans="1:16" x14ac:dyDescent="0.25">
      <c r="A42" s="268">
        <v>23600201</v>
      </c>
      <c r="B42" s="333">
        <v>40477730</v>
      </c>
      <c r="C42" s="306">
        <f>SUM(C29:C41)</f>
        <v>51481427</v>
      </c>
      <c r="D42" s="306">
        <f>SUM(D29:D41)</f>
        <v>46107</v>
      </c>
      <c r="E42" s="306">
        <f>SUM(E29:E41)</f>
        <v>165</v>
      </c>
      <c r="F42" s="306">
        <f>SUM(F29:F41)</f>
        <v>20599722</v>
      </c>
      <c r="G42" s="306">
        <f>SUM(G29:G41)</f>
        <v>72127421</v>
      </c>
      <c r="I42" s="330"/>
      <c r="K42" s="330"/>
    </row>
    <row r="43" spans="1:16" x14ac:dyDescent="0.25">
      <c r="A43" s="268" t="s">
        <v>213</v>
      </c>
      <c r="B43" s="336">
        <v>-350005</v>
      </c>
      <c r="C43" s="306"/>
      <c r="D43" s="306"/>
      <c r="E43" s="306"/>
      <c r="F43" s="306"/>
      <c r="G43" s="306"/>
      <c r="I43" s="330"/>
      <c r="J43" s="330"/>
      <c r="K43" s="330"/>
    </row>
    <row r="44" spans="1:16" x14ac:dyDescent="0.25">
      <c r="A44" s="268" t="s">
        <v>214</v>
      </c>
      <c r="B44" s="333">
        <v>10848328</v>
      </c>
      <c r="I44" s="330"/>
      <c r="K44" s="330"/>
    </row>
    <row r="45" spans="1:16" x14ac:dyDescent="0.25">
      <c r="A45" s="268" t="s">
        <v>215</v>
      </c>
      <c r="B45" s="333">
        <v>505374</v>
      </c>
      <c r="I45" s="330"/>
      <c r="K45" s="330"/>
    </row>
    <row r="46" spans="1:16" ht="15.75" thickBot="1" x14ac:dyDescent="0.3">
      <c r="B46" s="335">
        <f>SUM(B42:B45)</f>
        <v>51481427</v>
      </c>
      <c r="I46" s="330"/>
      <c r="K46" s="330"/>
    </row>
    <row r="47" spans="1:16" ht="15.75" thickTop="1" x14ac:dyDescent="0.25">
      <c r="B47" s="334">
        <f>+B40-B46</f>
        <v>0</v>
      </c>
      <c r="I47" s="330"/>
      <c r="K47" s="330"/>
    </row>
    <row r="48" spans="1:16" x14ac:dyDescent="0.25">
      <c r="B48" s="333"/>
      <c r="I48" s="330"/>
      <c r="K48" s="330"/>
    </row>
    <row r="49" spans="2:12" x14ac:dyDescent="0.25">
      <c r="B49" s="333"/>
      <c r="I49" s="330"/>
      <c r="K49" s="330"/>
    </row>
    <row r="50" spans="2:12" x14ac:dyDescent="0.25">
      <c r="B50" s="333"/>
      <c r="I50" s="330"/>
      <c r="K50" s="330"/>
    </row>
    <row r="51" spans="2:12" x14ac:dyDescent="0.25">
      <c r="I51" s="330"/>
      <c r="K51" s="330"/>
    </row>
    <row r="52" spans="2:12" x14ac:dyDescent="0.25">
      <c r="I52" s="330"/>
      <c r="K52" s="330"/>
    </row>
    <row r="53" spans="2:12" x14ac:dyDescent="0.25">
      <c r="I53" s="330"/>
      <c r="K53" s="330"/>
    </row>
    <row r="54" spans="2:12" x14ac:dyDescent="0.25">
      <c r="L54" s="330"/>
    </row>
    <row r="55" spans="2:12" x14ac:dyDescent="0.25">
      <c r="L55" s="330"/>
    </row>
    <row r="56" spans="2:12" x14ac:dyDescent="0.25">
      <c r="L56" s="330"/>
    </row>
    <row r="57" spans="2:12" x14ac:dyDescent="0.25">
      <c r="L57" s="330"/>
    </row>
    <row r="58" spans="2:12" x14ac:dyDescent="0.25">
      <c r="I58" s="330"/>
      <c r="J58" s="330"/>
      <c r="K58" s="330"/>
      <c r="L58" s="33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90" zoomScaleNormal="90" workbookViewId="0">
      <selection activeCell="K43" sqref="K43"/>
    </sheetView>
  </sheetViews>
  <sheetFormatPr defaultColWidth="9.140625" defaultRowHeight="15" x14ac:dyDescent="0.25"/>
  <cols>
    <col min="1" max="1" width="10.85546875" style="204" bestFit="1" customWidth="1"/>
    <col min="2" max="2" width="14.28515625" style="204" bestFit="1" customWidth="1"/>
    <col min="3" max="3" width="13.7109375" style="204" bestFit="1" customWidth="1"/>
    <col min="4" max="4" width="14.28515625" style="204" bestFit="1" customWidth="1"/>
    <col min="5" max="5" width="13.42578125" style="204" bestFit="1" customWidth="1"/>
    <col min="6" max="6" width="13.7109375" style="204" bestFit="1" customWidth="1"/>
    <col min="7" max="7" width="13.5703125" style="204" bestFit="1" customWidth="1"/>
    <col min="8" max="8" width="13.42578125" style="204" bestFit="1" customWidth="1"/>
    <col min="9" max="11" width="12.5703125" style="204" customWidth="1"/>
    <col min="12" max="12" width="13.28515625" style="204" bestFit="1" customWidth="1"/>
    <col min="13" max="13" width="9.140625" style="204"/>
    <col min="14" max="14" width="23.140625" style="204" bestFit="1" customWidth="1"/>
    <col min="15" max="16" width="12.28515625" style="204" bestFit="1" customWidth="1"/>
    <col min="17" max="16384" width="9.140625" style="204"/>
  </cols>
  <sheetData>
    <row r="1" spans="1:16" ht="15.75" thickBot="1" x14ac:dyDescent="0.3">
      <c r="A1" s="202" t="s">
        <v>1</v>
      </c>
      <c r="B1" s="203" t="s">
        <v>207</v>
      </c>
      <c r="N1" s="203" t="s">
        <v>169</v>
      </c>
      <c r="P1" s="205"/>
    </row>
    <row r="2" spans="1:16" x14ac:dyDescent="0.25">
      <c r="N2" s="206" t="s">
        <v>170</v>
      </c>
      <c r="O2" s="207"/>
      <c r="P2" s="208"/>
    </row>
    <row r="3" spans="1:16" x14ac:dyDescent="0.25">
      <c r="C3" s="209" t="s">
        <v>127</v>
      </c>
      <c r="D3" s="210"/>
      <c r="E3" s="210"/>
      <c r="F3" s="210"/>
      <c r="G3" s="211"/>
      <c r="H3" s="212" t="s">
        <v>128</v>
      </c>
      <c r="I3" s="210"/>
      <c r="J3" s="210"/>
      <c r="K3" s="210"/>
      <c r="L3" s="213"/>
      <c r="N3" s="214"/>
      <c r="O3" s="215"/>
      <c r="P3" s="208"/>
    </row>
    <row r="4" spans="1:16" x14ac:dyDescent="0.25">
      <c r="B4" s="216" t="s">
        <v>87</v>
      </c>
      <c r="C4" s="217" t="s">
        <v>88</v>
      </c>
      <c r="D4" s="218" t="s">
        <v>89</v>
      </c>
      <c r="E4" s="218"/>
      <c r="F4" s="218" t="s">
        <v>88</v>
      </c>
      <c r="G4" s="219"/>
      <c r="H4" s="220"/>
      <c r="I4" s="220"/>
      <c r="J4" s="220"/>
      <c r="K4" s="220"/>
      <c r="L4" s="221"/>
      <c r="N4" s="222" t="s">
        <v>171</v>
      </c>
      <c r="O4" s="215"/>
      <c r="P4" s="208"/>
    </row>
    <row r="5" spans="1:16" x14ac:dyDescent="0.25">
      <c r="B5" s="216" t="s">
        <v>90</v>
      </c>
      <c r="C5" s="223" t="s">
        <v>91</v>
      </c>
      <c r="D5" s="216" t="s">
        <v>92</v>
      </c>
      <c r="E5" s="216"/>
      <c r="F5" s="216" t="s">
        <v>93</v>
      </c>
      <c r="G5" s="224" t="s">
        <v>94</v>
      </c>
      <c r="H5" s="215"/>
      <c r="I5" s="215"/>
      <c r="J5" s="215"/>
      <c r="K5" s="216" t="s">
        <v>95</v>
      </c>
      <c r="L5" s="225" t="s">
        <v>94</v>
      </c>
      <c r="N5" s="222" t="s">
        <v>99</v>
      </c>
      <c r="O5" s="215"/>
      <c r="P5" s="208"/>
    </row>
    <row r="6" spans="1:16" x14ac:dyDescent="0.25">
      <c r="A6" s="226" t="s">
        <v>96</v>
      </c>
      <c r="B6" s="226" t="s">
        <v>97</v>
      </c>
      <c r="C6" s="227" t="s">
        <v>98</v>
      </c>
      <c r="D6" s="226" t="s">
        <v>99</v>
      </c>
      <c r="E6" s="226" t="s">
        <v>100</v>
      </c>
      <c r="F6" s="226" t="s">
        <v>94</v>
      </c>
      <c r="G6" s="228" t="s">
        <v>13</v>
      </c>
      <c r="H6" s="226" t="s">
        <v>101</v>
      </c>
      <c r="I6" s="226" t="s">
        <v>102</v>
      </c>
      <c r="J6" s="226" t="s">
        <v>100</v>
      </c>
      <c r="K6" s="226" t="s">
        <v>75</v>
      </c>
      <c r="L6" s="229" t="s">
        <v>13</v>
      </c>
      <c r="N6" s="222" t="s">
        <v>89</v>
      </c>
      <c r="O6" s="215"/>
      <c r="P6" s="208"/>
    </row>
    <row r="7" spans="1:16" x14ac:dyDescent="0.25">
      <c r="A7" s="230" t="s">
        <v>172</v>
      </c>
      <c r="C7" s="231" t="s">
        <v>103</v>
      </c>
      <c r="D7" s="232"/>
      <c r="E7" s="215"/>
      <c r="F7" s="215"/>
      <c r="G7" s="233"/>
      <c r="H7" s="215"/>
      <c r="I7" s="215"/>
      <c r="J7" s="215"/>
      <c r="K7" s="215"/>
      <c r="L7" s="234"/>
      <c r="N7" s="214"/>
      <c r="O7" s="215"/>
      <c r="P7" s="208"/>
    </row>
    <row r="8" spans="1:16" x14ac:dyDescent="0.25">
      <c r="A8" s="204" t="s">
        <v>104</v>
      </c>
      <c r="C8" s="235"/>
      <c r="D8" s="215"/>
      <c r="E8" s="215"/>
      <c r="F8" s="215"/>
      <c r="G8" s="236">
        <f>+'[3]Gas summary'!G8</f>
        <v>8894921</v>
      </c>
      <c r="H8" s="215"/>
      <c r="I8" s="215"/>
      <c r="J8" s="215"/>
      <c r="K8" s="215"/>
      <c r="L8" s="237">
        <f>+'[3]Gas summary'!L8</f>
        <v>1874799</v>
      </c>
      <c r="N8" s="214"/>
      <c r="O8" s="215"/>
      <c r="P8" s="208"/>
    </row>
    <row r="9" spans="1:16" x14ac:dyDescent="0.25">
      <c r="A9" s="204" t="s">
        <v>105</v>
      </c>
      <c r="B9" s="238"/>
      <c r="C9" s="239">
        <f t="shared" ref="C9:C20" si="0">G29</f>
        <v>2689738</v>
      </c>
      <c r="D9" s="240">
        <f>+'[3]Gas summary'!D9</f>
        <v>-2927505.0464920001</v>
      </c>
      <c r="E9" s="240"/>
      <c r="F9" s="240">
        <f t="shared" ref="F9:F20" si="1">SUM(C9:E9)</f>
        <v>-237767.04649200011</v>
      </c>
      <c r="G9" s="241">
        <f>F9+G8</f>
        <v>8657153.9535080008</v>
      </c>
      <c r="H9" s="240">
        <f>+'[3]Gas summary'!H9</f>
        <v>-468700</v>
      </c>
      <c r="I9" s="240"/>
      <c r="J9" s="240"/>
      <c r="K9" s="240">
        <f>SUM(H9:J9)</f>
        <v>-468700</v>
      </c>
      <c r="L9" s="237">
        <f>L8+K9</f>
        <v>1406099</v>
      </c>
      <c r="N9" s="242">
        <f>+'[3]Gas summary'!N9</f>
        <v>-2927505.0464920001</v>
      </c>
      <c r="O9" s="215"/>
      <c r="P9" s="208"/>
    </row>
    <row r="10" spans="1:16" x14ac:dyDescent="0.25">
      <c r="A10" s="204" t="s">
        <v>106</v>
      </c>
      <c r="B10" s="243"/>
      <c r="C10" s="244">
        <f t="shared" si="0"/>
        <v>2689457</v>
      </c>
      <c r="D10" s="245">
        <f>+'[3]Gas summary'!D10</f>
        <v>-3509481.1378640002</v>
      </c>
      <c r="E10" s="245"/>
      <c r="F10" s="245">
        <f t="shared" si="1"/>
        <v>-820024.13786400016</v>
      </c>
      <c r="G10" s="241">
        <f>F10+G9</f>
        <v>7837129.8156440007</v>
      </c>
      <c r="H10" s="245">
        <f>+'[3]Gas summary'!H10</f>
        <v>-468700</v>
      </c>
      <c r="I10" s="245"/>
      <c r="J10" s="245"/>
      <c r="K10" s="245">
        <f t="shared" ref="K10:K20" si="2">SUM(H10:J10)</f>
        <v>-468700</v>
      </c>
      <c r="L10" s="237">
        <f t="shared" ref="L10:L20" si="3">L9+K10</f>
        <v>937399</v>
      </c>
      <c r="N10" s="246">
        <f>+'[3]Gas summary'!N10</f>
        <v>-6436986.1843560003</v>
      </c>
      <c r="O10" s="215"/>
      <c r="P10" s="208"/>
    </row>
    <row r="11" spans="1:16" x14ac:dyDescent="0.25">
      <c r="A11" s="204" t="s">
        <v>107</v>
      </c>
      <c r="B11" s="243"/>
      <c r="C11" s="244">
        <f t="shared" si="0"/>
        <v>1552533</v>
      </c>
      <c r="D11" s="245">
        <f>+'[3]Gas summary'!D11</f>
        <v>-2334883.9473439995</v>
      </c>
      <c r="E11" s="245"/>
      <c r="F11" s="245">
        <f t="shared" si="1"/>
        <v>-782350.94734399952</v>
      </c>
      <c r="G11" s="241">
        <f t="shared" ref="G11:G20" si="4">F11+G10</f>
        <v>7054778.8683000011</v>
      </c>
      <c r="H11" s="245">
        <f>+'[3]Gas summary'!H11</f>
        <v>-468700</v>
      </c>
      <c r="I11" s="245">
        <f>+'[3]Gas summary'!I11</f>
        <v>-4068532</v>
      </c>
      <c r="J11" s="245"/>
      <c r="K11" s="245">
        <f t="shared" si="2"/>
        <v>-4537232</v>
      </c>
      <c r="L11" s="237">
        <f t="shared" si="3"/>
        <v>-3599833</v>
      </c>
      <c r="N11" s="246">
        <f>+'[3]Gas summary'!N11</f>
        <v>-8771870.1316999998</v>
      </c>
      <c r="O11" s="215"/>
      <c r="P11" s="208"/>
    </row>
    <row r="12" spans="1:16" x14ac:dyDescent="0.25">
      <c r="A12" s="204" t="s">
        <v>108</v>
      </c>
      <c r="B12" s="243"/>
      <c r="C12" s="244">
        <f t="shared" si="0"/>
        <v>2310466</v>
      </c>
      <c r="D12" s="245">
        <f>+'[3]Gas summary'!D12</f>
        <v>-1328003.8561140001</v>
      </c>
      <c r="E12" s="245"/>
      <c r="F12" s="245">
        <f t="shared" si="1"/>
        <v>982462.14388599992</v>
      </c>
      <c r="G12" s="241">
        <f>F12+G11</f>
        <v>8037241.0121860011</v>
      </c>
      <c r="H12" s="245">
        <f>+'[3]Gas summary'!H12</f>
        <v>-468700</v>
      </c>
      <c r="I12" s="245"/>
      <c r="J12" s="245"/>
      <c r="K12" s="245">
        <f t="shared" si="2"/>
        <v>-468700</v>
      </c>
      <c r="L12" s="237">
        <f t="shared" si="3"/>
        <v>-4068533</v>
      </c>
      <c r="N12" s="246">
        <f>+'[3]Gas summary'!N12</f>
        <v>-10099873.987814</v>
      </c>
      <c r="O12" s="215"/>
      <c r="P12" s="208"/>
    </row>
    <row r="13" spans="1:16" x14ac:dyDescent="0.25">
      <c r="A13" s="204" t="s">
        <v>109</v>
      </c>
      <c r="B13" s="243"/>
      <c r="C13" s="244">
        <f t="shared" si="0"/>
        <v>2244108.9999999981</v>
      </c>
      <c r="D13" s="245">
        <f>+'[3]Gas summary'!D13</f>
        <v>-501823.53551200032</v>
      </c>
      <c r="E13" s="245">
        <f>-J13</f>
        <v>-8894921</v>
      </c>
      <c r="F13" s="245">
        <f t="shared" si="1"/>
        <v>-7152635.5355120022</v>
      </c>
      <c r="G13" s="241">
        <f>F13+G12</f>
        <v>884605.47667399887</v>
      </c>
      <c r="H13" s="245">
        <f>+'[3]Gas summary'!H13</f>
        <v>-402199</v>
      </c>
      <c r="I13" s="245"/>
      <c r="J13" s="245">
        <f>G8</f>
        <v>8894921</v>
      </c>
      <c r="K13" s="245">
        <f t="shared" si="2"/>
        <v>8492722</v>
      </c>
      <c r="L13" s="237">
        <f t="shared" si="3"/>
        <v>4424189</v>
      </c>
      <c r="N13" s="246">
        <f>+'[3]Gas summary'!N13</f>
        <v>-10601697.523326</v>
      </c>
      <c r="O13" s="215"/>
      <c r="P13" s="208"/>
    </row>
    <row r="14" spans="1:16" x14ac:dyDescent="0.25">
      <c r="A14" s="204" t="s">
        <v>110</v>
      </c>
      <c r="B14" s="243"/>
      <c r="C14" s="244">
        <f t="shared" si="0"/>
        <v>514990.00000000186</v>
      </c>
      <c r="D14" s="245">
        <f>+'[3]Gas summary'!D14</f>
        <v>-1204175.4595260005</v>
      </c>
      <c r="E14" s="245"/>
      <c r="F14" s="245">
        <f t="shared" si="1"/>
        <v>-689185.45952599868</v>
      </c>
      <c r="G14" s="241">
        <f t="shared" si="4"/>
        <v>195420.01714800019</v>
      </c>
      <c r="H14" s="245">
        <f>+'[3]Gas summary'!H14</f>
        <v>-402199</v>
      </c>
      <c r="I14" s="245"/>
      <c r="J14" s="245"/>
      <c r="K14" s="245">
        <f t="shared" si="2"/>
        <v>-402199</v>
      </c>
      <c r="L14" s="237">
        <f t="shared" si="3"/>
        <v>4021990</v>
      </c>
      <c r="N14" s="246">
        <f>+'[3]Gas summary'!N14</f>
        <v>-11805872.982852001</v>
      </c>
      <c r="O14" s="215"/>
      <c r="P14" s="208"/>
    </row>
    <row r="15" spans="1:16" x14ac:dyDescent="0.25">
      <c r="A15" s="204" t="s">
        <v>76</v>
      </c>
      <c r="B15" s="243"/>
      <c r="C15" s="244">
        <f t="shared" si="0"/>
        <v>1955937</v>
      </c>
      <c r="D15" s="245">
        <f>+'[3]Gas summary'!D15</f>
        <v>-636338.93954799883</v>
      </c>
      <c r="E15" s="245"/>
      <c r="F15" s="245">
        <f t="shared" si="1"/>
        <v>1319598.0604520012</v>
      </c>
      <c r="G15" s="241">
        <f t="shared" si="4"/>
        <v>1515018.0776000014</v>
      </c>
      <c r="H15" s="245">
        <f>+'[3]Gas summary'!H15</f>
        <v>-402199</v>
      </c>
      <c r="I15" s="245"/>
      <c r="J15" s="245"/>
      <c r="K15" s="245">
        <f t="shared" si="2"/>
        <v>-402199</v>
      </c>
      <c r="L15" s="237">
        <f t="shared" si="3"/>
        <v>3619791</v>
      </c>
      <c r="N15" s="246">
        <f>+'[3]Gas summary'!N15</f>
        <v>-12442211.9224</v>
      </c>
      <c r="O15" s="215"/>
      <c r="P15" s="208"/>
    </row>
    <row r="16" spans="1:16" x14ac:dyDescent="0.25">
      <c r="A16" s="204" t="s">
        <v>111</v>
      </c>
      <c r="B16" s="243"/>
      <c r="C16" s="244">
        <f t="shared" si="0"/>
        <v>402272</v>
      </c>
      <c r="D16" s="245">
        <f>+'[3]Gas summary'!D16</f>
        <v>-594802.21847799979</v>
      </c>
      <c r="E16" s="245"/>
      <c r="F16" s="245">
        <f t="shared" si="1"/>
        <v>-192530.21847799979</v>
      </c>
      <c r="G16" s="241">
        <f t="shared" si="4"/>
        <v>1322487.8591220016</v>
      </c>
      <c r="H16" s="245">
        <f>+'[3]Gas summary'!H16</f>
        <v>-402199</v>
      </c>
      <c r="I16" s="245"/>
      <c r="J16" s="245"/>
      <c r="K16" s="245">
        <f t="shared" si="2"/>
        <v>-402199</v>
      </c>
      <c r="L16" s="237">
        <f t="shared" si="3"/>
        <v>3217592</v>
      </c>
      <c r="N16" s="246">
        <f>+'[3]Gas summary'!N16</f>
        <v>-13037014.140877999</v>
      </c>
      <c r="O16" s="215"/>
      <c r="P16" s="208"/>
    </row>
    <row r="17" spans="1:16" x14ac:dyDescent="0.25">
      <c r="A17" s="204" t="s">
        <v>112</v>
      </c>
      <c r="B17" s="243"/>
      <c r="C17" s="244">
        <f t="shared" si="0"/>
        <v>1761597</v>
      </c>
      <c r="D17" s="245">
        <f>+'[3]Gas summary'!D17</f>
        <v>-787888.07419400103</v>
      </c>
      <c r="E17" s="245"/>
      <c r="F17" s="245">
        <f t="shared" si="1"/>
        <v>973708.92580599897</v>
      </c>
      <c r="G17" s="241">
        <f t="shared" si="4"/>
        <v>2296196.7849280005</v>
      </c>
      <c r="H17" s="245">
        <f>+'[3]Gas summary'!H17</f>
        <v>-402199</v>
      </c>
      <c r="I17" s="245"/>
      <c r="J17" s="245"/>
      <c r="K17" s="245">
        <f t="shared" si="2"/>
        <v>-402199</v>
      </c>
      <c r="L17" s="237">
        <f t="shared" si="3"/>
        <v>2815393</v>
      </c>
      <c r="N17" s="246">
        <f>+'[3]Gas summary'!N17</f>
        <v>-13824902.215072</v>
      </c>
      <c r="O17" s="215"/>
      <c r="P17" s="208"/>
    </row>
    <row r="18" spans="1:16" x14ac:dyDescent="0.25">
      <c r="A18" s="204" t="s">
        <v>113</v>
      </c>
      <c r="B18" s="243"/>
      <c r="C18" s="244">
        <f t="shared" si="0"/>
        <v>1761785</v>
      </c>
      <c r="D18" s="245">
        <f>+'[3]Gas summary'!D18</f>
        <v>-1750984.4619019981</v>
      </c>
      <c r="E18" s="245"/>
      <c r="F18" s="245">
        <f t="shared" si="1"/>
        <v>10800.538098001853</v>
      </c>
      <c r="G18" s="241">
        <f t="shared" si="4"/>
        <v>2306997.3230260024</v>
      </c>
      <c r="H18" s="245">
        <f>+'[3]Gas summary'!H18</f>
        <v>-402200</v>
      </c>
      <c r="I18" s="245"/>
      <c r="J18" s="245"/>
      <c r="K18" s="245">
        <f t="shared" si="2"/>
        <v>-402200</v>
      </c>
      <c r="L18" s="237">
        <f t="shared" si="3"/>
        <v>2413193</v>
      </c>
      <c r="N18" s="246">
        <f>+'[3]Gas summary'!N18</f>
        <v>-15575886.676973999</v>
      </c>
      <c r="O18" s="215"/>
      <c r="P18" s="208"/>
    </row>
    <row r="19" spans="1:16" x14ac:dyDescent="0.25">
      <c r="A19" s="204" t="s">
        <v>114</v>
      </c>
      <c r="B19" s="243"/>
      <c r="C19" s="244">
        <f t="shared" si="0"/>
        <v>1761594</v>
      </c>
      <c r="D19" s="245">
        <f>+'[3]Gas summary'!D19</f>
        <v>-2152678.87029</v>
      </c>
      <c r="E19" s="245"/>
      <c r="F19" s="245">
        <f t="shared" si="1"/>
        <v>-391084.87028999999</v>
      </c>
      <c r="G19" s="241">
        <f t="shared" si="4"/>
        <v>1915912.4527360024</v>
      </c>
      <c r="H19" s="245">
        <f>+'[3]Gas summary'!H19</f>
        <v>-402199</v>
      </c>
      <c r="I19" s="245"/>
      <c r="J19" s="245"/>
      <c r="K19" s="245">
        <f t="shared" si="2"/>
        <v>-402199</v>
      </c>
      <c r="L19" s="237">
        <f t="shared" si="3"/>
        <v>2010994</v>
      </c>
      <c r="N19" s="246">
        <f>+'[3]Gas summary'!N19</f>
        <v>-17728565.547263999</v>
      </c>
      <c r="O19" s="215"/>
      <c r="P19" s="208"/>
    </row>
    <row r="20" spans="1:16" x14ac:dyDescent="0.25">
      <c r="A20" s="204" t="s">
        <v>115</v>
      </c>
      <c r="B20" s="243"/>
      <c r="C20" s="247">
        <f t="shared" si="0"/>
        <v>1591189</v>
      </c>
      <c r="D20" s="245">
        <f>+'[3]Gas summary'!D20</f>
        <v>-2814828.5173580013</v>
      </c>
      <c r="E20" s="248">
        <v>0</v>
      </c>
      <c r="F20" s="248">
        <f t="shared" si="1"/>
        <v>-1223639.5173580013</v>
      </c>
      <c r="G20" s="249">
        <f t="shared" si="4"/>
        <v>692272.93537800107</v>
      </c>
      <c r="H20" s="248">
        <f>+'[3]Gas summary'!H20</f>
        <v>-402199</v>
      </c>
      <c r="I20" s="248"/>
      <c r="J20" s="248"/>
      <c r="K20" s="248">
        <f t="shared" si="2"/>
        <v>-402199</v>
      </c>
      <c r="L20" s="250">
        <f t="shared" si="3"/>
        <v>1608795</v>
      </c>
      <c r="N20" s="246">
        <f>+'[3]Gas summary'!N20</f>
        <v>-20543394.064622</v>
      </c>
      <c r="O20" s="215"/>
      <c r="P20" s="208"/>
    </row>
    <row r="21" spans="1:16" x14ac:dyDescent="0.25">
      <c r="C21" s="243"/>
      <c r="D21" s="243"/>
      <c r="E21" s="243"/>
      <c r="F21" s="251"/>
      <c r="G21" s="241"/>
      <c r="H21" s="215"/>
      <c r="I21" s="215"/>
      <c r="J21" s="215"/>
      <c r="K21" s="251"/>
      <c r="L21" s="243"/>
      <c r="N21" s="214"/>
      <c r="O21" s="215"/>
      <c r="P21" s="208"/>
    </row>
    <row r="22" spans="1:16" ht="15.75" thickBot="1" x14ac:dyDescent="0.3">
      <c r="C22" s="243"/>
      <c r="D22" s="243"/>
      <c r="E22" s="243"/>
      <c r="F22" s="243"/>
      <c r="G22" s="241"/>
      <c r="H22" s="252">
        <f>SUM(H9:H21)</f>
        <v>-5092393</v>
      </c>
      <c r="I22" s="252">
        <f>SUM(I9:I21)</f>
        <v>-4068532</v>
      </c>
      <c r="J22" s="252">
        <f>SUM(J9:J21)</f>
        <v>8894921</v>
      </c>
      <c r="K22" s="252">
        <f>SUM(K9:K21)</f>
        <v>-266004</v>
      </c>
      <c r="N22" s="214"/>
      <c r="O22" s="215"/>
      <c r="P22" s="208"/>
    </row>
    <row r="23" spans="1:16" ht="15.75" thickTop="1" x14ac:dyDescent="0.25">
      <c r="C23" s="243"/>
      <c r="D23" s="243"/>
      <c r="E23" s="243"/>
      <c r="F23" s="243"/>
      <c r="G23" s="251"/>
      <c r="H23" s="238"/>
      <c r="I23" s="238"/>
      <c r="J23" s="238"/>
      <c r="K23" s="238"/>
      <c r="N23" s="214"/>
      <c r="O23" s="215"/>
      <c r="P23" s="208"/>
    </row>
    <row r="24" spans="1:16" x14ac:dyDescent="0.25">
      <c r="C24" s="243"/>
      <c r="D24" s="243"/>
      <c r="E24" s="243"/>
      <c r="F24" s="243"/>
      <c r="N24" s="214"/>
      <c r="O24" s="215"/>
      <c r="P24" s="208"/>
    </row>
    <row r="25" spans="1:16" x14ac:dyDescent="0.25">
      <c r="B25" s="253" t="s">
        <v>116</v>
      </c>
      <c r="C25" s="253"/>
      <c r="D25" s="254" t="s">
        <v>117</v>
      </c>
      <c r="E25" s="254" t="s">
        <v>118</v>
      </c>
      <c r="N25" s="214"/>
      <c r="O25" s="216" t="s">
        <v>171</v>
      </c>
      <c r="P25" s="255" t="s">
        <v>171</v>
      </c>
    </row>
    <row r="26" spans="1:16" x14ac:dyDescent="0.25">
      <c r="B26" s="253" t="s">
        <v>119</v>
      </c>
      <c r="C26" s="253"/>
      <c r="D26" s="254" t="s">
        <v>120</v>
      </c>
      <c r="E26" s="254" t="s">
        <v>121</v>
      </c>
      <c r="N26" s="214"/>
      <c r="O26" s="216" t="s">
        <v>117</v>
      </c>
      <c r="P26" s="255" t="s">
        <v>118</v>
      </c>
    </row>
    <row r="27" spans="1:16" x14ac:dyDescent="0.25">
      <c r="B27" s="256" t="s">
        <v>122</v>
      </c>
      <c r="C27" s="256" t="s">
        <v>123</v>
      </c>
      <c r="D27" s="256" t="s">
        <v>124</v>
      </c>
      <c r="E27" s="256" t="s">
        <v>125</v>
      </c>
      <c r="F27" s="256" t="s">
        <v>101</v>
      </c>
      <c r="G27" s="256" t="s">
        <v>126</v>
      </c>
      <c r="N27" s="222" t="s">
        <v>171</v>
      </c>
      <c r="O27" s="216" t="s">
        <v>120</v>
      </c>
      <c r="P27" s="255" t="s">
        <v>121</v>
      </c>
    </row>
    <row r="28" spans="1:16" x14ac:dyDescent="0.25">
      <c r="A28" s="230" t="s">
        <v>172</v>
      </c>
      <c r="N28" s="222">
        <v>23600232</v>
      </c>
      <c r="O28" s="257" t="s">
        <v>124</v>
      </c>
      <c r="P28" s="258" t="s">
        <v>125</v>
      </c>
    </row>
    <row r="29" spans="1:16" x14ac:dyDescent="0.25">
      <c r="A29" s="204" t="s">
        <v>105</v>
      </c>
      <c r="B29" s="259">
        <f>N29/1*12</f>
        <v>26646684</v>
      </c>
      <c r="C29" s="238">
        <f>B29/12</f>
        <v>2220557</v>
      </c>
      <c r="D29" s="238">
        <f>+O29</f>
        <v>481</v>
      </c>
      <c r="E29" s="238">
        <f>+P29</f>
        <v>0</v>
      </c>
      <c r="F29" s="243">
        <f t="shared" ref="F29:F40" si="5">-H9</f>
        <v>468700</v>
      </c>
      <c r="G29" s="238">
        <f t="shared" ref="G29:G40" si="6">SUM(C29:F29)</f>
        <v>2689738</v>
      </c>
      <c r="N29" s="242">
        <f>+'[3]Gas summary'!N29</f>
        <v>2220557</v>
      </c>
      <c r="O29" s="240">
        <f>+'[3]Gas summary'!O29</f>
        <v>481</v>
      </c>
      <c r="P29" s="260">
        <f>+'[3]Gas summary'!P29</f>
        <v>0</v>
      </c>
    </row>
    <row r="30" spans="1:16" x14ac:dyDescent="0.25">
      <c r="A30" s="204" t="s">
        <v>106</v>
      </c>
      <c r="B30" s="259">
        <f>N30/2*12</f>
        <v>26646690</v>
      </c>
      <c r="C30" s="243">
        <f>B30/12*2-C29</f>
        <v>2220558</v>
      </c>
      <c r="D30" s="243">
        <f>+O30-SUM($D$29:D29)</f>
        <v>199</v>
      </c>
      <c r="E30" s="243">
        <f>P30-SUM($E$29:E29)</f>
        <v>0</v>
      </c>
      <c r="F30" s="243">
        <f t="shared" si="5"/>
        <v>468700</v>
      </c>
      <c r="G30" s="243">
        <f t="shared" si="6"/>
        <v>2689457</v>
      </c>
      <c r="N30" s="246">
        <f>+'[3]Gas summary'!N30</f>
        <v>4441115</v>
      </c>
      <c r="O30" s="245">
        <f>+'[3]Gas summary'!O30</f>
        <v>680</v>
      </c>
      <c r="P30" s="260">
        <f>+'[3]Gas summary'!P30</f>
        <v>0</v>
      </c>
    </row>
    <row r="31" spans="1:16" x14ac:dyDescent="0.25">
      <c r="A31" s="204" t="s">
        <v>107</v>
      </c>
      <c r="B31" s="259">
        <f>N31/3*12</f>
        <v>22099216</v>
      </c>
      <c r="C31" s="243">
        <f>B31/12*3-SUM($C$29:C30)</f>
        <v>1083689</v>
      </c>
      <c r="D31" s="243">
        <f>+O31-SUM($D$29:D30)</f>
        <v>144</v>
      </c>
      <c r="E31" s="243">
        <f>P31-SUM($E$29:E30)</f>
        <v>0</v>
      </c>
      <c r="F31" s="243">
        <f t="shared" si="5"/>
        <v>468700</v>
      </c>
      <c r="G31" s="243">
        <f t="shared" si="6"/>
        <v>1552533</v>
      </c>
      <c r="N31" s="246">
        <f>+'[3]Gas summary'!N31</f>
        <v>5524804</v>
      </c>
      <c r="O31" s="245">
        <f>+'[3]Gas summary'!O31</f>
        <v>824</v>
      </c>
      <c r="P31" s="260">
        <f>+'[3]Gas summary'!P31</f>
        <v>0</v>
      </c>
    </row>
    <row r="32" spans="1:16" x14ac:dyDescent="0.25">
      <c r="A32" s="204" t="s">
        <v>108</v>
      </c>
      <c r="B32" s="259">
        <f>N32/4*12</f>
        <v>22099218</v>
      </c>
      <c r="C32" s="243">
        <f>B32/12*4-SUM($C$29:C31)</f>
        <v>1841602</v>
      </c>
      <c r="D32" s="243">
        <f>+O32-SUM($D$29:D31)</f>
        <v>164</v>
      </c>
      <c r="E32" s="243">
        <f>P32-SUM($E$29:E31)</f>
        <v>0</v>
      </c>
      <c r="F32" s="243">
        <f t="shared" si="5"/>
        <v>468700</v>
      </c>
      <c r="G32" s="243">
        <f t="shared" si="6"/>
        <v>2310466</v>
      </c>
      <c r="N32" s="246">
        <f>+'[3]Gas summary'!N32</f>
        <v>7366406</v>
      </c>
      <c r="O32" s="245">
        <f>+'[3]Gas summary'!O32</f>
        <v>988</v>
      </c>
      <c r="P32" s="260">
        <f>+'[3]Gas summary'!P32</f>
        <v>0</v>
      </c>
    </row>
    <row r="33" spans="1:16" x14ac:dyDescent="0.25">
      <c r="A33" s="204" t="s">
        <v>109</v>
      </c>
      <c r="B33" s="259">
        <f>N33/5*12</f>
        <v>22099216.799999997</v>
      </c>
      <c r="C33" s="243">
        <f>B33/12*5-SUM($C$29:C32)</f>
        <v>1841600.9999999981</v>
      </c>
      <c r="D33" s="243">
        <f xml:space="preserve"> O33-SUM($D$29:D32)</f>
        <v>309</v>
      </c>
      <c r="E33" s="243">
        <f>P33-SUM($E$29:E32)</f>
        <v>0</v>
      </c>
      <c r="F33" s="243">
        <f t="shared" si="5"/>
        <v>402199</v>
      </c>
      <c r="G33" s="243">
        <f t="shared" si="6"/>
        <v>2244108.9999999981</v>
      </c>
      <c r="N33" s="246">
        <f>+'[3]Gas summary'!N33</f>
        <v>9208007</v>
      </c>
      <c r="O33" s="245">
        <f>+'[3]Gas summary'!O33</f>
        <v>1297</v>
      </c>
      <c r="P33" s="260">
        <f>+'[3]Gas summary'!P33</f>
        <v>0</v>
      </c>
    </row>
    <row r="34" spans="1:16" x14ac:dyDescent="0.25">
      <c r="A34" s="204" t="s">
        <v>110</v>
      </c>
      <c r="B34" s="259">
        <f>N34/6*12</f>
        <v>18641596</v>
      </c>
      <c r="C34" s="243">
        <f>B34/12*6-SUM($C$29:C33)</f>
        <v>112791.00000000186</v>
      </c>
      <c r="D34" s="243">
        <f>O34-SUM($D$29:D33)</f>
        <v>0</v>
      </c>
      <c r="E34" s="243">
        <f>P34-SUM($E$29:E33)</f>
        <v>0</v>
      </c>
      <c r="F34" s="243">
        <f t="shared" si="5"/>
        <v>402199</v>
      </c>
      <c r="G34" s="243">
        <f t="shared" si="6"/>
        <v>514990.00000000186</v>
      </c>
      <c r="N34" s="246">
        <f>+'[3]Gas summary'!N34</f>
        <v>9320798</v>
      </c>
      <c r="O34" s="245">
        <f>+'[3]Gas summary'!O34</f>
        <v>1297</v>
      </c>
      <c r="P34" s="260">
        <f>+'[3]Gas summary'!P34</f>
        <v>0</v>
      </c>
    </row>
    <row r="35" spans="1:16" x14ac:dyDescent="0.25">
      <c r="A35" s="204" t="s">
        <v>76</v>
      </c>
      <c r="B35" s="259">
        <f>N35/7*12</f>
        <v>18641595.428571429</v>
      </c>
      <c r="C35" s="243">
        <f>B35/12*7-SUM($C$29:C34)</f>
        <v>1553466</v>
      </c>
      <c r="D35" s="243">
        <f>O35-SUM($D$29:D34)</f>
        <v>272</v>
      </c>
      <c r="E35" s="243">
        <f>P35-SUM($E$29:E34)</f>
        <v>0</v>
      </c>
      <c r="F35" s="243">
        <f t="shared" si="5"/>
        <v>402199</v>
      </c>
      <c r="G35" s="243">
        <f t="shared" si="6"/>
        <v>1955937</v>
      </c>
      <c r="N35" s="246">
        <f>+'[3]Gas summary'!N35</f>
        <v>10874264</v>
      </c>
      <c r="O35" s="245">
        <f>+'[3]Gas summary'!O35</f>
        <v>1569</v>
      </c>
      <c r="P35" s="260">
        <f>+'[3]Gas summary'!P35</f>
        <v>0</v>
      </c>
    </row>
    <row r="36" spans="1:16" x14ac:dyDescent="0.25">
      <c r="A36" s="204" t="s">
        <v>111</v>
      </c>
      <c r="B36" s="259">
        <f>N36/8*12</f>
        <v>16310958</v>
      </c>
      <c r="C36" s="243">
        <f>B36/12*8-SUM($C$29:C35)</f>
        <v>-292</v>
      </c>
      <c r="D36" s="243">
        <f>O36-SUM($D$29:D35)</f>
        <v>365</v>
      </c>
      <c r="E36" s="243">
        <f>P36-SUM($E$29:E35)</f>
        <v>0</v>
      </c>
      <c r="F36" s="243">
        <f t="shared" si="5"/>
        <v>402199</v>
      </c>
      <c r="G36" s="243">
        <f t="shared" si="6"/>
        <v>402272</v>
      </c>
      <c r="N36" s="246">
        <f>+'[3]Gas summary'!N36</f>
        <v>10873972</v>
      </c>
      <c r="O36" s="245">
        <f>+'[3]Gas summary'!O36</f>
        <v>1934</v>
      </c>
      <c r="P36" s="260">
        <f>+'[3]Gas summary'!P36</f>
        <v>0</v>
      </c>
    </row>
    <row r="37" spans="1:16" x14ac:dyDescent="0.25">
      <c r="A37" s="204" t="s">
        <v>112</v>
      </c>
      <c r="B37" s="259">
        <f>N37/9*12</f>
        <v>16310958.666666666</v>
      </c>
      <c r="C37" s="243">
        <f>B37/12*9-SUM($C$29:C36)</f>
        <v>1359247</v>
      </c>
      <c r="D37" s="243">
        <f>O37-SUM($D$29:D36)</f>
        <v>151</v>
      </c>
      <c r="E37" s="243">
        <f>P37-SUM($E$29:E36)</f>
        <v>0</v>
      </c>
      <c r="F37" s="243">
        <f t="shared" si="5"/>
        <v>402199</v>
      </c>
      <c r="G37" s="243">
        <f t="shared" si="6"/>
        <v>1761597</v>
      </c>
      <c r="N37" s="246">
        <f>+'[3]Gas summary'!N37</f>
        <v>12233219</v>
      </c>
      <c r="O37" s="245">
        <f>+'[3]Gas summary'!O37</f>
        <v>2085</v>
      </c>
      <c r="P37" s="260">
        <f>+'[3]Gas summary'!P37</f>
        <v>0</v>
      </c>
    </row>
    <row r="38" spans="1:16" x14ac:dyDescent="0.25">
      <c r="A38" s="204" t="s">
        <v>113</v>
      </c>
      <c r="B38" s="259">
        <f>N38/10*12</f>
        <v>16310958</v>
      </c>
      <c r="C38" s="243">
        <f>B38/12*10-SUM($C$29:C37)</f>
        <v>1359246</v>
      </c>
      <c r="D38" s="243">
        <f>O38-SUM($D$29:D37)</f>
        <v>339</v>
      </c>
      <c r="E38" s="243">
        <f>P38-SUM($E$29:E37)</f>
        <v>0</v>
      </c>
      <c r="F38" s="243">
        <f t="shared" si="5"/>
        <v>402200</v>
      </c>
      <c r="G38" s="243">
        <f t="shared" si="6"/>
        <v>1761785</v>
      </c>
      <c r="N38" s="246">
        <f>+'[3]Gas summary'!N38</f>
        <v>13592465</v>
      </c>
      <c r="O38" s="245">
        <f>+'[3]Gas summary'!O38</f>
        <v>2424</v>
      </c>
      <c r="P38" s="260">
        <f>+'[3]Gas summary'!P38</f>
        <v>0</v>
      </c>
    </row>
    <row r="39" spans="1:16" x14ac:dyDescent="0.25">
      <c r="A39" s="204" t="s">
        <v>114</v>
      </c>
      <c r="B39" s="259">
        <f>N39/11*12</f>
        <v>16310958.545454545</v>
      </c>
      <c r="C39" s="243">
        <f>B39/12*11-SUM($C$29:C38)</f>
        <v>1359247</v>
      </c>
      <c r="D39" s="243">
        <f>O39-SUM($D$29:D38)</f>
        <v>148</v>
      </c>
      <c r="E39" s="243">
        <f>P39-SUM($E$29:E38)</f>
        <v>0</v>
      </c>
      <c r="F39" s="243">
        <f t="shared" si="5"/>
        <v>402199</v>
      </c>
      <c r="G39" s="243">
        <f t="shared" si="6"/>
        <v>1761594</v>
      </c>
      <c r="I39" s="261"/>
      <c r="K39" s="261"/>
      <c r="N39" s="246">
        <f>+'[3]Gas summary'!N39</f>
        <v>14951712</v>
      </c>
      <c r="O39" s="245">
        <f>+'[3]Gas summary'!O39</f>
        <v>2572</v>
      </c>
      <c r="P39" s="260">
        <f>+'[3]Gas summary'!P39</f>
        <v>0</v>
      </c>
    </row>
    <row r="40" spans="1:16" ht="15.75" thickBot="1" x14ac:dyDescent="0.3">
      <c r="A40" s="204" t="s">
        <v>115</v>
      </c>
      <c r="B40" s="259">
        <f>N40</f>
        <v>16140517</v>
      </c>
      <c r="C40" s="243">
        <f>B40/12*12-SUM($C$29:C39)</f>
        <v>1188805</v>
      </c>
      <c r="D40" s="243">
        <f>O40-SUM($D$29:D39)</f>
        <v>185</v>
      </c>
      <c r="E40" s="243">
        <f>P40-SUM($E$29:E39)</f>
        <v>0</v>
      </c>
      <c r="F40" s="243">
        <f t="shared" si="5"/>
        <v>402199</v>
      </c>
      <c r="G40" s="243">
        <f t="shared" si="6"/>
        <v>1591189</v>
      </c>
      <c r="I40" s="261"/>
      <c r="K40" s="261"/>
      <c r="N40" s="262">
        <f>+'[3]Gas summary'!N40</f>
        <v>16140517</v>
      </c>
      <c r="O40" s="263">
        <f>+'[3]Gas summary'!O40</f>
        <v>2757</v>
      </c>
      <c r="P40" s="264">
        <f>+'[3]Gas summary'!P40</f>
        <v>0</v>
      </c>
    </row>
    <row r="41" spans="1:16" x14ac:dyDescent="0.25">
      <c r="A41" s="251"/>
      <c r="B41" s="265" t="s">
        <v>217</v>
      </c>
      <c r="C41" s="265"/>
      <c r="D41" s="265"/>
      <c r="E41" s="265"/>
      <c r="F41" s="251"/>
      <c r="G41" s="265"/>
      <c r="I41" s="261"/>
      <c r="K41" s="261"/>
    </row>
    <row r="42" spans="1:16" x14ac:dyDescent="0.25">
      <c r="I42" s="261"/>
      <c r="K42" s="261"/>
    </row>
    <row r="43" spans="1:16" x14ac:dyDescent="0.25">
      <c r="I43" s="261"/>
      <c r="J43" s="261"/>
      <c r="K43" s="261"/>
    </row>
    <row r="44" spans="1:16" x14ac:dyDescent="0.25">
      <c r="I44" s="261"/>
      <c r="K44" s="261"/>
    </row>
    <row r="45" spans="1:16" x14ac:dyDescent="0.25">
      <c r="I45" s="261"/>
      <c r="K45" s="261"/>
    </row>
    <row r="46" spans="1:16" x14ac:dyDescent="0.25">
      <c r="I46" s="261"/>
      <c r="K46" s="261"/>
    </row>
    <row r="47" spans="1:16" x14ac:dyDescent="0.25">
      <c r="I47" s="261"/>
      <c r="K47" s="261"/>
    </row>
    <row r="48" spans="1:16" x14ac:dyDescent="0.25">
      <c r="I48" s="261"/>
      <c r="K48" s="261"/>
    </row>
    <row r="49" spans="9:12" x14ac:dyDescent="0.25">
      <c r="I49" s="261"/>
      <c r="K49" s="261"/>
    </row>
    <row r="50" spans="9:12" x14ac:dyDescent="0.25">
      <c r="I50" s="261"/>
      <c r="K50" s="261"/>
    </row>
    <row r="51" spans="9:12" x14ac:dyDescent="0.25">
      <c r="L51" s="261"/>
    </row>
    <row r="52" spans="9:12" x14ac:dyDescent="0.25">
      <c r="L52" s="261"/>
    </row>
    <row r="53" spans="9:12" x14ac:dyDescent="0.25">
      <c r="L53" s="261"/>
    </row>
    <row r="54" spans="9:12" x14ac:dyDescent="0.25">
      <c r="L54" s="261"/>
    </row>
    <row r="55" spans="9:12" x14ac:dyDescent="0.25">
      <c r="I55" s="261"/>
      <c r="J55" s="261"/>
      <c r="K55" s="261"/>
      <c r="L55" s="26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70" zoomScaleNormal="70" workbookViewId="0">
      <selection activeCell="J54" sqref="J54"/>
    </sheetView>
  </sheetViews>
  <sheetFormatPr defaultColWidth="5.5703125" defaultRowHeight="15" x14ac:dyDescent="0.25"/>
  <cols>
    <col min="1" max="1" width="4.28515625" style="9" bestFit="1" customWidth="1"/>
    <col min="2" max="2" width="33.28515625" style="9" bestFit="1" customWidth="1"/>
    <col min="3" max="3" width="11" style="9" bestFit="1" customWidth="1"/>
    <col min="4" max="4" width="17.140625" style="9" bestFit="1" customWidth="1"/>
    <col min="5" max="5" width="17" style="9" bestFit="1" customWidth="1"/>
    <col min="6" max="6" width="14.28515625" style="9" bestFit="1" customWidth="1"/>
    <col min="7" max="7" width="15.28515625" style="9" customWidth="1"/>
    <col min="8" max="8" width="13" style="9" bestFit="1" customWidth="1"/>
    <col min="9" max="9" width="5.5703125" style="9"/>
    <col min="10" max="10" width="17.85546875" style="9" customWidth="1"/>
    <col min="11" max="11" width="18" style="9" bestFit="1" customWidth="1"/>
    <col min="12" max="12" width="14.28515625" style="9" bestFit="1" customWidth="1"/>
    <col min="13" max="13" width="15.28515625" style="9" customWidth="1"/>
    <col min="14" max="14" width="13" style="9" bestFit="1" customWidth="1"/>
    <col min="15" max="15" width="5.5703125" style="9"/>
    <col min="16" max="16" width="13" style="9" bestFit="1" customWidth="1"/>
    <col min="17" max="16384" width="5.5703125" style="9"/>
  </cols>
  <sheetData>
    <row r="1" spans="1:19" ht="14.45" customHeight="1" x14ac:dyDescent="0.25">
      <c r="A1" s="194" t="s">
        <v>45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9" ht="14.45" customHeight="1" x14ac:dyDescent="0.25">
      <c r="A2" s="195" t="s">
        <v>164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9" ht="14.45" customHeigh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9" ht="14.45" customHeight="1" x14ac:dyDescent="0.25">
      <c r="K4" s="120"/>
    </row>
    <row r="5" spans="1:19" ht="95.25" customHeight="1" x14ac:dyDescent="0.25">
      <c r="A5" s="196" t="s">
        <v>44</v>
      </c>
      <c r="B5" s="196" t="s">
        <v>10</v>
      </c>
      <c r="C5" s="196" t="s">
        <v>43</v>
      </c>
      <c r="D5" s="53" t="s">
        <v>205</v>
      </c>
      <c r="E5" s="53" t="s">
        <v>203</v>
      </c>
      <c r="F5" s="197" t="s">
        <v>41</v>
      </c>
      <c r="G5" s="198" t="s">
        <v>210</v>
      </c>
      <c r="H5" s="197" t="s">
        <v>42</v>
      </c>
      <c r="I5" s="197"/>
      <c r="J5" s="53" t="s">
        <v>206</v>
      </c>
      <c r="K5" s="53" t="s">
        <v>204</v>
      </c>
      <c r="L5" s="197" t="s">
        <v>41</v>
      </c>
      <c r="M5" s="198" t="s">
        <v>211</v>
      </c>
      <c r="N5" s="198" t="s">
        <v>132</v>
      </c>
      <c r="O5" s="197"/>
      <c r="P5" s="197" t="s">
        <v>40</v>
      </c>
    </row>
    <row r="6" spans="1:19" ht="14.45" customHeight="1" x14ac:dyDescent="0.25">
      <c r="A6" s="76"/>
      <c r="B6" s="76"/>
      <c r="C6" s="76"/>
      <c r="D6" s="76" t="s">
        <v>38</v>
      </c>
      <c r="E6" s="76" t="s">
        <v>37</v>
      </c>
      <c r="F6" s="186" t="s">
        <v>39</v>
      </c>
      <c r="G6" s="199" t="s">
        <v>35</v>
      </c>
      <c r="H6" s="76" t="s">
        <v>34</v>
      </c>
      <c r="I6" s="76"/>
      <c r="J6" s="76" t="s">
        <v>38</v>
      </c>
      <c r="K6" s="76" t="s">
        <v>37</v>
      </c>
      <c r="L6" s="186" t="s">
        <v>36</v>
      </c>
      <c r="M6" s="199" t="s">
        <v>35</v>
      </c>
      <c r="N6" s="76" t="s">
        <v>34</v>
      </c>
      <c r="O6" s="76"/>
      <c r="P6" s="76"/>
      <c r="Q6" s="76"/>
      <c r="R6" s="76"/>
      <c r="S6" s="76"/>
    </row>
    <row r="7" spans="1:19" ht="14.45" customHeight="1" x14ac:dyDescent="0.25">
      <c r="A7" s="76"/>
      <c r="B7" s="76"/>
      <c r="C7" s="76"/>
      <c r="D7" s="76"/>
      <c r="E7" s="76"/>
      <c r="F7" s="186"/>
      <c r="G7" s="199"/>
      <c r="H7" s="76"/>
      <c r="I7" s="76"/>
      <c r="J7" s="76"/>
      <c r="K7" s="76"/>
      <c r="L7" s="186"/>
      <c r="M7" s="199"/>
      <c r="N7" s="76"/>
      <c r="O7" s="76"/>
      <c r="P7" s="76"/>
      <c r="Q7" s="76"/>
      <c r="R7" s="76"/>
      <c r="S7" s="76"/>
    </row>
    <row r="8" spans="1:19" ht="14.45" customHeight="1" x14ac:dyDescent="0.25">
      <c r="A8" s="76">
        <v>1</v>
      </c>
      <c r="B8" s="52" t="s">
        <v>50</v>
      </c>
      <c r="C8" s="51">
        <v>7</v>
      </c>
      <c r="D8" s="82">
        <f>+'[4]Elec Load Variance 2019'!D8</f>
        <v>4216181000</v>
      </c>
      <c r="E8" s="82">
        <f>+'[4]Elec Load Variance 2019'!E8</f>
        <v>4253704994.8765984</v>
      </c>
      <c r="F8" s="82">
        <f>D8-E8</f>
        <v>-37523994.876598358</v>
      </c>
      <c r="G8" s="83">
        <f>+'[4]Elec Load Variance 2019'!G8</f>
        <v>3.4720000000000003E-3</v>
      </c>
      <c r="H8" s="84">
        <f>+G8*F8</f>
        <v>-130283.31021154951</v>
      </c>
      <c r="I8" s="84"/>
      <c r="J8" s="82">
        <f>+'[4]Elec Load Variance 2019'!J8</f>
        <v>6592018000</v>
      </c>
      <c r="K8" s="82">
        <f>+'[4]Elec Load Variance 2019'!K8</f>
        <v>6500548369.3158875</v>
      </c>
      <c r="L8" s="82">
        <f>J8-K8</f>
        <v>91469630.684112549</v>
      </c>
      <c r="M8" s="83">
        <f>+'[4]Elec Load Variance 2019'!M8</f>
        <v>3.228E-3</v>
      </c>
      <c r="N8" s="84">
        <f>+M8*L8</f>
        <v>295263.96784831531</v>
      </c>
      <c r="O8" s="84"/>
      <c r="P8" s="84">
        <f>H8+N8</f>
        <v>164980.6576367658</v>
      </c>
      <c r="Q8" s="200"/>
      <c r="S8" s="201"/>
    </row>
    <row r="9" spans="1:19" ht="14.45" customHeight="1" x14ac:dyDescent="0.25">
      <c r="A9" s="76">
        <f t="shared" ref="A9:A35" si="0">+A8+1</f>
        <v>2</v>
      </c>
      <c r="B9" s="48" t="s">
        <v>53</v>
      </c>
      <c r="C9" s="47"/>
      <c r="D9" s="85">
        <f>SUM(D8:D8)</f>
        <v>4216181000</v>
      </c>
      <c r="E9" s="85">
        <f>SUM(E8:E8)</f>
        <v>4253704994.8765984</v>
      </c>
      <c r="F9" s="85">
        <f>SUM(F8:F8)</f>
        <v>-37523994.876598358</v>
      </c>
      <c r="G9" s="83"/>
      <c r="H9" s="86">
        <f>SUM(H8:H8)</f>
        <v>-130283.31021154951</v>
      </c>
      <c r="I9" s="87"/>
      <c r="J9" s="85">
        <f>SUM(J8:J8)</f>
        <v>6592018000</v>
      </c>
      <c r="K9" s="85">
        <f>SUM(K8:K8)</f>
        <v>6500548369.3158875</v>
      </c>
      <c r="L9" s="85">
        <f>SUM(L8:L8)</f>
        <v>91469630.684112549</v>
      </c>
      <c r="M9" s="83"/>
      <c r="N9" s="86">
        <f>SUM(N8:N8)</f>
        <v>295263.96784831531</v>
      </c>
      <c r="O9" s="87"/>
      <c r="P9" s="86">
        <f>SUM(P8:P8)</f>
        <v>164980.6576367658</v>
      </c>
      <c r="Q9" s="200"/>
      <c r="S9" s="201"/>
    </row>
    <row r="10" spans="1:19" ht="14.45" customHeight="1" x14ac:dyDescent="0.25">
      <c r="A10" s="76">
        <f t="shared" si="0"/>
        <v>3</v>
      </c>
      <c r="B10" s="46"/>
      <c r="C10" s="47"/>
      <c r="D10" s="88"/>
      <c r="E10" s="88"/>
      <c r="F10" s="88"/>
      <c r="G10" s="83"/>
      <c r="H10" s="87"/>
      <c r="I10" s="87"/>
      <c r="J10" s="88"/>
      <c r="K10" s="88"/>
      <c r="L10" s="88"/>
      <c r="M10" s="83"/>
      <c r="N10" s="87"/>
      <c r="O10" s="87"/>
      <c r="P10" s="87"/>
      <c r="Q10" s="200"/>
      <c r="S10" s="201"/>
    </row>
    <row r="11" spans="1:19" ht="14.45" customHeight="1" x14ac:dyDescent="0.25">
      <c r="A11" s="76">
        <f t="shared" si="0"/>
        <v>4</v>
      </c>
      <c r="B11" s="45" t="s">
        <v>54</v>
      </c>
      <c r="C11" s="47"/>
      <c r="D11" s="88"/>
      <c r="E11" s="88"/>
      <c r="F11" s="88"/>
      <c r="G11" s="83"/>
      <c r="H11" s="87"/>
      <c r="I11" s="87"/>
      <c r="J11" s="88"/>
      <c r="K11" s="88"/>
      <c r="L11" s="88"/>
      <c r="M11" s="83"/>
      <c r="N11" s="87"/>
      <c r="O11" s="87"/>
      <c r="P11" s="87"/>
      <c r="Q11" s="200"/>
      <c r="S11" s="201"/>
    </row>
    <row r="12" spans="1:19" ht="14.45" customHeight="1" x14ac:dyDescent="0.25">
      <c r="A12" s="76">
        <f t="shared" si="0"/>
        <v>5</v>
      </c>
      <c r="B12" s="45" t="s">
        <v>55</v>
      </c>
      <c r="C12" s="47" t="s">
        <v>56</v>
      </c>
      <c r="D12" s="82">
        <f>+'[4]Elec Load Variance 2019'!D12</f>
        <v>1069367000</v>
      </c>
      <c r="E12" s="88">
        <f>+'[4]Elec Load Variance 2019'!E12</f>
        <v>965592198.74044168</v>
      </c>
      <c r="F12" s="88">
        <f>D12-E12</f>
        <v>103774801.25955832</v>
      </c>
      <c r="G12" s="83">
        <f>+'[4]Elec Load Variance 2019'!G12</f>
        <v>2.6289999999999998E-3</v>
      </c>
      <c r="H12" s="84">
        <f>+G12*F12</f>
        <v>272823.9525113788</v>
      </c>
      <c r="I12" s="84"/>
      <c r="J12" s="82">
        <f>+'[4]Elec Load Variance 2019'!J12</f>
        <v>2019429000</v>
      </c>
      <c r="K12" s="88">
        <f>+'[4]Elec Load Variance 2019'!K12</f>
        <v>1758947086.7200952</v>
      </c>
      <c r="L12" s="88">
        <f>J12-K12</f>
        <v>260481913.27990484</v>
      </c>
      <c r="M12" s="83">
        <f>+'[4]Elec Load Variance 2019'!M12</f>
        <v>2.4450000000000001E-3</v>
      </c>
      <c r="N12" s="84">
        <f>+M12*L12</f>
        <v>636878.27796936734</v>
      </c>
      <c r="O12" s="84"/>
      <c r="P12" s="84">
        <f>H12+N12</f>
        <v>909702.23048074613</v>
      </c>
      <c r="Q12" s="200"/>
      <c r="S12" s="201"/>
    </row>
    <row r="13" spans="1:19" ht="14.45" customHeight="1" x14ac:dyDescent="0.25">
      <c r="A13" s="76">
        <f t="shared" si="0"/>
        <v>6</v>
      </c>
      <c r="B13" s="50" t="s">
        <v>57</v>
      </c>
      <c r="C13" s="47" t="s">
        <v>58</v>
      </c>
      <c r="D13" s="82">
        <f>+'[4]Elec Load Variance 2019'!D13</f>
        <v>1086441000</v>
      </c>
      <c r="E13" s="88">
        <f>+'[4]Elec Load Variance 2019'!E13</f>
        <v>1021322262.928602</v>
      </c>
      <c r="F13" s="88">
        <f>D13-E13</f>
        <v>65118737.07139802</v>
      </c>
      <c r="G13" s="83">
        <f>+'[4]Elec Load Variance 2019'!G13</f>
        <v>2.467E-3</v>
      </c>
      <c r="H13" s="84">
        <f>+G13*F13</f>
        <v>160647.92435513891</v>
      </c>
      <c r="I13" s="84"/>
      <c r="J13" s="82">
        <f>+'[4]Elec Load Variance 2019'!J13</f>
        <v>2165030000</v>
      </c>
      <c r="K13" s="88">
        <f>+'[4]Elec Load Variance 2019'!K13</f>
        <v>2032046917.3711851</v>
      </c>
      <c r="L13" s="88">
        <f>J13-K13</f>
        <v>132983082.62881494</v>
      </c>
      <c r="M13" s="83">
        <f>+'[4]Elec Load Variance 2019'!M13</f>
        <v>2.1359999999999999E-3</v>
      </c>
      <c r="N13" s="84">
        <f>+M13*L13</f>
        <v>284051.86449514871</v>
      </c>
      <c r="O13" s="84"/>
      <c r="P13" s="84">
        <f>H13+N13</f>
        <v>444699.78885028762</v>
      </c>
      <c r="Q13" s="200"/>
      <c r="S13" s="201"/>
    </row>
    <row r="14" spans="1:19" ht="14.45" customHeight="1" x14ac:dyDescent="0.25">
      <c r="A14" s="76">
        <f t="shared" si="0"/>
        <v>7</v>
      </c>
      <c r="B14" s="50" t="s">
        <v>59</v>
      </c>
      <c r="C14" s="47" t="s">
        <v>60</v>
      </c>
      <c r="D14" s="82">
        <f>+'[4]Elec Load Variance 2019'!D14</f>
        <v>630802000</v>
      </c>
      <c r="E14" s="88">
        <f>+'[4]Elec Load Variance 2019'!E14</f>
        <v>619832713.26491678</v>
      </c>
      <c r="F14" s="88">
        <f>D14-E14</f>
        <v>10969286.735083222</v>
      </c>
      <c r="G14" s="83">
        <f>+'[4]Elec Load Variance 2019'!G14</f>
        <v>2.2649999999999997E-3</v>
      </c>
      <c r="H14" s="84">
        <f>+G14*F14</f>
        <v>24845.434454963495</v>
      </c>
      <c r="I14" s="84"/>
      <c r="J14" s="82">
        <f>+'[4]Elec Load Variance 2019'!J14</f>
        <v>1305405000</v>
      </c>
      <c r="K14" s="88">
        <f>+'[4]Elec Load Variance 2019'!K14</f>
        <v>1265706494.1980691</v>
      </c>
      <c r="L14" s="88">
        <f>J14-K14</f>
        <v>39698505.801930904</v>
      </c>
      <c r="M14" s="83">
        <f>+'[4]Elec Load Variance 2019'!M14</f>
        <v>2.0959999999999998E-3</v>
      </c>
      <c r="N14" s="84">
        <f>+M14*L14</f>
        <v>83208.068160847164</v>
      </c>
      <c r="O14" s="84"/>
      <c r="P14" s="84">
        <f>H14+N14</f>
        <v>108053.50261581066</v>
      </c>
      <c r="Q14" s="200"/>
      <c r="S14" s="201"/>
    </row>
    <row r="15" spans="1:19" ht="14.45" customHeight="1" x14ac:dyDescent="0.25">
      <c r="A15" s="76">
        <f t="shared" si="0"/>
        <v>8</v>
      </c>
      <c r="B15" s="50" t="s">
        <v>61</v>
      </c>
      <c r="C15" s="47">
        <v>29</v>
      </c>
      <c r="D15" s="82">
        <f>+'[4]Elec Load Variance 2019'!D15</f>
        <v>1566000</v>
      </c>
      <c r="E15" s="88">
        <f>+'[4]Elec Load Variance 2019'!E15</f>
        <v>999633.79680952383</v>
      </c>
      <c r="F15" s="88">
        <f>D15-E15</f>
        <v>566366.20319047617</v>
      </c>
      <c r="G15" s="83">
        <f>+'[4]Elec Load Variance 2019'!G15</f>
        <v>2.467E-3</v>
      </c>
      <c r="H15" s="84">
        <f>+G15*F15</f>
        <v>1397.2254232709047</v>
      </c>
      <c r="I15" s="84"/>
      <c r="J15" s="82">
        <f>+'[4]Elec Load Variance 2019'!J15</f>
        <v>14659000</v>
      </c>
      <c r="K15" s="88">
        <f>+'[4]Elec Load Variance 2019'!K15</f>
        <v>14215721.014714286</v>
      </c>
      <c r="L15" s="88">
        <f>J15-K15</f>
        <v>443278.98528571427</v>
      </c>
      <c r="M15" s="83">
        <f>+'[4]Elec Load Variance 2019'!M15</f>
        <v>2.1359999999999999E-3</v>
      </c>
      <c r="N15" s="84">
        <f>+M15*L15</f>
        <v>946.84391257028562</v>
      </c>
      <c r="O15" s="84"/>
      <c r="P15" s="84">
        <f>H15+N15</f>
        <v>2344.0693358411904</v>
      </c>
      <c r="Q15" s="200"/>
      <c r="S15" s="201"/>
    </row>
    <row r="16" spans="1:19" ht="14.45" customHeight="1" x14ac:dyDescent="0.25">
      <c r="A16" s="76">
        <f t="shared" si="0"/>
        <v>9</v>
      </c>
      <c r="B16" s="48" t="s">
        <v>62</v>
      </c>
      <c r="C16" s="47"/>
      <c r="D16" s="85">
        <f>SUM(D12:D15)</f>
        <v>2788176000</v>
      </c>
      <c r="E16" s="85">
        <f>SUM(E12:E15)</f>
        <v>2607746808.7307701</v>
      </c>
      <c r="F16" s="85">
        <f>SUM(F12:F15)</f>
        <v>180429191.26923004</v>
      </c>
      <c r="G16" s="83"/>
      <c r="H16" s="86">
        <f>SUM(H12:H15)</f>
        <v>459714.53674475208</v>
      </c>
      <c r="I16" s="87"/>
      <c r="J16" s="85">
        <f>SUM(J12:J15)</f>
        <v>5504523000</v>
      </c>
      <c r="K16" s="85">
        <f>SUM(K12:K15)</f>
        <v>5070916219.3040628</v>
      </c>
      <c r="L16" s="85">
        <f>SUM(L12:L15)</f>
        <v>433606780.69593638</v>
      </c>
      <c r="M16" s="83"/>
      <c r="N16" s="86">
        <f>SUM(N12:N15)</f>
        <v>1005085.0545379334</v>
      </c>
      <c r="O16" s="87"/>
      <c r="P16" s="86">
        <f>SUM(P12:P15)</f>
        <v>1464799.5912826855</v>
      </c>
      <c r="Q16" s="200"/>
      <c r="S16" s="201"/>
    </row>
    <row r="17" spans="1:19" ht="14.45" customHeight="1" x14ac:dyDescent="0.25">
      <c r="A17" s="76">
        <f t="shared" si="0"/>
        <v>10</v>
      </c>
      <c r="B17" s="49"/>
      <c r="C17" s="47"/>
      <c r="D17" s="88"/>
      <c r="E17" s="88"/>
      <c r="F17" s="88"/>
      <c r="G17" s="83"/>
      <c r="H17" s="87"/>
      <c r="I17" s="87"/>
      <c r="J17" s="88"/>
      <c r="K17" s="88"/>
      <c r="L17" s="88"/>
      <c r="M17" s="83"/>
      <c r="N17" s="87"/>
      <c r="O17" s="87"/>
      <c r="P17" s="87"/>
      <c r="Q17" s="200"/>
      <c r="S17" s="201"/>
    </row>
    <row r="18" spans="1:19" ht="14.45" customHeight="1" x14ac:dyDescent="0.25">
      <c r="A18" s="76">
        <f t="shared" si="0"/>
        <v>11</v>
      </c>
      <c r="B18" s="45" t="s">
        <v>63</v>
      </c>
      <c r="C18" s="47"/>
      <c r="D18" s="88"/>
      <c r="E18" s="88"/>
      <c r="F18" s="88"/>
      <c r="G18" s="83"/>
      <c r="H18" s="87"/>
      <c r="I18" s="87"/>
      <c r="J18" s="88"/>
      <c r="K18" s="88"/>
      <c r="L18" s="88"/>
      <c r="M18" s="83"/>
      <c r="N18" s="87"/>
      <c r="O18" s="87"/>
      <c r="P18" s="87"/>
      <c r="Q18" s="200"/>
      <c r="S18" s="201"/>
    </row>
    <row r="19" spans="1:19" ht="14.45" customHeight="1" x14ac:dyDescent="0.25">
      <c r="A19" s="76">
        <f t="shared" si="0"/>
        <v>12</v>
      </c>
      <c r="B19" s="45" t="s">
        <v>64</v>
      </c>
      <c r="C19" s="47" t="s">
        <v>65</v>
      </c>
      <c r="D19" s="82">
        <f>+'[4]Elec Load Variance 2019'!D19</f>
        <v>472588000</v>
      </c>
      <c r="E19" s="88">
        <f>+'[4]Elec Load Variance 2019'!E19</f>
        <v>437347619.38864279</v>
      </c>
      <c r="F19" s="88">
        <f>D19-E19</f>
        <v>35240380.611357212</v>
      </c>
      <c r="G19" s="83">
        <f>+'[4]Elec Load Variance 2019'!G19</f>
        <v>2.2539999999999999E-3</v>
      </c>
      <c r="H19" s="84">
        <f>+G19*F19</f>
        <v>79431.81789799915</v>
      </c>
      <c r="I19" s="84"/>
      <c r="J19" s="82">
        <f>+'[4]Elec Load Variance 2019'!J19</f>
        <v>944473000</v>
      </c>
      <c r="K19" s="88">
        <f>+'[4]Elec Load Variance 2019'!K19</f>
        <v>851856526.80293417</v>
      </c>
      <c r="L19" s="88">
        <f>J19-K19</f>
        <v>92616473.19706583</v>
      </c>
      <c r="M19" s="83">
        <f>+'[4]Elec Load Variance 2019'!M19</f>
        <v>1.9780000000000002E-3</v>
      </c>
      <c r="N19" s="84">
        <f>+M19*L19</f>
        <v>183195.38398379623</v>
      </c>
      <c r="O19" s="84"/>
      <c r="P19" s="84">
        <f>H19+N19</f>
        <v>262627.20188179536</v>
      </c>
      <c r="Q19" s="200"/>
      <c r="S19" s="201"/>
    </row>
    <row r="20" spans="1:19" ht="14.45" customHeight="1" x14ac:dyDescent="0.25">
      <c r="A20" s="76">
        <f t="shared" si="0"/>
        <v>13</v>
      </c>
      <c r="B20" s="50" t="s">
        <v>61</v>
      </c>
      <c r="C20" s="47">
        <v>35</v>
      </c>
      <c r="D20" s="82">
        <f>+'[4]Elec Load Variance 2019'!D20</f>
        <v>444000</v>
      </c>
      <c r="E20" s="88">
        <f>+'[4]Elec Load Variance 2019'!E20</f>
        <v>125100</v>
      </c>
      <c r="F20" s="88">
        <f>D20-E20</f>
        <v>318900</v>
      </c>
      <c r="G20" s="83">
        <f>+'[4]Elec Load Variance 2019'!G20</f>
        <v>2.2539999999999999E-3</v>
      </c>
      <c r="H20" s="84">
        <f>+G20*F20</f>
        <v>718.80060000000003</v>
      </c>
      <c r="I20" s="84"/>
      <c r="J20" s="82">
        <f>+'[4]Elec Load Variance 2019'!J20</f>
        <v>4723000</v>
      </c>
      <c r="K20" s="88">
        <f>+'[4]Elec Load Variance 2019'!K20</f>
        <v>4579660.8</v>
      </c>
      <c r="L20" s="88">
        <f>J20-K20</f>
        <v>143339.20000000019</v>
      </c>
      <c r="M20" s="83">
        <f>+'[4]Elec Load Variance 2019'!M20</f>
        <v>1.9780000000000002E-3</v>
      </c>
      <c r="N20" s="84">
        <f>+M20*L20</f>
        <v>283.52493760000038</v>
      </c>
      <c r="O20" s="84"/>
      <c r="P20" s="84">
        <f>H20+N20</f>
        <v>1002.3255376000004</v>
      </c>
      <c r="Q20" s="200"/>
      <c r="S20" s="201"/>
    </row>
    <row r="21" spans="1:19" ht="14.45" customHeight="1" x14ac:dyDescent="0.25">
      <c r="A21" s="76">
        <f t="shared" si="0"/>
        <v>14</v>
      </c>
      <c r="B21" s="48" t="s">
        <v>66</v>
      </c>
      <c r="C21" s="47">
        <v>43</v>
      </c>
      <c r="D21" s="82">
        <f>+'[4]Elec Load Variance 2019'!D21</f>
        <v>52295000</v>
      </c>
      <c r="E21" s="88">
        <f>+'[4]Elec Load Variance 2019'!E21</f>
        <v>52677846.805</v>
      </c>
      <c r="F21" s="88">
        <f>D21-E21</f>
        <v>-382846.8049999997</v>
      </c>
      <c r="G21" s="83">
        <f>+'[4]Elec Load Variance 2019'!G21</f>
        <v>3.2960000000000003E-3</v>
      </c>
      <c r="H21" s="84">
        <f>+G21*F21</f>
        <v>-1261.8630692799991</v>
      </c>
      <c r="I21" s="84"/>
      <c r="J21" s="82">
        <f>+'[4]Elec Load Variance 2019'!J21</f>
        <v>73389000</v>
      </c>
      <c r="K21" s="88">
        <f>+'[4]Elec Load Variance 2019'!K21</f>
        <v>69422101.465000004</v>
      </c>
      <c r="L21" s="88">
        <f>J21-K21</f>
        <v>3966898.5349999964</v>
      </c>
      <c r="M21" s="83">
        <f>+'[4]Elec Load Variance 2019'!M21</f>
        <v>2.8159999999999999E-3</v>
      </c>
      <c r="N21" s="84">
        <f>+M21*L21</f>
        <v>11170.78627455999</v>
      </c>
      <c r="O21" s="84"/>
      <c r="P21" s="84">
        <f>H21+N21</f>
        <v>9908.9232052799907</v>
      </c>
      <c r="Q21" s="200"/>
      <c r="S21" s="201"/>
    </row>
    <row r="22" spans="1:19" ht="14.45" customHeight="1" x14ac:dyDescent="0.25">
      <c r="A22" s="76">
        <f t="shared" si="0"/>
        <v>15</v>
      </c>
      <c r="B22" s="48" t="s">
        <v>67</v>
      </c>
      <c r="C22" s="47"/>
      <c r="D22" s="85">
        <f>SUM(D19:D21)</f>
        <v>525327000</v>
      </c>
      <c r="E22" s="85">
        <f>SUM(E19:E21)</f>
        <v>490150566.1936428</v>
      </c>
      <c r="F22" s="85">
        <f>SUM(F19:F21)</f>
        <v>35176433.806357212</v>
      </c>
      <c r="G22" s="83"/>
      <c r="H22" s="86">
        <f>SUM(H19:H21)</f>
        <v>78888.75542871916</v>
      </c>
      <c r="I22" s="87"/>
      <c r="J22" s="85">
        <f>SUM(J19:J21)</f>
        <v>1022585000</v>
      </c>
      <c r="K22" s="85">
        <f>SUM(K19:K21)</f>
        <v>925858289.06793416</v>
      </c>
      <c r="L22" s="85">
        <f>SUM(L19:L21)</f>
        <v>96726710.93206583</v>
      </c>
      <c r="M22" s="83"/>
      <c r="N22" s="86">
        <f>SUM(N19:N21)</f>
        <v>194649.69519595624</v>
      </c>
      <c r="O22" s="87"/>
      <c r="P22" s="86">
        <f>SUM(P19:P21)</f>
        <v>273538.45062467532</v>
      </c>
      <c r="Q22" s="200"/>
      <c r="S22" s="201"/>
    </row>
    <row r="23" spans="1:19" ht="14.45" customHeight="1" x14ac:dyDescent="0.25">
      <c r="A23" s="76">
        <f t="shared" si="0"/>
        <v>16</v>
      </c>
      <c r="B23" s="46"/>
      <c r="C23" s="47"/>
      <c r="D23" s="89"/>
      <c r="E23" s="89"/>
      <c r="F23" s="89"/>
      <c r="G23" s="83"/>
      <c r="H23" s="90"/>
      <c r="I23" s="90"/>
      <c r="J23" s="89"/>
      <c r="K23" s="89"/>
      <c r="L23" s="89"/>
      <c r="M23" s="83"/>
      <c r="N23" s="90"/>
      <c r="O23" s="90"/>
      <c r="P23" s="90"/>
      <c r="Q23" s="200"/>
      <c r="S23" s="201"/>
    </row>
    <row r="24" spans="1:19" ht="14.45" customHeight="1" x14ac:dyDescent="0.25">
      <c r="A24" s="76">
        <f t="shared" si="0"/>
        <v>17</v>
      </c>
      <c r="B24" s="45" t="s">
        <v>68</v>
      </c>
      <c r="C24" s="47">
        <v>40</v>
      </c>
      <c r="D24" s="85">
        <f>+'[4]Elec Load Variance 2019'!D24</f>
        <v>193762000</v>
      </c>
      <c r="E24" s="85">
        <f>+'[4]Elec Load Variance 2019'!E24</f>
        <v>162534216.02009088</v>
      </c>
      <c r="F24" s="85">
        <f>D24-E24</f>
        <v>31227783.979909122</v>
      </c>
      <c r="G24" s="83">
        <f>+'[4]Elec Load Variance 2019'!G24</f>
        <v>2.104E-3</v>
      </c>
      <c r="H24" s="84">
        <f>+G24*F24</f>
        <v>65703.257493728786</v>
      </c>
      <c r="I24" s="84"/>
      <c r="J24" s="85">
        <f>+'[4]Elec Load Variance 2019'!J24</f>
        <v>392795000</v>
      </c>
      <c r="K24" s="85">
        <f>+'[4]Elec Load Variance 2019'!K24</f>
        <v>108936501.15463637</v>
      </c>
      <c r="L24" s="85">
        <f>J24-K24</f>
        <v>283858498.84536362</v>
      </c>
      <c r="M24" s="83">
        <f>+'[4]Elec Load Variance 2019'!M24</f>
        <v>2.186E-3</v>
      </c>
      <c r="N24" s="84">
        <f>+M24*L24</f>
        <v>620514.67847596481</v>
      </c>
      <c r="O24" s="84"/>
      <c r="P24" s="84">
        <f>H24+N24</f>
        <v>686217.93596969359</v>
      </c>
      <c r="Q24" s="200"/>
      <c r="S24" s="201"/>
    </row>
    <row r="25" spans="1:19" ht="14.45" customHeight="1" x14ac:dyDescent="0.25">
      <c r="A25" s="76">
        <f t="shared" si="0"/>
        <v>18</v>
      </c>
      <c r="B25" s="45"/>
      <c r="C25" s="47"/>
      <c r="D25" s="89"/>
      <c r="E25" s="89"/>
      <c r="F25" s="89"/>
      <c r="G25" s="83"/>
      <c r="H25" s="90"/>
      <c r="I25" s="90"/>
      <c r="J25" s="89"/>
      <c r="K25" s="89"/>
      <c r="L25" s="89"/>
      <c r="M25" s="83"/>
      <c r="N25" s="90"/>
      <c r="O25" s="90"/>
      <c r="P25" s="90"/>
      <c r="Q25" s="200"/>
      <c r="S25" s="201"/>
    </row>
    <row r="26" spans="1:19" ht="14.45" customHeight="1" x14ac:dyDescent="0.25">
      <c r="A26" s="76">
        <f t="shared" si="0"/>
        <v>19</v>
      </c>
      <c r="B26" s="45" t="s">
        <v>69</v>
      </c>
      <c r="C26" s="47"/>
      <c r="D26" s="88"/>
      <c r="E26" s="88"/>
      <c r="F26" s="88"/>
      <c r="G26" s="83"/>
      <c r="H26" s="87"/>
      <c r="I26" s="87"/>
      <c r="J26" s="88"/>
      <c r="K26" s="88"/>
      <c r="L26" s="88"/>
      <c r="M26" s="83"/>
      <c r="N26" s="87"/>
      <c r="O26" s="87"/>
      <c r="P26" s="87"/>
      <c r="Q26" s="200"/>
      <c r="S26" s="201"/>
    </row>
    <row r="27" spans="1:19" ht="14.45" customHeight="1" x14ac:dyDescent="0.25">
      <c r="A27" s="76">
        <f t="shared" si="0"/>
        <v>20</v>
      </c>
      <c r="B27" s="45" t="s">
        <v>51</v>
      </c>
      <c r="C27" s="47">
        <v>46</v>
      </c>
      <c r="D27" s="88">
        <f>+'[4]Elec Load Variance 2019'!D27</f>
        <v>25901000</v>
      </c>
      <c r="E27" s="88">
        <f>+'[4]Elec Load Variance 2019'!E27</f>
        <v>25590858.102000002</v>
      </c>
      <c r="F27" s="88">
        <f>D27-E27</f>
        <v>310141.89799999818</v>
      </c>
      <c r="G27" s="83">
        <f>+'[4]Elec Load Variance 2019'!G27</f>
        <v>1.6520000000000003E-3</v>
      </c>
      <c r="H27" s="84">
        <f>+G27*F27</f>
        <v>512.35441549599705</v>
      </c>
      <c r="I27" s="84"/>
      <c r="J27" s="88">
        <f>+'[4]Elec Load Variance 2019'!J27</f>
        <v>50442000</v>
      </c>
      <c r="K27" s="88">
        <f>+'[4]Elec Load Variance 2019'!K27</f>
        <v>51963906.890000008</v>
      </c>
      <c r="L27" s="88">
        <f>J27-K27</f>
        <v>-1521906.890000008</v>
      </c>
      <c r="M27" s="83">
        <f>+'[4]Elec Load Variance 2019'!M27</f>
        <v>1.5579999999999999E-3</v>
      </c>
      <c r="N27" s="84">
        <f>+M27*L27</f>
        <v>-2371.1309346200123</v>
      </c>
      <c r="O27" s="84"/>
      <c r="P27" s="84">
        <f>H27+N27</f>
        <v>-1858.7765191240153</v>
      </c>
      <c r="Q27" s="200"/>
      <c r="S27" s="201"/>
    </row>
    <row r="28" spans="1:19" ht="14.45" customHeight="1" x14ac:dyDescent="0.25">
      <c r="A28" s="76">
        <f t="shared" si="0"/>
        <v>21</v>
      </c>
      <c r="B28" s="50" t="s">
        <v>64</v>
      </c>
      <c r="C28" s="47">
        <v>49</v>
      </c>
      <c r="D28" s="88">
        <f>+'[4]Elec Load Variance 2019'!D28</f>
        <v>191760000</v>
      </c>
      <c r="E28" s="88">
        <f>+'[4]Elec Load Variance 2019'!E28</f>
        <v>188684512.38800001</v>
      </c>
      <c r="F28" s="88">
        <f>D28-E28</f>
        <v>3075487.6119999886</v>
      </c>
      <c r="G28" s="83">
        <f>+'[4]Elec Load Variance 2019'!G28</f>
        <v>1.6520000000000003E-3</v>
      </c>
      <c r="H28" s="84">
        <f>+G28*F28</f>
        <v>5080.7055350239816</v>
      </c>
      <c r="I28" s="84"/>
      <c r="J28" s="88">
        <f>+'[4]Elec Load Variance 2019'!J28</f>
        <v>411517000</v>
      </c>
      <c r="K28" s="88">
        <f>+'[4]Elec Load Variance 2019'!K28</f>
        <v>375920703.77899998</v>
      </c>
      <c r="L28" s="88">
        <f>J28-K28</f>
        <v>35596296.221000016</v>
      </c>
      <c r="M28" s="83">
        <f>+'[4]Elec Load Variance 2019'!M28</f>
        <v>1.5579999999999999E-3</v>
      </c>
      <c r="N28" s="84">
        <f>+M28*L28</f>
        <v>55459.029512318019</v>
      </c>
      <c r="O28" s="84"/>
      <c r="P28" s="84">
        <f>H28+N28</f>
        <v>60539.735047342001</v>
      </c>
      <c r="Q28" s="200"/>
      <c r="S28" s="201"/>
    </row>
    <row r="29" spans="1:19" ht="14.45" customHeight="1" x14ac:dyDescent="0.25">
      <c r="A29" s="76">
        <f t="shared" si="0"/>
        <v>22</v>
      </c>
      <c r="B29" s="50" t="s">
        <v>70</v>
      </c>
      <c r="C29" s="47"/>
      <c r="D29" s="85">
        <f>SUM(D27:D28)</f>
        <v>217661000</v>
      </c>
      <c r="E29" s="85">
        <f>SUM(E27:E28)</f>
        <v>214275370.49000001</v>
      </c>
      <c r="F29" s="85">
        <f>SUM(F27:F28)</f>
        <v>3385629.5099999867</v>
      </c>
      <c r="G29" s="83"/>
      <c r="H29" s="86">
        <f>SUM(H27:H28)</f>
        <v>5593.0599505199789</v>
      </c>
      <c r="I29" s="87"/>
      <c r="J29" s="85">
        <f>SUM(J27:J28)</f>
        <v>461959000</v>
      </c>
      <c r="K29" s="85">
        <f>SUM(K27:K28)</f>
        <v>427884610.66899997</v>
      </c>
      <c r="L29" s="85">
        <f>SUM(L27:L28)</f>
        <v>34074389.331000008</v>
      </c>
      <c r="M29" s="83"/>
      <c r="N29" s="86">
        <f>SUM(N27:N28)</f>
        <v>53087.898577698004</v>
      </c>
      <c r="O29" s="87"/>
      <c r="P29" s="86">
        <f>SUM(P27:P28)</f>
        <v>58680.958528217983</v>
      </c>
      <c r="Q29" s="200"/>
      <c r="S29" s="201"/>
    </row>
    <row r="30" spans="1:19" ht="14.45" customHeight="1" x14ac:dyDescent="0.25">
      <c r="A30" s="76">
        <f t="shared" si="0"/>
        <v>23</v>
      </c>
      <c r="B30" s="49"/>
      <c r="C30" s="47"/>
      <c r="D30" s="89"/>
      <c r="E30" s="89"/>
      <c r="F30" s="89"/>
      <c r="G30" s="83"/>
      <c r="H30" s="90"/>
      <c r="I30" s="90"/>
      <c r="J30" s="89"/>
      <c r="K30" s="89"/>
      <c r="L30" s="89"/>
      <c r="M30" s="83"/>
      <c r="N30" s="90"/>
      <c r="O30" s="90"/>
      <c r="P30" s="90"/>
      <c r="Q30" s="200"/>
      <c r="S30" s="201"/>
    </row>
    <row r="31" spans="1:19" ht="14.45" customHeight="1" x14ac:dyDescent="0.25">
      <c r="A31" s="76">
        <f t="shared" si="0"/>
        <v>24</v>
      </c>
      <c r="B31" s="45" t="s">
        <v>71</v>
      </c>
      <c r="C31" s="47" t="s">
        <v>72</v>
      </c>
      <c r="D31" s="85">
        <f>+'[4]Elec Load Variance 2019'!D31</f>
        <v>23160000</v>
      </c>
      <c r="E31" s="85">
        <f>+'[4]Elec Load Variance 2019'!E31</f>
        <v>23203845.387499999</v>
      </c>
      <c r="F31" s="85">
        <f>D31-E31</f>
        <v>-43845.387499999255</v>
      </c>
      <c r="G31" s="83">
        <f>+'[4]Elec Load Variance 2019'!G31</f>
        <v>9.2829999999999996E-3</v>
      </c>
      <c r="H31" s="84">
        <f>+G31*F31</f>
        <v>-407.01673216249304</v>
      </c>
      <c r="I31" s="84"/>
      <c r="J31" s="85">
        <f>+'[4]Elec Load Variance 2019'!J31</f>
        <v>47972000</v>
      </c>
      <c r="K31" s="85">
        <f>+'[4]Elec Load Variance 2019'!K31</f>
        <v>47470139.316999994</v>
      </c>
      <c r="L31" s="85">
        <f>J31-K31</f>
        <v>501860.68300000578</v>
      </c>
      <c r="M31" s="83">
        <f>+'[4]Elec Load Variance 2019'!M31</f>
        <v>9.1549999999999999E-3</v>
      </c>
      <c r="N31" s="84">
        <f>+M31*L31</f>
        <v>4594.5345528650532</v>
      </c>
      <c r="O31" s="84"/>
      <c r="P31" s="84">
        <f>H31+N31</f>
        <v>4187.5178207025601</v>
      </c>
      <c r="Q31" s="200"/>
      <c r="S31" s="201"/>
    </row>
    <row r="32" spans="1:19" ht="14.45" customHeight="1" x14ac:dyDescent="0.25">
      <c r="A32" s="76">
        <f t="shared" si="0"/>
        <v>25</v>
      </c>
      <c r="B32" s="45"/>
      <c r="C32" s="47"/>
      <c r="D32" s="89"/>
      <c r="E32" s="89"/>
      <c r="F32" s="89"/>
      <c r="G32" s="83"/>
      <c r="H32" s="90"/>
      <c r="I32" s="90"/>
      <c r="J32" s="89"/>
      <c r="K32" s="89"/>
      <c r="L32" s="89"/>
      <c r="M32" s="83"/>
      <c r="N32" s="90"/>
      <c r="O32" s="90"/>
      <c r="P32" s="90"/>
      <c r="Q32" s="200"/>
      <c r="S32" s="201"/>
    </row>
    <row r="33" spans="1:19" ht="14.45" customHeight="1" x14ac:dyDescent="0.25">
      <c r="A33" s="76">
        <f t="shared" si="0"/>
        <v>26</v>
      </c>
      <c r="B33" s="48" t="s">
        <v>73</v>
      </c>
      <c r="C33" s="47"/>
      <c r="D33" s="85">
        <f>+'[4]Elec Load Variance 2019'!D33</f>
        <v>677513000</v>
      </c>
      <c r="E33" s="85">
        <f>+'[4]Elec Load Variance 2019'!E33</f>
        <v>682084694.48099995</v>
      </c>
      <c r="F33" s="85">
        <f>D33-E33</f>
        <v>-4571694.4809999466</v>
      </c>
      <c r="G33" s="83">
        <f>+'[4]Elec Load Variance 2019'!G33</f>
        <v>2.9999999999999997E-5</v>
      </c>
      <c r="H33" s="84">
        <f>+G33*F33</f>
        <v>-137.15083442999838</v>
      </c>
      <c r="I33" s="84"/>
      <c r="J33" s="85">
        <f>+'[4]Elec Load Variance 2019'!J33</f>
        <v>1351086000</v>
      </c>
      <c r="K33" s="85">
        <f>+'[4]Elec Load Variance 2019'!K33</f>
        <v>1639936429.4250002</v>
      </c>
      <c r="L33" s="85">
        <f>J33-K33</f>
        <v>-288850429.42500019</v>
      </c>
      <c r="M33" s="83">
        <f>+'[4]Elec Load Variance 2019'!M33</f>
        <v>2.4999999999999998E-5</v>
      </c>
      <c r="N33" s="84">
        <f>+M33*L33</f>
        <v>-7221.2607356250037</v>
      </c>
      <c r="O33" s="84"/>
      <c r="P33" s="84">
        <f>H33+N33</f>
        <v>-7358.4115700550019</v>
      </c>
      <c r="Q33" s="200"/>
      <c r="S33" s="201"/>
    </row>
    <row r="34" spans="1:19" ht="14.45" customHeight="1" x14ac:dyDescent="0.25">
      <c r="A34" s="76">
        <f t="shared" si="0"/>
        <v>27</v>
      </c>
      <c r="B34" s="46"/>
      <c r="C34" s="45"/>
      <c r="D34" s="89"/>
      <c r="E34" s="89"/>
      <c r="F34" s="89"/>
      <c r="G34" s="83"/>
      <c r="H34" s="90"/>
      <c r="I34" s="90"/>
      <c r="J34" s="89"/>
      <c r="K34" s="89"/>
      <c r="L34" s="89"/>
      <c r="M34" s="83"/>
      <c r="N34" s="90"/>
      <c r="O34" s="90"/>
      <c r="P34" s="90"/>
      <c r="Q34" s="200"/>
      <c r="S34" s="201"/>
    </row>
    <row r="35" spans="1:19" ht="15" customHeight="1" thickBot="1" x14ac:dyDescent="0.3">
      <c r="A35" s="76">
        <f t="shared" si="0"/>
        <v>28</v>
      </c>
      <c r="B35" s="45" t="s">
        <v>74</v>
      </c>
      <c r="C35" s="45"/>
      <c r="D35" s="91">
        <f>SUM(D9,D16,D22,D24,D29,D31,D33)</f>
        <v>8641780000</v>
      </c>
      <c r="E35" s="91">
        <f>SUM(E9,E16,E22,E24,E29,E31,E33)</f>
        <v>8433700496.1796017</v>
      </c>
      <c r="F35" s="91">
        <f>SUM(F9,F16,F22,F24,F29,F31,F33)</f>
        <v>208079503.82039806</v>
      </c>
      <c r="G35" s="83"/>
      <c r="H35" s="92">
        <f>SUM(H9,H16,H22,H24,H29,H31,H33)</f>
        <v>479072.13183957798</v>
      </c>
      <c r="I35" s="87"/>
      <c r="J35" s="91">
        <f>SUM(J9,J16,J22,J24,J29,J31,J33)</f>
        <v>15372938000</v>
      </c>
      <c r="K35" s="91">
        <f>SUM(K9,K16,K22,K24,K29,K31,K33)</f>
        <v>14721550558.253521</v>
      </c>
      <c r="L35" s="91">
        <f>SUM(L9,L16,L22,L24,L29,L31,L33)</f>
        <v>651387441.74647808</v>
      </c>
      <c r="M35" s="83"/>
      <c r="N35" s="92">
        <f>SUM(N9,N16,N22,N24,N29,N31,N33)</f>
        <v>2165974.568453108</v>
      </c>
      <c r="O35" s="87"/>
      <c r="P35" s="92">
        <f>SUM(P9,P16,P22,P24,P29,P31,P33)</f>
        <v>2645046.7002926855</v>
      </c>
      <c r="Q35" s="200"/>
      <c r="S35" s="201"/>
    </row>
    <row r="36" spans="1:19" ht="15" customHeight="1" thickTop="1" x14ac:dyDescent="0.25">
      <c r="D36" s="201"/>
      <c r="F36" s="84"/>
    </row>
    <row r="37" spans="1:19" ht="14.45" customHeight="1" x14ac:dyDescent="0.25">
      <c r="D37" s="201"/>
      <c r="F37" s="56"/>
    </row>
    <row r="38" spans="1:19" ht="14.45" customHeight="1" x14ac:dyDescent="0.25"/>
    <row r="39" spans="1:19" ht="14.45" customHeight="1" x14ac:dyDescent="0.25">
      <c r="F39" s="200"/>
    </row>
    <row r="40" spans="1:19" ht="14.45" customHeight="1" x14ac:dyDescent="0.25">
      <c r="F40" s="200"/>
    </row>
    <row r="41" spans="1:19" ht="14.45" customHeight="1" x14ac:dyDescent="0.25">
      <c r="F41" s="200"/>
    </row>
  </sheetData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C7" sqref="C7"/>
    </sheetView>
  </sheetViews>
  <sheetFormatPr defaultColWidth="9.140625" defaultRowHeight="14.1" customHeight="1" x14ac:dyDescent="0.25"/>
  <cols>
    <col min="1" max="1" width="9.85546875" style="117" bestFit="1" customWidth="1"/>
    <col min="2" max="2" width="39.42578125" style="117" customWidth="1"/>
    <col min="3" max="5" width="14.140625" style="117" customWidth="1"/>
    <col min="6" max="6" width="15.42578125" style="117" customWidth="1"/>
    <col min="7" max="7" width="13.42578125" style="117" customWidth="1"/>
    <col min="8" max="8" width="3.42578125" style="117" customWidth="1"/>
    <col min="9" max="11" width="14.140625" style="117" customWidth="1"/>
    <col min="12" max="12" width="15.42578125" style="117" customWidth="1"/>
    <col min="13" max="13" width="14.140625" style="117" customWidth="1"/>
    <col min="14" max="14" width="2.85546875" style="117" customWidth="1"/>
    <col min="15" max="15" width="14.140625" style="117" customWidth="1"/>
    <col min="16" max="16384" width="9.140625" style="117"/>
  </cols>
  <sheetData>
    <row r="1" spans="1:15" ht="15" x14ac:dyDescent="0.25">
      <c r="A1" s="365" t="s">
        <v>45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ht="15" x14ac:dyDescent="0.25">
      <c r="A2" s="365" t="s">
        <v>175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</row>
    <row r="3" spans="1:15" ht="15" x14ac:dyDescent="0.25">
      <c r="A3" s="365" t="s">
        <v>176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</row>
    <row r="4" spans="1:15" ht="15" x14ac:dyDescent="0.25">
      <c r="A4" s="365" t="s">
        <v>193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 ht="15" x14ac:dyDescent="0.25">
      <c r="C5" s="339"/>
      <c r="D5" s="339"/>
      <c r="E5" s="339"/>
    </row>
    <row r="6" spans="1:15" ht="60" x14ac:dyDescent="0.25">
      <c r="A6" s="340" t="s">
        <v>46</v>
      </c>
      <c r="B6" s="341" t="s">
        <v>10</v>
      </c>
      <c r="C6" s="342" t="s">
        <v>218</v>
      </c>
      <c r="D6" s="342" t="s">
        <v>194</v>
      </c>
      <c r="E6" s="343" t="s">
        <v>47</v>
      </c>
      <c r="F6" s="342" t="s">
        <v>177</v>
      </c>
      <c r="G6" s="343" t="s">
        <v>195</v>
      </c>
      <c r="I6" s="342" t="s">
        <v>219</v>
      </c>
      <c r="J6" s="342" t="s">
        <v>196</v>
      </c>
      <c r="K6" s="343" t="s">
        <v>47</v>
      </c>
      <c r="L6" s="342" t="s">
        <v>197</v>
      </c>
      <c r="M6" s="343" t="s">
        <v>198</v>
      </c>
      <c r="O6" s="342" t="s">
        <v>145</v>
      </c>
    </row>
    <row r="7" spans="1:15" ht="15" x14ac:dyDescent="0.25">
      <c r="A7" s="344" t="s">
        <v>178</v>
      </c>
      <c r="B7" s="117" t="s">
        <v>50</v>
      </c>
      <c r="C7" s="345">
        <f>VLOOKUP(A7,'[5]F2017 Forecast Load'!$P$34:$R$46,3,FALSE)</f>
        <v>293817875</v>
      </c>
      <c r="D7" s="345">
        <f>VLOOKUP(A7,'[5]2019 Actual Therms'!$U$102:$W$114,2,FALSE)</f>
        <v>309327641.14715487</v>
      </c>
      <c r="E7" s="346">
        <f>C7-D7</f>
        <v>-15509766.147154868</v>
      </c>
      <c r="F7" s="347">
        <f>'[5]Sched 140 Rates 5-1-18'!$M$11</f>
        <v>2.4480000000000002E-2</v>
      </c>
      <c r="G7" s="348">
        <f t="shared" ref="G7:G19" si="0">E7*F7</f>
        <v>-379679.07528235117</v>
      </c>
      <c r="I7" s="345">
        <f>VLOOKUP(A7,'[5]F2018 Forecast Load'!$P$34:$R$46,2,FALSE)</f>
        <v>330137004</v>
      </c>
      <c r="J7" s="345">
        <f>VLOOKUP(A7,'[5]2019 Actual Therms'!$U$102:$W$114,3,TRUE)</f>
        <v>295986127.94985878</v>
      </c>
      <c r="K7" s="346">
        <f t="shared" ref="K7:K19" si="1">I7-J7</f>
        <v>34150876.050141215</v>
      </c>
      <c r="L7" s="347">
        <f>'[5]Sched 140 Rates 5-1-19'!$L$11</f>
        <v>2.2350000000000002E-2</v>
      </c>
      <c r="M7" s="348">
        <f t="shared" ref="M7:M19" si="2">K7*L7</f>
        <v>763272.07972065627</v>
      </c>
      <c r="O7" s="348">
        <f>G7+M7</f>
        <v>383593.0044383051</v>
      </c>
    </row>
    <row r="8" spans="1:15" ht="15" x14ac:dyDescent="0.25">
      <c r="A8" s="344">
        <v>53</v>
      </c>
      <c r="B8" s="117" t="s">
        <v>146</v>
      </c>
      <c r="C8" s="345">
        <f>VLOOKUP(A8,'[5]F2017 Forecast Load'!$P$34:$R$46,3,FALSE)</f>
        <v>109</v>
      </c>
      <c r="D8" s="345">
        <f>VLOOKUP(A8,'[5]2019 Actual Therms'!$U$102:$W$114,2,FALSE)</f>
        <v>0</v>
      </c>
      <c r="E8" s="346">
        <f t="shared" ref="E8:E19" si="3">C8-D8</f>
        <v>109</v>
      </c>
      <c r="F8" s="347">
        <f>'[5]Sched 140 Rates 5-1-18'!$M$11</f>
        <v>2.4480000000000002E-2</v>
      </c>
      <c r="G8" s="348">
        <f t="shared" si="0"/>
        <v>2.66832</v>
      </c>
      <c r="I8" s="345">
        <f>VLOOKUP(A8,'[5]F2018 Forecast Load'!$P$34:$R$46,2,FALSE)</f>
        <v>0</v>
      </c>
      <c r="J8" s="345">
        <f>VLOOKUP(A8,'[5]2019 Actual Therms'!$U$102:$W$114,3,TRUE)</f>
        <v>0</v>
      </c>
      <c r="K8" s="346">
        <f t="shared" si="1"/>
        <v>0</v>
      </c>
      <c r="L8" s="347">
        <f>'[5]Sched 140 Rates 5-1-19'!$L$11</f>
        <v>2.2350000000000002E-2</v>
      </c>
      <c r="M8" s="348">
        <f t="shared" si="2"/>
        <v>0</v>
      </c>
      <c r="O8" s="348">
        <f t="shared" ref="O8:O19" si="4">G8+M8</f>
        <v>2.66832</v>
      </c>
    </row>
    <row r="9" spans="1:15" ht="15" x14ac:dyDescent="0.25">
      <c r="A9" s="344">
        <v>31</v>
      </c>
      <c r="B9" s="117" t="s">
        <v>147</v>
      </c>
      <c r="C9" s="345">
        <f>VLOOKUP(A9,'[5]F2017 Forecast Load'!$P$34:$R$46,3,FALSE)</f>
        <v>104133945</v>
      </c>
      <c r="D9" s="345">
        <f>VLOOKUP(A9,'[5]2019 Actual Therms'!$U$102:$W$114,2,FALSE)</f>
        <v>110618184.98539457</v>
      </c>
      <c r="E9" s="346">
        <f t="shared" si="3"/>
        <v>-6484239.9853945673</v>
      </c>
      <c r="F9" s="347">
        <f>'[5]Sched 140 Rates 5-1-18'!$M$12</f>
        <v>2.6370000000000001E-2</v>
      </c>
      <c r="G9" s="348">
        <f t="shared" si="0"/>
        <v>-170989.40841485476</v>
      </c>
      <c r="I9" s="345">
        <f>VLOOKUP(A9,'[5]F2018 Forecast Load'!$P$34:$R$46,2,FALSE)</f>
        <v>128978118</v>
      </c>
      <c r="J9" s="345">
        <f>VLOOKUP(A9,'[5]2019 Actual Therms'!$U$102:$W$114,3,TRUE)</f>
        <v>124151015.49078098</v>
      </c>
      <c r="K9" s="346">
        <f t="shared" si="1"/>
        <v>4827102.5092190206</v>
      </c>
      <c r="L9" s="347">
        <f>'[5]Sched 140 Rates 5-1-19'!$L$12</f>
        <v>2.528E-2</v>
      </c>
      <c r="M9" s="348">
        <f t="shared" si="2"/>
        <v>122029.15143305685</v>
      </c>
      <c r="O9" s="348">
        <f t="shared" si="4"/>
        <v>-48960.256981797909</v>
      </c>
    </row>
    <row r="10" spans="1:15" ht="15" x14ac:dyDescent="0.25">
      <c r="A10" s="344" t="s">
        <v>148</v>
      </c>
      <c r="B10" s="117" t="s">
        <v>149</v>
      </c>
      <c r="C10" s="345">
        <f>VLOOKUP(A10,'[5]F2017 Forecast Load'!$P$34:$R$46,3,FALSE)</f>
        <v>10500</v>
      </c>
      <c r="D10" s="345">
        <f>VLOOKUP(A10,'[5]2019 Actual Therms'!$U$102:$W$114,2,FALSE)</f>
        <v>10490.089999999998</v>
      </c>
      <c r="E10" s="346">
        <f t="shared" si="3"/>
        <v>9.9100000000016735</v>
      </c>
      <c r="F10" s="347">
        <f>'[5]Sched 140 Rates 5-1-18'!$M$12</f>
        <v>2.6370000000000001E-2</v>
      </c>
      <c r="G10" s="348">
        <f t="shared" si="0"/>
        <v>0.26132670000004415</v>
      </c>
      <c r="I10" s="345">
        <f>VLOOKUP(A10,'[5]F2018 Forecast Load'!$P$34:$R$46,2,FALSE)</f>
        <v>15772</v>
      </c>
      <c r="J10" s="345">
        <f>VLOOKUP(A10,'[5]2019 Actual Therms'!$U$102:$W$114,3,TRUE)</f>
        <v>15686.229999999992</v>
      </c>
      <c r="K10" s="346">
        <f t="shared" si="1"/>
        <v>85.770000000007713</v>
      </c>
      <c r="L10" s="347">
        <f>'[5]Sched 140 Rates 5-1-19'!$L$12</f>
        <v>2.528E-2</v>
      </c>
      <c r="M10" s="348">
        <f t="shared" si="2"/>
        <v>2.1682656000001952</v>
      </c>
      <c r="O10" s="348">
        <f t="shared" si="4"/>
        <v>2.4295923000002393</v>
      </c>
    </row>
    <row r="11" spans="1:15" ht="15" x14ac:dyDescent="0.25">
      <c r="A11" s="344">
        <v>41</v>
      </c>
      <c r="B11" s="117" t="s">
        <v>150</v>
      </c>
      <c r="C11" s="345">
        <f>VLOOKUP(A11,'[5]F2017 Forecast Load'!$P$34:$R$46,3,FALSE)</f>
        <v>27898617</v>
      </c>
      <c r="D11" s="345">
        <f>VLOOKUP(A11,'[5]2019 Actual Therms'!$U$102:$W$114,2,FALSE)</f>
        <v>27578959.21197189</v>
      </c>
      <c r="E11" s="346">
        <f t="shared" si="3"/>
        <v>319657.78802810982</v>
      </c>
      <c r="F11" s="347">
        <f>'[5]Sched 140 Rates 5-1-18'!$M$13</f>
        <v>9.1199999999999996E-3</v>
      </c>
      <c r="G11" s="348">
        <f t="shared" si="0"/>
        <v>2915.2790268163612</v>
      </c>
      <c r="I11" s="345">
        <f>VLOOKUP(A11,'[5]F2018 Forecast Load'!$P$34:$R$46,2,FALSE)</f>
        <v>39365595</v>
      </c>
      <c r="J11" s="345">
        <f>VLOOKUP(A11,'[5]2019 Actual Therms'!$U$102:$W$114,3,TRUE)</f>
        <v>38205351.175879657</v>
      </c>
      <c r="K11" s="346">
        <f t="shared" si="1"/>
        <v>1160243.8241203427</v>
      </c>
      <c r="L11" s="347">
        <f>'[5]Sched 140 Rates 5-1-19'!$L$13</f>
        <v>8.94E-3</v>
      </c>
      <c r="M11" s="348">
        <f t="shared" si="2"/>
        <v>10372.579787635865</v>
      </c>
      <c r="O11" s="348">
        <f t="shared" si="4"/>
        <v>13287.858814452225</v>
      </c>
    </row>
    <row r="12" spans="1:15" ht="15" x14ac:dyDescent="0.25">
      <c r="A12" s="344" t="s">
        <v>151</v>
      </c>
      <c r="B12" s="117" t="s">
        <v>152</v>
      </c>
      <c r="C12" s="345">
        <f>VLOOKUP(A12,'[5]F2017 Forecast Load'!$P$34:$R$46,3,FALSE)</f>
        <v>9313753</v>
      </c>
      <c r="D12" s="345">
        <f>VLOOKUP(A12,'[5]2019 Actual Therms'!$U$102:$W$114,2,FALSE)</f>
        <v>8302071.2000000002</v>
      </c>
      <c r="E12" s="346">
        <f t="shared" si="3"/>
        <v>1011681.7999999998</v>
      </c>
      <c r="F12" s="347">
        <f>'[5]Sched 140 Rates 5-1-18'!$M$13</f>
        <v>9.1199999999999996E-3</v>
      </c>
      <c r="G12" s="348">
        <f t="shared" si="0"/>
        <v>9226.5380159999986</v>
      </c>
      <c r="I12" s="345">
        <f>VLOOKUP(A12,'[5]F2018 Forecast Load'!$P$34:$R$46,2,FALSE)</f>
        <v>14920154</v>
      </c>
      <c r="J12" s="345">
        <f>VLOOKUP(A12,'[5]2019 Actual Therms'!$U$102:$W$114,3,TRUE)</f>
        <v>13772903.59</v>
      </c>
      <c r="K12" s="346">
        <f t="shared" si="1"/>
        <v>1147250.4100000001</v>
      </c>
      <c r="L12" s="347">
        <f>'[5]Sched 140 Rates 5-1-19'!$L$13</f>
        <v>8.94E-3</v>
      </c>
      <c r="M12" s="348">
        <f t="shared" si="2"/>
        <v>10256.4186654</v>
      </c>
      <c r="O12" s="348">
        <f t="shared" si="4"/>
        <v>19482.956681399999</v>
      </c>
    </row>
    <row r="13" spans="1:15" ht="15" x14ac:dyDescent="0.25">
      <c r="A13" s="344">
        <v>85</v>
      </c>
      <c r="B13" s="117" t="s">
        <v>153</v>
      </c>
      <c r="C13" s="345">
        <f>VLOOKUP(A13,'[5]F2017 Forecast Load'!$P$34:$R$46,3,FALSE)</f>
        <v>7186504</v>
      </c>
      <c r="D13" s="345">
        <f>VLOOKUP(A13,'[5]2019 Actual Therms'!$U$102:$W$114,2,FALSE)</f>
        <v>5487489.3094999995</v>
      </c>
      <c r="E13" s="346">
        <f t="shared" si="3"/>
        <v>1699014.6905000005</v>
      </c>
      <c r="F13" s="347">
        <f>'[5]Sched 140 Rates 5-1-18'!$M$14</f>
        <v>4.4099999999999999E-3</v>
      </c>
      <c r="G13" s="348">
        <f t="shared" si="0"/>
        <v>7492.6547851050018</v>
      </c>
      <c r="I13" s="345">
        <f>VLOOKUP(A13,'[5]F2018 Forecast Load'!$P$34:$R$46,2,FALSE)</f>
        <v>8861106</v>
      </c>
      <c r="J13" s="345">
        <f>VLOOKUP(A13,'[5]2019 Actual Therms'!$U$102:$W$114,3,TRUE)</f>
        <v>9007536.2307937182</v>
      </c>
      <c r="K13" s="346">
        <f t="shared" si="1"/>
        <v>-146430.23079371825</v>
      </c>
      <c r="L13" s="347">
        <f>'[5]Sched 140 Rates 5-1-19'!$L$14</f>
        <v>5.0499999999999998E-3</v>
      </c>
      <c r="M13" s="348">
        <f t="shared" si="2"/>
        <v>-739.47266550827715</v>
      </c>
      <c r="O13" s="348">
        <f t="shared" si="4"/>
        <v>6753.182119596725</v>
      </c>
    </row>
    <row r="14" spans="1:15" ht="15" x14ac:dyDescent="0.25">
      <c r="A14" s="344" t="s">
        <v>154</v>
      </c>
      <c r="B14" s="117" t="s">
        <v>155</v>
      </c>
      <c r="C14" s="345">
        <f>VLOOKUP(A14,'[5]F2017 Forecast Load'!$P$34:$R$46,3,FALSE)</f>
        <v>33070553</v>
      </c>
      <c r="D14" s="345">
        <f>VLOOKUP(A14,'[5]2019 Actual Therms'!$U$102:$W$114,2,FALSE)</f>
        <v>25827496.57</v>
      </c>
      <c r="E14" s="346">
        <f t="shared" si="3"/>
        <v>7243056.4299999997</v>
      </c>
      <c r="F14" s="347">
        <f>'[5]Sched 140 Rates 5-1-18'!$M$14</f>
        <v>4.4099999999999999E-3</v>
      </c>
      <c r="G14" s="348">
        <f t="shared" si="0"/>
        <v>31941.878856299998</v>
      </c>
      <c r="I14" s="345">
        <f>VLOOKUP(A14,'[5]F2018 Forecast Load'!$P$34:$R$46,2,FALSE)</f>
        <v>50244049</v>
      </c>
      <c r="J14" s="345">
        <f>VLOOKUP(A14,'[5]2019 Actual Therms'!$U$102:$W$114,3,TRUE)</f>
        <v>47096341.325000003</v>
      </c>
      <c r="K14" s="346">
        <f t="shared" si="1"/>
        <v>3147707.674999997</v>
      </c>
      <c r="L14" s="347">
        <f>'[5]Sched 140 Rates 5-1-19'!$L$14</f>
        <v>5.0499999999999998E-3</v>
      </c>
      <c r="M14" s="348">
        <f t="shared" si="2"/>
        <v>15895.923758749985</v>
      </c>
      <c r="O14" s="348">
        <f t="shared" si="4"/>
        <v>47837.802615049979</v>
      </c>
    </row>
    <row r="15" spans="1:15" ht="15" x14ac:dyDescent="0.25">
      <c r="A15" s="344">
        <v>86</v>
      </c>
      <c r="B15" s="117" t="s">
        <v>156</v>
      </c>
      <c r="C15" s="345">
        <f>VLOOKUP(A15,'[5]F2017 Forecast Load'!$P$34:$R$46,3,FALSE)</f>
        <v>4389510</v>
      </c>
      <c r="D15" s="345">
        <f>VLOOKUP(A15,'[5]2019 Actual Therms'!$U$102:$W$114,2,FALSE)</f>
        <v>4080101.0284578362</v>
      </c>
      <c r="E15" s="346">
        <f t="shared" si="3"/>
        <v>309408.97154216375</v>
      </c>
      <c r="F15" s="347">
        <f>'[5]Sched 140 Rates 5-1-18'!$M$15</f>
        <v>8.5299999999999994E-3</v>
      </c>
      <c r="G15" s="348">
        <f t="shared" si="0"/>
        <v>2639.2585272546567</v>
      </c>
      <c r="I15" s="345">
        <f>VLOOKUP(A15,'[5]F2018 Forecast Load'!$P$34:$R$46,2,FALSE)</f>
        <v>4638808</v>
      </c>
      <c r="J15" s="345">
        <f>VLOOKUP(A15,'[5]2019 Actual Therms'!$U$102:$W$114,3,TRUE)</f>
        <v>4064476.4841364878</v>
      </c>
      <c r="K15" s="346">
        <f t="shared" si="1"/>
        <v>574331.51586351218</v>
      </c>
      <c r="L15" s="347">
        <f>'[5]Sched 140 Rates 5-1-19'!$L$15</f>
        <v>7.6699999999999997E-3</v>
      </c>
      <c r="M15" s="348">
        <f t="shared" si="2"/>
        <v>4405.1227266731385</v>
      </c>
      <c r="O15" s="348">
        <f t="shared" si="4"/>
        <v>7044.3812539277951</v>
      </c>
    </row>
    <row r="16" spans="1:15" ht="15" x14ac:dyDescent="0.25">
      <c r="A16" s="344" t="s">
        <v>157</v>
      </c>
      <c r="B16" s="117" t="s">
        <v>158</v>
      </c>
      <c r="C16" s="345">
        <f>VLOOKUP(A16,'[5]F2017 Forecast Load'!$P$34:$R$46,3,FALSE)</f>
        <v>212906</v>
      </c>
      <c r="D16" s="345">
        <f>VLOOKUP(A16,'[5]2019 Actual Therms'!$U$102:$W$114,2,FALSE)</f>
        <v>146731.37</v>
      </c>
      <c r="E16" s="346">
        <f t="shared" si="3"/>
        <v>66174.63</v>
      </c>
      <c r="F16" s="347">
        <f>'[5]Sched 140 Rates 5-1-18'!$M$15</f>
        <v>8.5299999999999994E-3</v>
      </c>
      <c r="G16" s="348">
        <f t="shared" si="0"/>
        <v>564.46959389999995</v>
      </c>
      <c r="I16" s="345">
        <f>VLOOKUP(A16,'[5]F2018 Forecast Load'!$P$34:$R$46,2,FALSE)</f>
        <v>136292</v>
      </c>
      <c r="J16" s="345">
        <f>VLOOKUP(A16,'[5]2019 Actual Therms'!$U$102:$W$114,3,TRUE)</f>
        <v>268138.49</v>
      </c>
      <c r="K16" s="346">
        <f t="shared" si="1"/>
        <v>-131846.49</v>
      </c>
      <c r="L16" s="347">
        <f>'[5]Sched 140 Rates 5-1-19'!$L$15</f>
        <v>7.6699999999999997E-3</v>
      </c>
      <c r="M16" s="348">
        <f t="shared" si="2"/>
        <v>-1011.2625782999999</v>
      </c>
      <c r="O16" s="348">
        <f t="shared" si="4"/>
        <v>-446.79298439999991</v>
      </c>
    </row>
    <row r="17" spans="1:15" ht="15" x14ac:dyDescent="0.25">
      <c r="A17" s="344">
        <v>87</v>
      </c>
      <c r="B17" s="117" t="s">
        <v>159</v>
      </c>
      <c r="C17" s="345">
        <f>VLOOKUP(A17,'[5]F2017 Forecast Load'!$P$34:$R$46,3,FALSE)</f>
        <v>9924218</v>
      </c>
      <c r="D17" s="345">
        <f>VLOOKUP(A17,'[5]2019 Actual Therms'!$U$102:$W$114,2,FALSE)</f>
        <v>8532318.3340000007</v>
      </c>
      <c r="E17" s="346">
        <f t="shared" si="3"/>
        <v>1391899.6659999993</v>
      </c>
      <c r="F17" s="347">
        <f>'[5]Sched 140 Rates 5-1-18'!$M$16</f>
        <v>2.9399999999999999E-3</v>
      </c>
      <c r="G17" s="348">
        <f t="shared" si="0"/>
        <v>4092.1850180399979</v>
      </c>
      <c r="I17" s="345">
        <f>VLOOKUP(A17,'[5]F2018 Forecast Load'!$P$34:$R$46,2,FALSE)</f>
        <v>13747361</v>
      </c>
      <c r="J17" s="345">
        <f>VLOOKUP(A17,'[5]2019 Actual Therms'!$U$102:$W$114,3,TRUE)</f>
        <v>14003506.483999999</v>
      </c>
      <c r="K17" s="346">
        <f t="shared" si="1"/>
        <v>-256145.48399999924</v>
      </c>
      <c r="L17" s="347">
        <f>'[5]Sched 140 Rates 5-1-19'!$L$16</f>
        <v>2.7299999999999998E-3</v>
      </c>
      <c r="M17" s="348">
        <f t="shared" si="2"/>
        <v>-699.27717131999782</v>
      </c>
      <c r="O17" s="348">
        <f t="shared" si="4"/>
        <v>3392.9078467200002</v>
      </c>
    </row>
    <row r="18" spans="1:15" ht="15" x14ac:dyDescent="0.25">
      <c r="A18" s="344" t="s">
        <v>160</v>
      </c>
      <c r="B18" s="117" t="s">
        <v>161</v>
      </c>
      <c r="C18" s="345">
        <f>VLOOKUP(A18,'[5]F2017 Forecast Load'!$P$34:$R$46,3,FALSE)</f>
        <v>33097361</v>
      </c>
      <c r="D18" s="345">
        <f>VLOOKUP(A18,'[5]2019 Actual Therms'!$U$102:$W$114,2,FALSE)</f>
        <v>31151710.649999999</v>
      </c>
      <c r="E18" s="346">
        <f t="shared" si="3"/>
        <v>1945650.3500000015</v>
      </c>
      <c r="F18" s="347">
        <f>'[5]Sched 140 Rates 5-1-18'!$M$16</f>
        <v>2.9399999999999999E-3</v>
      </c>
      <c r="G18" s="348">
        <f t="shared" si="0"/>
        <v>5720.2120290000039</v>
      </c>
      <c r="I18" s="345">
        <f>VLOOKUP(A18,'[5]F2018 Forecast Load'!$P$34:$R$46,2,FALSE)</f>
        <v>65911323</v>
      </c>
      <c r="J18" s="345">
        <f>VLOOKUP(A18,'[5]2019 Actual Therms'!$U$102:$W$114,3,TRUE)</f>
        <v>64382821.990000002</v>
      </c>
      <c r="K18" s="346">
        <f t="shared" si="1"/>
        <v>1528501.0099999979</v>
      </c>
      <c r="L18" s="347">
        <f>'[5]Sched 140 Rates 5-1-19'!$L$16</f>
        <v>2.7299999999999998E-3</v>
      </c>
      <c r="M18" s="348">
        <f t="shared" si="2"/>
        <v>4172.8077572999937</v>
      </c>
      <c r="O18" s="348">
        <f t="shared" si="4"/>
        <v>9893.0197862999976</v>
      </c>
    </row>
    <row r="19" spans="1:15" ht="15" x14ac:dyDescent="0.25">
      <c r="A19" s="349">
        <v>99</v>
      </c>
      <c r="B19" s="341" t="s">
        <v>48</v>
      </c>
      <c r="C19" s="345">
        <f>VLOOKUP(A19,'[5]F2017 Forecast Load'!$P$34:$R$46,3,FALSE)</f>
        <v>16063545</v>
      </c>
      <c r="D19" s="345">
        <f>VLOOKUP(A19,'[5]2019 Actual Therms'!$U$102:$W$114,2,FALSE)</f>
        <v>15337968.09</v>
      </c>
      <c r="E19" s="346">
        <f t="shared" si="3"/>
        <v>725576.91000000015</v>
      </c>
      <c r="F19" s="350">
        <f>'[5]Sched 140 Rates 5-1-18'!$M$17</f>
        <v>3.2100000000000002E-3</v>
      </c>
      <c r="G19" s="348">
        <f t="shared" si="0"/>
        <v>2329.1018811000008</v>
      </c>
      <c r="I19" s="345">
        <f>VLOOKUP(A19,'[5]F2018 Forecast Load'!$P$34:$R$46,2,FALSE)</f>
        <v>22107417</v>
      </c>
      <c r="J19" s="345">
        <f>VLOOKUP(A19,'[5]2019 Actual Therms'!$U$102:$W$114,3,TRUE)</f>
        <v>21344623.93</v>
      </c>
      <c r="K19" s="346">
        <f t="shared" si="1"/>
        <v>762793.0700000003</v>
      </c>
      <c r="L19" s="350">
        <f>'[5]Sched 140 Rates 5-1-19'!L17</f>
        <v>3.4299999999999999E-3</v>
      </c>
      <c r="M19" s="348">
        <f t="shared" si="2"/>
        <v>2616.380230100001</v>
      </c>
      <c r="O19" s="351">
        <f t="shared" si="4"/>
        <v>4945.4821112000018</v>
      </c>
    </row>
    <row r="20" spans="1:15" ht="15" x14ac:dyDescent="0.25">
      <c r="A20" s="117" t="s">
        <v>49</v>
      </c>
      <c r="C20" s="352">
        <f>SUM(C7:C19)</f>
        <v>539119396</v>
      </c>
      <c r="D20" s="352">
        <f>SUM(D7:D19)</f>
        <v>546401161.98647904</v>
      </c>
      <c r="E20" s="352">
        <f>SUM(E7:E19)</f>
        <v>-7281765.9864791557</v>
      </c>
      <c r="G20" s="353">
        <f>SUM(G7:G19)</f>
        <v>-483743.97631698992</v>
      </c>
      <c r="I20" s="352">
        <f>SUM(I7:I19)</f>
        <v>679062999</v>
      </c>
      <c r="J20" s="352">
        <f>SUM(J7:J19)</f>
        <v>632298529.37044954</v>
      </c>
      <c r="K20" s="352">
        <f>SUM(K7:K19)</f>
        <v>46764469.629550382</v>
      </c>
      <c r="M20" s="353">
        <f>SUM(M7:M19)</f>
        <v>930572.6199300437</v>
      </c>
      <c r="O20" s="348">
        <f>SUM(O7:O19)</f>
        <v>446828.64361305395</v>
      </c>
    </row>
    <row r="21" spans="1:15" ht="15" x14ac:dyDescent="0.25">
      <c r="A21" s="354" t="s">
        <v>220</v>
      </c>
      <c r="C21" s="355">
        <f>C20-'[5]F2017 Forecast Load'!R22</f>
        <v>0</v>
      </c>
      <c r="D21" s="346">
        <f>D20-'[5]2019 Actual Therms'!V115</f>
        <v>0</v>
      </c>
      <c r="E21" s="346"/>
      <c r="I21" s="356">
        <f>I20-'[5]F2018 Forecast Load'!Q22</f>
        <v>0</v>
      </c>
    </row>
    <row r="22" spans="1:15" ht="45" x14ac:dyDescent="0.25">
      <c r="A22" s="340" t="s">
        <v>46</v>
      </c>
      <c r="B22" s="341" t="s">
        <v>10</v>
      </c>
      <c r="C22" s="342" t="s">
        <v>199</v>
      </c>
      <c r="D22" s="342" t="s">
        <v>200</v>
      </c>
      <c r="E22" s="343" t="s">
        <v>162</v>
      </c>
      <c r="F22" s="342" t="str">
        <f>F6</f>
        <v>Schedule 140 Rates Effective May 1, 2018</v>
      </c>
      <c r="G22" s="343" t="str">
        <f>G6</f>
        <v>Jan - Apr 2019 Variance ($)</v>
      </c>
      <c r="I22" s="342" t="s">
        <v>201</v>
      </c>
      <c r="J22" s="342" t="s">
        <v>202</v>
      </c>
      <c r="K22" s="343" t="s">
        <v>162</v>
      </c>
      <c r="L22" s="342" t="str">
        <f>L6</f>
        <v>Schedule 140 Rates Effective May 1, 2019</v>
      </c>
      <c r="M22" s="343" t="str">
        <f>M6</f>
        <v>May - Dec 2019 Variance ($)</v>
      </c>
      <c r="O22" s="342" t="s">
        <v>145</v>
      </c>
    </row>
    <row r="23" spans="1:15" ht="15" x14ac:dyDescent="0.25">
      <c r="A23" s="344" t="s">
        <v>163</v>
      </c>
      <c r="B23" s="117" t="s">
        <v>77</v>
      </c>
      <c r="C23" s="345">
        <f>'[5]Sched 140 Rates 5-1-18'!G20/12*4</f>
        <v>118976.33333333333</v>
      </c>
      <c r="D23" s="345">
        <f>'[5]2019 Actual Rentals'!U64</f>
        <v>111663.52894331407</v>
      </c>
      <c r="E23" s="346">
        <f>C23-D23</f>
        <v>7312.804390019257</v>
      </c>
      <c r="F23" s="357">
        <f>'[5]Sched 140 Rates 5-1-18'!S20</f>
        <v>0.59</v>
      </c>
      <c r="G23" s="348">
        <f>E23*F23</f>
        <v>4314.554590111361</v>
      </c>
      <c r="I23" s="345">
        <f>'[5]Sched 140 Rates 5-1-19'!F20/12*8</f>
        <v>225278.66666666666</v>
      </c>
      <c r="J23" s="345">
        <f>'[5]2019 Actual Rentals'!V64</f>
        <v>218210.92901008498</v>
      </c>
      <c r="K23" s="346">
        <f>I23-J23</f>
        <v>7067.7376565816812</v>
      </c>
      <c r="L23" s="357">
        <f>'[5]Sched 140 Rates 5-1-19'!R20</f>
        <v>0.52</v>
      </c>
      <c r="M23" s="348">
        <f>K23*L23</f>
        <v>3675.2235814224746</v>
      </c>
      <c r="O23" s="348">
        <f>G23+M23</f>
        <v>7989.7781715338351</v>
      </c>
    </row>
    <row r="24" spans="1:15" ht="15" x14ac:dyDescent="0.25">
      <c r="A24" s="344"/>
      <c r="C24" s="358"/>
      <c r="D24" s="345"/>
      <c r="E24" s="346"/>
      <c r="F24" s="359"/>
      <c r="G24" s="348"/>
      <c r="I24" s="358"/>
      <c r="J24" s="345"/>
      <c r="K24" s="346"/>
      <c r="L24" s="359"/>
      <c r="M24" s="348"/>
      <c r="O24" s="348"/>
    </row>
    <row r="26" spans="1:15" ht="15.75" thickBot="1" x14ac:dyDescent="0.3">
      <c r="M26" s="117" t="s">
        <v>2</v>
      </c>
      <c r="O26" s="360">
        <f>O20+O23</f>
        <v>454818.42178458779</v>
      </c>
    </row>
    <row r="27" spans="1:15" ht="14.1" customHeight="1" thickTop="1" x14ac:dyDescent="0.25"/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59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2"/>
  <sheetViews>
    <sheetView workbookViewId="0">
      <selection activeCell="E13" sqref="E13"/>
    </sheetView>
  </sheetViews>
  <sheetFormatPr defaultColWidth="9.140625" defaultRowHeight="10.5" x14ac:dyDescent="0.15"/>
  <cols>
    <col min="1" max="1" width="4.140625" style="192" customWidth="1"/>
    <col min="2" max="2" width="46.7109375" style="192" customWidth="1"/>
    <col min="3" max="4" width="9.140625" style="192"/>
    <col min="5" max="5" width="12.28515625" style="192" bestFit="1" customWidth="1"/>
    <col min="6" max="16384" width="9.140625" style="192"/>
  </cols>
  <sheetData>
    <row r="2" spans="1:5" ht="12.75" x14ac:dyDescent="0.2">
      <c r="E2" s="115" t="s">
        <v>142</v>
      </c>
    </row>
    <row r="3" spans="1:5" ht="12.75" x14ac:dyDescent="0.2">
      <c r="E3" s="116" t="s">
        <v>143</v>
      </c>
    </row>
    <row r="4" spans="1:5" ht="12.75" x14ac:dyDescent="0.2">
      <c r="A4" s="11"/>
      <c r="B4" s="11"/>
      <c r="C4" s="11"/>
      <c r="D4" s="11"/>
      <c r="E4" s="12"/>
    </row>
    <row r="5" spans="1:5" ht="12.75" x14ac:dyDescent="0.2">
      <c r="A5" s="13"/>
      <c r="B5" s="14" t="s">
        <v>14</v>
      </c>
      <c r="C5" s="14"/>
      <c r="D5" s="14"/>
      <c r="E5" s="15"/>
    </row>
    <row r="6" spans="1:5" ht="12.75" x14ac:dyDescent="0.2">
      <c r="A6" s="14"/>
      <c r="B6" s="14" t="s">
        <v>135</v>
      </c>
      <c r="C6" s="14"/>
      <c r="D6" s="14"/>
      <c r="E6" s="14"/>
    </row>
    <row r="7" spans="1:5" ht="12.75" x14ac:dyDescent="0.2">
      <c r="A7" s="14"/>
      <c r="B7" s="14" t="s">
        <v>136</v>
      </c>
      <c r="C7" s="14"/>
      <c r="D7" s="14"/>
      <c r="E7" s="14"/>
    </row>
    <row r="8" spans="1:5" ht="12.75" x14ac:dyDescent="0.2">
      <c r="A8" s="13"/>
      <c r="B8" s="14" t="s">
        <v>144</v>
      </c>
      <c r="C8" s="14"/>
      <c r="D8" s="14"/>
      <c r="E8" s="14"/>
    </row>
    <row r="9" spans="1:5" ht="12.75" x14ac:dyDescent="0.2">
      <c r="A9" s="11"/>
      <c r="B9" s="11"/>
      <c r="C9" s="11"/>
      <c r="D9" s="11"/>
      <c r="E9" s="11"/>
    </row>
    <row r="10" spans="1:5" ht="12.75" x14ac:dyDescent="0.2">
      <c r="A10" s="16" t="s">
        <v>16</v>
      </c>
      <c r="B10" s="11"/>
      <c r="C10" s="11"/>
      <c r="D10" s="11"/>
      <c r="E10" s="11"/>
    </row>
    <row r="11" spans="1:5" ht="12.75" x14ac:dyDescent="0.2">
      <c r="A11" s="17" t="s">
        <v>17</v>
      </c>
      <c r="B11" s="18" t="s">
        <v>18</v>
      </c>
      <c r="C11" s="19"/>
      <c r="D11" s="19"/>
      <c r="E11" s="20" t="s">
        <v>19</v>
      </c>
    </row>
    <row r="12" spans="1:5" ht="12.75" x14ac:dyDescent="0.2">
      <c r="A12" s="21"/>
      <c r="B12" s="21"/>
      <c r="C12" s="21"/>
      <c r="D12" s="21"/>
      <c r="E12" s="22"/>
    </row>
    <row r="13" spans="1:5" ht="12.75" x14ac:dyDescent="0.2">
      <c r="A13" s="22">
        <v>1</v>
      </c>
      <c r="B13" s="23" t="s">
        <v>20</v>
      </c>
      <c r="C13" s="21"/>
      <c r="D13" s="21"/>
      <c r="E13" s="71">
        <v>7.1570000000000002E-3</v>
      </c>
    </row>
    <row r="14" spans="1:5" ht="12.75" x14ac:dyDescent="0.2">
      <c r="A14" s="22">
        <v>2</v>
      </c>
      <c r="B14" s="23" t="s">
        <v>21</v>
      </c>
      <c r="C14" s="21"/>
      <c r="D14" s="21"/>
      <c r="E14" s="71">
        <v>2E-3</v>
      </c>
    </row>
    <row r="15" spans="1:5" ht="12.75" x14ac:dyDescent="0.2">
      <c r="A15" s="22">
        <v>3</v>
      </c>
      <c r="B15" s="23" t="str">
        <f>"STATE UTILITY TAX - NET OF BAD DEBTS ( "&amp;D15*100&amp;"% - ( LINE 1 * "&amp;D15*100&amp;"%) )"</f>
        <v>STATE UTILITY TAX - NET OF BAD DEBTS ( 3.8734% - ( LINE 1 * 3.8734%) )</v>
      </c>
      <c r="C15" s="21"/>
      <c r="D15" s="70">
        <v>3.8733999999999998E-2</v>
      </c>
      <c r="E15" s="72">
        <v>3.8456999999999998E-2</v>
      </c>
    </row>
    <row r="16" spans="1:5" ht="12.75" x14ac:dyDescent="0.2">
      <c r="A16" s="22">
        <v>4</v>
      </c>
      <c r="B16" s="23"/>
      <c r="C16" s="21"/>
      <c r="D16" s="21"/>
      <c r="E16" s="73"/>
    </row>
    <row r="17" spans="1:5" ht="12.75" x14ac:dyDescent="0.2">
      <c r="A17" s="22">
        <v>5</v>
      </c>
      <c r="B17" s="23" t="s">
        <v>22</v>
      </c>
      <c r="C17" s="21"/>
      <c r="D17" s="21"/>
      <c r="E17" s="71">
        <v>4.7613999999999997E-2</v>
      </c>
    </row>
    <row r="18" spans="1:5" ht="12.75" x14ac:dyDescent="0.2">
      <c r="A18" s="22">
        <v>6</v>
      </c>
      <c r="B18" s="21"/>
      <c r="C18" s="21"/>
      <c r="D18" s="21"/>
      <c r="E18" s="71"/>
    </row>
    <row r="19" spans="1:5" ht="12.75" x14ac:dyDescent="0.2">
      <c r="A19" s="22">
        <v>7</v>
      </c>
      <c r="B19" s="21" t="s">
        <v>137</v>
      </c>
      <c r="C19" s="21"/>
      <c r="D19" s="21"/>
      <c r="E19" s="71">
        <v>0.95238599999999995</v>
      </c>
    </row>
    <row r="20" spans="1:5" ht="12.75" x14ac:dyDescent="0.2">
      <c r="A20" s="22">
        <v>8</v>
      </c>
      <c r="B20" s="23" t="s">
        <v>138</v>
      </c>
      <c r="C20" s="21"/>
      <c r="D20" s="24">
        <v>0.35</v>
      </c>
      <c r="E20" s="72">
        <v>0.33333499999999999</v>
      </c>
    </row>
    <row r="21" spans="1:5" ht="13.5" thickBot="1" x14ac:dyDescent="0.25">
      <c r="A21" s="22">
        <v>9</v>
      </c>
      <c r="B21" s="23" t="s">
        <v>139</v>
      </c>
      <c r="C21" s="21"/>
      <c r="D21" s="21"/>
      <c r="E21" s="25">
        <v>0.61905100000000002</v>
      </c>
    </row>
    <row r="22" spans="1:5" ht="11.25" thickTop="1" x14ac:dyDescent="0.15"/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M26" sqref="M26"/>
    </sheetView>
  </sheetViews>
  <sheetFormatPr defaultColWidth="9.140625" defaultRowHeight="10.5" x14ac:dyDescent="0.15"/>
  <cols>
    <col min="1" max="1" width="3.28515625" style="192" customWidth="1"/>
    <col min="2" max="2" width="43.85546875" style="192" bestFit="1" customWidth="1"/>
    <col min="3" max="4" width="9.140625" style="192"/>
    <col min="5" max="5" width="10.140625" style="192" customWidth="1"/>
    <col min="6" max="16384" width="9.140625" style="192"/>
  </cols>
  <sheetData>
    <row r="1" spans="1:5" ht="12.75" x14ac:dyDescent="0.2">
      <c r="A1" s="21"/>
      <c r="B1" s="21"/>
      <c r="C1" s="21"/>
      <c r="D1" s="21"/>
      <c r="E1" s="115" t="s">
        <v>142</v>
      </c>
    </row>
    <row r="2" spans="1:5" ht="12.75" x14ac:dyDescent="0.2">
      <c r="A2" s="11"/>
      <c r="B2" s="14"/>
      <c r="C2" s="14"/>
      <c r="D2" s="14"/>
      <c r="E2" s="116" t="s">
        <v>143</v>
      </c>
    </row>
    <row r="3" spans="1:5" ht="12.75" x14ac:dyDescent="0.2">
      <c r="A3" s="13" t="s">
        <v>23</v>
      </c>
      <c r="B3" s="14"/>
      <c r="C3" s="14"/>
      <c r="D3" s="14"/>
      <c r="E3" s="14"/>
    </row>
    <row r="4" spans="1:5" ht="12.75" x14ac:dyDescent="0.2">
      <c r="A4" s="14" t="s">
        <v>15</v>
      </c>
      <c r="B4" s="14"/>
      <c r="C4" s="14"/>
      <c r="D4" s="14"/>
      <c r="E4" s="14"/>
    </row>
    <row r="5" spans="1:5" ht="12.75" x14ac:dyDescent="0.2">
      <c r="A5" s="14" t="s">
        <v>136</v>
      </c>
      <c r="B5" s="14"/>
      <c r="C5" s="14"/>
      <c r="D5" s="14"/>
      <c r="E5" s="14"/>
    </row>
    <row r="6" spans="1:5" ht="12.75" x14ac:dyDescent="0.2">
      <c r="A6" s="13"/>
      <c r="B6" s="14" t="s">
        <v>144</v>
      </c>
      <c r="C6" s="14"/>
      <c r="D6" s="14"/>
      <c r="E6" s="14"/>
    </row>
    <row r="7" spans="1:5" ht="12.75" x14ac:dyDescent="0.2">
      <c r="A7" s="11"/>
      <c r="B7" s="11"/>
      <c r="C7" s="11"/>
      <c r="D7" s="11"/>
      <c r="E7" s="11"/>
    </row>
    <row r="8" spans="1:5" ht="12.75" x14ac:dyDescent="0.2">
      <c r="A8" s="16" t="s">
        <v>16</v>
      </c>
      <c r="B8" s="11"/>
      <c r="C8" s="11"/>
      <c r="D8" s="11"/>
      <c r="E8" s="11"/>
    </row>
    <row r="9" spans="1:5" ht="12.75" x14ac:dyDescent="0.2">
      <c r="A9" s="17" t="s">
        <v>17</v>
      </c>
      <c r="B9" s="18" t="s">
        <v>18</v>
      </c>
      <c r="C9" s="17"/>
      <c r="D9" s="17"/>
      <c r="E9" s="17" t="s">
        <v>19</v>
      </c>
    </row>
    <row r="10" spans="1:5" ht="12.75" x14ac:dyDescent="0.2">
      <c r="A10" s="21"/>
      <c r="B10" s="21"/>
      <c r="C10" s="21"/>
      <c r="D10" s="21"/>
      <c r="E10" s="21"/>
    </row>
    <row r="11" spans="1:5" ht="12.75" x14ac:dyDescent="0.2">
      <c r="A11" s="22">
        <v>1</v>
      </c>
      <c r="B11" s="26" t="s">
        <v>20</v>
      </c>
      <c r="C11" s="21"/>
      <c r="D11" s="21"/>
      <c r="E11" s="71">
        <v>5.1399999999999996E-3</v>
      </c>
    </row>
    <row r="12" spans="1:5" ht="12.75" x14ac:dyDescent="0.2">
      <c r="A12" s="22">
        <v>2</v>
      </c>
      <c r="B12" s="26" t="s">
        <v>21</v>
      </c>
      <c r="C12" s="21"/>
      <c r="D12" s="21"/>
      <c r="E12" s="71">
        <v>2E-3</v>
      </c>
    </row>
    <row r="13" spans="1:5" ht="12.75" x14ac:dyDescent="0.2">
      <c r="A13" s="22">
        <v>3</v>
      </c>
      <c r="B13" s="26" t="str">
        <f>"STATE UTILITY TAX - NET OF BAD DEBTS ( "&amp;D13*100&amp;"% - ( LINE 1 * "&amp;D13*100&amp;"%) )"</f>
        <v>STATE UTILITY TAX - NET OF BAD DEBTS ( 3.852% - ( LINE 1 * 3.852%) )</v>
      </c>
      <c r="C13" s="21"/>
      <c r="D13" s="27">
        <v>3.8519999999999999E-2</v>
      </c>
      <c r="E13" s="72">
        <v>3.8322000000000002E-2</v>
      </c>
    </row>
    <row r="14" spans="1:5" ht="12.75" x14ac:dyDescent="0.2">
      <c r="A14" s="22">
        <v>4</v>
      </c>
      <c r="B14" s="26"/>
      <c r="C14" s="21"/>
      <c r="D14" s="70"/>
      <c r="E14" s="73"/>
    </row>
    <row r="15" spans="1:5" ht="12.75" x14ac:dyDescent="0.2">
      <c r="A15" s="22">
        <v>5</v>
      </c>
      <c r="B15" s="26" t="s">
        <v>22</v>
      </c>
      <c r="C15" s="21"/>
      <c r="D15" s="70"/>
      <c r="E15" s="71">
        <v>4.5462000000000002E-2</v>
      </c>
    </row>
    <row r="16" spans="1:5" ht="12.75" x14ac:dyDescent="0.2">
      <c r="A16" s="22">
        <v>6</v>
      </c>
      <c r="B16" s="26"/>
      <c r="C16" s="28"/>
      <c r="D16" s="70"/>
      <c r="E16" s="71"/>
    </row>
    <row r="17" spans="1:9" ht="12.75" x14ac:dyDescent="0.2">
      <c r="A17" s="22">
        <v>7</v>
      </c>
      <c r="B17" s="26" t="s">
        <v>137</v>
      </c>
      <c r="C17" s="28"/>
      <c r="D17" s="24"/>
      <c r="E17" s="71">
        <v>0.954538</v>
      </c>
    </row>
    <row r="18" spans="1:9" ht="12.75" x14ac:dyDescent="0.2">
      <c r="A18" s="22">
        <v>8</v>
      </c>
      <c r="B18" s="26" t="s">
        <v>138</v>
      </c>
      <c r="C18" s="29"/>
      <c r="D18" s="70">
        <v>0.35</v>
      </c>
      <c r="E18" s="71">
        <v>0.334088</v>
      </c>
      <c r="I18" s="193"/>
    </row>
    <row r="19" spans="1:9" ht="13.5" thickBot="1" x14ac:dyDescent="0.25">
      <c r="A19" s="22">
        <v>9</v>
      </c>
      <c r="B19" s="21" t="s">
        <v>139</v>
      </c>
      <c r="C19" s="29"/>
      <c r="D19" s="30"/>
      <c r="E19" s="74">
        <v>0.62044999999999995</v>
      </c>
    </row>
    <row r="20" spans="1:9" ht="13.5" thickTop="1" x14ac:dyDescent="0.2">
      <c r="A20" s="22"/>
      <c r="B20" s="21"/>
      <c r="C20" s="29"/>
      <c r="D20" s="29"/>
      <c r="E20" s="30"/>
    </row>
    <row r="21" spans="1:9" ht="12.75" x14ac:dyDescent="0.2">
      <c r="A21" s="22"/>
      <c r="B21" s="21"/>
      <c r="C21" s="29"/>
      <c r="D21" s="29"/>
      <c r="E21" s="31"/>
    </row>
    <row r="22" spans="1:9" ht="12.75" x14ac:dyDescent="0.2">
      <c r="A22" s="22"/>
      <c r="B22" s="21"/>
      <c r="C22" s="29"/>
      <c r="D22" s="32"/>
      <c r="E22" s="31"/>
    </row>
  </sheetData>
  <printOptions horizontalCentered="1"/>
  <pageMargins left="0" right="0" top="0.4" bottom="0.5" header="0.5" footer="0.3"/>
  <pageSetup pageOrder="overThenDown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942F0C0600B2438203619E958EB3B4" ma:contentTypeVersion="52" ma:contentTypeDescription="" ma:contentTypeScope="" ma:versionID="a25085b4487780eb5bbb504865c732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2020-03-25T07:00:00+00:00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200269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265801-EC40-4652-B8B1-8F6B86447866}"/>
</file>

<file path=customXml/itemProps2.xml><?xml version="1.0" encoding="utf-8"?>
<ds:datastoreItem xmlns:ds="http://schemas.openxmlformats.org/officeDocument/2006/customXml" ds:itemID="{6A147AB3-FA2D-4040-BE98-B58E5344A7AB}"/>
</file>

<file path=customXml/itemProps3.xml><?xml version="1.0" encoding="utf-8"?>
<ds:datastoreItem xmlns:ds="http://schemas.openxmlformats.org/officeDocument/2006/customXml" ds:itemID="{CBF31FB6-932C-41B0-B951-9FF1F36913BB}"/>
</file>

<file path=customXml/itemProps4.xml><?xml version="1.0" encoding="utf-8"?>
<ds:datastoreItem xmlns:ds="http://schemas.openxmlformats.org/officeDocument/2006/customXml" ds:itemID="{22589C1B-F71B-4E4F-B559-DD66D3704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2020 Rev Req Estimate</vt:lpstr>
      <vt:lpstr>2019 FINAL Rev Req </vt:lpstr>
      <vt:lpstr>Est Pmt due Apr&amp;Oct 2020</vt:lpstr>
      <vt:lpstr>Electric summary</vt:lpstr>
      <vt:lpstr>Gas summary</vt:lpstr>
      <vt:lpstr>Elec Load Variance 2019</vt:lpstr>
      <vt:lpstr>Gas Load Variance 2019</vt:lpstr>
      <vt:lpstr>E Conv Fctr</vt:lpstr>
      <vt:lpstr>G Conv Fctr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2019-02-28T17:48:04Z</cp:lastPrinted>
  <dcterms:created xsi:type="dcterms:W3CDTF">2015-03-05T18:56:14Z</dcterms:created>
  <dcterms:modified xsi:type="dcterms:W3CDTF">2020-03-24T20:18:10Z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0x0101006E56B4D1795A2E4DB2F0B01679ED314A006E942F0C0600B2438203619E958EB3B4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