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05" windowHeight="6375" activeTab="0"/>
  </bookViews>
  <sheets>
    <sheet name="2019 Fee" sheetId="1" r:id="rId1"/>
    <sheet name="Summary report per DC" sheetId="2" r:id="rId2"/>
    <sheet name="2019 Resi" sheetId="3" r:id="rId3"/>
    <sheet name="2019 Commercial" sheetId="4" r:id="rId4"/>
  </sheets>
  <definedNames/>
  <calcPr fullCalcOnLoad="1"/>
</workbook>
</file>

<file path=xl/sharedStrings.xml><?xml version="1.0" encoding="utf-8"?>
<sst xmlns="http://schemas.openxmlformats.org/spreadsheetml/2006/main" count="155" uniqueCount="101">
  <si>
    <t xml:space="preserve">          DOUGLAS COUNTY SOLID WASTE REPORTING FORM</t>
  </si>
  <si>
    <r>
      <t xml:space="preserve">          </t>
    </r>
    <r>
      <rPr>
        <b/>
        <sz val="10"/>
        <rFont val="Arial"/>
        <family val="0"/>
      </rPr>
      <t>ATTACHMENT A</t>
    </r>
  </si>
  <si>
    <r>
      <t xml:space="preserve">Solid Waste Collection Company:  </t>
    </r>
    <r>
      <rPr>
        <b/>
        <sz val="10"/>
        <rFont val="Arial"/>
        <family val="0"/>
      </rPr>
      <t>Waste Management</t>
    </r>
  </si>
  <si>
    <t>SERVICE</t>
  </si>
  <si>
    <t>NO. OF ACCOUNTS</t>
  </si>
  <si>
    <t>NO. OF PICKUPS</t>
  </si>
  <si>
    <t>RATE</t>
  </si>
  <si>
    <t>LSB./CONTAINER</t>
  </si>
  <si>
    <t>ANNUAL POUNDS</t>
  </si>
  <si>
    <t>1 yard container</t>
  </si>
  <si>
    <t>2 yard container</t>
  </si>
  <si>
    <t>3 yard container</t>
  </si>
  <si>
    <t>4 yard container</t>
  </si>
  <si>
    <t>6 yard container</t>
  </si>
  <si>
    <t>8 yard container</t>
  </si>
  <si>
    <t>20 yard box</t>
  </si>
  <si>
    <t>30 yard box</t>
  </si>
  <si>
    <t>25 yard box (comp.)</t>
  </si>
  <si>
    <t>30 yard box (comp.)</t>
  </si>
  <si>
    <t>TOTAL COMMERCIAL</t>
  </si>
  <si>
    <t xml:space="preserve">A  =      </t>
  </si>
  <si>
    <t>1 can</t>
  </si>
  <si>
    <t>2 cans</t>
  </si>
  <si>
    <t>3 cans</t>
  </si>
  <si>
    <t>90 gallon tote</t>
  </si>
  <si>
    <t>TOTAL RESIDENTIAL</t>
  </si>
  <si>
    <t xml:space="preserve">B =     </t>
  </si>
  <si>
    <t>35 gallon tote</t>
  </si>
  <si>
    <t>64 gallon tote</t>
  </si>
  <si>
    <t>40 yard box (comp.)</t>
  </si>
  <si>
    <t>2-64 gallons totes</t>
  </si>
  <si>
    <t>2-90 gallon totes</t>
  </si>
  <si>
    <t>3-90 gallon totes</t>
  </si>
  <si>
    <t>1-20 Gal</t>
  </si>
  <si>
    <t>2-35 gallon tote</t>
  </si>
  <si>
    <r>
      <t xml:space="preserve">          </t>
    </r>
    <r>
      <rPr>
        <b/>
        <sz val="10"/>
        <rFont val="Arial"/>
        <family val="0"/>
      </rPr>
      <t>ATTACHMENT B</t>
    </r>
  </si>
  <si>
    <t>LBS./CONTAINER</t>
  </si>
  <si>
    <t>2 - 90 gallon totes</t>
  </si>
  <si>
    <t>15 yard box</t>
  </si>
  <si>
    <t>40 yard box</t>
  </si>
  <si>
    <t>50 yard box</t>
  </si>
  <si>
    <t>1.5 yard container</t>
  </si>
  <si>
    <t>2 - 1.5 yard container</t>
  </si>
  <si>
    <t>2 - 6 yard container</t>
  </si>
  <si>
    <t>2 - 8 yard container</t>
  </si>
  <si>
    <t>3 - 8 yard container</t>
  </si>
  <si>
    <t>3 - 90 gallon totes</t>
  </si>
  <si>
    <t>4 - 90 gallon totes</t>
  </si>
  <si>
    <t>9 - 90 gallon totes</t>
  </si>
  <si>
    <t>RESIDENTIAL SOURCES - Unincorporated Douglas County ONLY</t>
  </si>
  <si>
    <t>Yardage</t>
  </si>
  <si>
    <t>COMMERCIAL SOURCES - Unincorporated Douglas County ONLY</t>
  </si>
  <si>
    <t>4 - 2 yard container</t>
  </si>
  <si>
    <t>2 - 3 yard container</t>
  </si>
  <si>
    <t>15 yard box (comp.)</t>
  </si>
  <si>
    <t>4-90 gallon totes</t>
  </si>
  <si>
    <t>3 - 6 yard container</t>
  </si>
  <si>
    <t>5 - 90 gallon totes</t>
  </si>
  <si>
    <r>
      <t xml:space="preserve">Reporting Period:   </t>
    </r>
    <r>
      <rPr>
        <b/>
        <sz val="10"/>
        <rFont val="Arial"/>
        <family val="0"/>
      </rPr>
      <t>Jan. 1 - Dec. 31, 2018</t>
    </r>
  </si>
  <si>
    <t>WASTE MANAGEMENT OF GR. WENATCHEE</t>
  </si>
  <si>
    <t>months</t>
  </si>
  <si>
    <t>price/lb.</t>
  </si>
  <si>
    <t>USOA</t>
  </si>
  <si>
    <t>Total</t>
  </si>
  <si>
    <t>Proposed Fee/</t>
  </si>
  <si>
    <t># of</t>
  </si>
  <si>
    <t>Lbs./</t>
  </si>
  <si>
    <t>Annual</t>
  </si>
  <si>
    <t>Acc't or</t>
  </si>
  <si>
    <t>Total Fee</t>
  </si>
  <si>
    <t>Current</t>
  </si>
  <si>
    <t>%</t>
  </si>
  <si>
    <t>SERVICE DESCRIPTION</t>
  </si>
  <si>
    <t>Accounts</t>
  </si>
  <si>
    <t>pickup</t>
  </si>
  <si>
    <t>pickups</t>
  </si>
  <si>
    <t>Lbs.</t>
  </si>
  <si>
    <t>pick up</t>
  </si>
  <si>
    <t>Collected</t>
  </si>
  <si>
    <t>Rate</t>
  </si>
  <si>
    <t>Difference</t>
  </si>
  <si>
    <t>Diff.</t>
  </si>
  <si>
    <t>EOW</t>
  </si>
  <si>
    <t>Weekly</t>
  </si>
  <si>
    <t>M</t>
  </si>
  <si>
    <t>2 x W</t>
  </si>
  <si>
    <t>3 x w</t>
  </si>
  <si>
    <t>TOTAL</t>
  </si>
  <si>
    <t>Sunrise Disposal</t>
  </si>
  <si>
    <t>Waste Management</t>
  </si>
  <si>
    <t>Zippy Disposal</t>
  </si>
  <si>
    <t>Total 2020 Fee</t>
  </si>
  <si>
    <t>2020 DOUGLAS COUNTY SOLID WASTE COLLECTION FEE</t>
  </si>
  <si>
    <r>
      <t xml:space="preserve">Reporting Period:   </t>
    </r>
    <r>
      <rPr>
        <b/>
        <sz val="10"/>
        <rFont val="Arial"/>
        <family val="0"/>
      </rPr>
      <t>Jan. 1 - Dec. 31, 2019</t>
    </r>
  </si>
  <si>
    <t>2019</t>
  </si>
  <si>
    <t>Reported 2019 Solid Waste Volumes: (in lbs)</t>
  </si>
  <si>
    <t>COMMERCIAL</t>
  </si>
  <si>
    <t>RESIDENTIAL</t>
  </si>
  <si>
    <t>TOTAL:</t>
  </si>
  <si>
    <t>Allocation</t>
  </si>
  <si>
    <t>of Fee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</si>
</sst>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_-* #,##0.0000_-;\-* #,##0.0000_-;_-* &quot;-&quot;??_-;_-@_-"/>
    <numFmt numFmtId="176" formatCode="0.0"/>
    <numFmt numFmtId="177" formatCode="0.000"/>
    <numFmt numFmtId="178" formatCode="0.0%"/>
    <numFmt numFmtId="179" formatCode="_-&quot;$&quot;* #,##0_-;\-&quot;$&quot;* #,##0_-;_-&quot;$&quot;* &quot;-&quot;??_-;_-@_-"/>
    <numFmt numFmtId="180" formatCode="&quot;$&quot;#,##0.000_);\(&quot;$&quot;#,##0.000\)"/>
    <numFmt numFmtId="181" formatCode="&quot;$&quot;#,##0.0000_);\(&quot;$&quot;#,##0.0000\)"/>
    <numFmt numFmtId="182" formatCode="0.000%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name val="Courier"/>
      <family val="3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u val="double"/>
      <sz val="12"/>
      <name val="Arial"/>
      <family val="2"/>
    </font>
    <font>
      <u val="singleAccounting"/>
      <sz val="12"/>
      <name val="Arial"/>
      <family val="2"/>
    </font>
    <font>
      <b/>
      <u val="doubleAccounting"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2"/>
      <color indexed="10"/>
      <name val="Courier"/>
      <family val="3"/>
    </font>
    <font>
      <u val="single"/>
      <sz val="12"/>
      <color indexed="10"/>
      <name val="Arial"/>
      <family val="2"/>
    </font>
    <font>
      <b/>
      <u val="double"/>
      <sz val="12"/>
      <color indexed="10"/>
      <name val="Arial"/>
      <family val="2"/>
    </font>
    <font>
      <b/>
      <u val="double"/>
      <sz val="10"/>
      <name val="Times New Roman"/>
      <family val="1"/>
    </font>
    <font>
      <u val="doub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Arial"/>
      <family val="2"/>
    </font>
    <font>
      <b/>
      <sz val="12"/>
      <color rgb="FFFF0000"/>
      <name val="Courier"/>
      <family val="3"/>
    </font>
    <font>
      <b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sz val="12"/>
      <color rgb="FFFF0000"/>
      <name val="Arial"/>
      <family val="2"/>
    </font>
    <font>
      <b/>
      <u val="double"/>
      <sz val="12"/>
      <color rgb="FFFF0000"/>
      <name val="Arial"/>
      <family val="2"/>
    </font>
    <font>
      <b/>
      <u val="double"/>
      <sz val="12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73" fontId="0" fillId="0" borderId="12" xfId="42" applyNumberFormat="1" applyFont="1" applyBorder="1" applyAlignment="1">
      <alignment/>
    </xf>
    <xf numFmtId="1" fontId="0" fillId="0" borderId="12" xfId="42" applyNumberFormat="1" applyFont="1" applyBorder="1" applyAlignment="1">
      <alignment horizontal="right"/>
    </xf>
    <xf numFmtId="173" fontId="0" fillId="33" borderId="13" xfId="42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/>
    </xf>
    <xf numFmtId="173" fontId="0" fillId="0" borderId="13" xfId="42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Fill="1" applyBorder="1" applyAlignment="1">
      <alignment/>
    </xf>
    <xf numFmtId="1" fontId="0" fillId="0" borderId="12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1" fontId="0" fillId="0" borderId="12" xfId="0" applyNumberFormat="1" applyFill="1" applyBorder="1" applyAlignment="1">
      <alignment/>
    </xf>
    <xf numFmtId="177" fontId="0" fillId="0" borderId="13" xfId="42" applyNumberFormat="1" applyFont="1" applyBorder="1" applyAlignment="1">
      <alignment horizontal="right"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12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8" fontId="7" fillId="0" borderId="0" xfId="59" applyNumberFormat="1" applyFont="1" applyAlignment="1">
      <alignment/>
    </xf>
    <xf numFmtId="179" fontId="7" fillId="0" borderId="0" xfId="44" applyNumberFormat="1" applyFont="1" applyAlignment="1">
      <alignment/>
    </xf>
    <xf numFmtId="0" fontId="5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80" fontId="58" fillId="34" borderId="23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179" fontId="4" fillId="0" borderId="0" xfId="44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178" fontId="11" fillId="0" borderId="0" xfId="59" applyNumberFormat="1" applyFont="1" applyBorder="1" applyAlignment="1">
      <alignment/>
    </xf>
    <xf numFmtId="179" fontId="8" fillId="0" borderId="0" xfId="44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61" fillId="0" borderId="0" xfId="0" applyNumberFormat="1" applyFont="1" applyAlignment="1" applyProtection="1">
      <alignment/>
      <protection/>
    </xf>
    <xf numFmtId="170" fontId="7" fillId="0" borderId="0" xfId="44" applyNumberFormat="1" applyFont="1" applyAlignment="1">
      <alignment/>
    </xf>
    <xf numFmtId="170" fontId="7" fillId="0" borderId="0" xfId="44" applyFont="1" applyAlignment="1">
      <alignment/>
    </xf>
    <xf numFmtId="44" fontId="7" fillId="0" borderId="0" xfId="0" applyNumberFormat="1" applyFont="1" applyAlignment="1">
      <alignment/>
    </xf>
    <xf numFmtId="10" fontId="7" fillId="0" borderId="0" xfId="59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37" fontId="6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78" fontId="7" fillId="0" borderId="0" xfId="59" applyNumberFormat="1" applyFont="1" applyBorder="1" applyAlignment="1">
      <alignment/>
    </xf>
    <xf numFmtId="0" fontId="57" fillId="0" borderId="0" xfId="0" applyFont="1" applyBorder="1" applyAlignment="1">
      <alignment/>
    </xf>
    <xf numFmtId="170" fontId="7" fillId="0" borderId="0" xfId="44" applyFont="1" applyBorder="1" applyAlignment="1">
      <alignment/>
    </xf>
    <xf numFmtId="44" fontId="7" fillId="0" borderId="0" xfId="0" applyNumberFormat="1" applyFont="1" applyBorder="1" applyAlignment="1">
      <alignment/>
    </xf>
    <xf numFmtId="10" fontId="7" fillId="0" borderId="0" xfId="59" applyNumberFormat="1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7" fontId="7" fillId="0" borderId="0" xfId="0" applyNumberFormat="1" applyFont="1" applyBorder="1" applyAlignment="1" applyProtection="1">
      <alignment/>
      <protection/>
    </xf>
    <xf numFmtId="179" fontId="7" fillId="0" borderId="0" xfId="44" applyNumberFormat="1" applyFont="1" applyBorder="1" applyAlignment="1">
      <alignment/>
    </xf>
    <xf numFmtId="7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7" fontId="11" fillId="0" borderId="0" xfId="0" applyNumberFormat="1" applyFont="1" applyAlignment="1" applyProtection="1">
      <alignment/>
      <protection/>
    </xf>
    <xf numFmtId="179" fontId="11" fillId="0" borderId="0" xfId="44" applyNumberFormat="1" applyFont="1" applyAlignment="1">
      <alignment/>
    </xf>
    <xf numFmtId="37" fontId="6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61" fillId="0" borderId="0" xfId="0" applyFont="1" applyAlignment="1">
      <alignment/>
    </xf>
    <xf numFmtId="171" fontId="7" fillId="0" borderId="0" xfId="42" applyFont="1" applyAlignment="1">
      <alignment/>
    </xf>
    <xf numFmtId="43" fontId="7" fillId="0" borderId="0" xfId="0" applyNumberFormat="1" applyFont="1" applyAlignment="1">
      <alignment/>
    </xf>
    <xf numFmtId="173" fontId="0" fillId="0" borderId="0" xfId="42" applyNumberFormat="1" applyFont="1" applyAlignment="1">
      <alignment/>
    </xf>
    <xf numFmtId="179" fontId="13" fillId="0" borderId="0" xfId="44" applyNumberFormat="1" applyFont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44" applyFont="1" applyAlignment="1">
      <alignment/>
    </xf>
    <xf numFmtId="0" fontId="59" fillId="0" borderId="0" xfId="0" applyFont="1" applyAlignment="1">
      <alignment/>
    </xf>
    <xf numFmtId="44" fontId="4" fillId="0" borderId="0" xfId="0" applyNumberFormat="1" applyFont="1" applyAlignment="1">
      <alignment/>
    </xf>
    <xf numFmtId="10" fontId="4" fillId="0" borderId="0" xfId="59" applyNumberFormat="1" applyFont="1" applyAlignment="1">
      <alignment/>
    </xf>
    <xf numFmtId="37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170" fontId="12" fillId="0" borderId="0" xfId="44" applyFont="1" applyAlignment="1">
      <alignment/>
    </xf>
    <xf numFmtId="178" fontId="12" fillId="0" borderId="0" xfId="59" applyNumberFormat="1" applyFont="1" applyAlignment="1">
      <alignment/>
    </xf>
    <xf numFmtId="179" fontId="12" fillId="0" borderId="0" xfId="44" applyNumberFormat="1" applyFont="1" applyAlignment="1">
      <alignment/>
    </xf>
    <xf numFmtId="0" fontId="63" fillId="0" borderId="0" xfId="0" applyFont="1" applyAlignment="1">
      <alignment/>
    </xf>
    <xf numFmtId="44" fontId="12" fillId="0" borderId="0" xfId="0" applyNumberFormat="1" applyFont="1" applyAlignment="1">
      <alignment/>
    </xf>
    <xf numFmtId="173" fontId="14" fillId="0" borderId="0" xfId="42" applyNumberFormat="1" applyFont="1" applyAlignment="1">
      <alignment/>
    </xf>
    <xf numFmtId="37" fontId="6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0" fontId="12" fillId="0" borderId="0" xfId="44" applyNumberFormat="1" applyFont="1" applyAlignment="1">
      <alignment/>
    </xf>
    <xf numFmtId="179" fontId="14" fillId="0" borderId="0" xfId="44" applyNumberFormat="1" applyFont="1" applyAlignment="1">
      <alignment/>
    </xf>
    <xf numFmtId="0" fontId="17" fillId="0" borderId="0" xfId="56" applyFont="1" applyAlignment="1">
      <alignment horizontal="left"/>
      <protection/>
    </xf>
    <xf numFmtId="0" fontId="0" fillId="0" borderId="0" xfId="56">
      <alignment/>
      <protection/>
    </xf>
    <xf numFmtId="0" fontId="15" fillId="0" borderId="0" xfId="56" applyFont="1">
      <alignment/>
      <protection/>
    </xf>
    <xf numFmtId="0" fontId="15" fillId="0" borderId="0" xfId="56" applyFont="1" applyBorder="1">
      <alignment/>
      <protection/>
    </xf>
    <xf numFmtId="0" fontId="16" fillId="0" borderId="0" xfId="56" applyFont="1">
      <alignment/>
      <protection/>
    </xf>
    <xf numFmtId="0" fontId="15" fillId="0" borderId="24" xfId="56" applyFont="1" applyBorder="1">
      <alignment/>
      <protection/>
    </xf>
    <xf numFmtId="3" fontId="15" fillId="0" borderId="25" xfId="56" applyNumberFormat="1" applyFont="1" applyBorder="1">
      <alignment/>
      <protection/>
    </xf>
    <xf numFmtId="3" fontId="15" fillId="0" borderId="0" xfId="56" applyNumberFormat="1" applyFont="1" applyFill="1">
      <alignment/>
      <protection/>
    </xf>
    <xf numFmtId="0" fontId="15" fillId="0" borderId="0" xfId="56" applyFont="1" applyFill="1">
      <alignment/>
      <protection/>
    </xf>
    <xf numFmtId="44" fontId="15" fillId="0" borderId="0" xfId="56" applyNumberFormat="1" applyFont="1">
      <alignment/>
      <protection/>
    </xf>
    <xf numFmtId="182" fontId="15" fillId="0" borderId="0" xfId="59" applyNumberFormat="1" applyFont="1" applyFill="1" applyBorder="1" applyAlignment="1">
      <alignment horizontal="center"/>
    </xf>
    <xf numFmtId="182" fontId="15" fillId="0" borderId="0" xfId="56" applyNumberFormat="1" applyFont="1" applyFill="1" applyBorder="1" applyAlignment="1">
      <alignment horizontal="center"/>
      <protection/>
    </xf>
    <xf numFmtId="3" fontId="15" fillId="0" borderId="0" xfId="56" applyNumberFormat="1" applyFont="1" applyBorder="1">
      <alignment/>
      <protection/>
    </xf>
    <xf numFmtId="1" fontId="7" fillId="0" borderId="0" xfId="0" applyNumberFormat="1" applyFont="1" applyAlignment="1" applyProtection="1">
      <alignment/>
      <protection/>
    </xf>
    <xf numFmtId="173" fontId="0" fillId="0" borderId="0" xfId="0" applyNumberFormat="1" applyAlignment="1">
      <alignment/>
    </xf>
    <xf numFmtId="0" fontId="15" fillId="0" borderId="25" xfId="56" applyFont="1" applyBorder="1">
      <alignment/>
      <protection/>
    </xf>
    <xf numFmtId="184" fontId="10" fillId="35" borderId="23" xfId="0" applyNumberFormat="1" applyFont="1" applyFill="1" applyBorder="1" applyAlignment="1" applyProtection="1">
      <alignment/>
      <protection/>
    </xf>
    <xf numFmtId="0" fontId="16" fillId="0" borderId="0" xfId="56" applyFont="1" applyAlignment="1">
      <alignment horizontal="left"/>
      <protection/>
    </xf>
    <xf numFmtId="0" fontId="4" fillId="0" borderId="0" xfId="0" applyFont="1" applyAlignment="1">
      <alignment horizontal="center"/>
    </xf>
    <xf numFmtId="3" fontId="38" fillId="0" borderId="0" xfId="56" applyNumberFormat="1" applyFont="1">
      <alignment/>
      <protection/>
    </xf>
    <xf numFmtId="0" fontId="39" fillId="0" borderId="0" xfId="56" applyFont="1">
      <alignment/>
      <protection/>
    </xf>
    <xf numFmtId="9" fontId="38" fillId="0" borderId="24" xfId="59" applyFont="1" applyBorder="1" applyAlignment="1">
      <alignment horizontal="center"/>
    </xf>
    <xf numFmtId="184" fontId="38" fillId="0" borderId="0" xfId="56" applyNumberFormat="1" applyFont="1">
      <alignment/>
      <protection/>
    </xf>
    <xf numFmtId="0" fontId="16" fillId="0" borderId="0" xfId="56" applyFont="1" applyAlignment="1">
      <alignment horizontal="center"/>
      <protection/>
    </xf>
    <xf numFmtId="0" fontId="16" fillId="0" borderId="0" xfId="56" applyFont="1" applyBorder="1">
      <alignment/>
      <protection/>
    </xf>
    <xf numFmtId="0" fontId="16" fillId="0" borderId="25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57">
      <selection activeCell="K54" sqref="K54"/>
    </sheetView>
  </sheetViews>
  <sheetFormatPr defaultColWidth="12.57421875" defaultRowHeight="12.75"/>
  <cols>
    <col min="1" max="1" width="36.7109375" style="99" customWidth="1"/>
    <col min="2" max="2" width="12.7109375" style="94" customWidth="1"/>
    <col min="3" max="3" width="6.00390625" style="43" customWidth="1"/>
    <col min="4" max="4" width="15.57421875" style="43" bestFit="1" customWidth="1"/>
    <col min="5" max="5" width="9.28125" style="43" bestFit="1" customWidth="1"/>
    <col min="6" max="6" width="10.140625" style="94" bestFit="1" customWidth="1"/>
    <col min="7" max="7" width="5.140625" style="43" bestFit="1" customWidth="1"/>
    <col min="8" max="8" width="17.57421875" style="43" bestFit="1" customWidth="1"/>
    <col min="9" max="9" width="18.8515625" style="43" bestFit="1" customWidth="1"/>
    <col min="10" max="10" width="2.8515625" style="44" customWidth="1"/>
    <col min="11" max="11" width="14.28125" style="45" bestFit="1" customWidth="1"/>
    <col min="12" max="12" width="2.8515625" style="46" customWidth="1"/>
    <col min="13" max="13" width="12.57421875" style="43" customWidth="1"/>
    <col min="14" max="14" width="13.7109375" style="43" bestFit="1" customWidth="1"/>
    <col min="15" max="15" width="13.421875" style="43" bestFit="1" customWidth="1"/>
    <col min="16" max="16" width="3.8515625" style="43" customWidth="1"/>
    <col min="17" max="17" width="11.00390625" style="43" customWidth="1"/>
    <col min="18" max="18" width="17.421875" style="43" customWidth="1"/>
    <col min="19" max="16384" width="12.57421875" style="43" customWidth="1"/>
  </cols>
  <sheetData>
    <row r="1" spans="1:16" ht="20.25">
      <c r="A1" s="37" t="s">
        <v>59</v>
      </c>
      <c r="B1" s="38"/>
      <c r="C1" s="39"/>
      <c r="D1" s="39"/>
      <c r="E1" s="39"/>
      <c r="F1" s="40"/>
      <c r="G1" s="41"/>
      <c r="H1" s="42" t="s">
        <v>60</v>
      </c>
      <c r="I1" s="43">
        <v>12</v>
      </c>
      <c r="O1" s="47"/>
      <c r="P1" s="47"/>
    </row>
    <row r="2" spans="1:8" ht="16.5" thickBot="1">
      <c r="A2" s="48" t="s">
        <v>92</v>
      </c>
      <c r="B2" s="49"/>
      <c r="C2" s="50"/>
      <c r="D2" s="50"/>
      <c r="E2" s="50"/>
      <c r="F2" s="51"/>
      <c r="G2" s="41"/>
      <c r="H2" s="52"/>
    </row>
    <row r="3" spans="1:8" ht="15">
      <c r="A3" s="53"/>
      <c r="B3" s="54"/>
      <c r="C3" s="41"/>
      <c r="D3" s="41"/>
      <c r="E3" s="41"/>
      <c r="F3" s="54"/>
      <c r="G3" s="41"/>
      <c r="H3" s="52"/>
    </row>
    <row r="4" spans="1:8" ht="15.75" thickBot="1">
      <c r="A4" s="53"/>
      <c r="B4" s="54"/>
      <c r="C4" s="41"/>
      <c r="D4" s="41"/>
      <c r="E4" s="41"/>
      <c r="F4" s="54"/>
      <c r="G4" s="41"/>
      <c r="H4" s="52"/>
    </row>
    <row r="5" spans="1:9" ht="16.5" thickBot="1">
      <c r="A5" s="55" t="s">
        <v>91</v>
      </c>
      <c r="B5" s="56"/>
      <c r="C5" s="41"/>
      <c r="D5" s="139">
        <f>+'Summary report per DC'!L7</f>
        <v>190081.59175046097</v>
      </c>
      <c r="E5" s="41"/>
      <c r="F5" s="54"/>
      <c r="G5" s="41"/>
      <c r="H5" s="57">
        <f>D5/H73</f>
        <v>0.005085405844051433</v>
      </c>
      <c r="I5" s="43" t="s">
        <v>61</v>
      </c>
    </row>
    <row r="6" spans="1:9" ht="15.75">
      <c r="A6" s="53"/>
      <c r="B6" s="54"/>
      <c r="C6" s="41"/>
      <c r="D6" s="41"/>
      <c r="E6" s="41"/>
      <c r="F6" s="54"/>
      <c r="G6" s="41"/>
      <c r="H6" s="52"/>
      <c r="I6" s="36"/>
    </row>
    <row r="7" spans="1:13" ht="15.75">
      <c r="A7" s="55"/>
      <c r="B7" s="56"/>
      <c r="C7" s="58"/>
      <c r="D7" s="56">
        <v>2019</v>
      </c>
      <c r="E7" s="59" t="s">
        <v>62</v>
      </c>
      <c r="F7" s="54"/>
      <c r="G7" s="54"/>
      <c r="H7" s="56" t="s">
        <v>63</v>
      </c>
      <c r="I7" s="60" t="s">
        <v>64</v>
      </c>
      <c r="K7" s="61"/>
      <c r="M7" s="62" t="s">
        <v>94</v>
      </c>
    </row>
    <row r="8" spans="1:15" ht="15.75">
      <c r="A8" s="55"/>
      <c r="B8" s="56"/>
      <c r="C8" s="58"/>
      <c r="D8" s="56" t="s">
        <v>65</v>
      </c>
      <c r="E8" s="56" t="s">
        <v>66</v>
      </c>
      <c r="F8" s="56" t="s">
        <v>65</v>
      </c>
      <c r="G8" s="54"/>
      <c r="H8" s="56" t="s">
        <v>67</v>
      </c>
      <c r="I8" s="60" t="s">
        <v>68</v>
      </c>
      <c r="K8" s="61" t="s">
        <v>69</v>
      </c>
      <c r="M8" s="36" t="s">
        <v>70</v>
      </c>
      <c r="N8" s="36"/>
      <c r="O8" s="36" t="s">
        <v>71</v>
      </c>
    </row>
    <row r="9" spans="1:15" s="71" customFormat="1" ht="15.75">
      <c r="A9" s="63" t="s">
        <v>72</v>
      </c>
      <c r="B9" s="64"/>
      <c r="C9" s="65"/>
      <c r="D9" s="64" t="s">
        <v>73</v>
      </c>
      <c r="E9" s="64" t="s">
        <v>74</v>
      </c>
      <c r="F9" s="64" t="s">
        <v>75</v>
      </c>
      <c r="G9" s="66"/>
      <c r="H9" s="64" t="s">
        <v>76</v>
      </c>
      <c r="I9" s="64" t="s">
        <v>77</v>
      </c>
      <c r="J9" s="67"/>
      <c r="K9" s="68" t="s">
        <v>78</v>
      </c>
      <c r="L9" s="69"/>
      <c r="M9" s="70" t="s">
        <v>79</v>
      </c>
      <c r="N9" s="70" t="s">
        <v>80</v>
      </c>
      <c r="O9" s="70" t="s">
        <v>81</v>
      </c>
    </row>
    <row r="10" spans="1:9" ht="15">
      <c r="A10" s="53"/>
      <c r="B10" s="54"/>
      <c r="C10" s="41"/>
      <c r="D10" s="41"/>
      <c r="E10" s="41"/>
      <c r="F10" s="54"/>
      <c r="G10" s="41"/>
      <c r="H10" s="41"/>
      <c r="I10" s="52"/>
    </row>
    <row r="11" spans="1:15" ht="15">
      <c r="A11" s="53" t="str">
        <f>+'2019 Resi'!A13</f>
        <v>1 can</v>
      </c>
      <c r="B11" s="54"/>
      <c r="C11" s="41"/>
      <c r="D11" s="72">
        <f>+'2019 Resi'!B13</f>
        <v>170</v>
      </c>
      <c r="E11" s="73">
        <f>+'2019 Resi'!E13</f>
        <v>34</v>
      </c>
      <c r="F11" s="54">
        <f>+'2019 Resi'!C13</f>
        <v>52</v>
      </c>
      <c r="G11" s="136"/>
      <c r="H11" s="72">
        <f aca="true" t="shared" si="0" ref="H11:H24">IF(D11=0,"",D11*E11*F11)</f>
        <v>300560</v>
      </c>
      <c r="I11" s="74">
        <f>($H$5*H11)/D11/$I$1</f>
        <v>0.7492497943569112</v>
      </c>
      <c r="K11" s="45">
        <f>D11*I11*$I$1</f>
        <v>1528.4695804880987</v>
      </c>
      <c r="M11" s="75">
        <v>0.87</v>
      </c>
      <c r="N11" s="76">
        <f>+I11-M11</f>
        <v>-0.1207502056430888</v>
      </c>
      <c r="O11" s="77">
        <f>+N11/M11</f>
        <v>-0.13879333981964231</v>
      </c>
    </row>
    <row r="12" spans="1:15" ht="15">
      <c r="A12" s="53" t="str">
        <f>+'2019 Resi'!A14</f>
        <v>1 can</v>
      </c>
      <c r="B12" s="54"/>
      <c r="C12" s="41"/>
      <c r="D12" s="72">
        <f>+'2019 Resi'!B14</f>
        <v>5</v>
      </c>
      <c r="E12" s="73">
        <f>+'2019 Resi'!E14</f>
        <v>34</v>
      </c>
      <c r="F12" s="54">
        <f>+'2019 Resi'!C14</f>
        <v>12</v>
      </c>
      <c r="G12" s="136"/>
      <c r="H12" s="72">
        <f t="shared" si="0"/>
        <v>2040</v>
      </c>
      <c r="I12" s="74">
        <f aca="true" t="shared" si="1" ref="I12:I24">($H$5*H12)/D12/$I$1</f>
        <v>0.17290379869774872</v>
      </c>
      <c r="K12" s="45">
        <f>D12*I12*$I$1</f>
        <v>10.374227921864923</v>
      </c>
      <c r="M12" s="75">
        <v>0.2</v>
      </c>
      <c r="N12" s="76">
        <f>+I12-M12</f>
        <v>-0.027096201302251294</v>
      </c>
      <c r="O12" s="77">
        <f>+N12/M12</f>
        <v>-0.13548100651125647</v>
      </c>
    </row>
    <row r="13" spans="1:15" ht="15">
      <c r="A13" s="53" t="str">
        <f>+'2019 Resi'!A15</f>
        <v>2 cans</v>
      </c>
      <c r="B13" s="54"/>
      <c r="C13" s="41"/>
      <c r="D13" s="72">
        <f>+'2019 Resi'!B15</f>
        <v>124</v>
      </c>
      <c r="E13" s="73">
        <f>+'2019 Resi'!E15</f>
        <v>51</v>
      </c>
      <c r="F13" s="54">
        <f>+'2019 Resi'!C15</f>
        <v>52</v>
      </c>
      <c r="G13" s="136"/>
      <c r="H13" s="72">
        <f t="shared" si="0"/>
        <v>328848</v>
      </c>
      <c r="I13" s="74">
        <f t="shared" si="1"/>
        <v>1.1238746915353668</v>
      </c>
      <c r="K13" s="45">
        <f aca="true" t="shared" si="2" ref="K13:K24">D13*I13*$I$1</f>
        <v>1672.3255410046256</v>
      </c>
      <c r="M13" s="75">
        <v>1.3</v>
      </c>
      <c r="N13" s="76">
        <f aca="true" t="shared" si="3" ref="N13:N24">+I13-M13</f>
        <v>-0.17612530846463326</v>
      </c>
      <c r="O13" s="77">
        <f aca="true" t="shared" si="4" ref="O13:O24">+N13/M13</f>
        <v>-0.13548100651125636</v>
      </c>
    </row>
    <row r="14" spans="1:15" ht="15">
      <c r="A14" s="53" t="str">
        <f>+'2019 Resi'!A16</f>
        <v>3 cans</v>
      </c>
      <c r="B14" s="54"/>
      <c r="C14" s="41"/>
      <c r="D14" s="72">
        <f>+'2019 Resi'!B16</f>
        <v>3</v>
      </c>
      <c r="E14" s="73">
        <f>+'2019 Resi'!E16</f>
        <v>77</v>
      </c>
      <c r="F14" s="54">
        <f>+'2019 Resi'!C16</f>
        <v>52</v>
      </c>
      <c r="G14" s="136"/>
      <c r="H14" s="72">
        <f t="shared" si="0"/>
        <v>12012</v>
      </c>
      <c r="I14" s="74">
        <f t="shared" si="1"/>
        <v>1.6968304166318282</v>
      </c>
      <c r="K14" s="45">
        <f t="shared" si="2"/>
        <v>61.085894998745815</v>
      </c>
      <c r="M14" s="75">
        <v>1.96</v>
      </c>
      <c r="N14" s="76">
        <f t="shared" si="3"/>
        <v>-0.26316958336817176</v>
      </c>
      <c r="O14" s="77">
        <f t="shared" si="4"/>
        <v>-0.134270195596006</v>
      </c>
    </row>
    <row r="15" spans="1:15" ht="15">
      <c r="A15" s="53" t="str">
        <f>+'2019 Resi'!A17</f>
        <v>1-20 Gal</v>
      </c>
      <c r="B15" s="54"/>
      <c r="C15" s="41"/>
      <c r="D15" s="72">
        <f>+'2019 Resi'!B17</f>
        <v>61</v>
      </c>
      <c r="E15" s="73">
        <f>+'2019 Resi'!E17</f>
        <v>20</v>
      </c>
      <c r="F15" s="54">
        <f>+'2019 Resi'!C17</f>
        <v>52</v>
      </c>
      <c r="G15" s="136"/>
      <c r="H15" s="72">
        <f t="shared" si="0"/>
        <v>63440</v>
      </c>
      <c r="I15" s="74">
        <f t="shared" si="1"/>
        <v>0.4407351731511242</v>
      </c>
      <c r="K15" s="45">
        <f t="shared" si="2"/>
        <v>322.6181467466229</v>
      </c>
      <c r="M15" s="75">
        <v>0.51</v>
      </c>
      <c r="N15" s="76">
        <f t="shared" si="3"/>
        <v>-0.0692648268488758</v>
      </c>
      <c r="O15" s="77">
        <f t="shared" si="4"/>
        <v>-0.13581338597818784</v>
      </c>
    </row>
    <row r="16" spans="1:15" ht="15">
      <c r="A16" s="53" t="str">
        <f>+'2019 Resi'!A18</f>
        <v>35 gallon tote</v>
      </c>
      <c r="B16" s="54"/>
      <c r="C16" s="41"/>
      <c r="D16" s="72">
        <f>+'2019 Resi'!B18</f>
        <v>1151</v>
      </c>
      <c r="E16" s="73">
        <f>+'2019 Resi'!E18</f>
        <v>34</v>
      </c>
      <c r="F16" s="54">
        <f>+'2019 Resi'!C18</f>
        <v>52</v>
      </c>
      <c r="G16" s="136"/>
      <c r="H16" s="72">
        <f t="shared" si="0"/>
        <v>2034968</v>
      </c>
      <c r="I16" s="74">
        <f t="shared" si="1"/>
        <v>0.7492497943569112</v>
      </c>
      <c r="K16" s="45">
        <f t="shared" si="2"/>
        <v>10348.638159657658</v>
      </c>
      <c r="M16" s="75">
        <v>0.87</v>
      </c>
      <c r="N16" s="76">
        <f t="shared" si="3"/>
        <v>-0.1207502056430888</v>
      </c>
      <c r="O16" s="77">
        <f t="shared" si="4"/>
        <v>-0.13879333981964231</v>
      </c>
    </row>
    <row r="17" spans="1:15" ht="15">
      <c r="A17" s="53" t="str">
        <f>+'2019 Resi'!A19</f>
        <v>35 gallon tote</v>
      </c>
      <c r="B17" s="54"/>
      <c r="C17" s="41"/>
      <c r="D17" s="72">
        <f>+'2019 Resi'!B19</f>
        <v>7</v>
      </c>
      <c r="E17" s="73">
        <f>+'2019 Resi'!E19</f>
        <v>34</v>
      </c>
      <c r="F17" s="54">
        <f>+'2019 Resi'!C19</f>
        <v>12</v>
      </c>
      <c r="G17" s="136"/>
      <c r="H17" s="72">
        <f t="shared" si="0"/>
        <v>2856</v>
      </c>
      <c r="I17" s="74">
        <f t="shared" si="1"/>
        <v>0.17290379869774875</v>
      </c>
      <c r="K17" s="45">
        <f t="shared" si="2"/>
        <v>14.523919090610896</v>
      </c>
      <c r="M17" s="75">
        <v>0.2</v>
      </c>
      <c r="N17" s="76">
        <f t="shared" si="3"/>
        <v>-0.027096201302251266</v>
      </c>
      <c r="O17" s="77">
        <f t="shared" si="4"/>
        <v>-0.13548100651125633</v>
      </c>
    </row>
    <row r="18" spans="1:15" ht="15">
      <c r="A18" s="53" t="str">
        <f>+'2019 Resi'!A20</f>
        <v>2-35 gallon tote</v>
      </c>
      <c r="B18" s="54"/>
      <c r="C18" s="41"/>
      <c r="D18" s="72">
        <f>+'2019 Resi'!B20</f>
        <v>4</v>
      </c>
      <c r="E18" s="73">
        <f>+'2019 Resi'!E20</f>
        <v>68</v>
      </c>
      <c r="F18" s="54">
        <f>+'2019 Resi'!C20</f>
        <v>52</v>
      </c>
      <c r="G18" s="136"/>
      <c r="H18" s="72">
        <f t="shared" si="0"/>
        <v>14144</v>
      </c>
      <c r="I18" s="74">
        <f t="shared" si="1"/>
        <v>1.4984995887138224</v>
      </c>
      <c r="K18" s="45">
        <f t="shared" si="2"/>
        <v>71.92798025826347</v>
      </c>
      <c r="M18" s="75">
        <f>+M16*2</f>
        <v>1.74</v>
      </c>
      <c r="N18" s="76">
        <f t="shared" si="3"/>
        <v>-0.2415004112861776</v>
      </c>
      <c r="O18" s="77">
        <f t="shared" si="4"/>
        <v>-0.13879333981964231</v>
      </c>
    </row>
    <row r="19" spans="1:15" ht="15">
      <c r="A19" s="53" t="str">
        <f>+'2019 Resi'!A21</f>
        <v>64 gallon tote</v>
      </c>
      <c r="B19" s="54"/>
      <c r="C19" s="41"/>
      <c r="D19" s="72">
        <f>+'2019 Resi'!B21</f>
        <v>2027</v>
      </c>
      <c r="E19" s="73">
        <f>+'2019 Resi'!E21</f>
        <v>51</v>
      </c>
      <c r="F19" s="54">
        <f>+'2019 Resi'!C21</f>
        <v>52</v>
      </c>
      <c r="G19" s="136"/>
      <c r="H19" s="72">
        <f t="shared" si="0"/>
        <v>5375604</v>
      </c>
      <c r="I19" s="74">
        <f t="shared" si="1"/>
        <v>1.1238746915353668</v>
      </c>
      <c r="K19" s="45">
        <f t="shared" si="2"/>
        <v>27337.12799690626</v>
      </c>
      <c r="M19" s="75">
        <v>1.3</v>
      </c>
      <c r="N19" s="76">
        <f t="shared" si="3"/>
        <v>-0.17612530846463326</v>
      </c>
      <c r="O19" s="77">
        <f t="shared" si="4"/>
        <v>-0.13548100651125636</v>
      </c>
    </row>
    <row r="20" spans="1:15" ht="15">
      <c r="A20" s="53" t="str">
        <f>+'2019 Resi'!A22</f>
        <v>2-64 gallons totes</v>
      </c>
      <c r="B20" s="54"/>
      <c r="C20" s="41"/>
      <c r="D20" s="72">
        <f>+'2019 Resi'!B22</f>
        <v>85</v>
      </c>
      <c r="E20" s="73">
        <f>+'2019 Resi'!E22</f>
        <v>102</v>
      </c>
      <c r="F20" s="54">
        <f>+'2019 Resi'!C22</f>
        <v>52</v>
      </c>
      <c r="G20" s="136"/>
      <c r="H20" s="72">
        <f t="shared" si="0"/>
        <v>450840</v>
      </c>
      <c r="I20" s="74">
        <f t="shared" si="1"/>
        <v>2.2477493830707336</v>
      </c>
      <c r="K20" s="45">
        <f t="shared" si="2"/>
        <v>2292.704370732148</v>
      </c>
      <c r="M20" s="75">
        <f>+M19*2</f>
        <v>2.6</v>
      </c>
      <c r="N20" s="76">
        <f t="shared" si="3"/>
        <v>-0.3522506169292665</v>
      </c>
      <c r="O20" s="77">
        <f t="shared" si="4"/>
        <v>-0.13548100651125636</v>
      </c>
    </row>
    <row r="21" spans="1:15" ht="15">
      <c r="A21" s="53" t="str">
        <f>+'2019 Resi'!A23</f>
        <v>90 gallon tote</v>
      </c>
      <c r="B21" s="54"/>
      <c r="C21" s="41"/>
      <c r="D21" s="72">
        <f>+'2019 Resi'!B23</f>
        <v>2590</v>
      </c>
      <c r="E21" s="73">
        <f>+'2019 Resi'!E23</f>
        <v>77</v>
      </c>
      <c r="F21" s="54">
        <f>+'2019 Resi'!C23</f>
        <v>52</v>
      </c>
      <c r="G21" s="136"/>
      <c r="H21" s="72">
        <f t="shared" si="0"/>
        <v>10370360</v>
      </c>
      <c r="I21" s="74">
        <f t="shared" si="1"/>
        <v>1.6968304166318282</v>
      </c>
      <c r="K21" s="45">
        <f t="shared" si="2"/>
        <v>52737.48934891722</v>
      </c>
      <c r="M21" s="75">
        <v>1.96</v>
      </c>
      <c r="N21" s="76">
        <f t="shared" si="3"/>
        <v>-0.26316958336817176</v>
      </c>
      <c r="O21" s="77">
        <f t="shared" si="4"/>
        <v>-0.134270195596006</v>
      </c>
    </row>
    <row r="22" spans="1:15" ht="15">
      <c r="A22" s="53" t="str">
        <f>+'2019 Resi'!A24</f>
        <v>2-90 gallon totes</v>
      </c>
      <c r="B22" s="54"/>
      <c r="C22" s="41"/>
      <c r="D22" s="72">
        <f>+'2019 Resi'!B24</f>
        <v>251</v>
      </c>
      <c r="E22" s="73">
        <f>+'2019 Resi'!E24</f>
        <v>154</v>
      </c>
      <c r="F22" s="54">
        <f>+'2019 Resi'!C24</f>
        <v>52</v>
      </c>
      <c r="G22" s="136"/>
      <c r="H22" s="72">
        <f t="shared" si="0"/>
        <v>2010008</v>
      </c>
      <c r="I22" s="74">
        <f t="shared" si="1"/>
        <v>3.393660833263656</v>
      </c>
      <c r="K22" s="45">
        <f t="shared" si="2"/>
        <v>10221.706429790132</v>
      </c>
      <c r="M22" s="75">
        <f>+M21*2</f>
        <v>3.92</v>
      </c>
      <c r="N22" s="76">
        <f t="shared" si="3"/>
        <v>-0.526339166736344</v>
      </c>
      <c r="O22" s="77">
        <f t="shared" si="4"/>
        <v>-0.13427019559600611</v>
      </c>
    </row>
    <row r="23" spans="1:15" ht="15">
      <c r="A23" s="53" t="str">
        <f>+'2019 Resi'!A25</f>
        <v>3-90 gallon totes</v>
      </c>
      <c r="B23" s="54"/>
      <c r="C23" s="41"/>
      <c r="D23" s="72">
        <f>+'2019 Resi'!B25</f>
        <v>18</v>
      </c>
      <c r="E23" s="73">
        <f>+'2019 Resi'!E25</f>
        <v>231</v>
      </c>
      <c r="F23" s="54">
        <f>+'2019 Resi'!C25</f>
        <v>52</v>
      </c>
      <c r="G23" s="136"/>
      <c r="H23" s="72">
        <f t="shared" si="0"/>
        <v>216216</v>
      </c>
      <c r="I23" s="74">
        <f t="shared" si="1"/>
        <v>5.090491249895485</v>
      </c>
      <c r="K23" s="45">
        <f t="shared" si="2"/>
        <v>1099.5461099774247</v>
      </c>
      <c r="M23" s="75">
        <f>+M21*3</f>
        <v>5.88</v>
      </c>
      <c r="N23" s="76">
        <f t="shared" si="3"/>
        <v>-0.789508750104515</v>
      </c>
      <c r="O23" s="77">
        <f t="shared" si="4"/>
        <v>-0.13427019559600598</v>
      </c>
    </row>
    <row r="24" spans="1:15" ht="17.25">
      <c r="A24" s="53" t="str">
        <f>+'2019 Resi'!A26</f>
        <v>4-90 gallon totes</v>
      </c>
      <c r="B24" s="54"/>
      <c r="C24" s="41"/>
      <c r="D24" s="95">
        <v>20</v>
      </c>
      <c r="E24" s="73">
        <f>+E21*4</f>
        <v>308</v>
      </c>
      <c r="F24" s="54">
        <f>+'2019 Resi'!C26</f>
        <v>52</v>
      </c>
      <c r="G24" s="136"/>
      <c r="H24" s="95">
        <f t="shared" si="0"/>
        <v>320320</v>
      </c>
      <c r="I24" s="74">
        <f t="shared" si="1"/>
        <v>6.787321666527312</v>
      </c>
      <c r="K24" s="104">
        <f t="shared" si="2"/>
        <v>1628.957199966555</v>
      </c>
      <c r="M24" s="75">
        <f>+M21*4</f>
        <v>7.84</v>
      </c>
      <c r="N24" s="76">
        <f t="shared" si="3"/>
        <v>-1.052678333472688</v>
      </c>
      <c r="O24" s="77">
        <f t="shared" si="4"/>
        <v>-0.13427019559600611</v>
      </c>
    </row>
    <row r="25" spans="1:15" s="42" customFormat="1" ht="15.75">
      <c r="A25" s="55" t="str">
        <f>+'2019 Resi'!A27</f>
        <v>TOTAL RESIDENTIAL</v>
      </c>
      <c r="B25" s="56"/>
      <c r="C25" s="58"/>
      <c r="D25" s="111">
        <f>SUM(D11:D24)</f>
        <v>6516</v>
      </c>
      <c r="E25" s="119"/>
      <c r="F25" s="112"/>
      <c r="G25" s="120"/>
      <c r="H25" s="111">
        <f>SUM(H11:H24)</f>
        <v>21502216</v>
      </c>
      <c r="I25" s="121"/>
      <c r="J25" s="114"/>
      <c r="K25" s="115">
        <f>SUM(K11:K24)</f>
        <v>109347.49490645622</v>
      </c>
      <c r="L25" s="108"/>
      <c r="M25" s="107"/>
      <c r="N25" s="109"/>
      <c r="O25" s="110"/>
    </row>
    <row r="26" spans="1:15" s="78" customFormat="1" ht="15">
      <c r="A26" s="88"/>
      <c r="B26" s="82"/>
      <c r="C26" s="80"/>
      <c r="D26" s="89"/>
      <c r="E26" s="81"/>
      <c r="F26" s="82"/>
      <c r="G26" s="80"/>
      <c r="I26" s="90"/>
      <c r="J26" s="83"/>
      <c r="K26" s="91"/>
      <c r="L26" s="84"/>
      <c r="M26" s="85"/>
      <c r="N26" s="86"/>
      <c r="O26" s="87"/>
    </row>
    <row r="27" spans="1:15" ht="15">
      <c r="A27" s="53"/>
      <c r="B27" s="54"/>
      <c r="C27" s="41"/>
      <c r="D27" s="72"/>
      <c r="E27" s="73"/>
      <c r="F27" s="54"/>
      <c r="G27" s="41"/>
      <c r="H27" s="72"/>
      <c r="I27" s="92"/>
      <c r="M27" s="75"/>
      <c r="N27" s="76"/>
      <c r="O27" s="77"/>
    </row>
    <row r="28" spans="1:19" ht="15">
      <c r="A28" s="78" t="str">
        <f>+'2019 Commercial'!A10</f>
        <v>1 yard container</v>
      </c>
      <c r="B28" s="79" t="s">
        <v>82</v>
      </c>
      <c r="C28" s="41"/>
      <c r="D28" s="72">
        <f>+'2019 Commercial'!B10</f>
        <v>9</v>
      </c>
      <c r="E28" s="73">
        <f>+'2019 Commercial'!E10</f>
        <v>175</v>
      </c>
      <c r="F28" s="54">
        <f>+'2019 Commercial'!C10</f>
        <v>26</v>
      </c>
      <c r="G28" s="41"/>
      <c r="H28" s="72">
        <f>+D28*E28*F28</f>
        <v>40950</v>
      </c>
      <c r="I28" s="75">
        <f>($H$5*H28)/D28/F28</f>
        <v>0.8899460227090008</v>
      </c>
      <c r="K28" s="45">
        <f>D28*F28*I28</f>
        <v>208.24736931390618</v>
      </c>
      <c r="M28" s="75">
        <v>1.03</v>
      </c>
      <c r="N28" s="76">
        <f aca="true" t="shared" si="5" ref="N28:N39">+I28-M28</f>
        <v>-0.14005397729099922</v>
      </c>
      <c r="O28" s="77">
        <f aca="true" t="shared" si="6" ref="O28:O39">+N28/M28</f>
        <v>-0.13597473523397982</v>
      </c>
      <c r="S28" s="93"/>
    </row>
    <row r="29" spans="1:19" ht="15">
      <c r="A29" s="78" t="str">
        <f>+'2019 Commercial'!A11</f>
        <v>1 yard container</v>
      </c>
      <c r="B29" s="79" t="s">
        <v>83</v>
      </c>
      <c r="C29" s="41"/>
      <c r="D29" s="72">
        <f>+'2019 Commercial'!B11</f>
        <v>34</v>
      </c>
      <c r="E29" s="73">
        <f>+'2019 Commercial'!E11</f>
        <v>175</v>
      </c>
      <c r="F29" s="54">
        <f>+'2019 Commercial'!C11</f>
        <v>52</v>
      </c>
      <c r="G29" s="41"/>
      <c r="H29" s="72">
        <f aca="true" t="shared" si="7" ref="H29:H61">+D29*E29*F29</f>
        <v>309400</v>
      </c>
      <c r="I29" s="75">
        <f aca="true" t="shared" si="8" ref="I29:I61">($H$5*H29)/D29/F29</f>
        <v>0.8899460227090008</v>
      </c>
      <c r="K29" s="45">
        <f aca="true" t="shared" si="9" ref="K29:K61">D29*F29*I29</f>
        <v>1573.4245681495133</v>
      </c>
      <c r="M29" s="75">
        <v>1.03</v>
      </c>
      <c r="N29" s="76">
        <f t="shared" si="5"/>
        <v>-0.14005397729099922</v>
      </c>
      <c r="O29" s="77">
        <f t="shared" si="6"/>
        <v>-0.13597473523397982</v>
      </c>
      <c r="S29" s="93"/>
    </row>
    <row r="30" spans="1:19" ht="15">
      <c r="A30" s="78" t="str">
        <f>+'2019 Commercial'!A12</f>
        <v>1.5 yard container</v>
      </c>
      <c r="B30" s="79" t="s">
        <v>82</v>
      </c>
      <c r="C30" s="41"/>
      <c r="D30" s="72">
        <f>+'2019 Commercial'!B12</f>
        <v>11</v>
      </c>
      <c r="E30" s="73">
        <f>+'2019 Commercial'!E12</f>
        <v>250</v>
      </c>
      <c r="F30" s="54">
        <f>+'2019 Commercial'!C12</f>
        <v>26</v>
      </c>
      <c r="G30" s="41"/>
      <c r="H30" s="72">
        <f t="shared" si="7"/>
        <v>71500</v>
      </c>
      <c r="I30" s="75">
        <f t="shared" si="8"/>
        <v>1.2713514610128582</v>
      </c>
      <c r="K30" s="45">
        <f t="shared" si="9"/>
        <v>363.60651784967746</v>
      </c>
      <c r="M30" s="75">
        <v>1.47</v>
      </c>
      <c r="N30" s="76">
        <f t="shared" si="5"/>
        <v>-0.19864853898714174</v>
      </c>
      <c r="O30" s="77">
        <f t="shared" si="6"/>
        <v>-0.13513506053547059</v>
      </c>
      <c r="S30" s="93"/>
    </row>
    <row r="31" spans="1:19" ht="15">
      <c r="A31" s="78" t="str">
        <f>+'2019 Commercial'!A13</f>
        <v>1.5 yard container</v>
      </c>
      <c r="B31" s="79" t="s">
        <v>83</v>
      </c>
      <c r="C31" s="41"/>
      <c r="D31" s="72">
        <f>+'2019 Commercial'!B13</f>
        <v>38</v>
      </c>
      <c r="E31" s="73">
        <f>+'2019 Commercial'!E13</f>
        <v>250</v>
      </c>
      <c r="F31" s="54">
        <f>+'2019 Commercial'!C13</f>
        <v>52</v>
      </c>
      <c r="G31" s="41"/>
      <c r="H31" s="72">
        <f t="shared" si="7"/>
        <v>494000</v>
      </c>
      <c r="I31" s="75">
        <f t="shared" si="8"/>
        <v>1.2713514610128582</v>
      </c>
      <c r="K31" s="45">
        <f t="shared" si="9"/>
        <v>2512.1904869614077</v>
      </c>
      <c r="M31" s="75">
        <v>1.47</v>
      </c>
      <c r="N31" s="76">
        <f t="shared" si="5"/>
        <v>-0.19864853898714174</v>
      </c>
      <c r="O31" s="77">
        <f t="shared" si="6"/>
        <v>-0.13513506053547059</v>
      </c>
      <c r="S31" s="93"/>
    </row>
    <row r="32" spans="1:19" ht="15">
      <c r="A32" s="78" t="str">
        <f>+'2019 Commercial'!A14</f>
        <v>2 - 1.5 yard container</v>
      </c>
      <c r="B32" s="79" t="s">
        <v>83</v>
      </c>
      <c r="C32" s="41"/>
      <c r="D32" s="72">
        <f>+'2019 Commercial'!B14</f>
        <v>2</v>
      </c>
      <c r="E32" s="73">
        <f>+'2019 Commercial'!E14</f>
        <v>500</v>
      </c>
      <c r="F32" s="54">
        <f>+'2019 Commercial'!C14</f>
        <v>52</v>
      </c>
      <c r="G32" s="41"/>
      <c r="H32" s="72">
        <f t="shared" si="7"/>
        <v>52000</v>
      </c>
      <c r="I32" s="75">
        <f t="shared" si="8"/>
        <v>2.5427029220257165</v>
      </c>
      <c r="K32" s="45">
        <f t="shared" si="9"/>
        <v>264.4411038906745</v>
      </c>
      <c r="M32" s="75">
        <f>+M31*2</f>
        <v>2.94</v>
      </c>
      <c r="N32" s="76">
        <f t="shared" si="5"/>
        <v>-0.3972970779742835</v>
      </c>
      <c r="O32" s="77">
        <f t="shared" si="6"/>
        <v>-0.13513506053547059</v>
      </c>
      <c r="S32" s="93"/>
    </row>
    <row r="33" spans="1:19" ht="15">
      <c r="A33" s="78" t="str">
        <f>+'2019 Commercial'!A15</f>
        <v>2 yard container</v>
      </c>
      <c r="B33" s="79" t="s">
        <v>82</v>
      </c>
      <c r="C33" s="41"/>
      <c r="D33" s="72">
        <f>+'2019 Commercial'!B15</f>
        <v>34</v>
      </c>
      <c r="E33" s="73">
        <f>+'2019 Commercial'!E15</f>
        <v>324</v>
      </c>
      <c r="F33" s="54">
        <f>+'2019 Commercial'!C15</f>
        <v>26</v>
      </c>
      <c r="G33" s="41"/>
      <c r="H33" s="72">
        <f t="shared" si="7"/>
        <v>286416</v>
      </c>
      <c r="I33" s="75">
        <f t="shared" si="8"/>
        <v>1.6476714934726644</v>
      </c>
      <c r="K33" s="45">
        <f t="shared" si="9"/>
        <v>1456.5416002298352</v>
      </c>
      <c r="M33" s="75">
        <v>1.91</v>
      </c>
      <c r="N33" s="76">
        <f t="shared" si="5"/>
        <v>-0.2623285065273355</v>
      </c>
      <c r="O33" s="77">
        <f t="shared" si="6"/>
        <v>-0.13734476781535893</v>
      </c>
      <c r="S33" s="93"/>
    </row>
    <row r="34" spans="1:19" ht="15">
      <c r="A34" s="78" t="str">
        <f>+'2019 Commercial'!A16</f>
        <v>2 yard container</v>
      </c>
      <c r="B34" s="79" t="s">
        <v>83</v>
      </c>
      <c r="C34" s="41"/>
      <c r="D34" s="72">
        <f>+'2019 Commercial'!B16</f>
        <v>56</v>
      </c>
      <c r="E34" s="73">
        <f>+'2019 Commercial'!E16</f>
        <v>324</v>
      </c>
      <c r="F34" s="54">
        <f>+'2019 Commercial'!C16</f>
        <v>52</v>
      </c>
      <c r="G34" s="41"/>
      <c r="H34" s="72">
        <f t="shared" si="7"/>
        <v>943488</v>
      </c>
      <c r="I34" s="75">
        <f t="shared" si="8"/>
        <v>1.6476714934726644</v>
      </c>
      <c r="K34" s="45">
        <f t="shared" si="9"/>
        <v>4798.0193889923985</v>
      </c>
      <c r="M34" s="75">
        <v>1.91</v>
      </c>
      <c r="N34" s="76">
        <f t="shared" si="5"/>
        <v>-0.2623285065273355</v>
      </c>
      <c r="O34" s="77">
        <f t="shared" si="6"/>
        <v>-0.13734476781535893</v>
      </c>
      <c r="S34" s="93"/>
    </row>
    <row r="35" spans="1:19" ht="15">
      <c r="A35" s="78" t="str">
        <f>+'2019 Commercial'!A17</f>
        <v>4 - 2 yard container</v>
      </c>
      <c r="B35" s="79" t="s">
        <v>83</v>
      </c>
      <c r="C35" s="41"/>
      <c r="D35" s="72">
        <f>+'2019 Commercial'!B17</f>
        <v>4</v>
      </c>
      <c r="E35" s="73">
        <f>+'2019 Commercial'!E17</f>
        <v>1296</v>
      </c>
      <c r="F35" s="54">
        <f>+'2019 Commercial'!C17</f>
        <v>52</v>
      </c>
      <c r="G35" s="41"/>
      <c r="H35" s="72">
        <f t="shared" si="7"/>
        <v>269568</v>
      </c>
      <c r="I35" s="75">
        <f t="shared" si="8"/>
        <v>6.590685973890658</v>
      </c>
      <c r="K35" s="45">
        <f t="shared" si="9"/>
        <v>1370.8626825692568</v>
      </c>
      <c r="M35" s="75">
        <f>+M34*4</f>
        <v>7.64</v>
      </c>
      <c r="N35" s="76">
        <f t="shared" si="5"/>
        <v>-1.049314026109342</v>
      </c>
      <c r="O35" s="77">
        <f t="shared" si="6"/>
        <v>-0.13734476781535893</v>
      </c>
      <c r="S35" s="93"/>
    </row>
    <row r="36" spans="1:19" ht="15">
      <c r="A36" s="78" t="str">
        <f>+'2019 Commercial'!A18</f>
        <v>3 yard container</v>
      </c>
      <c r="B36" s="79" t="s">
        <v>82</v>
      </c>
      <c r="C36" s="41"/>
      <c r="D36" s="72">
        <f>+'2019 Commercial'!B18</f>
        <v>17</v>
      </c>
      <c r="E36" s="73">
        <f>+'2019 Commercial'!E18</f>
        <v>473</v>
      </c>
      <c r="F36" s="54">
        <f>+'2019 Commercial'!C18</f>
        <v>26</v>
      </c>
      <c r="G36" s="41"/>
      <c r="H36" s="72">
        <f t="shared" si="7"/>
        <v>209066</v>
      </c>
      <c r="I36" s="75">
        <f t="shared" si="8"/>
        <v>2.405396964236328</v>
      </c>
      <c r="K36" s="45">
        <f t="shared" si="9"/>
        <v>1063.185458192457</v>
      </c>
      <c r="M36" s="75">
        <v>2.78</v>
      </c>
      <c r="N36" s="76">
        <f t="shared" si="5"/>
        <v>-0.3746030357636716</v>
      </c>
      <c r="O36" s="77">
        <f t="shared" si="6"/>
        <v>-0.13474929344016964</v>
      </c>
      <c r="S36" s="93"/>
    </row>
    <row r="37" spans="1:19" ht="15">
      <c r="A37" s="78" t="str">
        <f>+'2019 Commercial'!A19</f>
        <v>3 yard container</v>
      </c>
      <c r="B37" s="79" t="s">
        <v>83</v>
      </c>
      <c r="C37" s="41"/>
      <c r="D37" s="72">
        <f>+'2019 Commercial'!B19</f>
        <v>19</v>
      </c>
      <c r="E37" s="73">
        <f>+'2019 Commercial'!E19</f>
        <v>473</v>
      </c>
      <c r="F37" s="54">
        <f>+'2019 Commercial'!C19</f>
        <v>52</v>
      </c>
      <c r="G37" s="41"/>
      <c r="H37" s="72">
        <f t="shared" si="7"/>
        <v>467324</v>
      </c>
      <c r="I37" s="75">
        <f t="shared" si="8"/>
        <v>2.4053969642363278</v>
      </c>
      <c r="K37" s="45">
        <f>D37*F37*I37</f>
        <v>2376.532200665492</v>
      </c>
      <c r="M37" s="75">
        <f>+M36</f>
        <v>2.78</v>
      </c>
      <c r="N37" s="76">
        <f t="shared" si="5"/>
        <v>-0.37460303576367204</v>
      </c>
      <c r="O37" s="77">
        <f t="shared" si="6"/>
        <v>-0.1347492934401698</v>
      </c>
      <c r="S37" s="93"/>
    </row>
    <row r="38" spans="1:19" ht="15">
      <c r="A38" s="78" t="str">
        <f>+'2019 Commercial'!A20</f>
        <v>2 - 3 yard container</v>
      </c>
      <c r="B38" s="79" t="s">
        <v>83</v>
      </c>
      <c r="C38" s="41"/>
      <c r="D38" s="72">
        <f>+'2019 Commercial'!B20</f>
        <v>2</v>
      </c>
      <c r="E38" s="73">
        <f>+'2019 Commercial'!E20</f>
        <v>946</v>
      </c>
      <c r="F38" s="54">
        <f>+'2019 Commercial'!C20</f>
        <v>52</v>
      </c>
      <c r="G38" s="41"/>
      <c r="H38" s="72">
        <f t="shared" si="7"/>
        <v>98384</v>
      </c>
      <c r="I38" s="75">
        <f t="shared" si="8"/>
        <v>4.810793928472656</v>
      </c>
      <c r="K38" s="45">
        <f>D38*F38*I38</f>
        <v>500.3225685611563</v>
      </c>
      <c r="M38" s="75">
        <f>+M37*2</f>
        <v>5.56</v>
      </c>
      <c r="N38" s="76">
        <f>+I38-M38</f>
        <v>-0.7492060715273432</v>
      </c>
      <c r="O38" s="77">
        <f>+N38/M38</f>
        <v>-0.13474929344016964</v>
      </c>
      <c r="S38" s="93"/>
    </row>
    <row r="39" spans="1:19" ht="15">
      <c r="A39" s="78" t="str">
        <f>+'2019 Commercial'!A21</f>
        <v>4 yard container</v>
      </c>
      <c r="B39" s="79" t="s">
        <v>82</v>
      </c>
      <c r="C39" s="41"/>
      <c r="D39" s="72">
        <f>+'2019 Commercial'!B21</f>
        <v>18</v>
      </c>
      <c r="E39" s="73">
        <f>+'2019 Commercial'!E21</f>
        <v>613</v>
      </c>
      <c r="F39" s="54">
        <f>+'2019 Commercial'!C21</f>
        <v>26</v>
      </c>
      <c r="G39" s="41"/>
      <c r="H39" s="72">
        <f t="shared" si="7"/>
        <v>286884</v>
      </c>
      <c r="I39" s="75">
        <f t="shared" si="8"/>
        <v>3.1173537824035287</v>
      </c>
      <c r="K39" s="45">
        <f t="shared" si="9"/>
        <v>1458.9215701648513</v>
      </c>
      <c r="M39" s="75">
        <v>3.61</v>
      </c>
      <c r="N39" s="76">
        <f t="shared" si="5"/>
        <v>-0.4926462175964712</v>
      </c>
      <c r="O39" s="77">
        <f t="shared" si="6"/>
        <v>-0.13646709628711115</v>
      </c>
      <c r="S39" s="93"/>
    </row>
    <row r="40" spans="1:19" ht="15">
      <c r="A40" s="78" t="str">
        <f>+'2019 Commercial'!A22</f>
        <v>4 yard container</v>
      </c>
      <c r="B40" s="79" t="s">
        <v>84</v>
      </c>
      <c r="C40" s="41"/>
      <c r="D40" s="72">
        <f>+'2019 Commercial'!B22</f>
        <v>4</v>
      </c>
      <c r="E40" s="73">
        <f>+'2019 Commercial'!E22</f>
        <v>613</v>
      </c>
      <c r="F40" s="54">
        <f>+'2019 Commercial'!C22</f>
        <v>12</v>
      </c>
      <c r="G40" s="41"/>
      <c r="H40" s="72">
        <f t="shared" si="7"/>
        <v>29424</v>
      </c>
      <c r="I40" s="75">
        <f t="shared" si="8"/>
        <v>3.1173537824035287</v>
      </c>
      <c r="K40" s="45">
        <f>D40*F40*I40</f>
        <v>149.63298155536938</v>
      </c>
      <c r="M40" s="75">
        <f>+M39</f>
        <v>3.61</v>
      </c>
      <c r="N40" s="76">
        <f>+I40-M40</f>
        <v>-0.4926462175964712</v>
      </c>
      <c r="O40" s="77">
        <f>+N40/M40</f>
        <v>-0.13646709628711115</v>
      </c>
      <c r="S40" s="93"/>
    </row>
    <row r="41" spans="1:19" ht="15">
      <c r="A41" s="78" t="str">
        <f>+'2019 Commercial'!A23</f>
        <v>4 yard container</v>
      </c>
      <c r="B41" s="79" t="s">
        <v>83</v>
      </c>
      <c r="C41" s="41"/>
      <c r="D41" s="72">
        <f>+'2019 Commercial'!B23</f>
        <v>33</v>
      </c>
      <c r="E41" s="73">
        <f>+'2019 Commercial'!E23</f>
        <v>613</v>
      </c>
      <c r="F41" s="54">
        <f>+'2019 Commercial'!C23</f>
        <v>52</v>
      </c>
      <c r="G41" s="41"/>
      <c r="H41" s="72">
        <f t="shared" si="7"/>
        <v>1051908</v>
      </c>
      <c r="I41" s="75">
        <f t="shared" si="8"/>
        <v>3.1173537824035287</v>
      </c>
      <c r="K41" s="45">
        <f t="shared" si="9"/>
        <v>5349.379090604455</v>
      </c>
      <c r="M41" s="75">
        <f>+M40</f>
        <v>3.61</v>
      </c>
      <c r="N41" s="76">
        <f aca="true" t="shared" si="10" ref="N41:N60">+I41-M41</f>
        <v>-0.4926462175964712</v>
      </c>
      <c r="O41" s="77">
        <f aca="true" t="shared" si="11" ref="O41:O60">+N41/M41</f>
        <v>-0.13646709628711115</v>
      </c>
      <c r="S41" s="93"/>
    </row>
    <row r="42" spans="1:19" ht="15">
      <c r="A42" s="78" t="str">
        <f>+'2019 Commercial'!A24</f>
        <v>6 yard container</v>
      </c>
      <c r="B42" s="79" t="s">
        <v>82</v>
      </c>
      <c r="C42" s="41"/>
      <c r="D42" s="72">
        <f>+'2019 Commercial'!B24</f>
        <v>5</v>
      </c>
      <c r="E42" s="73">
        <f>+'2019 Commercial'!E24</f>
        <v>840</v>
      </c>
      <c r="F42" s="54">
        <f>+'2019 Commercial'!C24</f>
        <v>26</v>
      </c>
      <c r="G42" s="41"/>
      <c r="H42" s="72">
        <f t="shared" si="7"/>
        <v>109200</v>
      </c>
      <c r="I42" s="75">
        <f t="shared" si="8"/>
        <v>4.271740909003204</v>
      </c>
      <c r="K42" s="45">
        <f>D42*F42*I42</f>
        <v>555.3263181704165</v>
      </c>
      <c r="M42" s="75">
        <v>4.94</v>
      </c>
      <c r="N42" s="76">
        <f>+I42-M42</f>
        <v>-0.6682590909967967</v>
      </c>
      <c r="O42" s="77">
        <f>+N42/M42</f>
        <v>-0.13527511963497907</v>
      </c>
      <c r="S42" s="93"/>
    </row>
    <row r="43" spans="1:19" ht="15">
      <c r="A43" s="78" t="str">
        <f>+'2019 Commercial'!A25</f>
        <v>6 yard container</v>
      </c>
      <c r="B43" s="79" t="s">
        <v>83</v>
      </c>
      <c r="C43" s="41"/>
      <c r="D43" s="72">
        <f>+'2019 Commercial'!B25</f>
        <v>26</v>
      </c>
      <c r="E43" s="73">
        <f>+'2019 Commercial'!E25</f>
        <v>840</v>
      </c>
      <c r="F43" s="54">
        <f>+'2019 Commercial'!C25</f>
        <v>52</v>
      </c>
      <c r="G43" s="41"/>
      <c r="H43" s="72">
        <f t="shared" si="7"/>
        <v>1135680</v>
      </c>
      <c r="I43" s="75">
        <f t="shared" si="8"/>
        <v>4.271740909003204</v>
      </c>
      <c r="K43" s="45">
        <f t="shared" si="9"/>
        <v>5775.393708972331</v>
      </c>
      <c r="M43" s="75">
        <f>+M42</f>
        <v>4.94</v>
      </c>
      <c r="N43" s="76">
        <f t="shared" si="10"/>
        <v>-0.6682590909967967</v>
      </c>
      <c r="O43" s="77">
        <f t="shared" si="11"/>
        <v>-0.13527511963497907</v>
      </c>
      <c r="S43" s="93"/>
    </row>
    <row r="44" spans="1:19" ht="15">
      <c r="A44" s="78" t="str">
        <f>+'2019 Commercial'!A26</f>
        <v>6 yard container</v>
      </c>
      <c r="B44" s="79" t="s">
        <v>85</v>
      </c>
      <c r="C44" s="41"/>
      <c r="D44" s="72">
        <f>+'2019 Commercial'!B26</f>
        <v>2</v>
      </c>
      <c r="E44" s="73">
        <f>+'2019 Commercial'!E26</f>
        <v>840</v>
      </c>
      <c r="F44" s="54">
        <f>+'2019 Commercial'!C26</f>
        <v>104</v>
      </c>
      <c r="G44" s="41"/>
      <c r="H44" s="72">
        <f t="shared" si="7"/>
        <v>174720</v>
      </c>
      <c r="I44" s="75">
        <f t="shared" si="8"/>
        <v>4.271740909003205</v>
      </c>
      <c r="K44" s="45">
        <f t="shared" si="9"/>
        <v>888.5221090726666</v>
      </c>
      <c r="M44" s="75">
        <f>+M43</f>
        <v>4.94</v>
      </c>
      <c r="N44" s="76">
        <f t="shared" si="10"/>
        <v>-0.6682590909967958</v>
      </c>
      <c r="O44" s="77">
        <f t="shared" si="11"/>
        <v>-0.1352751196349789</v>
      </c>
      <c r="S44" s="93"/>
    </row>
    <row r="45" spans="1:19" ht="15">
      <c r="A45" s="78" t="str">
        <f>+'2019 Commercial'!A27</f>
        <v>2 - 6 yard container</v>
      </c>
      <c r="B45" s="79" t="str">
        <f>+B44</f>
        <v>2 x W</v>
      </c>
      <c r="C45" s="41"/>
      <c r="D45" s="72">
        <f>+'2019 Commercial'!B27</f>
        <v>4</v>
      </c>
      <c r="E45" s="73">
        <f>+'2019 Commercial'!E27</f>
        <v>1680</v>
      </c>
      <c r="F45" s="54">
        <f>+'2019 Commercial'!C27</f>
        <v>104</v>
      </c>
      <c r="G45" s="41"/>
      <c r="H45" s="72">
        <f t="shared" si="7"/>
        <v>698880</v>
      </c>
      <c r="I45" s="75">
        <f t="shared" si="8"/>
        <v>8.54348181800641</v>
      </c>
      <c r="K45" s="45">
        <f t="shared" si="9"/>
        <v>3554.0884362906663</v>
      </c>
      <c r="M45" s="75">
        <f>+M44*2</f>
        <v>9.88</v>
      </c>
      <c r="N45" s="76">
        <f t="shared" si="10"/>
        <v>-1.3365181819935916</v>
      </c>
      <c r="O45" s="77">
        <f t="shared" si="11"/>
        <v>-0.1352751196349789</v>
      </c>
      <c r="S45" s="93"/>
    </row>
    <row r="46" spans="1:19" ht="15">
      <c r="A46" s="78" t="str">
        <f>+'2019 Commercial'!A28</f>
        <v>3 - 6 yard container</v>
      </c>
      <c r="B46" s="79" t="s">
        <v>83</v>
      </c>
      <c r="C46" s="41"/>
      <c r="D46" s="72">
        <f>+'2019 Commercial'!B28</f>
        <v>3</v>
      </c>
      <c r="E46" s="73">
        <f>+'2019 Commercial'!E28</f>
        <v>2520</v>
      </c>
      <c r="F46" s="54">
        <f>+'2019 Commercial'!C28</f>
        <v>52</v>
      </c>
      <c r="G46" s="41"/>
      <c r="H46" s="72">
        <f t="shared" si="7"/>
        <v>393120</v>
      </c>
      <c r="I46" s="75">
        <f t="shared" si="8"/>
        <v>12.815222727009614</v>
      </c>
      <c r="K46" s="45">
        <f t="shared" si="9"/>
        <v>1999.1747454134997</v>
      </c>
      <c r="M46" s="75">
        <f>+M44*3</f>
        <v>14.82</v>
      </c>
      <c r="N46" s="76">
        <f t="shared" si="10"/>
        <v>-2.0047772729903865</v>
      </c>
      <c r="O46" s="77">
        <f t="shared" si="11"/>
        <v>-0.13527511963497885</v>
      </c>
      <c r="S46" s="93"/>
    </row>
    <row r="47" spans="1:19" ht="15">
      <c r="A47" s="78" t="str">
        <f>+'2019 Commercial'!A29</f>
        <v>8 yard container</v>
      </c>
      <c r="B47" s="79" t="s">
        <v>82</v>
      </c>
      <c r="C47" s="41"/>
      <c r="D47" s="72">
        <f>+'2019 Commercial'!B29</f>
        <v>8</v>
      </c>
      <c r="E47" s="73">
        <f>+'2019 Commercial'!E29</f>
        <v>980</v>
      </c>
      <c r="F47" s="54">
        <f>+'2019 Commercial'!C29</f>
        <v>26</v>
      </c>
      <c r="G47" s="41"/>
      <c r="H47" s="72">
        <f t="shared" si="7"/>
        <v>203840</v>
      </c>
      <c r="I47" s="75">
        <f t="shared" si="8"/>
        <v>4.983697727170404</v>
      </c>
      <c r="K47" s="45">
        <f t="shared" si="9"/>
        <v>1036.609127251444</v>
      </c>
      <c r="M47" s="75">
        <v>5.77</v>
      </c>
      <c r="N47" s="76">
        <f t="shared" si="10"/>
        <v>-0.7863022728295954</v>
      </c>
      <c r="O47" s="77">
        <f t="shared" si="11"/>
        <v>-0.13627422406058848</v>
      </c>
      <c r="S47" s="93"/>
    </row>
    <row r="48" spans="1:19" ht="15">
      <c r="A48" s="78" t="str">
        <f>+'2019 Commercial'!A30</f>
        <v>8 yard container</v>
      </c>
      <c r="B48" s="79" t="s">
        <v>83</v>
      </c>
      <c r="C48" s="41"/>
      <c r="D48" s="72">
        <f>+'2019 Commercial'!B30</f>
        <v>29</v>
      </c>
      <c r="E48" s="73">
        <f>+'2019 Commercial'!E30</f>
        <v>980</v>
      </c>
      <c r="F48" s="54">
        <f>+'2019 Commercial'!C30</f>
        <v>52</v>
      </c>
      <c r="G48" s="41"/>
      <c r="H48" s="72">
        <f t="shared" si="7"/>
        <v>1477840</v>
      </c>
      <c r="I48" s="75">
        <f t="shared" si="8"/>
        <v>4.983697727170404</v>
      </c>
      <c r="K48" s="45">
        <f>D48*F48*I48</f>
        <v>7515.416172572969</v>
      </c>
      <c r="M48" s="75">
        <f>+M47</f>
        <v>5.77</v>
      </c>
      <c r="N48" s="76">
        <f t="shared" si="10"/>
        <v>-0.7863022728295954</v>
      </c>
      <c r="O48" s="77">
        <f t="shared" si="11"/>
        <v>-0.13627422406058848</v>
      </c>
      <c r="S48" s="93"/>
    </row>
    <row r="49" spans="1:19" ht="15">
      <c r="A49" s="78" t="str">
        <f>+'2019 Commercial'!A31</f>
        <v>8 yard container</v>
      </c>
      <c r="B49" s="79" t="s">
        <v>85</v>
      </c>
      <c r="C49" s="41"/>
      <c r="D49" s="72">
        <f>+'2019 Commercial'!B31</f>
        <v>1</v>
      </c>
      <c r="E49" s="73">
        <f>+'2019 Commercial'!E31</f>
        <v>980</v>
      </c>
      <c r="F49" s="54">
        <f>+'2019 Commercial'!C31</f>
        <v>104</v>
      </c>
      <c r="G49" s="41"/>
      <c r="H49" s="72">
        <f t="shared" si="7"/>
        <v>101920</v>
      </c>
      <c r="I49" s="75">
        <f t="shared" si="8"/>
        <v>4.983697727170404</v>
      </c>
      <c r="K49" s="45">
        <f>D49*F49*I49</f>
        <v>518.304563625722</v>
      </c>
      <c r="M49" s="75">
        <f>+M48</f>
        <v>5.77</v>
      </c>
      <c r="N49" s="76">
        <f t="shared" si="10"/>
        <v>-0.7863022728295954</v>
      </c>
      <c r="O49" s="77">
        <f t="shared" si="11"/>
        <v>-0.13627422406058848</v>
      </c>
      <c r="S49" s="93"/>
    </row>
    <row r="50" spans="1:19" ht="15">
      <c r="A50" s="78" t="str">
        <f>+'2019 Commercial'!A32</f>
        <v>8 yard container</v>
      </c>
      <c r="B50" s="79" t="s">
        <v>86</v>
      </c>
      <c r="C50" s="41"/>
      <c r="D50" s="72">
        <f>+'2019 Commercial'!B32</f>
        <v>2</v>
      </c>
      <c r="E50" s="73">
        <f>+'2019 Commercial'!E32</f>
        <v>980</v>
      </c>
      <c r="F50" s="54">
        <f>+'2019 Commercial'!C32</f>
        <v>156</v>
      </c>
      <c r="G50" s="41"/>
      <c r="H50" s="72">
        <f t="shared" si="7"/>
        <v>305760</v>
      </c>
      <c r="I50" s="75">
        <f t="shared" si="8"/>
        <v>4.983697727170404</v>
      </c>
      <c r="K50" s="45">
        <f t="shared" si="9"/>
        <v>1554.9136908771661</v>
      </c>
      <c r="M50" s="75">
        <f>+M49</f>
        <v>5.77</v>
      </c>
      <c r="N50" s="76">
        <f t="shared" si="10"/>
        <v>-0.7863022728295954</v>
      </c>
      <c r="O50" s="77">
        <f t="shared" si="11"/>
        <v>-0.13627422406058848</v>
      </c>
      <c r="S50" s="93"/>
    </row>
    <row r="51" spans="1:19" ht="15">
      <c r="A51" s="78" t="str">
        <f>+'2019 Commercial'!A33</f>
        <v>2 - 8 yard container</v>
      </c>
      <c r="B51" s="79" t="s">
        <v>83</v>
      </c>
      <c r="C51" s="41"/>
      <c r="D51" s="72">
        <f>+'2019 Commercial'!B33</f>
        <v>2</v>
      </c>
      <c r="E51" s="73">
        <f>+'2019 Commercial'!E33</f>
        <v>1960</v>
      </c>
      <c r="F51" s="54">
        <f>+'2019 Commercial'!C33</f>
        <v>52</v>
      </c>
      <c r="G51" s="41"/>
      <c r="H51" s="72">
        <f t="shared" si="7"/>
        <v>203840</v>
      </c>
      <c r="I51" s="75">
        <f t="shared" si="8"/>
        <v>9.967395454340808</v>
      </c>
      <c r="K51" s="45">
        <f t="shared" si="9"/>
        <v>1036.609127251444</v>
      </c>
      <c r="M51" s="75">
        <f>+M50*2</f>
        <v>11.54</v>
      </c>
      <c r="N51" s="76">
        <f t="shared" si="10"/>
        <v>-1.5726045456591908</v>
      </c>
      <c r="O51" s="77">
        <f t="shared" si="11"/>
        <v>-0.13627422406058848</v>
      </c>
      <c r="S51" s="93"/>
    </row>
    <row r="52" spans="1:19" ht="15">
      <c r="A52" s="78" t="str">
        <f>+'2019 Commercial'!A34</f>
        <v>3 - 8 yard container</v>
      </c>
      <c r="B52" s="79" t="s">
        <v>83</v>
      </c>
      <c r="C52" s="41"/>
      <c r="D52" s="72">
        <f>+'2019 Commercial'!B34</f>
        <v>3</v>
      </c>
      <c r="E52" s="73">
        <f>+'2019 Commercial'!E34</f>
        <v>2940</v>
      </c>
      <c r="F52" s="54">
        <f>+'2019 Commercial'!C34</f>
        <v>52</v>
      </c>
      <c r="G52" s="41"/>
      <c r="H52" s="72">
        <f t="shared" si="7"/>
        <v>458640</v>
      </c>
      <c r="I52" s="75">
        <f t="shared" si="8"/>
        <v>14.951093181511213</v>
      </c>
      <c r="K52" s="45">
        <f t="shared" si="9"/>
        <v>2332.370536315749</v>
      </c>
      <c r="M52" s="75">
        <f>+M50*3</f>
        <v>17.31</v>
      </c>
      <c r="N52" s="76">
        <f t="shared" si="10"/>
        <v>-2.3589068184887854</v>
      </c>
      <c r="O52" s="77">
        <f t="shared" si="11"/>
        <v>-0.13627422406058842</v>
      </c>
      <c r="S52" s="93"/>
    </row>
    <row r="53" spans="1:19" ht="15">
      <c r="A53" s="78" t="str">
        <f>+'2019 Commercial'!A35</f>
        <v>1 can</v>
      </c>
      <c r="B53" s="79" t="s">
        <v>83</v>
      </c>
      <c r="C53" s="41"/>
      <c r="D53" s="72">
        <f>+'2019 Commercial'!B35</f>
        <v>1.6</v>
      </c>
      <c r="E53" s="73">
        <f>+'2019 Commercial'!E35</f>
        <v>34</v>
      </c>
      <c r="F53" s="54">
        <f>+'2019 Commercial'!C35</f>
        <v>52</v>
      </c>
      <c r="G53" s="41"/>
      <c r="H53" s="72">
        <f t="shared" si="7"/>
        <v>2828.8</v>
      </c>
      <c r="I53" s="75">
        <f t="shared" si="8"/>
        <v>0.17290379869774875</v>
      </c>
      <c r="K53" s="45">
        <f t="shared" si="9"/>
        <v>14.385596051652696</v>
      </c>
      <c r="M53" s="75">
        <v>0.17</v>
      </c>
      <c r="N53" s="76">
        <f t="shared" si="10"/>
        <v>0.002903798697748733</v>
      </c>
      <c r="O53" s="77">
        <f t="shared" si="11"/>
        <v>0.01708116881028666</v>
      </c>
      <c r="S53" s="93"/>
    </row>
    <row r="54" spans="1:19" ht="15">
      <c r="A54" s="78" t="str">
        <f>+'2019 Commercial'!A36</f>
        <v>35 gallon tote</v>
      </c>
      <c r="B54" s="79" t="s">
        <v>83</v>
      </c>
      <c r="C54" s="41"/>
      <c r="D54" s="72">
        <f>+'2019 Commercial'!B36</f>
        <v>3</v>
      </c>
      <c r="E54" s="73">
        <f>+'2019 Commercial'!E36</f>
        <v>34</v>
      </c>
      <c r="F54" s="54">
        <f>+'2019 Commercial'!C36</f>
        <v>52</v>
      </c>
      <c r="G54" s="41"/>
      <c r="H54" s="72">
        <f t="shared" si="7"/>
        <v>5304</v>
      </c>
      <c r="I54" s="75">
        <f t="shared" si="8"/>
        <v>0.17290379869774875</v>
      </c>
      <c r="K54" s="45">
        <f t="shared" si="9"/>
        <v>26.972992596848805</v>
      </c>
      <c r="M54" s="75">
        <f>+M53</f>
        <v>0.17</v>
      </c>
      <c r="N54" s="76">
        <f t="shared" si="10"/>
        <v>0.002903798697748733</v>
      </c>
      <c r="O54" s="77">
        <f t="shared" si="11"/>
        <v>0.01708116881028666</v>
      </c>
      <c r="S54" s="93"/>
    </row>
    <row r="55" spans="1:19" ht="15">
      <c r="A55" s="78" t="str">
        <f>+'2019 Commercial'!A37</f>
        <v>64 gallon tote</v>
      </c>
      <c r="B55" s="79" t="s">
        <v>83</v>
      </c>
      <c r="C55" s="41"/>
      <c r="D55" s="72">
        <f>+'2019 Commercial'!B37</f>
        <v>3</v>
      </c>
      <c r="E55" s="73">
        <f>+'2019 Commercial'!E37</f>
        <v>51</v>
      </c>
      <c r="F55" s="54">
        <f>+'2019 Commercial'!C37</f>
        <v>52</v>
      </c>
      <c r="G55" s="41"/>
      <c r="H55" s="72">
        <f t="shared" si="7"/>
        <v>7956</v>
      </c>
      <c r="I55" s="75">
        <f t="shared" si="8"/>
        <v>0.25935569804662306</v>
      </c>
      <c r="K55" s="45">
        <f t="shared" si="9"/>
        <v>40.459488895273196</v>
      </c>
      <c r="M55" s="75">
        <v>0.3</v>
      </c>
      <c r="N55" s="76">
        <f t="shared" si="10"/>
        <v>-0.04064430195337693</v>
      </c>
      <c r="O55" s="77">
        <f t="shared" si="11"/>
        <v>-0.13548100651125644</v>
      </c>
      <c r="S55" s="93"/>
    </row>
    <row r="56" spans="1:19" ht="15">
      <c r="A56" s="78" t="str">
        <f>+'2019 Commercial'!A38</f>
        <v>90 gallon tote</v>
      </c>
      <c r="B56" s="79" t="s">
        <v>83</v>
      </c>
      <c r="C56" s="41"/>
      <c r="D56" s="72">
        <f>+'2019 Commercial'!B38</f>
        <v>28</v>
      </c>
      <c r="E56" s="73">
        <f>+'2019 Commercial'!E38</f>
        <v>77</v>
      </c>
      <c r="F56" s="54">
        <f>+'2019 Commercial'!C38</f>
        <v>52</v>
      </c>
      <c r="G56" s="41"/>
      <c r="H56" s="72">
        <f t="shared" si="7"/>
        <v>112112</v>
      </c>
      <c r="I56" s="75">
        <f t="shared" si="8"/>
        <v>0.3915762499919604</v>
      </c>
      <c r="K56" s="45">
        <f t="shared" si="9"/>
        <v>570.1350199882943</v>
      </c>
      <c r="M56" s="75">
        <v>0.45</v>
      </c>
      <c r="N56" s="76">
        <f t="shared" si="10"/>
        <v>-0.05842375000803962</v>
      </c>
      <c r="O56" s="77">
        <f t="shared" si="11"/>
        <v>-0.12983055557342138</v>
      </c>
      <c r="S56" s="93"/>
    </row>
    <row r="57" spans="1:19" ht="15">
      <c r="A57" s="78" t="str">
        <f>+'2019 Commercial'!A39</f>
        <v>2 - 90 gallon totes</v>
      </c>
      <c r="B57" s="79" t="s">
        <v>83</v>
      </c>
      <c r="C57" s="41"/>
      <c r="D57" s="72">
        <f>+'2019 Commercial'!B39</f>
        <v>4</v>
      </c>
      <c r="E57" s="73">
        <f>+'2019 Commercial'!E39</f>
        <v>154</v>
      </c>
      <c r="F57" s="54">
        <f>+'2019 Commercial'!C39</f>
        <v>52</v>
      </c>
      <c r="G57" s="41"/>
      <c r="H57" s="72">
        <f t="shared" si="7"/>
        <v>32032</v>
      </c>
      <c r="I57" s="75">
        <f t="shared" si="8"/>
        <v>0.7831524999839208</v>
      </c>
      <c r="K57" s="45">
        <f t="shared" si="9"/>
        <v>162.89571999665552</v>
      </c>
      <c r="M57" s="75">
        <f>+M56*2</f>
        <v>0.9</v>
      </c>
      <c r="N57" s="76">
        <f t="shared" si="10"/>
        <v>-0.11684750001607924</v>
      </c>
      <c r="O57" s="77">
        <f t="shared" si="11"/>
        <v>-0.12983055557342138</v>
      </c>
      <c r="S57" s="93"/>
    </row>
    <row r="58" spans="1:19" ht="15">
      <c r="A58" s="78" t="str">
        <f>+'2019 Commercial'!A40</f>
        <v>3 - 90 gallon totes</v>
      </c>
      <c r="B58" s="79" t="s">
        <v>83</v>
      </c>
      <c r="C58" s="41"/>
      <c r="D58" s="72">
        <f>+'2019 Commercial'!B40</f>
        <v>6</v>
      </c>
      <c r="E58" s="73">
        <f>+'2019 Commercial'!E40</f>
        <v>231</v>
      </c>
      <c r="F58" s="54">
        <f>+'2019 Commercial'!C40</f>
        <v>52</v>
      </c>
      <c r="G58" s="41"/>
      <c r="H58" s="72">
        <f t="shared" si="7"/>
        <v>72072</v>
      </c>
      <c r="I58" s="75">
        <f t="shared" si="8"/>
        <v>1.1747287499758812</v>
      </c>
      <c r="K58" s="45">
        <f t="shared" si="9"/>
        <v>366.5153699924749</v>
      </c>
      <c r="M58" s="75">
        <f>+M56*3</f>
        <v>1.35</v>
      </c>
      <c r="N58" s="76">
        <f t="shared" si="10"/>
        <v>-0.17527125002411892</v>
      </c>
      <c r="O58" s="77">
        <f t="shared" si="11"/>
        <v>-0.1298305555734214</v>
      </c>
      <c r="S58" s="93"/>
    </row>
    <row r="59" spans="1:19" ht="15">
      <c r="A59" s="78" t="str">
        <f>+'2019 Commercial'!A41</f>
        <v>4 - 90 gallon totes</v>
      </c>
      <c r="B59" s="79" t="s">
        <v>83</v>
      </c>
      <c r="C59" s="41"/>
      <c r="D59" s="72">
        <f>+'2019 Commercial'!B41</f>
        <v>4</v>
      </c>
      <c r="E59" s="73">
        <f>+'2019 Commercial'!E41</f>
        <v>308</v>
      </c>
      <c r="F59" s="54">
        <f>+'2019 Commercial'!C41</f>
        <v>52</v>
      </c>
      <c r="G59" s="41"/>
      <c r="H59" s="72">
        <f t="shared" si="7"/>
        <v>64064</v>
      </c>
      <c r="I59" s="75">
        <f t="shared" si="8"/>
        <v>1.5663049999678416</v>
      </c>
      <c r="K59" s="45">
        <f t="shared" si="9"/>
        <v>325.79143999331103</v>
      </c>
      <c r="M59" s="75">
        <f>+M56*4</f>
        <v>1.8</v>
      </c>
      <c r="N59" s="76">
        <f t="shared" si="10"/>
        <v>-0.23369500003215848</v>
      </c>
      <c r="O59" s="77">
        <f t="shared" si="11"/>
        <v>-0.12983055557342138</v>
      </c>
      <c r="S59" s="93"/>
    </row>
    <row r="60" spans="1:19" ht="15">
      <c r="A60" s="78" t="str">
        <f>+'2019 Commercial'!A42</f>
        <v>5 - 90 gallon totes</v>
      </c>
      <c r="B60" s="79" t="s">
        <v>83</v>
      </c>
      <c r="C60" s="41"/>
      <c r="D60" s="72">
        <f>+'2019 Commercial'!B42</f>
        <v>10</v>
      </c>
      <c r="E60" s="73">
        <f>+'2019 Commercial'!E42</f>
        <v>385</v>
      </c>
      <c r="F60" s="54">
        <f>+'2019 Commercial'!C42</f>
        <v>52</v>
      </c>
      <c r="G60" s="41"/>
      <c r="H60" s="72">
        <f t="shared" si="7"/>
        <v>200200</v>
      </c>
      <c r="I60" s="75">
        <f t="shared" si="8"/>
        <v>1.957881249959802</v>
      </c>
      <c r="K60" s="45">
        <f t="shared" si="9"/>
        <v>1018.098249979097</v>
      </c>
      <c r="M60" s="75">
        <f>+M56*5</f>
        <v>2.25</v>
      </c>
      <c r="N60" s="76">
        <f t="shared" si="10"/>
        <v>-0.29211875004019805</v>
      </c>
      <c r="O60" s="77">
        <f t="shared" si="11"/>
        <v>-0.12983055557342135</v>
      </c>
      <c r="S60" s="93"/>
    </row>
    <row r="61" spans="1:19" ht="15">
      <c r="A61" s="78" t="str">
        <f>+'2019 Commercial'!A43</f>
        <v>9 - 90 gallon totes</v>
      </c>
      <c r="B61" s="79" t="s">
        <v>83</v>
      </c>
      <c r="C61" s="41"/>
      <c r="D61" s="72">
        <f>+'2019 Commercial'!B43</f>
        <v>9</v>
      </c>
      <c r="E61" s="73">
        <f>+'2019 Commercial'!E43</f>
        <v>693</v>
      </c>
      <c r="F61" s="54">
        <f>+'2019 Commercial'!C43</f>
        <v>52</v>
      </c>
      <c r="G61" s="41"/>
      <c r="H61" s="72">
        <f t="shared" si="7"/>
        <v>324324</v>
      </c>
      <c r="I61" s="75">
        <f t="shared" si="8"/>
        <v>3.5241862499276433</v>
      </c>
      <c r="K61" s="45">
        <f t="shared" si="9"/>
        <v>1649.3191649661371</v>
      </c>
      <c r="M61" s="75">
        <f>+M56*9</f>
        <v>4.05</v>
      </c>
      <c r="N61" s="76">
        <f>+I61-M61</f>
        <v>-0.5258137500723565</v>
      </c>
      <c r="O61" s="77">
        <f>+N61/M61</f>
        <v>-0.12983055557342138</v>
      </c>
      <c r="S61" s="93"/>
    </row>
    <row r="62" spans="1:19" ht="15">
      <c r="A62" s="78" t="str">
        <f>+'2019 Commercial'!A44</f>
        <v>15 yard box</v>
      </c>
      <c r="B62" s="79"/>
      <c r="C62" s="41"/>
      <c r="D62" s="72"/>
      <c r="E62" s="73">
        <f>+'2019 Commercial'!E44</f>
        <v>1800</v>
      </c>
      <c r="F62" s="54">
        <f>+'2019 Commercial'!C44</f>
        <v>31</v>
      </c>
      <c r="G62" s="41"/>
      <c r="H62" s="72">
        <f aca="true" t="shared" si="12" ref="H62:H70">+F62*E62</f>
        <v>55800</v>
      </c>
      <c r="I62" s="75">
        <f>($H$5*H62)/F62</f>
        <v>9.15373051929258</v>
      </c>
      <c r="K62" s="45">
        <f aca="true" t="shared" si="13" ref="K62:K70">F62*I62</f>
        <v>283.76564609806996</v>
      </c>
      <c r="M62" s="75">
        <v>10.59</v>
      </c>
      <c r="N62" s="76">
        <f aca="true" t="shared" si="14" ref="N62:N70">+I62-M62</f>
        <v>-1.4362694807074199</v>
      </c>
      <c r="O62" s="77">
        <f aca="true" t="shared" si="15" ref="O62:O70">+N62/M62</f>
        <v>-0.13562506899975638</v>
      </c>
      <c r="S62" s="93"/>
    </row>
    <row r="63" spans="1:19" ht="15">
      <c r="A63" s="78" t="str">
        <f>+'2019 Commercial'!A45</f>
        <v>20 yard box</v>
      </c>
      <c r="B63" s="79"/>
      <c r="C63" s="41"/>
      <c r="D63" s="72"/>
      <c r="E63" s="73">
        <f>+'2019 Commercial'!E45</f>
        <v>2400</v>
      </c>
      <c r="F63" s="54">
        <f>+'2019 Commercial'!C45</f>
        <v>220</v>
      </c>
      <c r="G63" s="41"/>
      <c r="H63" s="72">
        <f t="shared" si="12"/>
        <v>528000</v>
      </c>
      <c r="I63" s="75">
        <f aca="true" t="shared" si="16" ref="I63:I70">($H$5*H63)/F63</f>
        <v>12.204974025723441</v>
      </c>
      <c r="K63" s="45">
        <f>F63*I63</f>
        <v>2685.094285659157</v>
      </c>
      <c r="M63" s="75">
        <v>14.12</v>
      </c>
      <c r="N63" s="76">
        <f>+I63-M63</f>
        <v>-1.915025974276558</v>
      </c>
      <c r="O63" s="77">
        <f>+N63/M63</f>
        <v>-0.13562506899975624</v>
      </c>
      <c r="S63" s="93"/>
    </row>
    <row r="64" spans="1:19" ht="15">
      <c r="A64" s="78" t="str">
        <f>+'2019 Commercial'!A46</f>
        <v>30 yard box</v>
      </c>
      <c r="B64" s="79"/>
      <c r="C64" s="41"/>
      <c r="D64" s="72"/>
      <c r="E64" s="73">
        <f>+'2019 Commercial'!E46</f>
        <v>3600</v>
      </c>
      <c r="F64" s="54">
        <f>+'2019 Commercial'!C46</f>
        <v>851</v>
      </c>
      <c r="G64" s="41"/>
      <c r="H64" s="72">
        <f t="shared" si="12"/>
        <v>3063600</v>
      </c>
      <c r="I64" s="75">
        <f t="shared" si="16"/>
        <v>18.30746103858516</v>
      </c>
      <c r="K64" s="45">
        <f t="shared" si="13"/>
        <v>15579.64934383597</v>
      </c>
      <c r="M64" s="75">
        <v>21.18</v>
      </c>
      <c r="N64" s="76">
        <f t="shared" si="14"/>
        <v>-2.8725389614148398</v>
      </c>
      <c r="O64" s="77">
        <f t="shared" si="15"/>
        <v>-0.13562506899975638</v>
      </c>
      <c r="S64" s="93"/>
    </row>
    <row r="65" spans="1:19" ht="15">
      <c r="A65" s="78" t="str">
        <f>+'2019 Commercial'!A47</f>
        <v>40 yard box</v>
      </c>
      <c r="B65" s="79"/>
      <c r="C65" s="41"/>
      <c r="D65" s="72"/>
      <c r="E65" s="73">
        <f>+'2019 Commercial'!E47</f>
        <v>4800</v>
      </c>
      <c r="F65" s="54">
        <f>+'2019 Commercial'!C47</f>
        <v>65</v>
      </c>
      <c r="G65" s="41"/>
      <c r="H65" s="72">
        <f t="shared" si="12"/>
        <v>312000</v>
      </c>
      <c r="I65" s="75">
        <f t="shared" si="16"/>
        <v>24.40994805144688</v>
      </c>
      <c r="K65" s="45">
        <f t="shared" si="13"/>
        <v>1586.6466233440472</v>
      </c>
      <c r="M65" s="75">
        <v>28.24</v>
      </c>
      <c r="N65" s="76">
        <f t="shared" si="14"/>
        <v>-3.8300519485531197</v>
      </c>
      <c r="O65" s="77">
        <f t="shared" si="15"/>
        <v>-0.13562506899975638</v>
      </c>
      <c r="S65" s="93"/>
    </row>
    <row r="66" spans="1:19" ht="15">
      <c r="A66" s="78" t="str">
        <f>+'2019 Commercial'!A48</f>
        <v>50 yard box</v>
      </c>
      <c r="B66" s="79"/>
      <c r="C66" s="41"/>
      <c r="D66" s="72"/>
      <c r="E66" s="73">
        <f>+'2019 Commercial'!E48</f>
        <v>6000</v>
      </c>
      <c r="F66" s="54">
        <f>+'2019 Commercial'!C48</f>
        <v>5</v>
      </c>
      <c r="G66" s="41"/>
      <c r="H66" s="72">
        <f t="shared" si="12"/>
        <v>30000</v>
      </c>
      <c r="I66" s="75">
        <f t="shared" si="16"/>
        <v>30.5124350643086</v>
      </c>
      <c r="K66" s="45">
        <f t="shared" si="13"/>
        <v>152.562175321543</v>
      </c>
      <c r="M66" s="75">
        <v>35.3</v>
      </c>
      <c r="N66" s="76">
        <f t="shared" si="14"/>
        <v>-4.787564935691396</v>
      </c>
      <c r="O66" s="77">
        <f t="shared" si="15"/>
        <v>-0.13562506899975627</v>
      </c>
      <c r="S66" s="93"/>
    </row>
    <row r="67" spans="1:19" ht="15">
      <c r="A67" s="78" t="str">
        <f>+'2019 Commercial'!A49</f>
        <v>15 yard box (comp.)</v>
      </c>
      <c r="B67" s="79"/>
      <c r="C67" s="41"/>
      <c r="D67" s="72"/>
      <c r="E67" s="73">
        <f>+'2019 Commercial'!E49</f>
        <v>5400</v>
      </c>
      <c r="F67" s="54">
        <f>+'2019 Commercial'!C49</f>
        <v>4</v>
      </c>
      <c r="G67" s="41"/>
      <c r="H67" s="72">
        <f t="shared" si="12"/>
        <v>21600</v>
      </c>
      <c r="I67" s="75">
        <f t="shared" si="16"/>
        <v>27.46119155787774</v>
      </c>
      <c r="K67" s="45">
        <f>F67*I67</f>
        <v>109.84476623151096</v>
      </c>
      <c r="M67" s="75">
        <v>31.77</v>
      </c>
      <c r="N67" s="76">
        <f>+I67-M67</f>
        <v>-4.30880844212226</v>
      </c>
      <c r="O67" s="77">
        <f>+N67/M67</f>
        <v>-0.13562506899975638</v>
      </c>
      <c r="S67" s="93"/>
    </row>
    <row r="68" spans="1:19" ht="15">
      <c r="A68" s="78" t="str">
        <f>+'2019 Commercial'!A50</f>
        <v>25 yard box (comp.)</v>
      </c>
      <c r="B68" s="79"/>
      <c r="C68" s="41"/>
      <c r="D68" s="72"/>
      <c r="E68" s="73">
        <f>+'2019 Commercial'!E50</f>
        <v>9000</v>
      </c>
      <c r="F68" s="54">
        <f>+'2019 Commercial'!C50</f>
        <v>12</v>
      </c>
      <c r="G68" s="41"/>
      <c r="H68" s="72">
        <f t="shared" si="12"/>
        <v>108000</v>
      </c>
      <c r="I68" s="75">
        <f t="shared" si="16"/>
        <v>45.76865259646289</v>
      </c>
      <c r="K68" s="45">
        <f t="shared" si="13"/>
        <v>549.2238311575547</v>
      </c>
      <c r="M68" s="75">
        <v>52.96</v>
      </c>
      <c r="N68" s="76">
        <f t="shared" si="14"/>
        <v>-7.191347403537108</v>
      </c>
      <c r="O68" s="77">
        <f t="shared" si="15"/>
        <v>-0.13578828178884267</v>
      </c>
      <c r="S68" s="93"/>
    </row>
    <row r="69" spans="1:19" ht="15">
      <c r="A69" s="78" t="str">
        <f>+'2019 Commercial'!A51</f>
        <v>30 yard box (comp.)</v>
      </c>
      <c r="B69" s="79"/>
      <c r="C69" s="41"/>
      <c r="D69" s="72"/>
      <c r="E69" s="73">
        <f>+'2019 Commercial'!E51</f>
        <v>10800</v>
      </c>
      <c r="F69" s="54">
        <f>+'2019 Commercial'!C51</f>
        <v>97</v>
      </c>
      <c r="G69" s="41"/>
      <c r="H69" s="72">
        <f t="shared" si="12"/>
        <v>1047600</v>
      </c>
      <c r="I69" s="75">
        <f t="shared" si="16"/>
        <v>54.92238311575547</v>
      </c>
      <c r="K69" s="45">
        <f>F69*I69</f>
        <v>5327.471162228281</v>
      </c>
      <c r="M69" s="75">
        <v>63.55</v>
      </c>
      <c r="N69" s="76">
        <f>+I69-M69</f>
        <v>-8.627616884244524</v>
      </c>
      <c r="O69" s="77">
        <f>+N69/M69</f>
        <v>-0.13576108393775807</v>
      </c>
      <c r="S69" s="93"/>
    </row>
    <row r="70" spans="1:19" ht="15">
      <c r="A70" s="78" t="str">
        <f>+'2019 Commercial'!A52</f>
        <v>40 yard box (comp.)</v>
      </c>
      <c r="B70" s="79"/>
      <c r="C70" s="41"/>
      <c r="D70" s="72"/>
      <c r="E70" s="73">
        <f>+'2019 Commercial'!E52</f>
        <v>14400</v>
      </c>
      <c r="F70" s="54">
        <f>+'2019 Commercial'!C52</f>
        <v>1</v>
      </c>
      <c r="G70" s="41"/>
      <c r="H70" s="95">
        <f t="shared" si="12"/>
        <v>14400</v>
      </c>
      <c r="I70" s="75">
        <f t="shared" si="16"/>
        <v>73.22984415434064</v>
      </c>
      <c r="K70" s="96">
        <f t="shared" si="13"/>
        <v>73.22984415434064</v>
      </c>
      <c r="M70" s="75">
        <v>84.73</v>
      </c>
      <c r="N70" s="76">
        <f t="shared" si="14"/>
        <v>-11.500155845659364</v>
      </c>
      <c r="O70" s="77">
        <f t="shared" si="15"/>
        <v>-0.13572708421644475</v>
      </c>
      <c r="S70" s="93"/>
    </row>
    <row r="71" spans="1:15" s="42" customFormat="1" ht="15.75">
      <c r="A71" s="106" t="str">
        <f>+'2019 Commercial'!A53</f>
        <v>TOTAL COMMERCIAL</v>
      </c>
      <c r="B71" s="56"/>
      <c r="C71" s="58"/>
      <c r="D71" s="111">
        <f>SUM(D28:D70)</f>
        <v>434.6</v>
      </c>
      <c r="E71" s="97"/>
      <c r="F71" s="112">
        <f>+'2019 Commercial'!C46</f>
        <v>851</v>
      </c>
      <c r="G71" s="98"/>
      <c r="H71" s="111">
        <f>SUM(H28:H70)</f>
        <v>15875644.8</v>
      </c>
      <c r="I71" s="113"/>
      <c r="J71" s="114"/>
      <c r="K71" s="115">
        <f>SUM(K28:K70)</f>
        <v>80734.09684400476</v>
      </c>
      <c r="L71" s="116"/>
      <c r="M71" s="113"/>
      <c r="N71" s="117"/>
      <c r="O71" s="110"/>
    </row>
    <row r="72" ht="15">
      <c r="E72" s="100"/>
    </row>
    <row r="73" spans="5:11" ht="18">
      <c r="E73" s="100"/>
      <c r="H73" s="118">
        <f>+H71+H25</f>
        <v>37377860.8</v>
      </c>
      <c r="K73" s="122">
        <f>+K71+K25</f>
        <v>190081.59175046097</v>
      </c>
    </row>
    <row r="74" ht="15">
      <c r="E74" s="100"/>
    </row>
    <row r="75" spans="5:8" ht="15">
      <c r="E75" s="100"/>
      <c r="H75" s="101"/>
    </row>
    <row r="76" ht="15">
      <c r="E76" s="100"/>
    </row>
    <row r="77" spans="5:9" ht="15">
      <c r="E77" s="100"/>
      <c r="H77" s="102"/>
      <c r="I77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8.28125" style="0" bestFit="1" customWidth="1"/>
    <col min="2" max="2" width="2.57421875" style="0" customWidth="1"/>
    <col min="4" max="4" width="13.28125" style="0" bestFit="1" customWidth="1"/>
    <col min="5" max="5" width="3.28125" style="0" customWidth="1"/>
    <col min="6" max="6" width="12.421875" style="0" bestFit="1" customWidth="1"/>
    <col min="7" max="7" width="4.7109375" style="0" customWidth="1"/>
    <col min="8" max="8" width="9.8515625" style="0" bestFit="1" customWidth="1"/>
    <col min="9" max="9" width="3.28125" style="0" customWidth="1"/>
    <col min="11" max="11" width="4.28125" style="0" customWidth="1"/>
    <col min="12" max="12" width="11.00390625" style="0" bestFit="1" customWidth="1"/>
  </cols>
  <sheetData>
    <row r="1" spans="1:12" ht="12.75">
      <c r="A1" s="140" t="s">
        <v>95</v>
      </c>
      <c r="B1" s="140"/>
      <c r="C1" s="140"/>
      <c r="D1" s="140"/>
      <c r="E1" s="125"/>
      <c r="F1" s="125"/>
      <c r="G1" s="125"/>
      <c r="H1" s="125"/>
      <c r="I1" s="125"/>
      <c r="J1" s="125"/>
      <c r="K1" s="125"/>
      <c r="L1" s="125"/>
    </row>
    <row r="2" spans="1:12" ht="12.75">
      <c r="A2" s="125"/>
      <c r="B2" s="125"/>
      <c r="C2" s="125"/>
      <c r="D2" s="127"/>
      <c r="E2" s="127"/>
      <c r="F2" s="127"/>
      <c r="G2" s="127"/>
      <c r="H2" s="127"/>
      <c r="I2" s="127"/>
      <c r="J2" s="127"/>
      <c r="K2" s="127"/>
      <c r="L2" s="146" t="s">
        <v>99</v>
      </c>
    </row>
    <row r="3" spans="1:12" ht="12.75">
      <c r="A3" s="125"/>
      <c r="B3" s="125"/>
      <c r="C3" s="125"/>
      <c r="D3" s="146" t="s">
        <v>96</v>
      </c>
      <c r="E3" s="147"/>
      <c r="F3" s="146" t="s">
        <v>97</v>
      </c>
      <c r="G3" s="147"/>
      <c r="H3" s="146" t="s">
        <v>87</v>
      </c>
      <c r="I3" s="147"/>
      <c r="J3" s="148" t="s">
        <v>71</v>
      </c>
      <c r="K3" s="146"/>
      <c r="L3" s="148" t="s">
        <v>100</v>
      </c>
    </row>
    <row r="4" spans="1:12" ht="12.75">
      <c r="A4" s="125"/>
      <c r="B4" s="125"/>
      <c r="C4" s="125"/>
      <c r="D4" s="128"/>
      <c r="E4" s="126"/>
      <c r="F4" s="128"/>
      <c r="G4" s="126"/>
      <c r="H4" s="128"/>
      <c r="I4" s="126"/>
      <c r="J4" s="126"/>
      <c r="K4" s="126"/>
      <c r="L4" s="124"/>
    </row>
    <row r="5" spans="1:12" ht="15">
      <c r="A5" s="123" t="s">
        <v>88</v>
      </c>
      <c r="B5" s="123"/>
      <c r="C5" s="125"/>
      <c r="D5" s="130">
        <v>96936</v>
      </c>
      <c r="E5" s="130"/>
      <c r="F5" s="130">
        <v>0</v>
      </c>
      <c r="G5" s="130"/>
      <c r="H5" s="130">
        <v>96936</v>
      </c>
      <c r="I5" s="131"/>
      <c r="J5" s="133">
        <f>+H5/H11</f>
        <v>0.002465248518062302</v>
      </c>
      <c r="K5" s="126"/>
      <c r="L5" s="132">
        <f>+L11*J5</f>
        <v>492.95848941729207</v>
      </c>
    </row>
    <row r="6" spans="1:12" ht="12.75">
      <c r="A6" s="125"/>
      <c r="B6" s="125"/>
      <c r="C6" s="125"/>
      <c r="D6" s="130"/>
      <c r="E6" s="130"/>
      <c r="F6" s="130"/>
      <c r="G6" s="130"/>
      <c r="H6" s="130"/>
      <c r="I6" s="131"/>
      <c r="J6" s="134"/>
      <c r="K6" s="126"/>
      <c r="L6" s="125"/>
    </row>
    <row r="7" spans="1:12" ht="15">
      <c r="A7" s="123" t="s">
        <v>89</v>
      </c>
      <c r="B7" s="123"/>
      <c r="C7" s="125"/>
      <c r="D7" s="130">
        <f>+'2019 Commercial'!F54</f>
        <v>15875644.8</v>
      </c>
      <c r="E7" s="130"/>
      <c r="F7" s="130">
        <f>+'2019 Resi'!F28</f>
        <v>21502216</v>
      </c>
      <c r="G7" s="130"/>
      <c r="H7" s="130">
        <v>37377892</v>
      </c>
      <c r="I7" s="131"/>
      <c r="J7" s="133">
        <f>+H7/H11</f>
        <v>0.9505838167584052</v>
      </c>
      <c r="K7" s="126"/>
      <c r="L7" s="132">
        <f>+J7*L11</f>
        <v>190081.59175046097</v>
      </c>
    </row>
    <row r="8" spans="1:12" ht="12.75">
      <c r="A8" s="125"/>
      <c r="B8" s="125"/>
      <c r="C8" s="125"/>
      <c r="D8" s="130"/>
      <c r="E8" s="130"/>
      <c r="F8" s="130"/>
      <c r="G8" s="130"/>
      <c r="H8" s="130"/>
      <c r="I8" s="131"/>
      <c r="J8" s="134"/>
      <c r="K8" s="126"/>
      <c r="L8" s="125"/>
    </row>
    <row r="9" spans="1:12" ht="15">
      <c r="A9" s="123" t="s">
        <v>90</v>
      </c>
      <c r="B9" s="123"/>
      <c r="C9" s="125"/>
      <c r="D9" s="130">
        <v>1445151</v>
      </c>
      <c r="E9" s="130"/>
      <c r="F9" s="130">
        <v>401006</v>
      </c>
      <c r="G9" s="130"/>
      <c r="H9" s="130">
        <v>1846157</v>
      </c>
      <c r="I9" s="131"/>
      <c r="J9" s="133">
        <f>+H9/H11</f>
        <v>0.046950934723532484</v>
      </c>
      <c r="K9" s="126"/>
      <c r="L9" s="132">
        <f>+J9*L11</f>
        <v>9388.449760121726</v>
      </c>
    </row>
    <row r="10" spans="1:12" ht="12.75">
      <c r="A10" s="125"/>
      <c r="B10" s="125"/>
      <c r="C10" s="126"/>
      <c r="D10" s="129"/>
      <c r="E10" s="135"/>
      <c r="F10" s="129"/>
      <c r="G10" s="135"/>
      <c r="H10" s="129"/>
      <c r="I10" s="126"/>
      <c r="J10" s="126"/>
      <c r="K10" s="126"/>
      <c r="L10" s="138"/>
    </row>
    <row r="11" spans="1:12" ht="12.75">
      <c r="A11" s="125"/>
      <c r="B11" s="125"/>
      <c r="C11" s="127" t="s">
        <v>98</v>
      </c>
      <c r="D11" s="142">
        <f>SUM(D5:D9)</f>
        <v>17417731.8</v>
      </c>
      <c r="E11" s="142"/>
      <c r="F11" s="142">
        <f>SUM(F5:F9)</f>
        <v>21903222</v>
      </c>
      <c r="G11" s="142"/>
      <c r="H11" s="142">
        <f>SUM(H5:H9)</f>
        <v>39320985</v>
      </c>
      <c r="I11" s="143"/>
      <c r="J11" s="144">
        <v>1</v>
      </c>
      <c r="K11" s="143"/>
      <c r="L11" s="145">
        <v>199963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1"/>
  <sheetViews>
    <sheetView zoomScalePageLayoutView="0" workbookViewId="0" topLeftCell="A8">
      <selection activeCell="B15" sqref="B15"/>
    </sheetView>
  </sheetViews>
  <sheetFormatPr defaultColWidth="9.140625" defaultRowHeight="12.75"/>
  <cols>
    <col min="1" max="1" width="23.28125" style="0" customWidth="1"/>
    <col min="2" max="2" width="20.00390625" style="0" customWidth="1"/>
    <col min="3" max="3" width="16.7109375" style="0" customWidth="1"/>
    <col min="4" max="4" width="8.7109375" style="0" customWidth="1"/>
    <col min="5" max="5" width="20.28125" style="0" customWidth="1"/>
    <col min="6" max="6" width="33.7109375" style="0" customWidth="1"/>
  </cols>
  <sheetData>
    <row r="3" ht="23.25">
      <c r="A3" s="1" t="s">
        <v>0</v>
      </c>
    </row>
    <row r="5" ht="12.75">
      <c r="C5" s="20" t="s">
        <v>35</v>
      </c>
    </row>
    <row r="7" spans="1:6" ht="15.75">
      <c r="A7" s="141" t="s">
        <v>49</v>
      </c>
      <c r="B7" s="141"/>
      <c r="C7" s="141"/>
      <c r="D7" s="141"/>
      <c r="E7" s="141"/>
      <c r="F7" s="141"/>
    </row>
    <row r="9" spans="1:6" ht="12.75">
      <c r="A9" t="s">
        <v>2</v>
      </c>
      <c r="F9" s="17" t="s">
        <v>93</v>
      </c>
    </row>
    <row r="10" spans="1:6" ht="13.5" thickBot="1">
      <c r="A10" s="2"/>
      <c r="B10" s="2"/>
      <c r="C10" s="2"/>
      <c r="D10" s="2"/>
      <c r="E10" s="2"/>
      <c r="F10" s="2"/>
    </row>
    <row r="11" spans="1:6" ht="14.25" thickBot="1" thickTop="1">
      <c r="A11" s="8" t="s">
        <v>3</v>
      </c>
      <c r="B11" s="9" t="s">
        <v>4</v>
      </c>
      <c r="C11" s="9" t="s">
        <v>5</v>
      </c>
      <c r="D11" s="9" t="s">
        <v>6</v>
      </c>
      <c r="E11" s="24" t="s">
        <v>36</v>
      </c>
      <c r="F11" s="10" t="s">
        <v>8</v>
      </c>
    </row>
    <row r="12" spans="1:6" ht="13.5" thickTop="1">
      <c r="A12" s="26" t="s">
        <v>50</v>
      </c>
      <c r="B12" s="25"/>
      <c r="C12" s="25"/>
      <c r="D12" s="25"/>
      <c r="E12" s="34"/>
      <c r="F12" s="21"/>
    </row>
    <row r="13" spans="1:6" ht="12.75">
      <c r="A13" s="27" t="s">
        <v>21</v>
      </c>
      <c r="B13" s="22">
        <v>170</v>
      </c>
      <c r="C13" s="5">
        <v>52</v>
      </c>
      <c r="D13" s="5"/>
      <c r="E13" s="32">
        <v>34</v>
      </c>
      <c r="F13" s="21">
        <f aca="true" t="shared" si="0" ref="F13:F26">SUM(B13*C13*E13)</f>
        <v>300560</v>
      </c>
    </row>
    <row r="14" spans="1:6" ht="12.75">
      <c r="A14" s="29" t="s">
        <v>21</v>
      </c>
      <c r="B14" s="22">
        <v>5</v>
      </c>
      <c r="C14" s="5">
        <v>12</v>
      </c>
      <c r="D14" s="5"/>
      <c r="E14" s="32">
        <v>34</v>
      </c>
      <c r="F14" s="21">
        <f t="shared" si="0"/>
        <v>2040</v>
      </c>
    </row>
    <row r="15" spans="1:6" ht="12.75">
      <c r="A15" s="27" t="s">
        <v>22</v>
      </c>
      <c r="B15" s="22">
        <v>124</v>
      </c>
      <c r="C15" s="5">
        <v>52</v>
      </c>
      <c r="D15" s="5"/>
      <c r="E15" s="32">
        <v>51</v>
      </c>
      <c r="F15" s="21">
        <f t="shared" si="0"/>
        <v>328848</v>
      </c>
    </row>
    <row r="16" spans="1:6" ht="12.75">
      <c r="A16" s="27" t="s">
        <v>23</v>
      </c>
      <c r="B16" s="22">
        <v>3</v>
      </c>
      <c r="C16" s="5">
        <v>52</v>
      </c>
      <c r="D16" s="5"/>
      <c r="E16" s="32">
        <v>77</v>
      </c>
      <c r="F16" s="21">
        <f t="shared" si="0"/>
        <v>12012</v>
      </c>
    </row>
    <row r="17" spans="1:6" ht="12.75">
      <c r="A17" s="27" t="s">
        <v>33</v>
      </c>
      <c r="B17" s="22">
        <v>61</v>
      </c>
      <c r="C17" s="5">
        <v>52</v>
      </c>
      <c r="D17" s="5"/>
      <c r="E17" s="32">
        <v>20</v>
      </c>
      <c r="F17" s="21">
        <f t="shared" si="0"/>
        <v>63440</v>
      </c>
    </row>
    <row r="18" spans="1:6" ht="12.75">
      <c r="A18" s="27" t="s">
        <v>27</v>
      </c>
      <c r="B18" s="22">
        <v>1151</v>
      </c>
      <c r="C18" s="5">
        <v>52</v>
      </c>
      <c r="D18" s="5"/>
      <c r="E18" s="32">
        <v>34</v>
      </c>
      <c r="F18" s="21">
        <f t="shared" si="0"/>
        <v>2034968</v>
      </c>
    </row>
    <row r="19" spans="1:6" ht="12.75">
      <c r="A19" s="27" t="s">
        <v>27</v>
      </c>
      <c r="B19" s="22">
        <v>7</v>
      </c>
      <c r="C19" s="5">
        <v>12</v>
      </c>
      <c r="D19" s="5"/>
      <c r="E19" s="32">
        <v>34</v>
      </c>
      <c r="F19" s="21">
        <f t="shared" si="0"/>
        <v>2856</v>
      </c>
    </row>
    <row r="20" spans="1:6" ht="12.75">
      <c r="A20" s="27" t="s">
        <v>34</v>
      </c>
      <c r="B20" s="22">
        <v>4</v>
      </c>
      <c r="C20" s="5">
        <v>52</v>
      </c>
      <c r="D20" s="5"/>
      <c r="E20" s="32">
        <v>68</v>
      </c>
      <c r="F20" s="21">
        <f t="shared" si="0"/>
        <v>14144</v>
      </c>
    </row>
    <row r="21" spans="1:6" ht="12.75">
      <c r="A21" s="27" t="s">
        <v>28</v>
      </c>
      <c r="B21" s="21">
        <v>2027</v>
      </c>
      <c r="C21" s="5">
        <v>52</v>
      </c>
      <c r="D21" s="5"/>
      <c r="E21" s="32">
        <v>51</v>
      </c>
      <c r="F21" s="21">
        <f t="shared" si="0"/>
        <v>5375604</v>
      </c>
    </row>
    <row r="22" spans="1:6" ht="12.75">
      <c r="A22" s="27" t="s">
        <v>30</v>
      </c>
      <c r="B22" s="21">
        <v>85</v>
      </c>
      <c r="C22" s="5">
        <v>52</v>
      </c>
      <c r="D22" s="5"/>
      <c r="E22" s="32">
        <f>+E21*2</f>
        <v>102</v>
      </c>
      <c r="F22" s="21">
        <f t="shared" si="0"/>
        <v>450840</v>
      </c>
    </row>
    <row r="23" spans="1:6" ht="12.75">
      <c r="A23" s="27" t="s">
        <v>24</v>
      </c>
      <c r="B23" s="21">
        <v>2590</v>
      </c>
      <c r="C23" s="5">
        <v>52</v>
      </c>
      <c r="D23" s="5"/>
      <c r="E23" s="32">
        <v>77</v>
      </c>
      <c r="F23" s="21">
        <f t="shared" si="0"/>
        <v>10370360</v>
      </c>
    </row>
    <row r="24" spans="1:6" ht="12.75">
      <c r="A24" s="28" t="s">
        <v>31</v>
      </c>
      <c r="B24" s="22">
        <v>251</v>
      </c>
      <c r="C24" s="14">
        <v>52</v>
      </c>
      <c r="D24" s="5"/>
      <c r="E24" s="35">
        <f>+E23*2</f>
        <v>154</v>
      </c>
      <c r="F24" s="21">
        <f t="shared" si="0"/>
        <v>2010008</v>
      </c>
    </row>
    <row r="25" spans="1:6" ht="12.75">
      <c r="A25" s="28" t="s">
        <v>32</v>
      </c>
      <c r="B25" s="22">
        <v>18</v>
      </c>
      <c r="C25" s="14">
        <v>52</v>
      </c>
      <c r="D25" s="5"/>
      <c r="E25" s="35">
        <f>+E23*3</f>
        <v>231</v>
      </c>
      <c r="F25" s="21">
        <f t="shared" si="0"/>
        <v>216216</v>
      </c>
    </row>
    <row r="26" spans="1:6" ht="12.75">
      <c r="A26" s="28" t="s">
        <v>55</v>
      </c>
      <c r="B26" s="22">
        <v>20</v>
      </c>
      <c r="C26" s="14">
        <v>52</v>
      </c>
      <c r="D26" s="5"/>
      <c r="E26" s="35">
        <f>+E23*4</f>
        <v>308</v>
      </c>
      <c r="F26" s="21">
        <f t="shared" si="0"/>
        <v>320320</v>
      </c>
    </row>
    <row r="27" spans="1:6" ht="13.5" thickBot="1">
      <c r="A27" s="7" t="s">
        <v>25</v>
      </c>
      <c r="B27" s="23">
        <f>SUM(B12:B26)</f>
        <v>6516</v>
      </c>
      <c r="C27" s="23">
        <f>SUM(C12:C25)</f>
        <v>596</v>
      </c>
      <c r="D27" s="6"/>
      <c r="E27" s="6"/>
      <c r="F27" s="6"/>
    </row>
    <row r="28" spans="5:6" ht="14.25" thickBot="1" thickTop="1">
      <c r="E28" s="4" t="s">
        <v>26</v>
      </c>
      <c r="F28" s="13">
        <f>SUM(F12:F26)</f>
        <v>21502216</v>
      </c>
    </row>
    <row r="29" ht="13.5" thickTop="1"/>
    <row r="30" ht="12.75">
      <c r="F30" s="103">
        <v>21502278</v>
      </c>
    </row>
    <row r="31" ht="12.75">
      <c r="F31" s="137">
        <f>+F28-F30</f>
        <v>-62</v>
      </c>
    </row>
  </sheetData>
  <sheetProtection/>
  <mergeCells count="1">
    <mergeCell ref="A7:F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pane ySplit="9" topLeftCell="A54" activePane="bottomLeft" state="frozen"/>
      <selection pane="topLeft" activeCell="A1" sqref="A1"/>
      <selection pane="bottomLeft" activeCell="B36" sqref="B36"/>
    </sheetView>
  </sheetViews>
  <sheetFormatPr defaultColWidth="9.140625" defaultRowHeight="12.75"/>
  <cols>
    <col min="1" max="1" width="24.8515625" style="0" customWidth="1"/>
    <col min="2" max="2" width="24.57421875" style="0" customWidth="1"/>
    <col min="3" max="3" width="16.7109375" style="0" customWidth="1"/>
    <col min="5" max="5" width="17.57421875" style="0" customWidth="1"/>
    <col min="6" max="6" width="30.28125" style="0" customWidth="1"/>
    <col min="9" max="9" width="22.57421875" style="0" bestFit="1" customWidth="1"/>
  </cols>
  <sheetData>
    <row r="1" ht="23.25">
      <c r="A1" s="1" t="s">
        <v>0</v>
      </c>
    </row>
    <row r="3" ht="12.75">
      <c r="C3" t="s">
        <v>1</v>
      </c>
    </row>
    <row r="5" spans="1:8" ht="15.75">
      <c r="A5" s="141" t="s">
        <v>51</v>
      </c>
      <c r="B5" s="141"/>
      <c r="C5" s="141"/>
      <c r="D5" s="141"/>
      <c r="E5" s="141"/>
      <c r="F5" s="141"/>
      <c r="H5" s="137">
        <f>+F54-F57</f>
        <v>30.800000000745058</v>
      </c>
    </row>
    <row r="7" spans="1:6" ht="12.75">
      <c r="A7" t="s">
        <v>2</v>
      </c>
      <c r="F7" s="17" t="s">
        <v>58</v>
      </c>
    </row>
    <row r="8" spans="1:6" ht="4.5" customHeight="1" thickBot="1">
      <c r="A8" s="2"/>
      <c r="B8" s="2"/>
      <c r="C8" s="2"/>
      <c r="D8" s="2"/>
      <c r="E8" s="2"/>
      <c r="F8" s="2"/>
    </row>
    <row r="9" spans="1:6" ht="14.25" thickBot="1" thickTop="1">
      <c r="A9" s="3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</row>
    <row r="10" spans="1:6" ht="13.5" thickTop="1">
      <c r="A10" s="18" t="s">
        <v>9</v>
      </c>
      <c r="B10" s="14">
        <v>9</v>
      </c>
      <c r="C10" s="14">
        <v>26</v>
      </c>
      <c r="D10" s="14"/>
      <c r="E10" s="30">
        <v>175</v>
      </c>
      <c r="F10" s="11">
        <f>SUM(B10*C10*E10)</f>
        <v>40950</v>
      </c>
    </row>
    <row r="11" spans="1:6" ht="12.75">
      <c r="A11" s="18" t="s">
        <v>9</v>
      </c>
      <c r="B11" s="14">
        <v>34</v>
      </c>
      <c r="C11" s="14">
        <v>52</v>
      </c>
      <c r="D11" s="14"/>
      <c r="E11" s="30">
        <v>175</v>
      </c>
      <c r="F11" s="11">
        <f aca="true" t="shared" si="0" ref="F11:F43">SUM(B11*C11*E11)</f>
        <v>309400</v>
      </c>
    </row>
    <row r="12" spans="1:6" ht="12.75">
      <c r="A12" s="18" t="s">
        <v>41</v>
      </c>
      <c r="B12" s="14">
        <v>11</v>
      </c>
      <c r="C12" s="14">
        <v>26</v>
      </c>
      <c r="D12" s="14"/>
      <c r="E12" s="30">
        <v>250</v>
      </c>
      <c r="F12" s="11">
        <f t="shared" si="0"/>
        <v>71500</v>
      </c>
    </row>
    <row r="13" spans="1:6" ht="12.75">
      <c r="A13" s="18" t="s">
        <v>41</v>
      </c>
      <c r="B13" s="14">
        <v>38</v>
      </c>
      <c r="C13" s="14">
        <v>52</v>
      </c>
      <c r="D13" s="14"/>
      <c r="E13" s="30">
        <v>250</v>
      </c>
      <c r="F13" s="11">
        <f t="shared" si="0"/>
        <v>494000</v>
      </c>
    </row>
    <row r="14" spans="1:6" ht="12.75">
      <c r="A14" s="18" t="s">
        <v>42</v>
      </c>
      <c r="B14" s="14">
        <v>2</v>
      </c>
      <c r="C14" s="14">
        <v>52</v>
      </c>
      <c r="D14" s="14"/>
      <c r="E14" s="30">
        <f>+E13*2</f>
        <v>500</v>
      </c>
      <c r="F14" s="11">
        <f t="shared" si="0"/>
        <v>52000</v>
      </c>
    </row>
    <row r="15" spans="1:6" ht="12.75">
      <c r="A15" s="18" t="s">
        <v>10</v>
      </c>
      <c r="B15" s="14">
        <v>34</v>
      </c>
      <c r="C15" s="14">
        <v>26</v>
      </c>
      <c r="D15" s="14"/>
      <c r="E15" s="30">
        <v>324</v>
      </c>
      <c r="F15" s="11">
        <f t="shared" si="0"/>
        <v>286416</v>
      </c>
    </row>
    <row r="16" spans="1:6" ht="12.75">
      <c r="A16" s="18" t="s">
        <v>10</v>
      </c>
      <c r="B16" s="14">
        <v>56</v>
      </c>
      <c r="C16" s="14">
        <v>52</v>
      </c>
      <c r="D16" s="14"/>
      <c r="E16" s="30">
        <f>+E15</f>
        <v>324</v>
      </c>
      <c r="F16" s="11">
        <f t="shared" si="0"/>
        <v>943488</v>
      </c>
    </row>
    <row r="17" spans="1:6" ht="12.75">
      <c r="A17" s="18" t="s">
        <v>52</v>
      </c>
      <c r="B17" s="14">
        <v>4</v>
      </c>
      <c r="C17" s="14">
        <v>52</v>
      </c>
      <c r="D17" s="14"/>
      <c r="E17" s="30">
        <f>+E16*4</f>
        <v>1296</v>
      </c>
      <c r="F17" s="11">
        <f t="shared" si="0"/>
        <v>269568</v>
      </c>
    </row>
    <row r="18" spans="1:6" ht="12.75">
      <c r="A18" s="18" t="s">
        <v>11</v>
      </c>
      <c r="B18" s="14">
        <v>17</v>
      </c>
      <c r="C18" s="14">
        <v>26</v>
      </c>
      <c r="D18" s="14"/>
      <c r="E18" s="30">
        <v>473</v>
      </c>
      <c r="F18" s="11">
        <f t="shared" si="0"/>
        <v>209066</v>
      </c>
    </row>
    <row r="19" spans="1:6" ht="12.75">
      <c r="A19" s="18" t="s">
        <v>11</v>
      </c>
      <c r="B19" s="14">
        <v>19</v>
      </c>
      <c r="C19" s="14">
        <v>52</v>
      </c>
      <c r="D19" s="14"/>
      <c r="E19" s="30">
        <f>+E18</f>
        <v>473</v>
      </c>
      <c r="F19" s="11">
        <f t="shared" si="0"/>
        <v>467324</v>
      </c>
    </row>
    <row r="20" spans="1:6" ht="12.75">
      <c r="A20" s="18" t="s">
        <v>53</v>
      </c>
      <c r="B20" s="14">
        <v>2</v>
      </c>
      <c r="C20" s="14">
        <v>52</v>
      </c>
      <c r="D20" s="14"/>
      <c r="E20" s="30">
        <f>+E18*2</f>
        <v>946</v>
      </c>
      <c r="F20" s="11">
        <f t="shared" si="0"/>
        <v>98384</v>
      </c>
    </row>
    <row r="21" spans="1:6" ht="12.75">
      <c r="A21" s="18" t="s">
        <v>12</v>
      </c>
      <c r="B21" s="14">
        <v>18</v>
      </c>
      <c r="C21" s="14">
        <v>26</v>
      </c>
      <c r="D21" s="14"/>
      <c r="E21" s="30">
        <v>613</v>
      </c>
      <c r="F21" s="11">
        <f t="shared" si="0"/>
        <v>286884</v>
      </c>
    </row>
    <row r="22" spans="1:6" ht="12.75">
      <c r="A22" s="18" t="s">
        <v>12</v>
      </c>
      <c r="B22" s="14">
        <v>4</v>
      </c>
      <c r="C22" s="14">
        <v>12</v>
      </c>
      <c r="D22" s="14"/>
      <c r="E22" s="30">
        <f>+E21</f>
        <v>613</v>
      </c>
      <c r="F22" s="11">
        <f t="shared" si="0"/>
        <v>29424</v>
      </c>
    </row>
    <row r="23" spans="1:6" ht="12.75">
      <c r="A23" s="18" t="s">
        <v>12</v>
      </c>
      <c r="B23" s="14">
        <v>33</v>
      </c>
      <c r="C23" s="14">
        <v>52</v>
      </c>
      <c r="D23" s="14"/>
      <c r="E23" s="30">
        <f>+E22</f>
        <v>613</v>
      </c>
      <c r="F23" s="11">
        <f t="shared" si="0"/>
        <v>1051908</v>
      </c>
    </row>
    <row r="24" spans="1:6" ht="12.75">
      <c r="A24" s="18" t="s">
        <v>13</v>
      </c>
      <c r="B24" s="14">
        <v>5</v>
      </c>
      <c r="C24" s="14">
        <v>26</v>
      </c>
      <c r="D24" s="14"/>
      <c r="E24" s="30">
        <v>840</v>
      </c>
      <c r="F24" s="11">
        <f t="shared" si="0"/>
        <v>109200</v>
      </c>
    </row>
    <row r="25" spans="1:6" ht="12.75">
      <c r="A25" s="18" t="s">
        <v>13</v>
      </c>
      <c r="B25" s="14">
        <v>26</v>
      </c>
      <c r="C25" s="14">
        <v>52</v>
      </c>
      <c r="D25" s="14"/>
      <c r="E25" s="30">
        <f>+E24</f>
        <v>840</v>
      </c>
      <c r="F25" s="11">
        <f t="shared" si="0"/>
        <v>1135680</v>
      </c>
    </row>
    <row r="26" spans="1:6" ht="12.75">
      <c r="A26" s="18" t="s">
        <v>13</v>
      </c>
      <c r="B26" s="14">
        <v>2</v>
      </c>
      <c r="C26" s="14">
        <v>104</v>
      </c>
      <c r="D26" s="14"/>
      <c r="E26" s="30">
        <f>+E25</f>
        <v>840</v>
      </c>
      <c r="F26" s="11">
        <f t="shared" si="0"/>
        <v>174720</v>
      </c>
    </row>
    <row r="27" spans="1:6" ht="12.75">
      <c r="A27" s="18" t="s">
        <v>43</v>
      </c>
      <c r="B27" s="14">
        <v>4</v>
      </c>
      <c r="C27" s="14">
        <v>104</v>
      </c>
      <c r="D27" s="14"/>
      <c r="E27" s="30">
        <f>E26*2</f>
        <v>1680</v>
      </c>
      <c r="F27" s="11">
        <f t="shared" si="0"/>
        <v>698880</v>
      </c>
    </row>
    <row r="28" spans="1:6" ht="12.75">
      <c r="A28" s="18" t="s">
        <v>56</v>
      </c>
      <c r="B28" s="14">
        <v>3</v>
      </c>
      <c r="C28" s="14">
        <v>52</v>
      </c>
      <c r="D28" s="14"/>
      <c r="E28" s="30">
        <f>E26*3</f>
        <v>2520</v>
      </c>
      <c r="F28" s="11">
        <f t="shared" si="0"/>
        <v>393120</v>
      </c>
    </row>
    <row r="29" spans="1:6" ht="12.75">
      <c r="A29" s="18" t="s">
        <v>14</v>
      </c>
      <c r="B29" s="14">
        <v>8</v>
      </c>
      <c r="C29" s="14">
        <v>26</v>
      </c>
      <c r="D29" s="14"/>
      <c r="E29" s="30">
        <v>980</v>
      </c>
      <c r="F29" s="11">
        <f t="shared" si="0"/>
        <v>203840</v>
      </c>
    </row>
    <row r="30" spans="1:6" ht="12.75">
      <c r="A30" s="18" t="s">
        <v>14</v>
      </c>
      <c r="B30" s="14">
        <v>29</v>
      </c>
      <c r="C30" s="14">
        <v>52</v>
      </c>
      <c r="D30" s="14"/>
      <c r="E30" s="30">
        <f>+E29</f>
        <v>980</v>
      </c>
      <c r="F30" s="11">
        <f t="shared" si="0"/>
        <v>1477840</v>
      </c>
    </row>
    <row r="31" spans="1:6" ht="12.75">
      <c r="A31" s="18" t="s">
        <v>14</v>
      </c>
      <c r="B31" s="14">
        <v>1</v>
      </c>
      <c r="C31" s="14">
        <v>104</v>
      </c>
      <c r="D31" s="14"/>
      <c r="E31" s="30">
        <f>+E30</f>
        <v>980</v>
      </c>
      <c r="F31" s="11">
        <f t="shared" si="0"/>
        <v>101920</v>
      </c>
    </row>
    <row r="32" spans="1:6" ht="12.75">
      <c r="A32" s="18" t="s">
        <v>14</v>
      </c>
      <c r="B32" s="14">
        <v>2</v>
      </c>
      <c r="C32" s="14">
        <v>156</v>
      </c>
      <c r="D32" s="14"/>
      <c r="E32" s="30">
        <f>+E31</f>
        <v>980</v>
      </c>
      <c r="F32" s="11">
        <f t="shared" si="0"/>
        <v>305760</v>
      </c>
    </row>
    <row r="33" spans="1:6" ht="12.75">
      <c r="A33" s="18" t="s">
        <v>44</v>
      </c>
      <c r="B33" s="14">
        <v>2</v>
      </c>
      <c r="C33" s="14">
        <v>52</v>
      </c>
      <c r="D33" s="14"/>
      <c r="E33" s="30">
        <f>+E29*2</f>
        <v>1960</v>
      </c>
      <c r="F33" s="11">
        <f t="shared" si="0"/>
        <v>203840</v>
      </c>
    </row>
    <row r="34" spans="1:6" ht="12.75">
      <c r="A34" s="18" t="s">
        <v>45</v>
      </c>
      <c r="B34" s="14">
        <v>3</v>
      </c>
      <c r="C34" s="14">
        <v>52</v>
      </c>
      <c r="D34" s="14"/>
      <c r="E34" s="30">
        <f>+E29*3</f>
        <v>2940</v>
      </c>
      <c r="F34" s="11">
        <f t="shared" si="0"/>
        <v>458640</v>
      </c>
    </row>
    <row r="35" spans="1:6" ht="12.75">
      <c r="A35" s="5" t="s">
        <v>21</v>
      </c>
      <c r="B35" s="21">
        <v>1.6</v>
      </c>
      <c r="C35" s="5">
        <v>52</v>
      </c>
      <c r="D35" s="5"/>
      <c r="E35" s="32">
        <v>34</v>
      </c>
      <c r="F35" s="11">
        <f t="shared" si="0"/>
        <v>2828.8</v>
      </c>
    </row>
    <row r="36" spans="1:6" ht="12.75">
      <c r="A36" s="18" t="s">
        <v>27</v>
      </c>
      <c r="B36" s="14">
        <v>3</v>
      </c>
      <c r="C36" s="14">
        <v>52</v>
      </c>
      <c r="D36" s="14"/>
      <c r="E36" s="33">
        <v>34</v>
      </c>
      <c r="F36" s="11">
        <f t="shared" si="0"/>
        <v>5304</v>
      </c>
    </row>
    <row r="37" spans="1:6" ht="12.75">
      <c r="A37" s="18" t="s">
        <v>28</v>
      </c>
      <c r="B37" s="14">
        <v>3</v>
      </c>
      <c r="C37" s="14">
        <v>52</v>
      </c>
      <c r="D37" s="14"/>
      <c r="E37" s="19">
        <v>51</v>
      </c>
      <c r="F37" s="11">
        <f t="shared" si="0"/>
        <v>7956</v>
      </c>
    </row>
    <row r="38" spans="1:6" ht="12.75">
      <c r="A38" s="18" t="s">
        <v>24</v>
      </c>
      <c r="B38" s="14">
        <v>28</v>
      </c>
      <c r="C38" s="14">
        <v>52</v>
      </c>
      <c r="D38" s="14"/>
      <c r="E38" s="19">
        <v>77</v>
      </c>
      <c r="F38" s="11">
        <f t="shared" si="0"/>
        <v>112112</v>
      </c>
    </row>
    <row r="39" spans="1:6" ht="12.75">
      <c r="A39" s="18" t="s">
        <v>37</v>
      </c>
      <c r="B39" s="14">
        <v>4</v>
      </c>
      <c r="C39" s="14">
        <v>52</v>
      </c>
      <c r="D39" s="14"/>
      <c r="E39" s="19">
        <f>+E38*2</f>
        <v>154</v>
      </c>
      <c r="F39" s="11">
        <f t="shared" si="0"/>
        <v>32032</v>
      </c>
    </row>
    <row r="40" spans="1:6" ht="12.75">
      <c r="A40" s="18" t="s">
        <v>46</v>
      </c>
      <c r="B40" s="14">
        <v>6</v>
      </c>
      <c r="C40" s="14">
        <v>52</v>
      </c>
      <c r="D40" s="14"/>
      <c r="E40" s="19">
        <f>+E38*3</f>
        <v>231</v>
      </c>
      <c r="F40" s="11">
        <f t="shared" si="0"/>
        <v>72072</v>
      </c>
    </row>
    <row r="41" spans="1:6" ht="12.75">
      <c r="A41" s="18" t="s">
        <v>47</v>
      </c>
      <c r="B41" s="14">
        <v>4</v>
      </c>
      <c r="C41" s="14">
        <v>52</v>
      </c>
      <c r="D41" s="14"/>
      <c r="E41" s="19">
        <f>+E38*4</f>
        <v>308</v>
      </c>
      <c r="F41" s="11">
        <f t="shared" si="0"/>
        <v>64064</v>
      </c>
    </row>
    <row r="42" spans="1:6" ht="12.75">
      <c r="A42" s="18" t="s">
        <v>57</v>
      </c>
      <c r="B42" s="14">
        <v>10</v>
      </c>
      <c r="C42" s="14">
        <v>52</v>
      </c>
      <c r="D42" s="14"/>
      <c r="E42" s="19">
        <f>+E38*5</f>
        <v>385</v>
      </c>
      <c r="F42" s="11">
        <f t="shared" si="0"/>
        <v>200200</v>
      </c>
    </row>
    <row r="43" spans="1:6" ht="12.75">
      <c r="A43" s="18" t="s">
        <v>48</v>
      </c>
      <c r="B43" s="14">
        <v>9</v>
      </c>
      <c r="C43" s="14">
        <v>52</v>
      </c>
      <c r="D43" s="14"/>
      <c r="E43" s="19">
        <f>+E38*9</f>
        <v>693</v>
      </c>
      <c r="F43" s="11">
        <f t="shared" si="0"/>
        <v>324324</v>
      </c>
    </row>
    <row r="44" spans="1:6" ht="12.75">
      <c r="A44" s="15" t="s">
        <v>38</v>
      </c>
      <c r="B44" s="14"/>
      <c r="C44" s="14">
        <v>31</v>
      </c>
      <c r="D44" s="5"/>
      <c r="E44" s="12">
        <v>1800</v>
      </c>
      <c r="F44" s="11">
        <f>SUM(C44*E44)</f>
        <v>55800</v>
      </c>
    </row>
    <row r="45" spans="1:6" ht="12.75">
      <c r="A45" s="15" t="s">
        <v>15</v>
      </c>
      <c r="B45" s="14"/>
      <c r="C45" s="18">
        <v>220</v>
      </c>
      <c r="D45" s="5"/>
      <c r="E45" s="12">
        <v>2400</v>
      </c>
      <c r="F45" s="11">
        <f aca="true" t="shared" si="1" ref="F45:F52">SUM(C45*E45)</f>
        <v>528000</v>
      </c>
    </row>
    <row r="46" spans="1:6" ht="12.75">
      <c r="A46" s="15" t="s">
        <v>16</v>
      </c>
      <c r="B46" s="14"/>
      <c r="C46" s="14">
        <v>851</v>
      </c>
      <c r="D46" s="5"/>
      <c r="E46" s="12">
        <v>3600</v>
      </c>
      <c r="F46" s="11">
        <f t="shared" si="1"/>
        <v>3063600</v>
      </c>
    </row>
    <row r="47" spans="1:6" ht="12.75">
      <c r="A47" s="15" t="s">
        <v>39</v>
      </c>
      <c r="B47" s="14"/>
      <c r="C47" s="14">
        <v>65</v>
      </c>
      <c r="D47" s="5"/>
      <c r="E47" s="12">
        <v>4800</v>
      </c>
      <c r="F47" s="11">
        <f t="shared" si="1"/>
        <v>312000</v>
      </c>
    </row>
    <row r="48" spans="1:6" ht="12.75">
      <c r="A48" s="15" t="s">
        <v>40</v>
      </c>
      <c r="B48" s="14"/>
      <c r="C48" s="14">
        <v>5</v>
      </c>
      <c r="D48" s="5"/>
      <c r="E48" s="12">
        <v>6000</v>
      </c>
      <c r="F48" s="11">
        <f t="shared" si="1"/>
        <v>30000</v>
      </c>
    </row>
    <row r="49" spans="1:6" ht="12.75">
      <c r="A49" s="15" t="s">
        <v>54</v>
      </c>
      <c r="B49" s="14"/>
      <c r="C49" s="14">
        <v>4</v>
      </c>
      <c r="D49" s="5"/>
      <c r="E49" s="12">
        <v>5400</v>
      </c>
      <c r="F49" s="11">
        <f t="shared" si="1"/>
        <v>21600</v>
      </c>
    </row>
    <row r="50" spans="1:6" ht="12.75">
      <c r="A50" s="15" t="s">
        <v>17</v>
      </c>
      <c r="B50" s="14"/>
      <c r="C50" s="14">
        <v>12</v>
      </c>
      <c r="D50" s="5"/>
      <c r="E50" s="12">
        <v>9000</v>
      </c>
      <c r="F50" s="11">
        <f t="shared" si="1"/>
        <v>108000</v>
      </c>
    </row>
    <row r="51" spans="1:6" ht="12.75">
      <c r="A51" s="15" t="s">
        <v>18</v>
      </c>
      <c r="B51" s="14"/>
      <c r="C51" s="14">
        <v>97</v>
      </c>
      <c r="D51" s="5"/>
      <c r="E51" s="12">
        <v>10800</v>
      </c>
      <c r="F51" s="11">
        <f t="shared" si="1"/>
        <v>1047600</v>
      </c>
    </row>
    <row r="52" spans="1:6" ht="12.75">
      <c r="A52" s="15" t="s">
        <v>29</v>
      </c>
      <c r="B52" s="14"/>
      <c r="C52" s="14">
        <v>1</v>
      </c>
      <c r="D52" s="5"/>
      <c r="E52" s="12">
        <f>+E51/30*40</f>
        <v>14400</v>
      </c>
      <c r="F52" s="11">
        <f t="shared" si="1"/>
        <v>14400</v>
      </c>
    </row>
    <row r="53" spans="1:6" ht="13.5" thickBot="1">
      <c r="A53" s="105" t="s">
        <v>19</v>
      </c>
      <c r="B53" s="6">
        <f>SUM(B10:B52)</f>
        <v>434.6</v>
      </c>
      <c r="C53" s="6">
        <f>SUM(C10:C52)</f>
        <v>3092</v>
      </c>
      <c r="D53" s="6"/>
      <c r="E53" s="31"/>
      <c r="F53" s="16"/>
    </row>
    <row r="54" spans="5:6" ht="14.25" thickBot="1" thickTop="1">
      <c r="E54" s="4" t="s">
        <v>20</v>
      </c>
      <c r="F54" s="13">
        <f>SUM(F10:F53)</f>
        <v>15875644.8</v>
      </c>
    </row>
    <row r="55" ht="13.5" thickTop="1"/>
    <row r="57" ht="12.75">
      <c r="F57" s="103">
        <v>15875614</v>
      </c>
    </row>
  </sheetData>
  <sheetProtection/>
  <mergeCells count="1">
    <mergeCell ref="A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WMX Technologies, Inc.</dc:creator>
  <cp:keywords/>
  <dc:description/>
  <cp:lastModifiedBy>Weinstein, Mike</cp:lastModifiedBy>
  <cp:lastPrinted>2011-01-27T21:09:42Z</cp:lastPrinted>
  <dcterms:created xsi:type="dcterms:W3CDTF">2000-01-25T20:04:16Z</dcterms:created>
  <dcterms:modified xsi:type="dcterms:W3CDTF">2020-02-14T16:37:58Z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fidentiality">
    <vt:lpwstr>None</vt:lpwstr>
  </property>
  <property fmtid="{D5CDD505-2E9C-101B-9397-08002B2CF9AE}" pid="5" name="DocumentDescription">
    <vt:lpwstr>Accounting workpapers</vt:lpwstr>
  </property>
  <property fmtid="{D5CDD505-2E9C-101B-9397-08002B2CF9AE}" pid="6" name="EFilingId">
    <vt:lpwstr>16757.0000000000</vt:lpwstr>
  </property>
  <property fmtid="{D5CDD505-2E9C-101B-9397-08002B2CF9AE}" pid="7" name="DocumentSetType">
    <vt:lpwstr>Workpapers</vt:lpwstr>
  </property>
  <property fmtid="{D5CDD505-2E9C-101B-9397-08002B2CF9AE}" pid="8" name="IsDocumentOrder">
    <vt:lpwstr>0</vt:lpwstr>
  </property>
  <property fmtid="{D5CDD505-2E9C-101B-9397-08002B2CF9AE}" pid="9" name="IsHighlyConfidential">
    <vt:lpwstr>0</vt:lpwstr>
  </property>
  <property fmtid="{D5CDD505-2E9C-101B-9397-08002B2CF9AE}" pid="10" name="CaseCompanyNames">
    <vt:lpwstr>Waste Management of Washington, Inc.</vt:lpwstr>
  </property>
  <property fmtid="{D5CDD505-2E9C-101B-9397-08002B2CF9AE}" pid="11" name="IsConfidential">
    <vt:lpwstr>0</vt:lpwstr>
  </property>
  <property fmtid="{D5CDD505-2E9C-101B-9397-08002B2CF9AE}" pid="12" name="IsEFSEC">
    <vt:lpwstr>0</vt:lpwstr>
  </property>
  <property fmtid="{D5CDD505-2E9C-101B-9397-08002B2CF9AE}" pid="13" name="DocketNumber">
    <vt:lpwstr>200119</vt:lpwstr>
  </property>
  <property fmtid="{D5CDD505-2E9C-101B-9397-08002B2CF9AE}" pid="14" name="Date1">
    <vt:lpwstr>2020-02-14T00:00:00Z</vt:lpwstr>
  </property>
  <property fmtid="{D5CDD505-2E9C-101B-9397-08002B2CF9AE}" pid="15" name="Nickname">
    <vt:lpwstr/>
  </property>
  <property fmtid="{D5CDD505-2E9C-101B-9397-08002B2CF9AE}" pid="16" name="CaseType">
    <vt:lpwstr>Tariff Revision</vt:lpwstr>
  </property>
  <property fmtid="{D5CDD505-2E9C-101B-9397-08002B2CF9AE}" pid="17" name="OpenedDate">
    <vt:lpwstr>2020-02-14T00:00:00Z</vt:lpwstr>
  </property>
  <property fmtid="{D5CDD505-2E9C-101B-9397-08002B2CF9AE}" pid="18" name="Prefix">
    <vt:lpwstr>TG</vt:lpwstr>
  </property>
  <property fmtid="{D5CDD505-2E9C-101B-9397-08002B2CF9AE}" pid="19" name="IndustryCode">
    <vt:lpwstr>227</vt:lpwstr>
  </property>
  <property fmtid="{D5CDD505-2E9C-101B-9397-08002B2CF9AE}" pid="20" name="CaseStatus">
    <vt:lpwstr>Closed</vt:lpwstr>
  </property>
  <property fmtid="{D5CDD505-2E9C-101B-9397-08002B2CF9AE}" pid="21" name="_docset_NoMedatataSyncRequired">
    <vt:lpwstr>False</vt:lpwstr>
  </property>
</Properties>
</file>