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Assumptions" sheetId="1" r:id="rId1"/>
    <sheet name="Revenues" sheetId="2" r:id="rId2"/>
    <sheet name="Three-Year Cost Summary" sheetId="3" r:id="rId3"/>
    <sheet name="Historical Gas Usage" sheetId="4" r:id="rId4"/>
    <sheet name="Historical Participation" sheetId="5" r:id="rId5"/>
  </sheets>
  <externalReferences>
    <externalReference r:id="rId8"/>
    <externalReference r:id="rId9"/>
  </externalReferences>
  <definedNames>
    <definedName name="_xlnm.Print_Area" localSheetId="0">'Assumptions'!$A$1:$J$29</definedName>
    <definedName name="_xlnm.Print_Area" localSheetId="3">'Historical Gas Usage'!$A$1:$E$14</definedName>
    <definedName name="_xlnm.Print_Area" localSheetId="1">'Revenues'!$A$1:$O$37</definedName>
    <definedName name="_xlnm.Print_Area" localSheetId="2">'Three-Year Cost Summary'!$A$1:$F$36</definedName>
  </definedNames>
  <calcPr fullCalcOnLoad="1"/>
</workbook>
</file>

<file path=xl/sharedStrings.xml><?xml version="1.0" encoding="utf-8"?>
<sst xmlns="http://schemas.openxmlformats.org/spreadsheetml/2006/main" count="119" uniqueCount="88">
  <si>
    <t>January</t>
  </si>
  <si>
    <t>February</t>
  </si>
  <si>
    <t xml:space="preserve">March 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</si>
  <si>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</si>
  <si>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</si>
  <si>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</si>
  <si>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</si>
  <si>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</si>
  <si>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</si>
  <si>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</si>
  <si>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</si>
  <si>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</si>
  <si>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</si>
  <si>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Pounds</t>
  </si>
  <si>
    <t>Marketing</t>
  </si>
  <si>
    <t>Year</t>
  </si>
  <si>
    <t>Monthly Average</t>
  </si>
  <si>
    <r>
      <t>Actual</t>
    </r>
    <r>
      <rPr>
        <sz val="12"/>
        <rFont val="Arial"/>
        <family val="2"/>
      </rPr>
      <t xml:space="preserve"> </t>
    </r>
  </si>
  <si>
    <t>Default Factors for Calculation MethodologyFederal Register, Vol. 74, No. 209, Page 56503</t>
  </si>
  <si>
    <t xml:space="preserve">There are 11.69 lbs. of carbon dioxide (CO2) per therm of natural gas.  Source:  EPA Mandatory GHG Reporting Rule, Table NN-1 to Subpart NN of 40 CFR Part 98 - </t>
  </si>
  <si>
    <t xml:space="preserve">Average Natural Gas Consumption (therms) and Carbon Dioxide Emissions (pounds) per Residential Customer </t>
  </si>
  <si>
    <t>Estimate of Customer Participation and Projected Revenues</t>
  </si>
  <si>
    <t xml:space="preserve">New Customers </t>
  </si>
  <si>
    <t>Total Customers</t>
  </si>
  <si>
    <t>Metric Tons</t>
  </si>
  <si>
    <t>Assumptions:</t>
  </si>
  <si>
    <t xml:space="preserve">Number of Blocks Purchased </t>
  </si>
  <si>
    <t>Rate</t>
  </si>
  <si>
    <t>Customers Purchasing at each Quantity</t>
  </si>
  <si>
    <t>Expenses</t>
  </si>
  <si>
    <t>Administration</t>
  </si>
  <si>
    <t>Purchase of Carbon Offsets</t>
  </si>
  <si>
    <t>Total</t>
  </si>
  <si>
    <t>Anticipated Program Costs and Expenses</t>
  </si>
  <si>
    <t xml:space="preserve">Administration Expenses - </t>
  </si>
  <si>
    <t>Percentage of Staff Salary Dedicated to Program</t>
  </si>
  <si>
    <t>Energy Advisor</t>
  </si>
  <si>
    <t>Pounds of Carbon Dioxide (CO2) Emissions per Therm</t>
  </si>
  <si>
    <t>PSE Proposed Charge for One Carbon Offset Block (offsets one half month's CO2 emissions)</t>
  </si>
  <si>
    <t>One Half Month's Therms Offset by One Block Purchase</t>
  </si>
  <si>
    <t>Metric Tons of CO2 Emissions in One Half Month's Therm Consumption</t>
  </si>
  <si>
    <t>Equivalent Pounds of CO2</t>
  </si>
  <si>
    <t>Equivalent Metric Tons of CO2</t>
  </si>
  <si>
    <t>Equivalent Therms Offset</t>
  </si>
  <si>
    <t xml:space="preserve">PSE Proposed Charge for Two Carbon Offset Blocks </t>
  </si>
  <si>
    <t>Overheads</t>
  </si>
  <si>
    <t>Estimated Cost to Offset Monthly CO2 Emissions from an Average Residential Home</t>
  </si>
  <si>
    <t>Summary of Costs and Charges</t>
  </si>
  <si>
    <t>Pounds of CO2 Emissions Purchased by PSE per Block Purchased by Customer</t>
  </si>
  <si>
    <t>2017 Carbon Balance Customer Growth</t>
  </si>
  <si>
    <t>2018 Carbon Balance Customer Growth</t>
  </si>
  <si>
    <t>2019 Carbon Balance Customer Growth</t>
  </si>
  <si>
    <t>Product Manager</t>
  </si>
  <si>
    <t>Program Coordinator</t>
  </si>
  <si>
    <t>2020 Anticipated Customer Growth</t>
  </si>
  <si>
    <t>2021 Anticipated Customer Growth</t>
  </si>
  <si>
    <t>2022 Anticipated Customer Growth</t>
  </si>
  <si>
    <t>Annual Therms</t>
  </si>
  <si>
    <t>LBS of CO2</t>
  </si>
  <si>
    <t>Average</t>
  </si>
  <si>
    <t>PSE Carbon Balance Assumptions</t>
  </si>
  <si>
    <t>Normalized</t>
  </si>
  <si>
    <t>Monthly customer participation numbers based on previous years monthly growth average.</t>
  </si>
  <si>
    <t>Grants</t>
  </si>
  <si>
    <t>Revenue ($4.20* per customer)</t>
  </si>
  <si>
    <t xml:space="preserve">Blocks (1.4** per customer) </t>
  </si>
  <si>
    <t>*Weighted Average Rate per Customer</t>
  </si>
  <si>
    <t>**Weighted Average Number of Blocks per Customer</t>
  </si>
  <si>
    <t>Customers</t>
  </si>
  <si>
    <t xml:space="preserve">Estimated Program Expenses divided by Estimated Blocks Purchased (Revenues) </t>
  </si>
  <si>
    <t xml:space="preserve">Carbon Offset Service Reserve </t>
  </si>
  <si>
    <t>Cumulative Reserve</t>
  </si>
  <si>
    <t>Historical Reserves</t>
  </si>
  <si>
    <t>Blocks Purchased by Customer</t>
  </si>
  <si>
    <t>PSE Residential Natural Gas Customer Count as of December 31, 2019</t>
  </si>
  <si>
    <t>Total Revenues (w/ Conversion Factor 0.954537993)</t>
  </si>
  <si>
    <t>**Total with conversion factor 0.954537993</t>
  </si>
  <si>
    <t>Expected Price per Carbon Offset</t>
  </si>
  <si>
    <t>March</t>
  </si>
  <si>
    <t>June</t>
  </si>
  <si>
    <t xml:space="preserve">December </t>
  </si>
  <si>
    <t>2019 Customer Growth Percentage</t>
  </si>
  <si>
    <t xml:space="preserve">2021 &amp; 2022 carbon offset pricing is based on supplier estimates. </t>
  </si>
  <si>
    <t xml:space="preserve">2020 offset pricing is based on supply contracts that are currently in place. </t>
  </si>
  <si>
    <t>5-Year Average Annual Residential Usage - therms</t>
  </si>
  <si>
    <t>5-Year Average Monthly Residential Usage - therms</t>
  </si>
  <si>
    <t>5-Year Average Monthly CO2 Emissions - lbs</t>
  </si>
  <si>
    <t>5-Year Average Monthly CO2 Emissions - metric tons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</si>
</sst>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[Red]\(&quot;$&quot;#,##0.0000\)"/>
    <numFmt numFmtId="165" formatCode="&quot;$&quot;#,##0.0_);[Red]\(&quot;$&quot;#,##0.0\)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.000_);[Red]\(&quot;$&quot;#,##0.000\)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(&quot;$&quot;* #,##0.000_);_(&quot;$&quot;* \(#,##0.000\);_(&quot;$&quot;* &quot;-&quot;??_);_(@_)"/>
    <numFmt numFmtId="178" formatCode="_(* #,##0.000_);_(* \(#,##0.000\);_(* &quot;-&quot;???_);_(@_)"/>
    <numFmt numFmtId="179" formatCode="_(&quot;$&quot;* #,##0.0000_);_(&quot;$&quot;* \(#,##0.0000\);_(&quot;$&quot;* &quot;-&quot;??_);_(@_)"/>
    <numFmt numFmtId="180" formatCode="0.0%"/>
    <numFmt numFmtId="181" formatCode="0.00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  <numFmt numFmtId="187" formatCode="[$-409]dd\-mmm\-yy;@"/>
    <numFmt numFmtId="188" formatCode="[$-409]d\-mmm\-yy;@"/>
    <numFmt numFmtId="189" formatCode="[$-409]mmmm\ d\,\ yyyy;@"/>
    <numFmt numFmtId="190" formatCode="#,##0.0"/>
    <numFmt numFmtId="191" formatCode="m/d/yy;@"/>
    <numFmt numFmtId="192" formatCode="&quot;$&quot;#,##0.000000_);[Red]\(&quot;$&quot;#,##0.000000\)"/>
    <numFmt numFmtId="193" formatCode="&quot;$&quot;#,##0.000000000_);[Red]\(&quot;$&quot;#,##0.000000000\)"/>
    <numFmt numFmtId="194" formatCode="[$-409]h:mm:ss\ AM/PM"/>
    <numFmt numFmtId="195" formatCode="0.000%"/>
    <numFmt numFmtId="196" formatCode="&quot;$&quot;#,##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33" borderId="0" xfId="0" applyNumberFormat="1" applyFont="1" applyFill="1" applyAlignment="1">
      <alignment/>
    </xf>
    <xf numFmtId="6" fontId="2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6" fontId="2" fillId="33" borderId="0" xfId="0" applyNumberFormat="1" applyFont="1" applyFill="1" applyAlignment="1">
      <alignment horizontal="right"/>
    </xf>
    <xf numFmtId="44" fontId="0" fillId="0" borderId="0" xfId="44" applyFont="1" applyAlignment="1">
      <alignment/>
    </xf>
    <xf numFmtId="176" fontId="0" fillId="0" borderId="0" xfId="0" applyNumberFormat="1" applyAlignment="1">
      <alignment/>
    </xf>
    <xf numFmtId="43" fontId="0" fillId="0" borderId="0" xfId="0" applyNumberFormat="1" applyAlignment="1">
      <alignment/>
    </xf>
    <xf numFmtId="9" fontId="0" fillId="0" borderId="0" xfId="59" applyFont="1" applyAlignment="1">
      <alignment/>
    </xf>
    <xf numFmtId="6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 indent="3"/>
    </xf>
    <xf numFmtId="37" fontId="0" fillId="0" borderId="0" xfId="44" applyNumberFormat="1" applyFont="1" applyAlignment="1">
      <alignment/>
    </xf>
    <xf numFmtId="38" fontId="0" fillId="0" borderId="0" xfId="0" applyNumberFormat="1" applyAlignment="1">
      <alignment/>
    </xf>
    <xf numFmtId="167" fontId="2" fillId="33" borderId="0" xfId="0" applyNumberFormat="1" applyFont="1" applyFill="1" applyAlignment="1">
      <alignment horizontal="right"/>
    </xf>
    <xf numFmtId="167" fontId="0" fillId="0" borderId="0" xfId="42" applyNumberFormat="1" applyFont="1" applyAlignment="1">
      <alignment/>
    </xf>
    <xf numFmtId="167" fontId="0" fillId="33" borderId="0" xfId="0" applyNumberFormat="1" applyFill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44" applyNumberFormat="1" applyFont="1" applyAlignment="1">
      <alignment/>
    </xf>
    <xf numFmtId="170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6" fontId="2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1" fontId="8" fillId="0" borderId="12" xfId="0" applyNumberFormat="1" applyFont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167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2" fillId="33" borderId="14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8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6" fontId="1" fillId="0" borderId="0" xfId="0" applyNumberFormat="1" applyFont="1" applyAlignment="1">
      <alignment/>
    </xf>
    <xf numFmtId="167" fontId="1" fillId="0" borderId="0" xfId="42" applyNumberFormat="1" applyFont="1" applyAlignment="1">
      <alignment/>
    </xf>
    <xf numFmtId="0" fontId="1" fillId="0" borderId="14" xfId="0" applyFont="1" applyBorder="1" applyAlignment="1">
      <alignment/>
    </xf>
    <xf numFmtId="9" fontId="1" fillId="0" borderId="14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right"/>
    </xf>
    <xf numFmtId="6" fontId="0" fillId="0" borderId="15" xfId="0" applyNumberForma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Alignment="1">
      <alignment/>
    </xf>
    <xf numFmtId="9" fontId="1" fillId="0" borderId="0" xfId="59" applyFont="1" applyFill="1" applyAlignment="1">
      <alignment/>
    </xf>
    <xf numFmtId="9" fontId="1" fillId="0" borderId="0" xfId="0" applyNumberFormat="1" applyFont="1" applyFill="1" applyAlignment="1">
      <alignment/>
    </xf>
    <xf numFmtId="9" fontId="1" fillId="0" borderId="0" xfId="0" applyNumberFormat="1" applyFont="1" applyFill="1" applyBorder="1" applyAlignment="1">
      <alignment/>
    </xf>
    <xf numFmtId="167" fontId="0" fillId="0" borderId="0" xfId="42" applyNumberFormat="1" applyFont="1" applyFill="1" applyAlignment="1">
      <alignment/>
    </xf>
    <xf numFmtId="44" fontId="0" fillId="0" borderId="0" xfId="44" applyNumberFormat="1" applyFont="1" applyAlignment="1">
      <alignment/>
    </xf>
    <xf numFmtId="8" fontId="1" fillId="0" borderId="0" xfId="0" applyNumberFormat="1" applyFont="1" applyAlignment="1">
      <alignment/>
    </xf>
    <xf numFmtId="8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44" fontId="0" fillId="0" borderId="0" xfId="44" applyFont="1" applyFill="1" applyAlignment="1">
      <alignment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3" fontId="0" fillId="0" borderId="1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8" fillId="0" borderId="10" xfId="0" applyFont="1" applyBorder="1" applyAlignment="1">
      <alignment horizontal="center"/>
    </xf>
    <xf numFmtId="0" fontId="2" fillId="0" borderId="0" xfId="41" applyFont="1" applyFill="1" applyBorder="1" applyAlignment="1">
      <alignment/>
    </xf>
    <xf numFmtId="0" fontId="2" fillId="0" borderId="0" xfId="41" applyFont="1" applyFill="1" applyBorder="1" applyAlignment="1">
      <alignment/>
    </xf>
    <xf numFmtId="7" fontId="5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2" fillId="34" borderId="0" xfId="0" applyNumberFormat="1" applyFont="1" applyFill="1" applyAlignment="1">
      <alignment/>
    </xf>
    <xf numFmtId="167" fontId="2" fillId="34" borderId="0" xfId="42" applyNumberFormat="1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8" fontId="2" fillId="0" borderId="0" xfId="0" applyNumberFormat="1" applyFont="1" applyAlignment="1">
      <alignment/>
    </xf>
    <xf numFmtId="0" fontId="37" fillId="28" borderId="18" xfId="41" applyBorder="1" applyAlignment="1">
      <alignment horizontal="center"/>
    </xf>
    <xf numFmtId="0" fontId="0" fillId="0" borderId="10" xfId="0" applyBorder="1" applyAlignment="1">
      <alignment/>
    </xf>
    <xf numFmtId="6" fontId="0" fillId="0" borderId="0" xfId="0" applyNumberFormat="1" applyFill="1" applyAlignment="1">
      <alignment/>
    </xf>
    <xf numFmtId="167" fontId="0" fillId="0" borderId="0" xfId="42" applyNumberFormat="1" applyFont="1" applyBorder="1" applyAlignment="1">
      <alignment/>
    </xf>
    <xf numFmtId="44" fontId="2" fillId="0" borderId="0" xfId="44" applyFont="1" applyAlignment="1">
      <alignment horizontal="right"/>
    </xf>
    <xf numFmtId="44" fontId="0" fillId="0" borderId="0" xfId="44" applyFont="1" applyAlignment="1">
      <alignment horizontal="right"/>
    </xf>
    <xf numFmtId="44" fontId="2" fillId="0" borderId="0" xfId="44" applyNumberFormat="1" applyFont="1" applyAlignment="1">
      <alignment horizontal="right"/>
    </xf>
    <xf numFmtId="176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0" fillId="0" borderId="14" xfId="0" applyFont="1" applyBorder="1" applyAlignment="1">
      <alignment horizontal="right"/>
    </xf>
    <xf numFmtId="9" fontId="2" fillId="0" borderId="0" xfId="59" applyFont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ill="1" applyAlignment="1">
      <alignment horizontal="right"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6" fontId="52" fillId="0" borderId="10" xfId="0" applyNumberFormat="1" applyFont="1" applyBorder="1" applyAlignment="1">
      <alignment/>
    </xf>
    <xf numFmtId="195" fontId="0" fillId="0" borderId="10" xfId="0" applyNumberFormat="1" applyBorder="1" applyAlignment="1">
      <alignment/>
    </xf>
    <xf numFmtId="196" fontId="2" fillId="0" borderId="0" xfId="42" applyNumberFormat="1" applyFont="1" applyBorder="1" applyAlignment="1">
      <alignment/>
    </xf>
    <xf numFmtId="196" fontId="2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Fill="1" applyAlignment="1">
      <alignment horizontal="left"/>
    </xf>
    <xf numFmtId="0" fontId="37" fillId="28" borderId="10" xfId="4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5"/>
          <c:y val="0.091"/>
          <c:w val="0.97375"/>
          <c:h val="0.91575"/>
        </c:manualLayout>
      </c:layout>
      <c:lineChart>
        <c:grouping val="standard"/>
        <c:varyColors val="0"/>
        <c:ser>
          <c:idx val="0"/>
          <c:order val="0"/>
          <c:tx>
            <c:strRef>
              <c:f>'[1]Historical Participation'!$B$1</c:f>
              <c:strCache>
                <c:ptCount val="1"/>
                <c:pt idx="0">
                  <c:v>Customers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'[1]Historical Participation'!$A$2:$A$9</c:f>
              <c:num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'[1]Historical Participation'!$B$2:$B$9</c:f>
              <c:numCache>
                <c:ptCount val="8"/>
                <c:pt idx="0">
                  <c:v>750</c:v>
                </c:pt>
                <c:pt idx="1">
                  <c:v>1299</c:v>
                </c:pt>
                <c:pt idx="2">
                  <c:v>1265</c:v>
                </c:pt>
                <c:pt idx="3">
                  <c:v>1179</c:v>
                </c:pt>
                <c:pt idx="4">
                  <c:v>1119</c:v>
                </c:pt>
                <c:pt idx="5">
                  <c:v>1142</c:v>
                </c:pt>
                <c:pt idx="6">
                  <c:v>2264</c:v>
                </c:pt>
                <c:pt idx="7">
                  <c:v>7507</c:v>
                </c:pt>
              </c:numCache>
            </c:numRef>
          </c:val>
          <c:smooth val="0"/>
        </c:ser>
        <c:marker val="1"/>
        <c:axId val="27592787"/>
        <c:axId val="47008492"/>
      </c:lineChart>
      <c:catAx>
        <c:axId val="275927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008492"/>
        <c:crosses val="autoZero"/>
        <c:auto val="1"/>
        <c:lblOffset val="100"/>
        <c:tickLblSkip val="1"/>
        <c:noMultiLvlLbl val="0"/>
      </c:catAx>
      <c:valAx>
        <c:axId val="470084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5927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0</xdr:row>
      <xdr:rowOff>0</xdr:rowOff>
    </xdr:from>
    <xdr:to>
      <xdr:col>9</xdr:col>
      <xdr:colOff>66675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81675" y="0"/>
          <a:ext cx="2028825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824 Therms is average annual gas use for residential customers.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180975</xdr:rowOff>
    </xdr:from>
    <xdr:to>
      <xdr:col>13</xdr:col>
      <xdr:colOff>171450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3810000" y="371475"/>
        <a:ext cx="50482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dodso\AppData\Local\Microsoft\Windows\INetCache\Content.Outlook\WNGDE30U\Carbon%20Balance%20Workpape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storical Participation"/>
      <sheetName val="Customer Forecast"/>
      <sheetName val="Expenses-Revenue Forecast"/>
    </sheetNames>
    <sheetDataSet>
      <sheetData sheetId="0">
        <row r="1">
          <cell r="B1" t="str">
            <v>Customers</v>
          </cell>
        </row>
        <row r="2">
          <cell r="A2">
            <v>2012</v>
          </cell>
          <cell r="B2">
            <v>750</v>
          </cell>
        </row>
        <row r="3">
          <cell r="A3">
            <v>2013</v>
          </cell>
          <cell r="B3">
            <v>1299</v>
          </cell>
        </row>
        <row r="4">
          <cell r="A4">
            <v>2014</v>
          </cell>
          <cell r="B4">
            <v>1265</v>
          </cell>
        </row>
        <row r="5">
          <cell r="A5">
            <v>2015</v>
          </cell>
          <cell r="B5">
            <v>1179</v>
          </cell>
        </row>
        <row r="6">
          <cell r="A6">
            <v>2016</v>
          </cell>
          <cell r="B6">
            <v>1119</v>
          </cell>
        </row>
        <row r="7">
          <cell r="A7">
            <v>2017</v>
          </cell>
          <cell r="B7">
            <v>1142</v>
          </cell>
        </row>
        <row r="8">
          <cell r="A8">
            <v>2018</v>
          </cell>
          <cell r="B8">
            <v>2264</v>
          </cell>
        </row>
        <row r="9">
          <cell r="A9">
            <v>2019</v>
          </cell>
          <cell r="B9">
            <v>7507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storical Particip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3"/>
  <sheetViews>
    <sheetView tabSelected="1" zoomScale="125" zoomScaleNormal="125" zoomScalePageLayoutView="0" workbookViewId="0" topLeftCell="A1">
      <selection activeCell="E15" sqref="E15"/>
    </sheetView>
  </sheetViews>
  <sheetFormatPr defaultColWidth="9.140625" defaultRowHeight="12.75"/>
  <cols>
    <col min="2" max="2" width="84.8515625" style="0" customWidth="1"/>
    <col min="3" max="3" width="11.7109375" style="0" bestFit="1" customWidth="1"/>
    <col min="4" max="4" width="12.28125" style="0" customWidth="1"/>
    <col min="5" max="5" width="11.7109375" style="0" bestFit="1" customWidth="1"/>
  </cols>
  <sheetData>
    <row r="1" spans="2:10" ht="15.75">
      <c r="B1" s="31" t="s">
        <v>60</v>
      </c>
      <c r="I1" s="35"/>
      <c r="J1" s="35"/>
    </row>
    <row r="2" spans="9:10" ht="12.75">
      <c r="I2" s="35"/>
      <c r="J2" s="35"/>
    </row>
    <row r="3" spans="2:10" ht="12.75">
      <c r="B3" s="113" t="s">
        <v>84</v>
      </c>
      <c r="C3" s="72">
        <f>'Historical Gas Usage'!C24</f>
        <v>783.2</v>
      </c>
      <c r="D3" s="35"/>
      <c r="E3" s="35"/>
      <c r="F3" s="35"/>
      <c r="G3" s="35"/>
      <c r="H3" s="35"/>
      <c r="I3" s="35"/>
      <c r="J3" s="35"/>
    </row>
    <row r="4" spans="2:10" ht="12.75">
      <c r="B4" s="113" t="s">
        <v>85</v>
      </c>
      <c r="C4" s="23">
        <f>'Historical Gas Usage'!D24</f>
        <v>65.26666666666667</v>
      </c>
      <c r="E4" s="15"/>
      <c r="I4" s="35"/>
      <c r="J4" s="35"/>
    </row>
    <row r="5" spans="2:10" ht="12.75">
      <c r="B5" s="113" t="s">
        <v>37</v>
      </c>
      <c r="C5" s="24">
        <f>'Historical Gas Usage'!B12</f>
        <v>11.69</v>
      </c>
      <c r="E5" s="16"/>
      <c r="I5" s="35"/>
      <c r="J5" s="35"/>
    </row>
    <row r="6" spans="2:10" ht="12.75">
      <c r="B6" s="113" t="s">
        <v>86</v>
      </c>
      <c r="C6" s="68">
        <f>C4*C5</f>
        <v>762.9673333333333</v>
      </c>
      <c r="D6" s="68"/>
      <c r="I6" s="68"/>
      <c r="J6" s="35"/>
    </row>
    <row r="7" spans="2:10" ht="12.75">
      <c r="B7" s="113" t="s">
        <v>87</v>
      </c>
      <c r="C7" s="15">
        <f>C6/2200</f>
        <v>0.3468033333333333</v>
      </c>
      <c r="D7" s="15"/>
      <c r="E7" s="35"/>
      <c r="I7" s="76"/>
      <c r="J7" s="35"/>
    </row>
    <row r="8" spans="4:10" ht="12.75">
      <c r="D8" s="12"/>
      <c r="I8" s="35"/>
      <c r="J8" s="35"/>
    </row>
    <row r="9" spans="2:10" ht="12.75">
      <c r="B9" t="s">
        <v>39</v>
      </c>
      <c r="C9" s="100">
        <f>C4/2</f>
        <v>32.63333333333333</v>
      </c>
      <c r="D9" s="11"/>
      <c r="I9" s="75"/>
      <c r="J9" s="35"/>
    </row>
    <row r="10" spans="2:10" ht="12.75">
      <c r="B10" t="s">
        <v>48</v>
      </c>
      <c r="C10" s="106">
        <v>400</v>
      </c>
      <c r="D10" s="75"/>
      <c r="I10" s="75"/>
      <c r="J10" s="35"/>
    </row>
    <row r="11" spans="2:10" ht="12.75">
      <c r="B11" t="s">
        <v>40</v>
      </c>
      <c r="C11" s="101">
        <f>C10/2200</f>
        <v>0.18181818181818182</v>
      </c>
      <c r="D11" s="15"/>
      <c r="I11" s="76"/>
      <c r="J11" s="35"/>
    </row>
    <row r="12" spans="3:10" ht="12.75">
      <c r="C12" s="101"/>
      <c r="D12" s="15"/>
      <c r="I12" s="76"/>
      <c r="J12" s="35"/>
    </row>
    <row r="13" spans="2:10" ht="12.75">
      <c r="B13" s="80" t="s">
        <v>49</v>
      </c>
      <c r="C13" s="2">
        <f>'Historical Participation'!B7-'Historical Participation'!B6</f>
        <v>23</v>
      </c>
      <c r="D13" s="12"/>
      <c r="I13" s="35"/>
      <c r="J13" s="35"/>
    </row>
    <row r="14" spans="2:9" ht="12.75">
      <c r="B14" s="79" t="s">
        <v>50</v>
      </c>
      <c r="C14" s="2">
        <f>'Historical Participation'!B8-'Historical Participation'!B7</f>
        <v>1122</v>
      </c>
      <c r="H14" s="35"/>
      <c r="I14" s="35"/>
    </row>
    <row r="15" spans="2:10" ht="12.75">
      <c r="B15" s="79" t="s">
        <v>51</v>
      </c>
      <c r="C15" s="2">
        <f>'Historical Participation'!B9-'Historical Participation'!B8</f>
        <v>6466</v>
      </c>
      <c r="I15" s="35"/>
      <c r="J15" s="35"/>
    </row>
    <row r="16" spans="2:10" ht="12.75">
      <c r="B16" t="s">
        <v>54</v>
      </c>
      <c r="C16" s="2">
        <f>C15*1.2</f>
        <v>7759.2</v>
      </c>
      <c r="G16" s="3"/>
      <c r="I16" s="35"/>
      <c r="J16" s="35"/>
    </row>
    <row r="17" spans="2:10" ht="12.75">
      <c r="B17" t="s">
        <v>55</v>
      </c>
      <c r="C17" s="2">
        <f>SUM(C16,C15)*0.3</f>
        <v>4267.56</v>
      </c>
      <c r="G17" s="3"/>
      <c r="I17" s="35"/>
      <c r="J17" s="35"/>
    </row>
    <row r="18" spans="2:10" ht="12.75">
      <c r="B18" t="s">
        <v>56</v>
      </c>
      <c r="C18" s="2">
        <f>SUM(C15,C16:C17)*0.2</f>
        <v>3698.5520000000006</v>
      </c>
      <c r="I18" s="35"/>
      <c r="J18" s="35"/>
    </row>
    <row r="19" spans="3:10" ht="12.75">
      <c r="C19" s="2"/>
      <c r="I19" s="35"/>
      <c r="J19" s="35"/>
    </row>
    <row r="20" spans="2:10" ht="12.75">
      <c r="B20" t="s">
        <v>74</v>
      </c>
      <c r="C20" s="2">
        <v>787587</v>
      </c>
      <c r="I20" s="35"/>
      <c r="J20" s="35"/>
    </row>
    <row r="21" spans="3:10" ht="12.75">
      <c r="C21" s="2"/>
      <c r="I21" s="35"/>
      <c r="J21" s="35"/>
    </row>
    <row r="22" spans="2:10" ht="15.75">
      <c r="B22" s="31" t="s">
        <v>47</v>
      </c>
      <c r="C22" s="2"/>
      <c r="I22" s="35"/>
      <c r="J22" s="35"/>
    </row>
    <row r="23" spans="2:10" ht="12.75">
      <c r="B23" s="1"/>
      <c r="C23" s="69"/>
      <c r="D23" s="69"/>
      <c r="I23" s="73"/>
      <c r="J23" s="35"/>
    </row>
    <row r="24" spans="2:10" ht="12.75">
      <c r="B24" s="1" t="s">
        <v>69</v>
      </c>
      <c r="C24" s="98">
        <f>'Three-Year Cost Summary'!F10/'Three-Year Cost Summary'!F13</f>
        <v>2.9325235329703085</v>
      </c>
      <c r="D24" s="69"/>
      <c r="I24" s="73"/>
      <c r="J24" s="35"/>
    </row>
    <row r="25" spans="2:10" ht="12.75">
      <c r="B25" s="77" t="s">
        <v>38</v>
      </c>
      <c r="C25" s="97">
        <v>3</v>
      </c>
      <c r="D25" s="10"/>
      <c r="I25" s="74"/>
      <c r="J25" s="35"/>
    </row>
    <row r="26" spans="2:10" ht="12.75">
      <c r="B26" s="1" t="s">
        <v>46</v>
      </c>
      <c r="C26" s="98">
        <f>('Three-Year Cost Summary'!F10/'Three-Year Cost Summary'!F16)*C7</f>
        <v>5.865047065940617</v>
      </c>
      <c r="D26" s="10"/>
      <c r="I26" s="74"/>
      <c r="J26" s="35"/>
    </row>
    <row r="27" spans="2:10" ht="12.75">
      <c r="B27" s="78" t="s">
        <v>44</v>
      </c>
      <c r="C27" s="99">
        <f>C25*2</f>
        <v>6</v>
      </c>
      <c r="D27" s="10"/>
      <c r="I27" s="74"/>
      <c r="J27" s="35"/>
    </row>
    <row r="28" spans="2:10" ht="12.75">
      <c r="B28" s="1"/>
      <c r="C28" s="10"/>
      <c r="D28" s="10"/>
      <c r="I28" s="74"/>
      <c r="J28" s="35"/>
    </row>
    <row r="29" spans="2:10" ht="12.75">
      <c r="B29" s="1"/>
      <c r="C29" s="10"/>
      <c r="D29" s="10"/>
      <c r="I29" s="74"/>
      <c r="J29" s="35"/>
    </row>
    <row r="30" spans="4:10" ht="12.75">
      <c r="D30" s="2"/>
      <c r="I30" s="35"/>
      <c r="J30" s="35"/>
    </row>
    <row r="31" ht="12.75">
      <c r="D31" s="2"/>
    </row>
    <row r="40" ht="12.75">
      <c r="D40" s="4"/>
    </row>
    <row r="42" ht="12.75">
      <c r="D42" s="4"/>
    </row>
    <row r="43" ht="12.75">
      <c r="D43" s="25"/>
    </row>
  </sheetData>
  <sheetProtection/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7"/>
  <sheetViews>
    <sheetView zoomScale="125" zoomScaleNormal="125" zoomScalePageLayoutView="0" workbookViewId="0" topLeftCell="A1">
      <selection activeCell="C7" sqref="C7"/>
    </sheetView>
  </sheetViews>
  <sheetFormatPr defaultColWidth="9.140625" defaultRowHeight="12.75"/>
  <cols>
    <col min="2" max="2" width="30.7109375" style="0" customWidth="1"/>
    <col min="3" max="3" width="14.00390625" style="0" bestFit="1" customWidth="1"/>
    <col min="4" max="9" width="11.8515625" style="0" bestFit="1" customWidth="1"/>
    <col min="10" max="14" width="14.57421875" style="0" bestFit="1" customWidth="1"/>
    <col min="15" max="15" width="12.8515625" style="0" bestFit="1" customWidth="1"/>
    <col min="18" max="18" width="9.8515625" style="0" bestFit="1" customWidth="1"/>
    <col min="19" max="20" width="9.28125" style="0" bestFit="1" customWidth="1"/>
  </cols>
  <sheetData>
    <row r="1" ht="15.75">
      <c r="B1" s="31" t="s">
        <v>21</v>
      </c>
    </row>
    <row r="2" ht="15.75">
      <c r="B2" s="31"/>
    </row>
    <row r="3" ht="12.75">
      <c r="O3" s="45"/>
    </row>
    <row r="4" spans="2:15" ht="12.75">
      <c r="B4" s="36"/>
      <c r="C4" s="37" t="s">
        <v>0</v>
      </c>
      <c r="D4" s="37" t="s">
        <v>1</v>
      </c>
      <c r="E4" s="37" t="s">
        <v>2</v>
      </c>
      <c r="F4" s="37" t="s">
        <v>3</v>
      </c>
      <c r="G4" s="37" t="s">
        <v>4</v>
      </c>
      <c r="H4" s="37" t="s">
        <v>5</v>
      </c>
      <c r="I4" s="37" t="s">
        <v>6</v>
      </c>
      <c r="J4" s="37" t="s">
        <v>7</v>
      </c>
      <c r="K4" s="37" t="s">
        <v>8</v>
      </c>
      <c r="L4" s="37" t="s">
        <v>9</v>
      </c>
      <c r="M4" s="37" t="s">
        <v>10</v>
      </c>
      <c r="N4" s="37" t="s">
        <v>11</v>
      </c>
      <c r="O4" s="44" t="s">
        <v>12</v>
      </c>
    </row>
    <row r="5" spans="2:15" ht="12.75"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6"/>
    </row>
    <row r="6" spans="2:15" ht="12.75">
      <c r="B6" s="5">
        <v>2020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</row>
    <row r="7" spans="2:15" s="35" customFormat="1" ht="12.75">
      <c r="B7" s="35" t="s">
        <v>22</v>
      </c>
      <c r="C7" s="88">
        <f>7759*'Historical Participation'!B20</f>
        <v>225.63172</v>
      </c>
      <c r="D7" s="88">
        <f>7759*'Historical Participation'!B21</f>
        <v>397.18321</v>
      </c>
      <c r="E7" s="88">
        <f>7759*'Historical Participation'!B22</f>
        <v>543.59554</v>
      </c>
      <c r="F7" s="88">
        <f>7759*'Historical Participation'!B23</f>
        <v>565.16556</v>
      </c>
      <c r="G7" s="88">
        <f>7759*'Historical Participation'!B24</f>
        <v>652.76467</v>
      </c>
      <c r="H7" s="88">
        <f>7759*'Historical Participation'!B25</f>
        <v>681.55056</v>
      </c>
      <c r="I7" s="88">
        <f>7759*'Historical Participation'!B26</f>
        <v>793.20257</v>
      </c>
      <c r="J7" s="88">
        <f>7759*'Historical Participation'!B27</f>
        <v>832.77347</v>
      </c>
      <c r="K7" s="88">
        <f>7759*'Historical Participation'!B28</f>
        <v>903.6131399999999</v>
      </c>
      <c r="L7" s="88">
        <f>7759*'Historical Participation'!B29</f>
        <v>695.9823</v>
      </c>
      <c r="M7" s="88">
        <f>7759*'Historical Participation'!B30</f>
        <v>113.97971</v>
      </c>
      <c r="N7" s="88">
        <f>7759*'Historical Participation'!B31</f>
        <v>1353.55755</v>
      </c>
      <c r="O7" s="89">
        <f>SUM(C7:N7)</f>
        <v>7758.999999999998</v>
      </c>
    </row>
    <row r="8" spans="2:15" ht="12.75">
      <c r="B8" t="s">
        <v>23</v>
      </c>
      <c r="C8" s="2">
        <v>8720</v>
      </c>
      <c r="D8" s="2">
        <f>C8+D7</f>
        <v>9117.18321</v>
      </c>
      <c r="E8" s="2">
        <f>D8+E7</f>
        <v>9660.77875</v>
      </c>
      <c r="F8" s="2">
        <f>E8+F7</f>
        <v>10225.944309999999</v>
      </c>
      <c r="G8" s="2">
        <f>F8+G7</f>
        <v>10878.70898</v>
      </c>
      <c r="H8" s="2">
        <f aca="true" t="shared" si="0" ref="H8:N8">G8+H7</f>
        <v>11560.25954</v>
      </c>
      <c r="I8" s="2">
        <f t="shared" si="0"/>
        <v>12353.462109999999</v>
      </c>
      <c r="J8" s="2">
        <f t="shared" si="0"/>
        <v>13186.235579999999</v>
      </c>
      <c r="K8" s="2">
        <f t="shared" si="0"/>
        <v>14089.848719999998</v>
      </c>
      <c r="L8" s="2">
        <f t="shared" si="0"/>
        <v>14785.831019999998</v>
      </c>
      <c r="M8" s="2">
        <f t="shared" si="0"/>
        <v>14899.810729999997</v>
      </c>
      <c r="N8" s="2">
        <f t="shared" si="0"/>
        <v>16253.368279999997</v>
      </c>
      <c r="O8" s="6">
        <v>14880</v>
      </c>
    </row>
    <row r="9" spans="2:15" ht="12.75">
      <c r="B9" t="s">
        <v>64</v>
      </c>
      <c r="C9" s="4">
        <f aca="true" t="shared" si="1" ref="C9:N9">C8*$E$36</f>
        <v>36624</v>
      </c>
      <c r="D9" s="4">
        <f t="shared" si="1"/>
        <v>38292.169482</v>
      </c>
      <c r="E9" s="4">
        <f t="shared" si="1"/>
        <v>40575.270749999996</v>
      </c>
      <c r="F9" s="4">
        <f t="shared" si="1"/>
        <v>42948.966102</v>
      </c>
      <c r="G9" s="4">
        <f t="shared" si="1"/>
        <v>45690.577716</v>
      </c>
      <c r="H9" s="4">
        <f t="shared" si="1"/>
        <v>48553.090068</v>
      </c>
      <c r="I9" s="4">
        <f t="shared" si="1"/>
        <v>51884.540861999994</v>
      </c>
      <c r="J9" s="4">
        <f t="shared" si="1"/>
        <v>55382.18943599999</v>
      </c>
      <c r="K9" s="4">
        <f t="shared" si="1"/>
        <v>59177.364623999994</v>
      </c>
      <c r="L9" s="4">
        <f t="shared" si="1"/>
        <v>62100.49028399999</v>
      </c>
      <c r="M9" s="4">
        <f t="shared" si="1"/>
        <v>62579.205065999995</v>
      </c>
      <c r="N9" s="4">
        <f t="shared" si="1"/>
        <v>68264.146776</v>
      </c>
      <c r="O9" s="7">
        <f>SUM(C9:N9)</f>
        <v>612072.011166</v>
      </c>
    </row>
    <row r="10" spans="2:15" ht="12.75">
      <c r="B10" s="105" t="s">
        <v>65</v>
      </c>
      <c r="C10" s="20">
        <f>C8*$E$37</f>
        <v>12208</v>
      </c>
      <c r="D10" s="20">
        <f>D8*$E$37</f>
        <v>12764.056493999999</v>
      </c>
      <c r="E10" s="20">
        <f>E8*$E$37</f>
        <v>13525.09025</v>
      </c>
      <c r="F10" s="20">
        <f>F8*$E$37</f>
        <v>14316.322033999997</v>
      </c>
      <c r="G10" s="20">
        <f aca="true" t="shared" si="2" ref="G10:N10">G8*$E$37</f>
        <v>15230.192571999998</v>
      </c>
      <c r="H10" s="20">
        <f t="shared" si="2"/>
        <v>16184.363355999998</v>
      </c>
      <c r="I10" s="20">
        <f t="shared" si="2"/>
        <v>17294.846953999997</v>
      </c>
      <c r="J10" s="20">
        <f t="shared" si="2"/>
        <v>18460.729811999998</v>
      </c>
      <c r="K10" s="20">
        <f t="shared" si="2"/>
        <v>19725.788207999994</v>
      </c>
      <c r="L10" s="20">
        <f t="shared" si="2"/>
        <v>20700.163427999996</v>
      </c>
      <c r="M10" s="20">
        <f t="shared" si="2"/>
        <v>20859.735021999993</v>
      </c>
      <c r="N10" s="20">
        <f t="shared" si="2"/>
        <v>22754.715591999993</v>
      </c>
      <c r="O10" s="21">
        <f>SUM(C10:N10)</f>
        <v>204024.00372199994</v>
      </c>
    </row>
    <row r="11" spans="2:15" ht="12.75">
      <c r="B11" t="s">
        <v>13</v>
      </c>
      <c r="C11" s="22">
        <f>C10*Assumptions!C10</f>
        <v>4883200</v>
      </c>
      <c r="D11" s="22">
        <f>D10*Assumptions!C10</f>
        <v>5105622.597599999</v>
      </c>
      <c r="E11" s="22">
        <f>E10*Assumptions!C10</f>
        <v>5410036.1</v>
      </c>
      <c r="F11" s="22">
        <f>F10*Assumptions!C10</f>
        <v>5726528.813599999</v>
      </c>
      <c r="G11" s="22">
        <f>G10*Assumptions!C10</f>
        <v>6092077.0287999995</v>
      </c>
      <c r="H11" s="22">
        <f>H10*Assumptions!C10</f>
        <v>6473745.3423999995</v>
      </c>
      <c r="I11" s="22">
        <f>I10*Assumptions!C10</f>
        <v>6917938.7815999985</v>
      </c>
      <c r="J11" s="22">
        <f>J10*Assumptions!C10</f>
        <v>7384291.924799999</v>
      </c>
      <c r="K11" s="22">
        <f>K10*Assumptions!C10</f>
        <v>7890315.283199998</v>
      </c>
      <c r="L11" s="22">
        <f>L10*Assumptions!C10</f>
        <v>8280065.371199998</v>
      </c>
      <c r="M11" s="22">
        <f>M10*Assumptions!C10</f>
        <v>8343894.008799997</v>
      </c>
      <c r="N11" s="22">
        <f>N10*Assumptions!C10</f>
        <v>9101886.236799996</v>
      </c>
      <c r="O11" s="21">
        <f>SUM(C11:N11)</f>
        <v>81609601.48879997</v>
      </c>
    </row>
    <row r="12" spans="2:15" ht="12.75">
      <c r="B12" t="s">
        <v>24</v>
      </c>
      <c r="C12" s="22">
        <f>C11/2200</f>
        <v>2219.6363636363635</v>
      </c>
      <c r="D12" s="22">
        <f>D11/2200</f>
        <v>2320.737544363636</v>
      </c>
      <c r="E12" s="22">
        <f>E11/2200</f>
        <v>2459.107318181818</v>
      </c>
      <c r="F12" s="22">
        <f>F11/2200</f>
        <v>2602.967642545454</v>
      </c>
      <c r="G12" s="22">
        <f aca="true" t="shared" si="3" ref="G12:N12">G11/2200</f>
        <v>2769.125922181818</v>
      </c>
      <c r="H12" s="22">
        <f t="shared" si="3"/>
        <v>2942.611519272727</v>
      </c>
      <c r="I12" s="22">
        <f t="shared" si="3"/>
        <v>3144.517627999999</v>
      </c>
      <c r="J12" s="22">
        <f t="shared" si="3"/>
        <v>3356.496329454545</v>
      </c>
      <c r="K12" s="22">
        <f t="shared" si="3"/>
        <v>3586.50694690909</v>
      </c>
      <c r="L12" s="22">
        <f t="shared" si="3"/>
        <v>3763.666077818181</v>
      </c>
      <c r="M12" s="22">
        <f t="shared" si="3"/>
        <v>3792.6790949090896</v>
      </c>
      <c r="N12" s="22">
        <f t="shared" si="3"/>
        <v>4137.2210167272715</v>
      </c>
      <c r="O12" s="21">
        <f>SUM(C12:N12)</f>
        <v>37095.273403999985</v>
      </c>
    </row>
    <row r="13" spans="7:15" ht="12.75">
      <c r="G13" s="22"/>
      <c r="H13" s="22"/>
      <c r="I13" s="22"/>
      <c r="J13" s="22"/>
      <c r="K13" s="22"/>
      <c r="L13" s="22"/>
      <c r="M13" s="22"/>
      <c r="N13" s="22"/>
      <c r="O13" s="21"/>
    </row>
    <row r="14" spans="2:15" ht="12.75">
      <c r="B14" s="5">
        <v>2021</v>
      </c>
      <c r="O14" s="8"/>
    </row>
    <row r="15" spans="2:15" s="35" customFormat="1" ht="12.75">
      <c r="B15" s="35" t="s">
        <v>22</v>
      </c>
      <c r="C15" s="88">
        <f>4268*0.0296</f>
        <v>126.3328</v>
      </c>
      <c r="D15" s="88">
        <f>4268*0.0521</f>
        <v>222.3628</v>
      </c>
      <c r="E15" s="88">
        <f>4268*0.0714</f>
        <v>304.7352</v>
      </c>
      <c r="F15" s="88">
        <f>4268*0.0742</f>
        <v>316.6856</v>
      </c>
      <c r="G15" s="88">
        <f>4268*0.0857</f>
        <v>365.7676</v>
      </c>
      <c r="H15" s="88">
        <f>4268*0.0895</f>
        <v>381.986</v>
      </c>
      <c r="I15" s="88">
        <f>4268*0.1041</f>
        <v>444.29879999999997</v>
      </c>
      <c r="J15" s="88">
        <f>4268*0.1093</f>
        <v>466.4924</v>
      </c>
      <c r="K15" s="88">
        <f>4268*0.1186</f>
        <v>506.1848</v>
      </c>
      <c r="L15" s="88">
        <f>4268*0.0914</f>
        <v>390.0952</v>
      </c>
      <c r="M15" s="88">
        <f>4268*0.0914</f>
        <v>390.0952</v>
      </c>
      <c r="N15" s="88">
        <f>4268*0.0827</f>
        <v>352.9636</v>
      </c>
      <c r="O15" s="90">
        <f>SUM(C15:N15)</f>
        <v>4268</v>
      </c>
    </row>
    <row r="16" spans="2:15" ht="12.75">
      <c r="B16" t="s">
        <v>23</v>
      </c>
      <c r="C16" s="2">
        <f>O8+$C$15</f>
        <v>15006.3328</v>
      </c>
      <c r="D16" s="2">
        <f>C16+$D$15</f>
        <v>15228.695600000001</v>
      </c>
      <c r="E16" s="2">
        <f aca="true" t="shared" si="4" ref="E16:N16">D16+E15</f>
        <v>15533.4308</v>
      </c>
      <c r="F16" s="2">
        <f t="shared" si="4"/>
        <v>15850.1164</v>
      </c>
      <c r="G16" s="2">
        <f t="shared" si="4"/>
        <v>16215.884</v>
      </c>
      <c r="H16" s="2">
        <f t="shared" si="4"/>
        <v>16597.87</v>
      </c>
      <c r="I16" s="2">
        <f t="shared" si="4"/>
        <v>17042.1688</v>
      </c>
      <c r="J16" s="2">
        <f t="shared" si="4"/>
        <v>17508.6612</v>
      </c>
      <c r="K16" s="2">
        <f t="shared" si="4"/>
        <v>18014.845999999998</v>
      </c>
      <c r="L16" s="2">
        <f t="shared" si="4"/>
        <v>18404.941199999997</v>
      </c>
      <c r="M16" s="2">
        <f t="shared" si="4"/>
        <v>18795.036399999997</v>
      </c>
      <c r="N16" s="2">
        <f t="shared" si="4"/>
        <v>19147.999999999996</v>
      </c>
      <c r="O16" s="19">
        <f>O15+O8</f>
        <v>19148</v>
      </c>
    </row>
    <row r="17" spans="2:15" ht="12.75">
      <c r="B17" t="s">
        <v>64</v>
      </c>
      <c r="C17" s="4">
        <f>C16*E36</f>
        <v>63026.597760000004</v>
      </c>
      <c r="D17" s="4">
        <f aca="true" t="shared" si="5" ref="D17:N17">D16*$E$36</f>
        <v>63960.52152000001</v>
      </c>
      <c r="E17" s="4">
        <f t="shared" si="5"/>
        <v>65240.409360000005</v>
      </c>
      <c r="F17" s="4">
        <f t="shared" si="5"/>
        <v>66570.48888</v>
      </c>
      <c r="G17" s="4">
        <f t="shared" si="5"/>
        <v>68106.71280000001</v>
      </c>
      <c r="H17" s="4">
        <f t="shared" si="5"/>
        <v>69711.054</v>
      </c>
      <c r="I17" s="4">
        <f t="shared" si="5"/>
        <v>71577.10896</v>
      </c>
      <c r="J17" s="4">
        <f t="shared" si="5"/>
        <v>73536.37703999999</v>
      </c>
      <c r="K17" s="4">
        <f t="shared" si="5"/>
        <v>75662.3532</v>
      </c>
      <c r="L17" s="4">
        <f t="shared" si="5"/>
        <v>77300.75304</v>
      </c>
      <c r="M17" s="4">
        <f t="shared" si="5"/>
        <v>78939.15288</v>
      </c>
      <c r="N17" s="4">
        <f t="shared" si="5"/>
        <v>80421.59999999999</v>
      </c>
      <c r="O17" s="9">
        <f>SUM(C17:N17)</f>
        <v>854053.12944</v>
      </c>
    </row>
    <row r="18" spans="2:15" ht="12.75">
      <c r="B18" t="s">
        <v>65</v>
      </c>
      <c r="C18" s="20">
        <f aca="true" t="shared" si="6" ref="C18:N18">C16*$E$37</f>
        <v>21008.86592</v>
      </c>
      <c r="D18" s="20">
        <f t="shared" si="6"/>
        <v>21320.17384</v>
      </c>
      <c r="E18" s="20">
        <f t="shared" si="6"/>
        <v>21746.80312</v>
      </c>
      <c r="F18" s="20">
        <f t="shared" si="6"/>
        <v>22190.16296</v>
      </c>
      <c r="G18" s="20">
        <f t="shared" si="6"/>
        <v>22702.2376</v>
      </c>
      <c r="H18" s="20">
        <f t="shared" si="6"/>
        <v>23237.017999999996</v>
      </c>
      <c r="I18" s="20">
        <f t="shared" si="6"/>
        <v>23859.03632</v>
      </c>
      <c r="J18" s="20">
        <f t="shared" si="6"/>
        <v>24512.125679999997</v>
      </c>
      <c r="K18" s="20">
        <f t="shared" si="6"/>
        <v>25220.784399999997</v>
      </c>
      <c r="L18" s="20">
        <f t="shared" si="6"/>
        <v>25766.917679999995</v>
      </c>
      <c r="M18" s="20">
        <f t="shared" si="6"/>
        <v>26313.050959999993</v>
      </c>
      <c r="N18" s="20">
        <f t="shared" si="6"/>
        <v>26807.199999999993</v>
      </c>
      <c r="O18" s="21">
        <f>SUM(C18:N18)</f>
        <v>284684.37648</v>
      </c>
    </row>
    <row r="19" spans="2:15" ht="12.75">
      <c r="B19" t="s">
        <v>13</v>
      </c>
      <c r="C19" s="22">
        <f>C18*Assumptions!C10</f>
        <v>8403546.368</v>
      </c>
      <c r="D19" s="22">
        <f>D18*Assumptions!C10</f>
        <v>8528069.536</v>
      </c>
      <c r="E19" s="22">
        <f>E18*Assumptions!C10</f>
        <v>8698721.248</v>
      </c>
      <c r="F19" s="22">
        <f>F18*Assumptions!C10</f>
        <v>8876065.184</v>
      </c>
      <c r="G19" s="22">
        <f>G18*Assumptions!C10</f>
        <v>9080895.040000001</v>
      </c>
      <c r="H19" s="22">
        <f>H18*Assumptions!C10</f>
        <v>9294807.2</v>
      </c>
      <c r="I19" s="22">
        <f>I18*Assumptions!C10</f>
        <v>9543614.527999999</v>
      </c>
      <c r="J19" s="22">
        <f>J18*Assumptions!C10</f>
        <v>9804850.272</v>
      </c>
      <c r="K19" s="22">
        <f>K18*Assumptions!C10</f>
        <v>10088313.759999998</v>
      </c>
      <c r="L19" s="22">
        <f>L18*Assumptions!C10</f>
        <v>10306767.071999999</v>
      </c>
      <c r="M19" s="22">
        <f>M18*Assumptions!C10</f>
        <v>10525220.383999998</v>
      </c>
      <c r="N19" s="22">
        <f>N18*Assumptions!C10</f>
        <v>10722879.999999998</v>
      </c>
      <c r="O19" s="21">
        <f>SUM(C19:N19)</f>
        <v>113873750.59199998</v>
      </c>
    </row>
    <row r="20" spans="2:15" ht="12.75">
      <c r="B20" t="s">
        <v>24</v>
      </c>
      <c r="C20" s="22">
        <f aca="true" t="shared" si="7" ref="C20:N20">C19/2200</f>
        <v>3819.793803636364</v>
      </c>
      <c r="D20" s="22">
        <f t="shared" si="7"/>
        <v>3876.395243636364</v>
      </c>
      <c r="E20" s="22">
        <f t="shared" si="7"/>
        <v>3953.9642036363634</v>
      </c>
      <c r="F20" s="22">
        <f t="shared" si="7"/>
        <v>4034.5750836363636</v>
      </c>
      <c r="G20" s="22">
        <f t="shared" si="7"/>
        <v>4127.679563636364</v>
      </c>
      <c r="H20" s="22">
        <f t="shared" si="7"/>
        <v>4224.912363636363</v>
      </c>
      <c r="I20" s="22">
        <f t="shared" si="7"/>
        <v>4338.006603636363</v>
      </c>
      <c r="J20" s="22">
        <f t="shared" si="7"/>
        <v>4456.750123636363</v>
      </c>
      <c r="K20" s="22">
        <f t="shared" si="7"/>
        <v>4585.597163636363</v>
      </c>
      <c r="L20" s="22">
        <f t="shared" si="7"/>
        <v>4684.8941236363635</v>
      </c>
      <c r="M20" s="22">
        <f t="shared" si="7"/>
        <v>4784.191083636362</v>
      </c>
      <c r="N20" s="22">
        <f t="shared" si="7"/>
        <v>4874.036363636363</v>
      </c>
      <c r="O20" s="21">
        <f>SUM(C20:N20)</f>
        <v>51760.79572363635</v>
      </c>
    </row>
    <row r="21" spans="3:15" ht="12.75"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1"/>
    </row>
    <row r="22" spans="2:15" ht="12.75">
      <c r="B22" s="5">
        <v>2022</v>
      </c>
      <c r="O22" s="8"/>
    </row>
    <row r="23" spans="2:15" ht="12.75">
      <c r="B23" t="s">
        <v>22</v>
      </c>
      <c r="C23" s="88">
        <f>3699*0.0296</f>
        <v>109.49040000000001</v>
      </c>
      <c r="D23" s="88">
        <f>3699*0.0521</f>
        <v>192.71790000000001</v>
      </c>
      <c r="E23" s="88">
        <f>3699*0.0714</f>
        <v>264.1086</v>
      </c>
      <c r="F23" s="88">
        <f>3699*0.0742</f>
        <v>274.4658</v>
      </c>
      <c r="G23" s="88">
        <f>3699*0.0857</f>
        <v>317.0043</v>
      </c>
      <c r="H23" s="88">
        <f>3699*0.0895</f>
        <v>331.0605</v>
      </c>
      <c r="I23" s="88">
        <f>3699*0.1041</f>
        <v>385.0659</v>
      </c>
      <c r="J23" s="88">
        <f>3699*0.1093</f>
        <v>404.3007</v>
      </c>
      <c r="K23" s="88">
        <f>3699*0.1186</f>
        <v>438.7014</v>
      </c>
      <c r="L23" s="88">
        <f>3699*0.0914</f>
        <v>338.0886</v>
      </c>
      <c r="M23" s="88">
        <f>3699*0.0914</f>
        <v>338.0886</v>
      </c>
      <c r="N23" s="88">
        <f>3699*0.0827</f>
        <v>305.90729999999996</v>
      </c>
      <c r="O23" s="6">
        <f>SUM(C23:N23)</f>
        <v>3699</v>
      </c>
    </row>
    <row r="24" spans="2:15" ht="12.75">
      <c r="B24" t="s">
        <v>23</v>
      </c>
      <c r="C24" s="22">
        <f>O16+C23</f>
        <v>19257.4904</v>
      </c>
      <c r="D24" s="22">
        <f aca="true" t="shared" si="8" ref="D24:N24">C24+D23</f>
        <v>19450.2083</v>
      </c>
      <c r="E24" s="22">
        <f t="shared" si="8"/>
        <v>19714.316899999998</v>
      </c>
      <c r="F24" s="22">
        <f t="shared" si="8"/>
        <v>19988.7827</v>
      </c>
      <c r="G24" s="22">
        <f t="shared" si="8"/>
        <v>20305.787</v>
      </c>
      <c r="H24" s="22">
        <f t="shared" si="8"/>
        <v>20636.8475</v>
      </c>
      <c r="I24" s="22">
        <f t="shared" si="8"/>
        <v>21021.9134</v>
      </c>
      <c r="J24" s="22">
        <f t="shared" si="8"/>
        <v>21426.2141</v>
      </c>
      <c r="K24" s="22">
        <f t="shared" si="8"/>
        <v>21864.915500000003</v>
      </c>
      <c r="L24" s="22">
        <f t="shared" si="8"/>
        <v>22203.004100000002</v>
      </c>
      <c r="M24" s="22">
        <f t="shared" si="8"/>
        <v>22541.0927</v>
      </c>
      <c r="N24" s="22">
        <f t="shared" si="8"/>
        <v>22847</v>
      </c>
      <c r="O24" s="6">
        <f>O23+O16</f>
        <v>22847</v>
      </c>
    </row>
    <row r="25" spans="2:15" ht="12.75">
      <c r="B25" t="s">
        <v>64</v>
      </c>
      <c r="C25" s="4">
        <f aca="true" t="shared" si="9" ref="C25:N25">C24*$E$36</f>
        <v>80881.45968</v>
      </c>
      <c r="D25" s="4">
        <f t="shared" si="9"/>
        <v>81690.87486</v>
      </c>
      <c r="E25" s="4">
        <f t="shared" si="9"/>
        <v>82800.13098</v>
      </c>
      <c r="F25" s="4">
        <f t="shared" si="9"/>
        <v>83952.88734</v>
      </c>
      <c r="G25" s="4">
        <f t="shared" si="9"/>
        <v>85284.3054</v>
      </c>
      <c r="H25" s="4">
        <f t="shared" si="9"/>
        <v>86674.7595</v>
      </c>
      <c r="I25" s="4">
        <f t="shared" si="9"/>
        <v>88292.03628000001</v>
      </c>
      <c r="J25" s="4">
        <f t="shared" si="9"/>
        <v>89990.09922</v>
      </c>
      <c r="K25" s="4">
        <f t="shared" si="9"/>
        <v>91832.64510000001</v>
      </c>
      <c r="L25" s="4">
        <f t="shared" si="9"/>
        <v>93252.61722000001</v>
      </c>
      <c r="M25" s="4">
        <f t="shared" si="9"/>
        <v>94672.58934</v>
      </c>
      <c r="N25" s="4">
        <f t="shared" si="9"/>
        <v>95957.40000000001</v>
      </c>
      <c r="O25" s="7">
        <f>SUM(C25:N25)</f>
        <v>1055281.80492</v>
      </c>
    </row>
    <row r="26" spans="2:15" ht="12.75">
      <c r="B26" t="s">
        <v>65</v>
      </c>
      <c r="C26" s="20">
        <f aca="true" t="shared" si="10" ref="C26:N26">C24*$E$37</f>
        <v>26960.486559999998</v>
      </c>
      <c r="D26" s="20">
        <f t="shared" si="10"/>
        <v>27230.291619999996</v>
      </c>
      <c r="E26" s="20">
        <f t="shared" si="10"/>
        <v>27600.043659999996</v>
      </c>
      <c r="F26" s="20">
        <f t="shared" si="10"/>
        <v>27984.295779999997</v>
      </c>
      <c r="G26" s="20">
        <f t="shared" si="10"/>
        <v>28428.1018</v>
      </c>
      <c r="H26" s="20">
        <f t="shared" si="10"/>
        <v>28891.586499999998</v>
      </c>
      <c r="I26" s="20">
        <f t="shared" si="10"/>
        <v>29430.67876</v>
      </c>
      <c r="J26" s="20">
        <f t="shared" si="10"/>
        <v>29996.69974</v>
      </c>
      <c r="K26" s="20">
        <f t="shared" si="10"/>
        <v>30610.8817</v>
      </c>
      <c r="L26" s="20">
        <f t="shared" si="10"/>
        <v>31084.20574</v>
      </c>
      <c r="M26" s="20">
        <f t="shared" si="10"/>
        <v>31557.52978</v>
      </c>
      <c r="N26" s="20">
        <f t="shared" si="10"/>
        <v>31985.8</v>
      </c>
      <c r="O26" s="21">
        <f>SUM(C26:N26)</f>
        <v>351760.60163999995</v>
      </c>
    </row>
    <row r="27" spans="2:15" ht="12.75">
      <c r="B27" t="s">
        <v>13</v>
      </c>
      <c r="C27" s="22">
        <f>C26*Assumptions!C10</f>
        <v>10784194.624</v>
      </c>
      <c r="D27" s="22">
        <f>D26*Assumptions!C10</f>
        <v>10892116.647999998</v>
      </c>
      <c r="E27" s="22">
        <f>E26*Assumptions!C10</f>
        <v>11040017.463999998</v>
      </c>
      <c r="F27" s="22">
        <f>F26*Assumptions!C10</f>
        <v>11193718.311999999</v>
      </c>
      <c r="G27" s="22">
        <f>G26*Assumptions!C10</f>
        <v>11371240.72</v>
      </c>
      <c r="H27" s="22">
        <f>H26*Assumptions!C10</f>
        <v>11556634.6</v>
      </c>
      <c r="I27" s="22">
        <f>I26*Assumptions!C10</f>
        <v>11772271.503999999</v>
      </c>
      <c r="J27" s="22">
        <f>J26*Assumptions!C10</f>
        <v>11998679.896</v>
      </c>
      <c r="K27" s="22">
        <f>K26*Assumptions!C10</f>
        <v>12244352.680000002</v>
      </c>
      <c r="L27" s="22">
        <f>L26*Assumptions!C10</f>
        <v>12433682.296</v>
      </c>
      <c r="M27" s="22">
        <f>M26*Assumptions!C10</f>
        <v>12623011.912</v>
      </c>
      <c r="N27" s="22">
        <f>N26*Assumptions!C10</f>
        <v>12794320</v>
      </c>
      <c r="O27" s="21">
        <f>SUM(C27:N27)</f>
        <v>140704240.65600002</v>
      </c>
    </row>
    <row r="28" spans="2:15" ht="12.75">
      <c r="B28" t="s">
        <v>24</v>
      </c>
      <c r="C28" s="22">
        <f aca="true" t="shared" si="11" ref="C28:N28">C27/2200</f>
        <v>4901.906647272727</v>
      </c>
      <c r="D28" s="22">
        <f t="shared" si="11"/>
        <v>4950.962112727272</v>
      </c>
      <c r="E28" s="22">
        <f t="shared" si="11"/>
        <v>5018.189756363636</v>
      </c>
      <c r="F28" s="22">
        <f t="shared" si="11"/>
        <v>5088.0537781818175</v>
      </c>
      <c r="G28" s="22">
        <f t="shared" si="11"/>
        <v>5168.745781818182</v>
      </c>
      <c r="H28" s="22">
        <f t="shared" si="11"/>
        <v>5253.015727272727</v>
      </c>
      <c r="I28" s="22">
        <f t="shared" si="11"/>
        <v>5351.032501818181</v>
      </c>
      <c r="J28" s="22">
        <f t="shared" si="11"/>
        <v>5453.945407272727</v>
      </c>
      <c r="K28" s="22">
        <f t="shared" si="11"/>
        <v>5565.614854545455</v>
      </c>
      <c r="L28" s="22">
        <f t="shared" si="11"/>
        <v>5651.673770909091</v>
      </c>
      <c r="M28" s="22">
        <f t="shared" si="11"/>
        <v>5737.732687272727</v>
      </c>
      <c r="N28" s="22">
        <f t="shared" si="11"/>
        <v>5815.6</v>
      </c>
      <c r="O28" s="21">
        <f>SUM(C28:N28)</f>
        <v>63956.473025454536</v>
      </c>
    </row>
    <row r="29" ht="12.75">
      <c r="O29" s="35"/>
    </row>
    <row r="30" ht="12.75">
      <c r="O30" s="35"/>
    </row>
    <row r="31" spans="2:15" ht="12.75">
      <c r="B31" s="5"/>
      <c r="O31" s="41"/>
    </row>
    <row r="32" spans="2:15" ht="12.75">
      <c r="B32" s="47" t="s">
        <v>25</v>
      </c>
      <c r="C32" s="48"/>
      <c r="D32" s="48"/>
      <c r="E32" s="48"/>
      <c r="F32" s="49"/>
      <c r="G32" s="2"/>
      <c r="H32" s="2"/>
      <c r="I32" s="2"/>
      <c r="J32" s="2"/>
      <c r="K32" s="2"/>
      <c r="L32" s="2"/>
      <c r="M32" s="2"/>
      <c r="N32" s="2"/>
      <c r="O32" s="41"/>
    </row>
    <row r="33" spans="2:15" ht="12.75">
      <c r="B33" s="49" t="s">
        <v>26</v>
      </c>
      <c r="C33" s="48"/>
      <c r="D33" s="48"/>
      <c r="E33" s="54">
        <v>1</v>
      </c>
      <c r="F33" s="54">
        <v>2</v>
      </c>
      <c r="G33" s="4"/>
      <c r="H33" s="4"/>
      <c r="I33" s="4"/>
      <c r="J33" s="4"/>
      <c r="K33" s="4"/>
      <c r="L33" s="4"/>
      <c r="M33" s="4"/>
      <c r="N33" s="4"/>
      <c r="O33" s="30"/>
    </row>
    <row r="34" spans="2:15" ht="12.75">
      <c r="B34" s="48" t="s">
        <v>27</v>
      </c>
      <c r="C34" s="48"/>
      <c r="D34" s="48"/>
      <c r="E34" s="50">
        <v>3</v>
      </c>
      <c r="F34" s="50">
        <v>6</v>
      </c>
      <c r="G34" s="20"/>
      <c r="H34" s="20"/>
      <c r="I34" s="20"/>
      <c r="J34" s="20"/>
      <c r="K34" s="20"/>
      <c r="L34" s="20"/>
      <c r="M34" s="20"/>
      <c r="N34" s="20"/>
      <c r="O34" s="42"/>
    </row>
    <row r="35" spans="2:15" ht="12.75">
      <c r="B35" s="48" t="s">
        <v>28</v>
      </c>
      <c r="C35" s="48"/>
      <c r="D35" s="48"/>
      <c r="E35" s="55">
        <v>0.6</v>
      </c>
      <c r="F35" s="55">
        <v>0.4</v>
      </c>
      <c r="G35" s="22"/>
      <c r="H35" s="22"/>
      <c r="I35" s="22"/>
      <c r="J35" s="22"/>
      <c r="K35" s="22"/>
      <c r="L35" s="22"/>
      <c r="M35" s="22"/>
      <c r="N35" s="22"/>
      <c r="O35" s="42"/>
    </row>
    <row r="36" spans="2:15" ht="12.75">
      <c r="B36" s="51" t="s">
        <v>66</v>
      </c>
      <c r="C36" s="48"/>
      <c r="D36" s="48"/>
      <c r="E36" s="50">
        <f>E35*E34+F34*F35</f>
        <v>4.2</v>
      </c>
      <c r="F36" s="48"/>
      <c r="G36" s="22"/>
      <c r="H36" s="22"/>
      <c r="I36" s="22"/>
      <c r="J36" s="22"/>
      <c r="K36" s="22"/>
      <c r="L36" s="22"/>
      <c r="M36" s="22"/>
      <c r="N36" s="22"/>
      <c r="O36" s="42"/>
    </row>
    <row r="37" spans="2:15" ht="12.75">
      <c r="B37" s="51" t="s">
        <v>67</v>
      </c>
      <c r="C37" s="50"/>
      <c r="D37" s="51"/>
      <c r="E37" s="48">
        <f>E35*E33+F35*F33</f>
        <v>1.4</v>
      </c>
      <c r="F37" s="48"/>
      <c r="O37" s="43"/>
    </row>
    <row r="38" spans="2:15" ht="12.75">
      <c r="B38" s="51" t="s">
        <v>62</v>
      </c>
      <c r="C38" s="51"/>
      <c r="D38" s="51"/>
      <c r="E38" s="51"/>
      <c r="F38" s="49"/>
      <c r="O38" s="41"/>
    </row>
    <row r="39" spans="2:15" ht="12.75">
      <c r="B39" s="51"/>
      <c r="C39" s="48"/>
      <c r="D39" s="48"/>
      <c r="E39" s="48"/>
      <c r="F39" s="52"/>
      <c r="G39" s="2"/>
      <c r="H39" s="2"/>
      <c r="I39" s="2"/>
      <c r="J39" s="2"/>
      <c r="K39" s="2"/>
      <c r="L39" s="2"/>
      <c r="M39" s="2"/>
      <c r="N39" s="2"/>
      <c r="O39" s="41"/>
    </row>
    <row r="40" spans="2:15" ht="12.75">
      <c r="B40" s="86" t="s">
        <v>72</v>
      </c>
      <c r="C40" s="86"/>
      <c r="D40" s="48"/>
      <c r="E40" s="48"/>
      <c r="F40" s="53"/>
      <c r="G40" s="4"/>
      <c r="H40" s="4"/>
      <c r="I40" s="4"/>
      <c r="J40" s="4"/>
      <c r="K40" s="4"/>
      <c r="L40" s="4"/>
      <c r="M40" s="4"/>
      <c r="N40" s="4"/>
      <c r="O40" s="30"/>
    </row>
    <row r="41" spans="2:15" ht="12.75">
      <c r="B41" s="85">
        <v>2014</v>
      </c>
      <c r="C41" s="87">
        <v>-185549.27954822002</v>
      </c>
      <c r="G41" s="20"/>
      <c r="H41" s="20"/>
      <c r="I41" s="20"/>
      <c r="J41" s="20"/>
      <c r="K41" s="20"/>
      <c r="L41" s="20"/>
      <c r="M41" s="20"/>
      <c r="N41" s="20"/>
      <c r="O41" s="42"/>
    </row>
    <row r="42" spans="2:15" ht="12.75">
      <c r="B42" s="85">
        <v>2015</v>
      </c>
      <c r="C42" s="87">
        <v>-181546.52901313998</v>
      </c>
      <c r="F42" s="22"/>
      <c r="G42" s="22"/>
      <c r="H42" s="22"/>
      <c r="I42" s="22"/>
      <c r="J42" s="22"/>
      <c r="K42" s="22"/>
      <c r="L42" s="22"/>
      <c r="M42" s="22"/>
      <c r="N42" s="22"/>
      <c r="O42" s="42"/>
    </row>
    <row r="43" spans="2:15" ht="12.75">
      <c r="B43" s="85">
        <v>2016</v>
      </c>
      <c r="C43" s="87">
        <v>-142045.10265732</v>
      </c>
      <c r="F43" s="22"/>
      <c r="G43" s="22"/>
      <c r="H43" s="22"/>
      <c r="I43" s="22"/>
      <c r="J43" s="22"/>
      <c r="K43" s="22"/>
      <c r="L43" s="22"/>
      <c r="M43" s="22"/>
      <c r="N43" s="22"/>
      <c r="O43" s="42"/>
    </row>
    <row r="44" spans="2:3" ht="12.75">
      <c r="B44" s="85">
        <v>2017</v>
      </c>
      <c r="C44" s="87">
        <v>-177631.34057646</v>
      </c>
    </row>
    <row r="45" spans="2:3" ht="12.75">
      <c r="B45" s="85">
        <v>2018</v>
      </c>
      <c r="C45" s="87">
        <v>-110888.29469027997</v>
      </c>
    </row>
    <row r="46" spans="2:3" ht="12.75">
      <c r="B46" s="85">
        <v>2019</v>
      </c>
      <c r="C46" s="87">
        <v>-4924</v>
      </c>
    </row>
    <row r="47" spans="2:3" ht="12.75">
      <c r="B47" s="79"/>
      <c r="C47" s="79"/>
    </row>
  </sheetData>
  <sheetProtection/>
  <printOptions/>
  <pageMargins left="0.75" right="0.75" top="1" bottom="1" header="0.5" footer="0.5"/>
  <pageSetup fitToHeight="1" fitToWidth="1" horizontalDpi="600" verticalDpi="600" orientation="landscape" scale="67" r:id="rId1"/>
  <ignoredErrors>
    <ignoredError sqref="O16 O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6"/>
  <sheetViews>
    <sheetView zoomScale="125" zoomScaleNormal="125" zoomScaleSheetLayoutView="100" zoomScalePageLayoutView="0" workbookViewId="0" topLeftCell="A10">
      <selection activeCell="F18" sqref="F18"/>
    </sheetView>
  </sheetViews>
  <sheetFormatPr defaultColWidth="9.140625" defaultRowHeight="12.75"/>
  <cols>
    <col min="1" max="1" width="9.140625" style="38" customWidth="1"/>
    <col min="2" max="2" width="31.57421875" style="0" customWidth="1"/>
    <col min="3" max="3" width="12.140625" style="0" bestFit="1" customWidth="1"/>
    <col min="4" max="4" width="15.00390625" style="0" customWidth="1"/>
    <col min="5" max="5" width="14.421875" style="0" customWidth="1"/>
    <col min="6" max="6" width="14.7109375" style="0" customWidth="1"/>
    <col min="7" max="7" width="12.8515625" style="0" customWidth="1"/>
    <col min="9" max="9" width="31.8515625" style="0" bestFit="1" customWidth="1"/>
  </cols>
  <sheetData>
    <row r="1" spans="2:6" ht="15.75">
      <c r="B1" s="114" t="s">
        <v>33</v>
      </c>
      <c r="C1" s="114"/>
      <c r="D1" s="114"/>
      <c r="E1" s="114"/>
      <c r="F1" s="114"/>
    </row>
    <row r="3" spans="3:9" ht="12.75">
      <c r="C3" s="61">
        <v>2020</v>
      </c>
      <c r="D3" s="61">
        <v>2021</v>
      </c>
      <c r="E3" s="61">
        <v>2022</v>
      </c>
      <c r="F3" s="103" t="s">
        <v>32</v>
      </c>
      <c r="H3" s="107" t="s">
        <v>15</v>
      </c>
      <c r="I3" s="107" t="s">
        <v>77</v>
      </c>
    </row>
    <row r="4" spans="2:9" ht="12.75">
      <c r="B4" s="39" t="s">
        <v>29</v>
      </c>
      <c r="C4" s="39"/>
      <c r="D4" s="39"/>
      <c r="E4" s="39"/>
      <c r="H4" s="108">
        <v>2020</v>
      </c>
      <c r="I4" s="109">
        <v>9</v>
      </c>
    </row>
    <row r="5" spans="2:9" ht="12.75">
      <c r="B5" s="58" t="s">
        <v>30</v>
      </c>
      <c r="C5" s="4">
        <f>90000*C28+60000*C29+75000*C30+45000*C31</f>
        <v>51750</v>
      </c>
      <c r="D5" s="4">
        <f>C5*1.1</f>
        <v>56925.00000000001</v>
      </c>
      <c r="E5" s="4">
        <f>D5*1.1</f>
        <v>62617.500000000015</v>
      </c>
      <c r="F5" s="4">
        <f>SUM(C5:E5)</f>
        <v>171292.5</v>
      </c>
      <c r="H5" s="108">
        <v>2021</v>
      </c>
      <c r="I5" s="109">
        <v>10</v>
      </c>
    </row>
    <row r="6" spans="2:9" ht="12.75">
      <c r="B6" s="58" t="s">
        <v>45</v>
      </c>
      <c r="C6" s="4">
        <f>C5*(0.589+0.24)</f>
        <v>42900.75</v>
      </c>
      <c r="D6" s="4">
        <f>D5*(0.589+0.24)</f>
        <v>47190.825000000004</v>
      </c>
      <c r="E6" s="4">
        <f>E5*(0.589+0.24)</f>
        <v>51909.90750000001</v>
      </c>
      <c r="F6" s="4">
        <f>SUM(C6:E6)</f>
        <v>142001.4825</v>
      </c>
      <c r="H6" s="108">
        <v>2022</v>
      </c>
      <c r="I6" s="109">
        <v>11</v>
      </c>
    </row>
    <row r="7" spans="2:8" ht="12.75">
      <c r="B7" s="58" t="s">
        <v>14</v>
      </c>
      <c r="C7" s="4">
        <v>80000</v>
      </c>
      <c r="D7" s="4">
        <v>100000</v>
      </c>
      <c r="E7" s="4">
        <v>100000</v>
      </c>
      <c r="F7" s="4">
        <f>SUM(C7:E7)</f>
        <v>280000</v>
      </c>
      <c r="H7" s="29" t="s">
        <v>83</v>
      </c>
    </row>
    <row r="8" spans="2:8" ht="12.75">
      <c r="B8" s="58" t="s">
        <v>63</v>
      </c>
      <c r="C8" s="95">
        <v>25000</v>
      </c>
      <c r="D8" s="95">
        <v>30000</v>
      </c>
      <c r="E8" s="95">
        <v>35000</v>
      </c>
      <c r="F8" s="95">
        <f>SUM(C8:E8)</f>
        <v>90000</v>
      </c>
      <c r="H8" s="29" t="s">
        <v>82</v>
      </c>
    </row>
    <row r="9" spans="2:6" ht="13.5" thickBot="1">
      <c r="B9" s="58" t="s">
        <v>31</v>
      </c>
      <c r="C9" s="59">
        <f>C16*I4</f>
        <v>250175.67889144967</v>
      </c>
      <c r="D9" s="59">
        <f>D16*I5</f>
        <v>387868.8882810619</v>
      </c>
      <c r="E9" s="59">
        <f>E16*I6</f>
        <v>527182.7513149333</v>
      </c>
      <c r="F9" s="59">
        <f>SUM(C9:E9)</f>
        <v>1165227.318487445</v>
      </c>
    </row>
    <row r="10" spans="2:11" ht="12.75">
      <c r="B10" s="57"/>
      <c r="C10" s="14">
        <f>SUM(C5:C9)</f>
        <v>449826.4288914497</v>
      </c>
      <c r="D10" s="14">
        <f>SUM(D5:D9)</f>
        <v>621984.713281062</v>
      </c>
      <c r="E10" s="30">
        <f>SUM(E5:E9)</f>
        <v>776710.1588149334</v>
      </c>
      <c r="F10" s="14">
        <f>SUM(C10:E10)/0.954537993</f>
        <v>1936561.2626667288</v>
      </c>
      <c r="G10" s="104" t="s">
        <v>76</v>
      </c>
      <c r="H10" s="62"/>
      <c r="I10" s="62"/>
      <c r="J10" s="62"/>
      <c r="K10" s="62"/>
    </row>
    <row r="11" spans="2:11" ht="12.75">
      <c r="B11" s="57"/>
      <c r="F11" s="4"/>
      <c r="H11" s="62"/>
      <c r="I11" s="62"/>
      <c r="J11" s="62"/>
      <c r="K11" s="62"/>
    </row>
    <row r="12" spans="2:11" ht="12.75">
      <c r="B12" s="56"/>
      <c r="H12" s="62"/>
      <c r="I12" s="62"/>
      <c r="J12" s="62"/>
      <c r="K12" s="62"/>
    </row>
    <row r="13" spans="2:11" ht="12.75">
      <c r="B13" s="60" t="s">
        <v>73</v>
      </c>
      <c r="C13" s="17">
        <f>C18/4</f>
        <v>160305.8274407523</v>
      </c>
      <c r="D13" s="17">
        <f>D18/4</f>
        <v>223682.33001281912</v>
      </c>
      <c r="E13" s="17">
        <f>E18/4</f>
        <v>276385.49032589426</v>
      </c>
      <c r="F13" s="18">
        <f>SUM(C13:E13)</f>
        <v>660373.6477794657</v>
      </c>
      <c r="H13" s="62"/>
      <c r="I13" s="62"/>
      <c r="J13" s="62"/>
      <c r="K13" s="62"/>
    </row>
    <row r="14" spans="2:11" ht="12.75">
      <c r="B14" s="60" t="s">
        <v>43</v>
      </c>
      <c r="C14" s="17">
        <f>Assumptions!C9*C13</f>
        <v>5231313.502149884</v>
      </c>
      <c r="D14" s="17">
        <f>Assumptions!C9*D13</f>
        <v>7299500.0360849975</v>
      </c>
      <c r="E14" s="17">
        <f>Assumptions!C9*E13</f>
        <v>9019379.834301682</v>
      </c>
      <c r="F14" s="17">
        <f>Assumptions!C9*F13</f>
        <v>21550193.372536562</v>
      </c>
      <c r="H14" s="62"/>
      <c r="I14" s="62"/>
      <c r="J14" s="62"/>
      <c r="K14" s="62"/>
    </row>
    <row r="15" spans="2:11" ht="12.75">
      <c r="B15" s="60" t="s">
        <v>41</v>
      </c>
      <c r="C15" s="17">
        <f>Assumptions!C5*C14</f>
        <v>61154054.84013214</v>
      </c>
      <c r="D15" s="17">
        <f>Assumptions!C5*D14</f>
        <v>85331155.42183362</v>
      </c>
      <c r="E15" s="17">
        <f>Assumptions!C5*E14</f>
        <v>105436550.26298666</v>
      </c>
      <c r="F15" s="17">
        <f>Assumptions!C5*F14</f>
        <v>251921760.5249524</v>
      </c>
      <c r="H15" s="62"/>
      <c r="I15" s="62"/>
      <c r="J15" s="62"/>
      <c r="K15" s="62"/>
    </row>
    <row r="16" spans="2:9" ht="12.75">
      <c r="B16" s="60" t="s">
        <v>42</v>
      </c>
      <c r="C16" s="96">
        <f>C15/2200</f>
        <v>27797.297654605518</v>
      </c>
      <c r="D16" s="96">
        <f>D15/2200</f>
        <v>38786.88882810619</v>
      </c>
      <c r="E16" s="96">
        <f>E15/2200</f>
        <v>47925.70466499394</v>
      </c>
      <c r="F16" s="96">
        <f>F15/2200</f>
        <v>114509.89114770564</v>
      </c>
      <c r="H16" s="62"/>
      <c r="I16" s="62"/>
    </row>
    <row r="17" spans="2:9" ht="12.75">
      <c r="B17" s="60"/>
      <c r="C17" s="96"/>
      <c r="D17" s="96"/>
      <c r="E17" s="96"/>
      <c r="F17" s="96"/>
      <c r="H17" s="62"/>
      <c r="I17" s="62"/>
    </row>
    <row r="18" spans="2:9" ht="25.5">
      <c r="B18" s="102" t="s">
        <v>75</v>
      </c>
      <c r="C18" s="14">
        <f>Revenues!O9/0.954537993</f>
        <v>641223.3097630092</v>
      </c>
      <c r="D18" s="111">
        <f>Revenues!O17/0.954537993</f>
        <v>894729.3200512765</v>
      </c>
      <c r="E18" s="112">
        <f>Revenues!O25/0.954537993</f>
        <v>1105541.961303577</v>
      </c>
      <c r="F18" s="14">
        <f>SUM(C18:E18)</f>
        <v>2641494.5911178626</v>
      </c>
      <c r="H18" s="71"/>
      <c r="I18" s="62"/>
    </row>
    <row r="19" spans="2:6" ht="12.75">
      <c r="B19" s="91"/>
      <c r="C19" s="92"/>
      <c r="D19" s="92"/>
      <c r="E19" s="92"/>
      <c r="F19" s="92"/>
    </row>
    <row r="21" spans="2:6" ht="12.75">
      <c r="B21" s="56" t="s">
        <v>70</v>
      </c>
      <c r="C21" s="4">
        <f>C18-C10</f>
        <v>191396.8808715595</v>
      </c>
      <c r="D21" s="4">
        <f>D18-D10</f>
        <v>272744.6067702145</v>
      </c>
      <c r="E21" s="4">
        <f>E18-E10</f>
        <v>328831.8024886437</v>
      </c>
      <c r="F21" s="4"/>
    </row>
    <row r="22" spans="2:8" ht="12.75">
      <c r="B22" s="56" t="s">
        <v>71</v>
      </c>
      <c r="C22" s="4">
        <f>C21</f>
        <v>191396.8808715595</v>
      </c>
      <c r="D22" s="4">
        <f>+C22+D21</f>
        <v>464141.487641774</v>
      </c>
      <c r="E22" s="4">
        <f>D22+E21</f>
        <v>792973.2901304177</v>
      </c>
      <c r="F22" s="4"/>
      <c r="H22" s="3"/>
    </row>
    <row r="23" spans="19:22" ht="12.75">
      <c r="S23" s="62"/>
      <c r="T23" s="62"/>
      <c r="U23" s="62"/>
      <c r="V23" s="62"/>
    </row>
    <row r="24" spans="3:23" ht="12.75">
      <c r="C24" s="13"/>
      <c r="D24" s="13"/>
      <c r="E24" s="13"/>
      <c r="F24" s="13"/>
      <c r="S24" s="62"/>
      <c r="T24" s="62"/>
      <c r="U24" s="62"/>
      <c r="V24" s="62"/>
      <c r="W24" s="38"/>
    </row>
    <row r="25" spans="3:23" ht="12.75">
      <c r="C25" s="29"/>
      <c r="D25" s="29"/>
      <c r="E25" s="29"/>
      <c r="F25" s="29"/>
      <c r="G25" s="29"/>
      <c r="S25" s="62"/>
      <c r="T25" s="62"/>
      <c r="U25" s="62"/>
      <c r="V25" s="62"/>
      <c r="W25" s="38"/>
    </row>
    <row r="26" spans="2:22" ht="12.75">
      <c r="B26" s="29" t="s">
        <v>34</v>
      </c>
      <c r="C26" s="29"/>
      <c r="D26" s="29"/>
      <c r="E26" s="29"/>
      <c r="F26" s="29"/>
      <c r="G26" s="70"/>
      <c r="H26" s="29"/>
      <c r="I26" s="29"/>
      <c r="S26" s="35"/>
      <c r="T26" s="35"/>
      <c r="U26" s="35"/>
      <c r="V26" s="35"/>
    </row>
    <row r="27" spans="2:20" ht="12.75">
      <c r="B27" s="63" t="s">
        <v>35</v>
      </c>
      <c r="C27" s="63"/>
      <c r="D27" s="64"/>
      <c r="E27" s="29"/>
      <c r="F27" s="29"/>
      <c r="G27" s="29"/>
      <c r="H27" s="29"/>
      <c r="I27" s="29"/>
      <c r="S27" s="29"/>
      <c r="T27" s="29"/>
    </row>
    <row r="28" spans="2:9" ht="12.75">
      <c r="B28" s="51" t="s">
        <v>52</v>
      </c>
      <c r="C28" s="65">
        <v>0.25</v>
      </c>
      <c r="D28" s="64"/>
      <c r="E28" s="29"/>
      <c r="F28" s="29"/>
      <c r="G28" s="29"/>
      <c r="H28" s="29"/>
      <c r="I28" s="29"/>
    </row>
    <row r="29" spans="2:9" ht="12.75">
      <c r="B29" s="51" t="s">
        <v>53</v>
      </c>
      <c r="C29" s="65">
        <v>0.25</v>
      </c>
      <c r="D29" s="64"/>
      <c r="E29" s="29"/>
      <c r="F29" s="70"/>
      <c r="G29" s="29"/>
      <c r="H29" s="29"/>
      <c r="I29" s="29"/>
    </row>
    <row r="30" spans="2:9" ht="12.75">
      <c r="B30" s="51" t="s">
        <v>14</v>
      </c>
      <c r="C30" s="66">
        <v>0.1</v>
      </c>
      <c r="D30" s="64"/>
      <c r="E30" s="29"/>
      <c r="F30" s="29"/>
      <c r="G30" s="29"/>
      <c r="H30" s="29"/>
      <c r="I30" s="29"/>
    </row>
    <row r="31" spans="2:9" ht="12.75">
      <c r="B31" s="64" t="s">
        <v>36</v>
      </c>
      <c r="C31" s="67">
        <v>0.15</v>
      </c>
      <c r="D31" s="64"/>
      <c r="E31" s="29"/>
      <c r="F31" s="29"/>
      <c r="G31" s="29"/>
      <c r="H31" s="29"/>
      <c r="I31" s="29"/>
    </row>
    <row r="32" spans="2:9" ht="12.75">
      <c r="B32" s="64"/>
      <c r="C32" s="67"/>
      <c r="D32" s="64"/>
      <c r="E32" s="29"/>
      <c r="F32" s="29"/>
      <c r="G32" s="29"/>
      <c r="H32" s="29"/>
      <c r="I32" s="29"/>
    </row>
    <row r="33" spans="2:9" ht="12.75">
      <c r="B33" s="29"/>
      <c r="C33" s="29"/>
      <c r="D33" s="29"/>
      <c r="E33" s="29"/>
      <c r="F33" s="29"/>
      <c r="G33" s="29"/>
      <c r="H33" s="29"/>
      <c r="I33" s="29"/>
    </row>
    <row r="34" spans="2:9" ht="12.75">
      <c r="B34" s="70"/>
      <c r="C34" s="29"/>
      <c r="D34" s="29"/>
      <c r="E34" s="29"/>
      <c r="F34" s="29"/>
      <c r="G34" s="29"/>
      <c r="H34" s="29"/>
      <c r="I34" s="29"/>
    </row>
    <row r="35" spans="2:3" ht="12.75">
      <c r="B35" s="71"/>
      <c r="C35" s="62"/>
    </row>
    <row r="36" spans="2:3" ht="12.75">
      <c r="B36" s="71"/>
      <c r="C36" s="62"/>
    </row>
  </sheetData>
  <sheetProtection/>
  <mergeCells count="1">
    <mergeCell ref="B1:F1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&amp;L&amp;14Carbon Offset Program</oddHeader>
  </headerFooter>
  <ignoredErrors>
    <ignoredError sqref="F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6"/>
  <sheetViews>
    <sheetView zoomScale="125" zoomScaleNormal="125" zoomScalePageLayoutView="0"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2" width="30.140625" style="0" customWidth="1"/>
    <col min="3" max="3" width="16.57421875" style="0" customWidth="1"/>
    <col min="4" max="4" width="15.00390625" style="0" bestFit="1" customWidth="1"/>
    <col min="5" max="5" width="11.140625" style="0" bestFit="1" customWidth="1"/>
    <col min="6" max="6" width="16.421875" style="0" customWidth="1"/>
    <col min="7" max="7" width="3.57421875" style="0" customWidth="1"/>
    <col min="8" max="8" width="2.57421875" style="0" customWidth="1"/>
    <col min="9" max="9" width="11.421875" style="0" customWidth="1"/>
    <col min="11" max="11" width="11.7109375" style="0" customWidth="1"/>
    <col min="12" max="12" width="13.140625" style="0" customWidth="1"/>
    <col min="14" max="14" width="4.00390625" style="0" customWidth="1"/>
  </cols>
  <sheetData>
    <row r="1" ht="15.75">
      <c r="B1" s="31" t="s">
        <v>20</v>
      </c>
    </row>
    <row r="3" ht="15">
      <c r="B3" s="26" t="s">
        <v>17</v>
      </c>
    </row>
    <row r="5" spans="2:5" ht="12.75">
      <c r="B5" s="27" t="s">
        <v>15</v>
      </c>
      <c r="C5" s="27" t="s">
        <v>57</v>
      </c>
      <c r="D5" s="27" t="s">
        <v>16</v>
      </c>
      <c r="E5" s="27" t="s">
        <v>58</v>
      </c>
    </row>
    <row r="6" spans="2:5" ht="12.75">
      <c r="B6" s="28">
        <v>2014</v>
      </c>
      <c r="C6" s="81">
        <v>725</v>
      </c>
      <c r="D6" s="81">
        <f>C6/12</f>
        <v>60.416666666666664</v>
      </c>
      <c r="E6" s="81">
        <f>D6*B12</f>
        <v>706.2708333333333</v>
      </c>
    </row>
    <row r="7" spans="2:5" ht="12.75">
      <c r="B7" s="28">
        <v>2015</v>
      </c>
      <c r="C7" s="81">
        <v>669</v>
      </c>
      <c r="D7" s="81">
        <f>C7/12</f>
        <v>55.75</v>
      </c>
      <c r="E7" s="81">
        <f>D7*B12</f>
        <v>651.7175</v>
      </c>
    </row>
    <row r="8" spans="2:5" ht="12.75">
      <c r="B8" s="28">
        <v>2016</v>
      </c>
      <c r="C8" s="81">
        <v>696</v>
      </c>
      <c r="D8" s="81">
        <f>C8/12</f>
        <v>58</v>
      </c>
      <c r="E8" s="81">
        <f>D8*B12</f>
        <v>678.02</v>
      </c>
    </row>
    <row r="9" spans="2:5" ht="12.75">
      <c r="B9" s="28">
        <v>2017</v>
      </c>
      <c r="C9" s="82">
        <v>817</v>
      </c>
      <c r="D9" s="81">
        <f>C9/12</f>
        <v>68.08333333333333</v>
      </c>
      <c r="E9" s="81">
        <f>D9*B12</f>
        <v>795.8941666666666</v>
      </c>
    </row>
    <row r="10" spans="2:5" ht="13.5" thickBot="1">
      <c r="B10" s="32">
        <v>2018</v>
      </c>
      <c r="C10" s="83">
        <v>740</v>
      </c>
      <c r="D10" s="81">
        <f>C10/12</f>
        <v>61.666666666666664</v>
      </c>
      <c r="E10" s="81">
        <f>D10*B12</f>
        <v>720.8833333333333</v>
      </c>
    </row>
    <row r="11" spans="2:5" ht="13.5" thickBot="1">
      <c r="B11" s="84" t="s">
        <v>59</v>
      </c>
      <c r="C11" s="33">
        <f>AVERAGE(C6:C10)</f>
        <v>729.4</v>
      </c>
      <c r="D11" s="33">
        <f>AVERAGE(D6:D10)</f>
        <v>60.78333333333334</v>
      </c>
      <c r="E11" s="33">
        <f>AVERAGE(E6:E10)</f>
        <v>710.5571666666666</v>
      </c>
    </row>
    <row r="12" spans="2:3" ht="13.5" customHeight="1" thickBot="1">
      <c r="B12" s="34">
        <v>11.69</v>
      </c>
      <c r="C12" s="29" t="s">
        <v>19</v>
      </c>
    </row>
    <row r="13" ht="12.75">
      <c r="C13" s="29" t="s">
        <v>18</v>
      </c>
    </row>
    <row r="16" ht="15">
      <c r="B16" s="26" t="s">
        <v>61</v>
      </c>
    </row>
    <row r="18" spans="2:5" ht="12.75">
      <c r="B18" s="27" t="s">
        <v>15</v>
      </c>
      <c r="C18" s="27" t="s">
        <v>57</v>
      </c>
      <c r="D18" s="27" t="s">
        <v>16</v>
      </c>
      <c r="E18" s="27" t="s">
        <v>58</v>
      </c>
    </row>
    <row r="19" spans="2:5" ht="12.75">
      <c r="B19" s="28">
        <v>2014</v>
      </c>
      <c r="C19" s="81">
        <v>798</v>
      </c>
      <c r="D19" s="81">
        <f>C19/12</f>
        <v>66.5</v>
      </c>
      <c r="E19" s="81">
        <f>D19*B25</f>
        <v>777.385</v>
      </c>
    </row>
    <row r="20" spans="2:5" ht="12.75">
      <c r="B20" s="28">
        <v>2015</v>
      </c>
      <c r="C20" s="81">
        <v>759</v>
      </c>
      <c r="D20" s="81">
        <f>C20/12</f>
        <v>63.25</v>
      </c>
      <c r="E20" s="81">
        <f>D20*B25</f>
        <v>739.3924999999999</v>
      </c>
    </row>
    <row r="21" spans="2:5" ht="12.75">
      <c r="B21" s="28">
        <v>2016</v>
      </c>
      <c r="C21" s="81">
        <v>772</v>
      </c>
      <c r="D21" s="81">
        <f>C21/12</f>
        <v>64.33333333333333</v>
      </c>
      <c r="E21" s="81">
        <f>D21*B25</f>
        <v>752.0566666666666</v>
      </c>
    </row>
    <row r="22" spans="2:5" ht="12.75">
      <c r="B22" s="28">
        <v>2017</v>
      </c>
      <c r="C22" s="82">
        <v>793</v>
      </c>
      <c r="D22" s="81">
        <f>C22/12</f>
        <v>66.08333333333333</v>
      </c>
      <c r="E22" s="81">
        <f>D22*B25</f>
        <v>772.5141666666666</v>
      </c>
    </row>
    <row r="23" spans="2:5" ht="13.5" thickBot="1">
      <c r="B23" s="32">
        <v>2018</v>
      </c>
      <c r="C23" s="83">
        <v>794</v>
      </c>
      <c r="D23" s="81">
        <f>C23/12</f>
        <v>66.16666666666667</v>
      </c>
      <c r="E23" s="81">
        <f>D23*B25</f>
        <v>773.4883333333333</v>
      </c>
    </row>
    <row r="24" spans="2:5" ht="13.5" thickBot="1">
      <c r="B24" s="84" t="s">
        <v>59</v>
      </c>
      <c r="C24" s="33">
        <f>AVERAGE(C19:C23)</f>
        <v>783.2</v>
      </c>
      <c r="D24" s="33">
        <f>AVERAGE(D19:D23)</f>
        <v>65.26666666666667</v>
      </c>
      <c r="E24" s="33">
        <f>AVERAGE(E19:E23)</f>
        <v>762.9673333333333</v>
      </c>
    </row>
    <row r="25" spans="2:3" ht="13.5" thickBot="1">
      <c r="B25" s="34">
        <v>11.69</v>
      </c>
      <c r="C25" s="29" t="s">
        <v>19</v>
      </c>
    </row>
    <row r="26" ht="12.75">
      <c r="C26" s="29" t="s">
        <v>18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O27" sqref="O27"/>
    </sheetView>
  </sheetViews>
  <sheetFormatPr defaultColWidth="9.140625" defaultRowHeight="12.75"/>
  <cols>
    <col min="1" max="2" width="14.8515625" style="0" customWidth="1"/>
  </cols>
  <sheetData>
    <row r="1" spans="1:2" ht="15" customHeight="1" thickTop="1">
      <c r="A1" s="93" t="s">
        <v>15</v>
      </c>
      <c r="B1" s="93" t="s">
        <v>68</v>
      </c>
    </row>
    <row r="2" spans="1:2" ht="15" customHeight="1">
      <c r="A2" s="94">
        <v>2012</v>
      </c>
      <c r="B2" s="81">
        <v>750</v>
      </c>
    </row>
    <row r="3" spans="1:5" ht="15" customHeight="1">
      <c r="A3" s="94">
        <v>2013</v>
      </c>
      <c r="B3" s="81">
        <v>1299</v>
      </c>
      <c r="E3" s="2"/>
    </row>
    <row r="4" spans="1:2" ht="15" customHeight="1">
      <c r="A4" s="94">
        <v>2014</v>
      </c>
      <c r="B4" s="81">
        <v>1265</v>
      </c>
    </row>
    <row r="5" spans="1:2" ht="15" customHeight="1">
      <c r="A5" s="94">
        <v>2015</v>
      </c>
      <c r="B5" s="81">
        <v>1179</v>
      </c>
    </row>
    <row r="6" spans="1:3" ht="15" customHeight="1">
      <c r="A6" s="94">
        <v>2016</v>
      </c>
      <c r="B6" s="81">
        <v>1119</v>
      </c>
      <c r="C6" s="2"/>
    </row>
    <row r="7" spans="1:2" ht="15" customHeight="1">
      <c r="A7" s="94">
        <v>2017</v>
      </c>
      <c r="B7" s="81">
        <v>1142</v>
      </c>
    </row>
    <row r="8" spans="1:2" ht="15" customHeight="1">
      <c r="A8" s="94">
        <v>2018</v>
      </c>
      <c r="B8" s="81">
        <v>2264</v>
      </c>
    </row>
    <row r="9" spans="1:2" ht="15" customHeight="1">
      <c r="A9" s="94">
        <v>2019</v>
      </c>
      <c r="B9" s="81">
        <v>8730</v>
      </c>
    </row>
    <row r="11" ht="12.75">
      <c r="C11" s="2"/>
    </row>
    <row r="19" spans="1:2" ht="38.25" customHeight="1">
      <c r="A19" s="115" t="s">
        <v>81</v>
      </c>
      <c r="B19" s="115"/>
    </row>
    <row r="20" spans="1:2" ht="15" customHeight="1">
      <c r="A20" s="94" t="s">
        <v>0</v>
      </c>
      <c r="B20" s="110">
        <v>0.02908</v>
      </c>
    </row>
    <row r="21" spans="1:2" ht="15" customHeight="1">
      <c r="A21" s="94" t="s">
        <v>1</v>
      </c>
      <c r="B21" s="110">
        <v>0.05119</v>
      </c>
    </row>
    <row r="22" spans="1:2" ht="15" customHeight="1">
      <c r="A22" s="94" t="s">
        <v>78</v>
      </c>
      <c r="B22" s="110">
        <v>0.07006</v>
      </c>
    </row>
    <row r="23" spans="1:2" ht="15" customHeight="1">
      <c r="A23" s="94" t="s">
        <v>3</v>
      </c>
      <c r="B23" s="110">
        <v>0.07284</v>
      </c>
    </row>
    <row r="24" spans="1:2" ht="15" customHeight="1">
      <c r="A24" s="94" t="s">
        <v>4</v>
      </c>
      <c r="B24" s="110">
        <v>0.08413</v>
      </c>
    </row>
    <row r="25" spans="1:2" ht="15" customHeight="1">
      <c r="A25" s="94" t="s">
        <v>79</v>
      </c>
      <c r="B25" s="110">
        <v>0.08784</v>
      </c>
    </row>
    <row r="26" spans="1:2" ht="15" customHeight="1">
      <c r="A26" s="94" t="s">
        <v>6</v>
      </c>
      <c r="B26" s="110">
        <v>0.10223</v>
      </c>
    </row>
    <row r="27" spans="1:2" ht="15" customHeight="1">
      <c r="A27" s="94" t="s">
        <v>7</v>
      </c>
      <c r="B27" s="110">
        <v>0.10733</v>
      </c>
    </row>
    <row r="28" spans="1:2" ht="15" customHeight="1">
      <c r="A28" s="94" t="s">
        <v>8</v>
      </c>
      <c r="B28" s="110">
        <v>0.11646</v>
      </c>
    </row>
    <row r="29" spans="1:2" ht="15" customHeight="1">
      <c r="A29" s="94" t="s">
        <v>9</v>
      </c>
      <c r="B29" s="110">
        <v>0.0897</v>
      </c>
    </row>
    <row r="30" spans="1:2" ht="15" customHeight="1">
      <c r="A30" s="94" t="s">
        <v>10</v>
      </c>
      <c r="B30" s="110">
        <v>0.01469</v>
      </c>
    </row>
    <row r="31" spans="1:2" ht="15" customHeight="1">
      <c r="A31" s="94" t="s">
        <v>80</v>
      </c>
      <c r="B31" s="110">
        <v>0.17445</v>
      </c>
    </row>
  </sheetData>
  <sheetProtection/>
  <mergeCells count="1">
    <mergeCell ref="A19:B1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Puget Sound Energy</dc:creator>
  <cp:keywords/>
  <dc:description/>
  <cp:lastModifiedBy>Veronica Martin</cp:lastModifiedBy>
  <cp:lastPrinted>2011-04-13T00:15:20Z</cp:lastPrinted>
  <dcterms:created xsi:type="dcterms:W3CDTF">2010-05-28T19:50:38Z</dcterms:created>
  <dcterms:modified xsi:type="dcterms:W3CDTF">2020-01-08T19:09:26Z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fidentiali">
    <vt:lpwstr>None</vt:lpwstr>
  </property>
  <property fmtid="{D5CDD505-2E9C-101B-9397-08002B2CF9AE}" pid="4" name="DocumentDescripti">
    <vt:lpwstr>Workpaper (EXCEL)</vt:lpwstr>
  </property>
  <property fmtid="{D5CDD505-2E9C-101B-9397-08002B2CF9AE}" pid="5" name="EFiling">
    <vt:lpwstr>16397.0000000000</vt:lpwstr>
  </property>
  <property fmtid="{D5CDD505-2E9C-101B-9397-08002B2CF9AE}" pid="6" name="DocumentSetTy">
    <vt:lpwstr>Workpapers</vt:lpwstr>
  </property>
  <property fmtid="{D5CDD505-2E9C-101B-9397-08002B2CF9AE}" pid="7" name="IsDocumentOrd">
    <vt:lpwstr>0</vt:lpwstr>
  </property>
  <property fmtid="{D5CDD505-2E9C-101B-9397-08002B2CF9AE}" pid="8" name="IsHighlyConfidenti">
    <vt:lpwstr>0</vt:lpwstr>
  </property>
  <property fmtid="{D5CDD505-2E9C-101B-9397-08002B2CF9AE}" pid="9" name="CaseCompanyNam">
    <vt:lpwstr>Puget Sound Energy</vt:lpwstr>
  </property>
  <property fmtid="{D5CDD505-2E9C-101B-9397-08002B2CF9AE}" pid="10" name="IsConfidenti">
    <vt:lpwstr>0</vt:lpwstr>
  </property>
  <property fmtid="{D5CDD505-2E9C-101B-9397-08002B2CF9AE}" pid="11" name="IsEFS">
    <vt:lpwstr>0</vt:lpwstr>
  </property>
  <property fmtid="{D5CDD505-2E9C-101B-9397-08002B2CF9AE}" pid="12" name="DocketNumb">
    <vt:lpwstr>200018</vt:lpwstr>
  </property>
  <property fmtid="{D5CDD505-2E9C-101B-9397-08002B2CF9AE}" pid="13" name="Dat">
    <vt:lpwstr>2020-01-08T00:00:00Z</vt:lpwstr>
  </property>
  <property fmtid="{D5CDD505-2E9C-101B-9397-08002B2CF9AE}" pid="14" name="Nickna">
    <vt:lpwstr/>
  </property>
  <property fmtid="{D5CDD505-2E9C-101B-9397-08002B2CF9AE}" pid="15" name="CaseTy">
    <vt:lpwstr>Tariff Revision</vt:lpwstr>
  </property>
  <property fmtid="{D5CDD505-2E9C-101B-9397-08002B2CF9AE}" pid="16" name="OpenedDa">
    <vt:lpwstr>2020-01-08T00:00:00Z</vt:lpwstr>
  </property>
  <property fmtid="{D5CDD505-2E9C-101B-9397-08002B2CF9AE}" pid="17" name="Pref">
    <vt:lpwstr>UG</vt:lpwstr>
  </property>
  <property fmtid="{D5CDD505-2E9C-101B-9397-08002B2CF9AE}" pid="18" name="IndustryCo">
    <vt:lpwstr>150</vt:lpwstr>
  </property>
  <property fmtid="{D5CDD505-2E9C-101B-9397-08002B2CF9AE}" pid="19" name="CaseStat">
    <vt:lpwstr>Closed</vt:lpwstr>
  </property>
  <property fmtid="{D5CDD505-2E9C-101B-9397-08002B2CF9AE}" pid="20" name="_docset_NoMedatataSyncRequir">
    <vt:lpwstr>False</vt:lpwstr>
  </property>
</Properties>
</file>