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UTC\WW Tariff 14\TipFeeIncrease_Jan2020\"/>
    </mc:Choice>
  </mc:AlternateContent>
  <bookViews>
    <workbookView xWindow="195" yWindow="180" windowWidth="13380" windowHeight="7350" activeTab="1"/>
  </bookViews>
  <sheets>
    <sheet name="References" sheetId="4" r:id="rId1"/>
    <sheet name="Calculations" sheetId="7" r:id="rId2"/>
    <sheet name="SourceNotes" sheetId="8" r:id="rId3"/>
  </sheets>
  <definedNames>
    <definedName name="_xlnm._FilterDatabase" localSheetId="1" hidden="1">Calculations!$A$1:$R$138</definedName>
    <definedName name="_xlnm.Print_Area" localSheetId="1">Calculations!$A$3:$Q$147</definedName>
    <definedName name="_xlnm.Print_Titles" localSheetId="1">Calculations!$1:$1</definedName>
  </definedNames>
  <calcPr calcId="152511"/>
</workbook>
</file>

<file path=xl/calcChain.xml><?xml version="1.0" encoding="utf-8"?>
<calcChain xmlns="http://schemas.openxmlformats.org/spreadsheetml/2006/main">
  <c r="M52" i="7" l="1"/>
  <c r="M47" i="7"/>
  <c r="M43" i="7"/>
  <c r="M38" i="7"/>
  <c r="M33" i="7"/>
  <c r="M29" i="7"/>
  <c r="M26" i="7"/>
  <c r="M23" i="7"/>
  <c r="M18" i="7"/>
  <c r="G123" i="7" l="1"/>
  <c r="E123" i="7"/>
  <c r="F123" i="7" s="1"/>
  <c r="H123" i="7" l="1"/>
  <c r="O52" i="7"/>
  <c r="H52" i="7"/>
  <c r="G3" i="7" l="1"/>
  <c r="G4" i="7"/>
  <c r="G5" i="7"/>
  <c r="G6" i="7"/>
  <c r="G7" i="7"/>
  <c r="E9" i="7"/>
  <c r="F9" i="7" s="1"/>
  <c r="G9" i="7"/>
  <c r="G10" i="7"/>
  <c r="G13" i="7"/>
  <c r="H13" i="7" s="1"/>
  <c r="G14" i="7"/>
  <c r="H14" i="7" s="1"/>
  <c r="G15" i="7"/>
  <c r="H15" i="7" s="1"/>
  <c r="G16" i="7"/>
  <c r="H16" i="7" s="1"/>
  <c r="G18" i="7"/>
  <c r="H18" i="7" s="1"/>
  <c r="G19" i="7"/>
  <c r="H19" i="7" s="1"/>
  <c r="G20" i="7"/>
  <c r="H20" i="7" s="1"/>
  <c r="G21" i="7"/>
  <c r="H21" i="7" s="1"/>
  <c r="G23" i="7"/>
  <c r="H23" i="7"/>
  <c r="G24" i="7"/>
  <c r="H24" i="7" s="1"/>
  <c r="G26" i="7"/>
  <c r="H26" i="7" s="1"/>
  <c r="G27" i="7"/>
  <c r="H27" i="7" s="1"/>
  <c r="G29" i="7"/>
  <c r="H29" i="7" s="1"/>
  <c r="G30" i="7"/>
  <c r="H30" i="7" s="1"/>
  <c r="G31" i="7"/>
  <c r="H31" i="7" s="1"/>
  <c r="G33" i="7"/>
  <c r="H33" i="7"/>
  <c r="G34" i="7"/>
  <c r="H34" i="7" s="1"/>
  <c r="G35" i="7"/>
  <c r="H35" i="7" s="1"/>
  <c r="G36" i="7"/>
  <c r="H36" i="7" s="1"/>
  <c r="G43" i="7"/>
  <c r="H43" i="7" s="1"/>
  <c r="G44" i="7"/>
  <c r="H44" i="7" s="1"/>
  <c r="G45" i="7"/>
  <c r="H45" i="7" s="1"/>
  <c r="G47" i="7"/>
  <c r="H47" i="7" s="1"/>
  <c r="G48" i="7"/>
  <c r="H48" i="7" s="1"/>
  <c r="G49" i="7"/>
  <c r="H49" i="7" s="1"/>
  <c r="G50" i="7"/>
  <c r="H50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N46" i="7"/>
  <c r="P46" i="7" s="1"/>
  <c r="N42" i="7"/>
  <c r="P42" i="7" s="1"/>
  <c r="N37" i="7"/>
  <c r="P37" i="7" s="1"/>
  <c r="N32" i="7"/>
  <c r="P32" i="7" s="1"/>
  <c r="N28" i="7"/>
  <c r="P28" i="7" s="1"/>
  <c r="N25" i="7"/>
  <c r="P25" i="7" s="1"/>
  <c r="N22" i="7"/>
  <c r="P22" i="7" s="1"/>
  <c r="N17" i="7"/>
  <c r="P17" i="7" s="1"/>
  <c r="Q8" i="7"/>
  <c r="G48" i="4"/>
  <c r="H38" i="7"/>
  <c r="H39" i="7"/>
  <c r="H40" i="7"/>
  <c r="H41" i="7"/>
  <c r="H53" i="7"/>
  <c r="H54" i="7"/>
  <c r="D145" i="7"/>
  <c r="C47" i="4"/>
  <c r="C49" i="4" s="1"/>
  <c r="C48" i="4"/>
  <c r="G50" i="4"/>
  <c r="G52" i="4" s="1"/>
  <c r="E81" i="7"/>
  <c r="F81" i="7" s="1"/>
  <c r="G81" i="7"/>
  <c r="G106" i="7"/>
  <c r="G105" i="7"/>
  <c r="G104" i="7"/>
  <c r="G100" i="7"/>
  <c r="G99" i="7"/>
  <c r="G98" i="7"/>
  <c r="G97" i="7"/>
  <c r="G96" i="7"/>
  <c r="E107" i="7"/>
  <c r="F107" i="7" s="1"/>
  <c r="H107" i="7" s="1"/>
  <c r="E95" i="7"/>
  <c r="O51" i="7"/>
  <c r="G89" i="7"/>
  <c r="G88" i="7"/>
  <c r="E87" i="7"/>
  <c r="F87" i="7" s="1"/>
  <c r="G87" i="7"/>
  <c r="H95" i="7"/>
  <c r="O37" i="7"/>
  <c r="O28" i="7"/>
  <c r="O25" i="7"/>
  <c r="O22" i="7"/>
  <c r="O17" i="7"/>
  <c r="O46" i="7"/>
  <c r="O32" i="7"/>
  <c r="O42" i="7"/>
  <c r="F71" i="7"/>
  <c r="E76" i="7"/>
  <c r="F76" i="7" s="1"/>
  <c r="G76" i="7"/>
  <c r="G77" i="7"/>
  <c r="G78" i="7"/>
  <c r="E79" i="7"/>
  <c r="F79" i="7" s="1"/>
  <c r="G79" i="7"/>
  <c r="E80" i="7"/>
  <c r="F80" i="7" s="1"/>
  <c r="G80" i="7"/>
  <c r="G82" i="7"/>
  <c r="G83" i="7"/>
  <c r="E84" i="7"/>
  <c r="F84" i="7" s="1"/>
  <c r="G84" i="7"/>
  <c r="G85" i="7"/>
  <c r="G86" i="7"/>
  <c r="D12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4" i="7"/>
  <c r="O53" i="7"/>
  <c r="O48" i="7"/>
  <c r="O49" i="7"/>
  <c r="O50" i="7"/>
  <c r="O3" i="7"/>
  <c r="G103" i="7"/>
  <c r="G102" i="7"/>
  <c r="G101" i="7"/>
  <c r="G94" i="7"/>
  <c r="G93" i="7"/>
  <c r="G92" i="7"/>
  <c r="O41" i="7"/>
  <c r="O43" i="7"/>
  <c r="O44" i="7"/>
  <c r="O45" i="7"/>
  <c r="O47" i="7"/>
  <c r="O4" i="7"/>
  <c r="E71" i="7"/>
  <c r="D71" i="7"/>
  <c r="O16" i="7"/>
  <c r="O15" i="7"/>
  <c r="O18" i="7"/>
  <c r="O19" i="7"/>
  <c r="O14" i="7"/>
  <c r="O20" i="7"/>
  <c r="O21" i="7"/>
  <c r="O23" i="7"/>
  <c r="O24" i="7"/>
  <c r="O26" i="7"/>
  <c r="O27" i="7"/>
  <c r="O29" i="7"/>
  <c r="O30" i="7"/>
  <c r="O31" i="7"/>
  <c r="O33" i="7"/>
  <c r="O34" i="7"/>
  <c r="O35" i="7"/>
  <c r="O36" i="7"/>
  <c r="O38" i="7"/>
  <c r="O39" i="7"/>
  <c r="O40" i="7"/>
  <c r="O13" i="7"/>
  <c r="O6" i="7"/>
  <c r="O7" i="7"/>
  <c r="O9" i="7"/>
  <c r="O10" i="7"/>
  <c r="B54" i="4"/>
  <c r="O5" i="7"/>
  <c r="B3" i="4"/>
  <c r="B4" i="4"/>
  <c r="B5" i="4"/>
  <c r="G5" i="4" s="1"/>
  <c r="B6" i="4"/>
  <c r="H6" i="4" s="1"/>
  <c r="C4" i="4"/>
  <c r="C5" i="4"/>
  <c r="D4" i="4"/>
  <c r="H4" i="4"/>
  <c r="C6" i="4"/>
  <c r="E3" i="4"/>
  <c r="F3" i="4"/>
  <c r="H3" i="4"/>
  <c r="G6" i="4"/>
  <c r="F6" i="4"/>
  <c r="E6" i="4"/>
  <c r="D6" i="4"/>
  <c r="G47" i="4"/>
  <c r="B49" i="4"/>
  <c r="B52" i="4" s="1"/>
  <c r="B9" i="4"/>
  <c r="B8" i="4"/>
  <c r="B7" i="4"/>
  <c r="E4" i="7" s="1"/>
  <c r="F4" i="7" s="1"/>
  <c r="E94" i="7"/>
  <c r="F94" i="7" s="1"/>
  <c r="H7" i="4"/>
  <c r="C7" i="4"/>
  <c r="F7" i="4"/>
  <c r="E7" i="4"/>
  <c r="F9" i="4"/>
  <c r="Q17" i="7" l="1"/>
  <c r="Q32" i="7"/>
  <c r="Q42" i="7"/>
  <c r="Q46" i="7"/>
  <c r="Q28" i="7"/>
  <c r="Q37" i="7"/>
  <c r="D72" i="7"/>
  <c r="Q25" i="7"/>
  <c r="Q22" i="7"/>
  <c r="H81" i="7"/>
  <c r="H76" i="7"/>
  <c r="H80" i="7"/>
  <c r="H79" i="7"/>
  <c r="H87" i="7"/>
  <c r="H4" i="7"/>
  <c r="H9" i="7"/>
  <c r="H94" i="7"/>
  <c r="G71" i="7"/>
  <c r="O12" i="7"/>
  <c r="E101" i="7"/>
  <c r="F101" i="7" s="1"/>
  <c r="H101" i="7" s="1"/>
  <c r="D9" i="4"/>
  <c r="E5" i="7"/>
  <c r="F5" i="7" s="1"/>
  <c r="H5" i="7" s="1"/>
  <c r="E10" i="7"/>
  <c r="F10" i="7" s="1"/>
  <c r="H10" i="7" s="1"/>
  <c r="E96" i="7"/>
  <c r="F96" i="7" s="1"/>
  <c r="H96" i="7" s="1"/>
  <c r="E104" i="7"/>
  <c r="F104" i="7" s="1"/>
  <c r="H104" i="7" s="1"/>
  <c r="E99" i="7"/>
  <c r="F99" i="7" s="1"/>
  <c r="H99" i="7" s="1"/>
  <c r="H9" i="4"/>
  <c r="E93" i="7"/>
  <c r="F93" i="7" s="1"/>
  <c r="H93" i="7" s="1"/>
  <c r="G9" i="4"/>
  <c r="E6" i="7"/>
  <c r="F6" i="7" s="1"/>
  <c r="H6" i="7" s="1"/>
  <c r="E100" i="7"/>
  <c r="F100" i="7" s="1"/>
  <c r="H100" i="7" s="1"/>
  <c r="E103" i="7"/>
  <c r="F103" i="7" s="1"/>
  <c r="H103" i="7" s="1"/>
  <c r="E92" i="7"/>
  <c r="F92" i="7" s="1"/>
  <c r="H92" i="7" s="1"/>
  <c r="E9" i="4"/>
  <c r="E105" i="7"/>
  <c r="F105" i="7" s="1"/>
  <c r="H105" i="7" s="1"/>
  <c r="E82" i="7"/>
  <c r="F82" i="7" s="1"/>
  <c r="H82" i="7" s="1"/>
  <c r="C9" i="4"/>
  <c r="E83" i="7" s="1"/>
  <c r="F83" i="7" s="1"/>
  <c r="H83" i="7" s="1"/>
  <c r="E106" i="7"/>
  <c r="F106" i="7" s="1"/>
  <c r="H106" i="7" s="1"/>
  <c r="B53" i="4"/>
  <c r="B55" i="4" s="1"/>
  <c r="E102" i="7"/>
  <c r="F102" i="7" s="1"/>
  <c r="H102" i="7" s="1"/>
  <c r="H71" i="7"/>
  <c r="H8" i="4"/>
  <c r="E8" i="4"/>
  <c r="G8" i="4"/>
  <c r="F8" i="4"/>
  <c r="C8" i="4"/>
  <c r="E88" i="7"/>
  <c r="F88" i="7" s="1"/>
  <c r="H88" i="7" s="1"/>
  <c r="F4" i="4"/>
  <c r="E4" i="4"/>
  <c r="G4" i="4"/>
  <c r="O71" i="7"/>
  <c r="E89" i="7"/>
  <c r="F89" i="7" s="1"/>
  <c r="H89" i="7" s="1"/>
  <c r="E98" i="7"/>
  <c r="F98" i="7" s="1"/>
  <c r="H98" i="7" s="1"/>
  <c r="H84" i="7"/>
  <c r="D8" i="4"/>
  <c r="D5" i="4"/>
  <c r="E5" i="4"/>
  <c r="H5" i="4"/>
  <c r="F5" i="4"/>
  <c r="D3" i="4"/>
  <c r="G3" i="4"/>
  <c r="C3" i="4"/>
  <c r="E97" i="7"/>
  <c r="F97" i="7" s="1"/>
  <c r="H97" i="7" s="1"/>
  <c r="E85" i="7"/>
  <c r="F85" i="7" s="1"/>
  <c r="H85" i="7" s="1"/>
  <c r="E77" i="7"/>
  <c r="F77" i="7" s="1"/>
  <c r="H77" i="7" s="1"/>
  <c r="E86" i="7"/>
  <c r="F86" i="7" s="1"/>
  <c r="H86" i="7" s="1"/>
  <c r="G7" i="4"/>
  <c r="E3" i="7"/>
  <c r="F3" i="7" s="1"/>
  <c r="E7" i="7"/>
  <c r="F7" i="7" s="1"/>
  <c r="H7" i="7" s="1"/>
  <c r="E78" i="7"/>
  <c r="F78" i="7" s="1"/>
  <c r="H78" i="7" s="1"/>
  <c r="D7" i="4"/>
  <c r="O72" i="7" l="1"/>
  <c r="F12" i="7"/>
  <c r="H3" i="7"/>
  <c r="H12" i="7" s="1"/>
  <c r="H72" i="7" s="1"/>
  <c r="D147" i="7" s="1"/>
  <c r="I52" i="7" l="1"/>
  <c r="J52" i="7" s="1"/>
  <c r="K52" i="7" s="1"/>
  <c r="L52" i="7" s="1"/>
  <c r="N52" i="7" s="1"/>
  <c r="P52" i="7" s="1"/>
  <c r="Q52" i="7" s="1"/>
  <c r="I123" i="7"/>
  <c r="J123" i="7" s="1"/>
  <c r="K123" i="7" s="1"/>
  <c r="L123" i="7" s="1"/>
  <c r="N123" i="7" s="1"/>
  <c r="R123" i="7" s="1"/>
  <c r="I68" i="7"/>
  <c r="J68" i="7" s="1"/>
  <c r="K68" i="7" s="1"/>
  <c r="L68" i="7" s="1"/>
  <c r="N68" i="7" s="1"/>
  <c r="P68" i="7" s="1"/>
  <c r="Q68" i="7" s="1"/>
  <c r="I60" i="7"/>
  <c r="J60" i="7" s="1"/>
  <c r="K60" i="7" s="1"/>
  <c r="L60" i="7" s="1"/>
  <c r="N60" i="7" s="1"/>
  <c r="P60" i="7" s="1"/>
  <c r="Q60" i="7" s="1"/>
  <c r="I50" i="7"/>
  <c r="J50" i="7" s="1"/>
  <c r="K50" i="7" s="1"/>
  <c r="L50" i="7" s="1"/>
  <c r="N50" i="7" s="1"/>
  <c r="I6" i="7"/>
  <c r="J6" i="7" s="1"/>
  <c r="K6" i="7" s="1"/>
  <c r="L6" i="7" s="1"/>
  <c r="N6" i="7" s="1"/>
  <c r="I69" i="7"/>
  <c r="J69" i="7" s="1"/>
  <c r="K69" i="7" s="1"/>
  <c r="L69" i="7" s="1"/>
  <c r="N69" i="7" s="1"/>
  <c r="I61" i="7"/>
  <c r="J61" i="7" s="1"/>
  <c r="K61" i="7" s="1"/>
  <c r="L61" i="7" s="1"/>
  <c r="N61" i="7" s="1"/>
  <c r="I51" i="7"/>
  <c r="J51" i="7" s="1"/>
  <c r="K51" i="7" s="1"/>
  <c r="L51" i="7" s="1"/>
  <c r="N51" i="7" s="1"/>
  <c r="P51" i="7" s="1"/>
  <c r="Q51" i="7" s="1"/>
  <c r="I63" i="7"/>
  <c r="J63" i="7" s="1"/>
  <c r="K63" i="7" s="1"/>
  <c r="L63" i="7" s="1"/>
  <c r="N63" i="7" s="1"/>
  <c r="I54" i="7"/>
  <c r="J54" i="7" s="1"/>
  <c r="K54" i="7" s="1"/>
  <c r="L54" i="7" s="1"/>
  <c r="N54" i="7" s="1"/>
  <c r="I33" i="7"/>
  <c r="J33" i="7" s="1"/>
  <c r="K33" i="7" s="1"/>
  <c r="L33" i="7" s="1"/>
  <c r="N33" i="7" s="1"/>
  <c r="I29" i="7"/>
  <c r="J29" i="7" s="1"/>
  <c r="K29" i="7" s="1"/>
  <c r="L29" i="7" s="1"/>
  <c r="N29" i="7" s="1"/>
  <c r="I13" i="7"/>
  <c r="I89" i="7"/>
  <c r="J89" i="7" s="1"/>
  <c r="K89" i="7" s="1"/>
  <c r="L89" i="7" s="1"/>
  <c r="N89" i="7" s="1"/>
  <c r="R89" i="7" s="1"/>
  <c r="I76" i="7"/>
  <c r="J76" i="7" s="1"/>
  <c r="K76" i="7" s="1"/>
  <c r="L76" i="7" s="1"/>
  <c r="N76" i="7" s="1"/>
  <c r="R76" i="7" s="1"/>
  <c r="I44" i="7"/>
  <c r="J44" i="7" s="1"/>
  <c r="K44" i="7" s="1"/>
  <c r="L44" i="7" s="1"/>
  <c r="N44" i="7" s="1"/>
  <c r="P44" i="7" s="1"/>
  <c r="Q44" i="7" s="1"/>
  <c r="I21" i="7"/>
  <c r="J21" i="7" s="1"/>
  <c r="K21" i="7" s="1"/>
  <c r="L21" i="7" s="1"/>
  <c r="N21" i="7" s="1"/>
  <c r="I19" i="7"/>
  <c r="J19" i="7" s="1"/>
  <c r="K19" i="7" s="1"/>
  <c r="L19" i="7" s="1"/>
  <c r="N19" i="7" s="1"/>
  <c r="P19" i="7" s="1"/>
  <c r="Q19" i="7" s="1"/>
  <c r="I15" i="7"/>
  <c r="J15" i="7" s="1"/>
  <c r="K15" i="7" s="1"/>
  <c r="L15" i="7" s="1"/>
  <c r="N15" i="7" s="1"/>
  <c r="I96" i="7"/>
  <c r="J96" i="7" s="1"/>
  <c r="K96" i="7" s="1"/>
  <c r="L96" i="7" s="1"/>
  <c r="N96" i="7" s="1"/>
  <c r="R96" i="7" s="1"/>
  <c r="I99" i="7"/>
  <c r="J99" i="7" s="1"/>
  <c r="K99" i="7" s="1"/>
  <c r="L99" i="7" s="1"/>
  <c r="N99" i="7" s="1"/>
  <c r="R99" i="7" s="1"/>
  <c r="I79" i="7"/>
  <c r="J79" i="7" s="1"/>
  <c r="K79" i="7" s="1"/>
  <c r="L79" i="7" s="1"/>
  <c r="N79" i="7" s="1"/>
  <c r="R79" i="7" s="1"/>
  <c r="I94" i="7"/>
  <c r="J94" i="7" s="1"/>
  <c r="K94" i="7" s="1"/>
  <c r="L94" i="7" s="1"/>
  <c r="N94" i="7" s="1"/>
  <c r="R94" i="7" s="1"/>
  <c r="I105" i="7"/>
  <c r="J105" i="7" s="1"/>
  <c r="K105" i="7" s="1"/>
  <c r="L105" i="7" s="1"/>
  <c r="N105" i="7" s="1"/>
  <c r="R105" i="7" s="1"/>
  <c r="I100" i="7"/>
  <c r="J100" i="7" s="1"/>
  <c r="K100" i="7" s="1"/>
  <c r="L100" i="7" s="1"/>
  <c r="N100" i="7" s="1"/>
  <c r="R100" i="7" s="1"/>
  <c r="I84" i="7"/>
  <c r="J84" i="7" s="1"/>
  <c r="K84" i="7" s="1"/>
  <c r="L84" i="7" s="1"/>
  <c r="N84" i="7" s="1"/>
  <c r="R84" i="7" s="1"/>
  <c r="I48" i="7"/>
  <c r="J48" i="7" s="1"/>
  <c r="K48" i="7" s="1"/>
  <c r="L48" i="7" s="1"/>
  <c r="N48" i="7" s="1"/>
  <c r="P48" i="7" s="1"/>
  <c r="Q48" i="7" s="1"/>
  <c r="I27" i="7"/>
  <c r="J27" i="7" s="1"/>
  <c r="K27" i="7" s="1"/>
  <c r="L27" i="7" s="1"/>
  <c r="N27" i="7" s="1"/>
  <c r="P27" i="7" s="1"/>
  <c r="Q27" i="7" s="1"/>
  <c r="I23" i="7"/>
  <c r="J23" i="7" s="1"/>
  <c r="K23" i="7" s="1"/>
  <c r="L23" i="7" s="1"/>
  <c r="N23" i="7" s="1"/>
  <c r="R126" i="7" s="1"/>
  <c r="I7" i="7"/>
  <c r="J7" i="7" s="1"/>
  <c r="K7" i="7" s="1"/>
  <c r="L7" i="7" s="1"/>
  <c r="N7" i="7" s="1"/>
  <c r="I4" i="7"/>
  <c r="J4" i="7" s="1"/>
  <c r="K4" i="7" s="1"/>
  <c r="L4" i="7" s="1"/>
  <c r="N4" i="7" s="1"/>
  <c r="I107" i="7"/>
  <c r="J107" i="7" s="1"/>
  <c r="K107" i="7" s="1"/>
  <c r="L107" i="7" s="1"/>
  <c r="N107" i="7" s="1"/>
  <c r="I66" i="7"/>
  <c r="J66" i="7" s="1"/>
  <c r="K66" i="7" s="1"/>
  <c r="L66" i="7" s="1"/>
  <c r="N66" i="7" s="1"/>
  <c r="P66" i="7" s="1"/>
  <c r="Q66" i="7" s="1"/>
  <c r="I64" i="7"/>
  <c r="J64" i="7" s="1"/>
  <c r="K64" i="7" s="1"/>
  <c r="L64" i="7" s="1"/>
  <c r="N64" i="7" s="1"/>
  <c r="P64" i="7" s="1"/>
  <c r="Q64" i="7" s="1"/>
  <c r="I41" i="7"/>
  <c r="J41" i="7" s="1"/>
  <c r="K41" i="7" s="1"/>
  <c r="L41" i="7" s="1"/>
  <c r="N41" i="7" s="1"/>
  <c r="I39" i="7"/>
  <c r="J39" i="7" s="1"/>
  <c r="K39" i="7" s="1"/>
  <c r="L39" i="7" s="1"/>
  <c r="N39" i="7" s="1"/>
  <c r="P39" i="7" s="1"/>
  <c r="Q39" i="7" s="1"/>
  <c r="I35" i="7"/>
  <c r="J35" i="7" s="1"/>
  <c r="K35" i="7" s="1"/>
  <c r="L35" i="7" s="1"/>
  <c r="N35" i="7" s="1"/>
  <c r="I81" i="7"/>
  <c r="J81" i="7" s="1"/>
  <c r="K81" i="7" s="1"/>
  <c r="L81" i="7" s="1"/>
  <c r="N81" i="7" s="1"/>
  <c r="R81" i="7" s="1"/>
  <c r="I88" i="7"/>
  <c r="J88" i="7" s="1"/>
  <c r="K88" i="7" s="1"/>
  <c r="L88" i="7" s="1"/>
  <c r="N88" i="7" s="1"/>
  <c r="R88" i="7" s="1"/>
  <c r="I77" i="7"/>
  <c r="J77" i="7" s="1"/>
  <c r="K77" i="7" s="1"/>
  <c r="L77" i="7" s="1"/>
  <c r="N77" i="7" s="1"/>
  <c r="R77" i="7" s="1"/>
  <c r="I93" i="7"/>
  <c r="J93" i="7" s="1"/>
  <c r="K93" i="7" s="1"/>
  <c r="L93" i="7" s="1"/>
  <c r="N93" i="7" s="1"/>
  <c r="R93" i="7" s="1"/>
  <c r="I62" i="7"/>
  <c r="J62" i="7" s="1"/>
  <c r="K62" i="7" s="1"/>
  <c r="L62" i="7" s="1"/>
  <c r="N62" i="7" s="1"/>
  <c r="P62" i="7" s="1"/>
  <c r="Q62" i="7" s="1"/>
  <c r="I45" i="7"/>
  <c r="J45" i="7" s="1"/>
  <c r="K45" i="7" s="1"/>
  <c r="L45" i="7" s="1"/>
  <c r="N45" i="7" s="1"/>
  <c r="I43" i="7"/>
  <c r="J43" i="7" s="1"/>
  <c r="K43" i="7" s="1"/>
  <c r="L43" i="7" s="1"/>
  <c r="N43" i="7" s="1"/>
  <c r="I20" i="7"/>
  <c r="J20" i="7" s="1"/>
  <c r="K20" i="7" s="1"/>
  <c r="L20" i="7" s="1"/>
  <c r="N20" i="7" s="1"/>
  <c r="I18" i="7"/>
  <c r="J18" i="7" s="1"/>
  <c r="K18" i="7" s="1"/>
  <c r="L18" i="7" s="1"/>
  <c r="N18" i="7" s="1"/>
  <c r="I16" i="7"/>
  <c r="J16" i="7" s="1"/>
  <c r="K16" i="7" s="1"/>
  <c r="L16" i="7" s="1"/>
  <c r="N16" i="7" s="1"/>
  <c r="I14" i="7"/>
  <c r="J14" i="7" s="1"/>
  <c r="K14" i="7" s="1"/>
  <c r="L14" i="7" s="1"/>
  <c r="N14" i="7" s="1"/>
  <c r="I5" i="7"/>
  <c r="J5" i="7" s="1"/>
  <c r="K5" i="7" s="1"/>
  <c r="L5" i="7" s="1"/>
  <c r="N5" i="7" s="1"/>
  <c r="I97" i="7"/>
  <c r="J97" i="7" s="1"/>
  <c r="K97" i="7" s="1"/>
  <c r="L97" i="7" s="1"/>
  <c r="N97" i="7" s="1"/>
  <c r="R97" i="7" s="1"/>
  <c r="I82" i="7"/>
  <c r="J82" i="7" s="1"/>
  <c r="K82" i="7" s="1"/>
  <c r="L82" i="7" s="1"/>
  <c r="N82" i="7" s="1"/>
  <c r="R82" i="7" s="1"/>
  <c r="I102" i="7"/>
  <c r="J102" i="7" s="1"/>
  <c r="K102" i="7" s="1"/>
  <c r="L102" i="7" s="1"/>
  <c r="N102" i="7" s="1"/>
  <c r="R102" i="7" s="1"/>
  <c r="I58" i="7"/>
  <c r="J58" i="7" s="1"/>
  <c r="K58" i="7" s="1"/>
  <c r="L58" i="7" s="1"/>
  <c r="N58" i="7" s="1"/>
  <c r="P58" i="7" s="1"/>
  <c r="Q58" i="7" s="1"/>
  <c r="I38" i="7"/>
  <c r="J38" i="7" s="1"/>
  <c r="K38" i="7" s="1"/>
  <c r="L38" i="7" s="1"/>
  <c r="N38" i="7" s="1"/>
  <c r="I31" i="7"/>
  <c r="J31" i="7" s="1"/>
  <c r="K31" i="7" s="1"/>
  <c r="L31" i="7" s="1"/>
  <c r="N31" i="7" s="1"/>
  <c r="I98" i="7"/>
  <c r="J98" i="7" s="1"/>
  <c r="K98" i="7" s="1"/>
  <c r="L98" i="7" s="1"/>
  <c r="N98" i="7" s="1"/>
  <c r="R98" i="7" s="1"/>
  <c r="I83" i="7"/>
  <c r="J83" i="7" s="1"/>
  <c r="K83" i="7" s="1"/>
  <c r="L83" i="7" s="1"/>
  <c r="N83" i="7" s="1"/>
  <c r="R83" i="7" s="1"/>
  <c r="I56" i="7"/>
  <c r="J56" i="7" s="1"/>
  <c r="K56" i="7" s="1"/>
  <c r="L56" i="7" s="1"/>
  <c r="N56" i="7" s="1"/>
  <c r="P56" i="7" s="1"/>
  <c r="Q56" i="7" s="1"/>
  <c r="I40" i="7"/>
  <c r="J40" i="7" s="1"/>
  <c r="K40" i="7" s="1"/>
  <c r="L40" i="7" s="1"/>
  <c r="N40" i="7" s="1"/>
  <c r="I106" i="7"/>
  <c r="J106" i="7" s="1"/>
  <c r="K106" i="7" s="1"/>
  <c r="L106" i="7" s="1"/>
  <c r="N106" i="7" s="1"/>
  <c r="I24" i="7"/>
  <c r="J24" i="7" s="1"/>
  <c r="K24" i="7" s="1"/>
  <c r="L24" i="7" s="1"/>
  <c r="N24" i="7" s="1"/>
  <c r="P24" i="7" s="1"/>
  <c r="Q24" i="7" s="1"/>
  <c r="I49" i="7"/>
  <c r="J49" i="7" s="1"/>
  <c r="K49" i="7" s="1"/>
  <c r="L49" i="7" s="1"/>
  <c r="N49" i="7" s="1"/>
  <c r="I104" i="7"/>
  <c r="J104" i="7" s="1"/>
  <c r="K104" i="7" s="1"/>
  <c r="L104" i="7" s="1"/>
  <c r="N104" i="7" s="1"/>
  <c r="R104" i="7" s="1"/>
  <c r="I65" i="7"/>
  <c r="J65" i="7" s="1"/>
  <c r="K65" i="7" s="1"/>
  <c r="L65" i="7" s="1"/>
  <c r="N65" i="7" s="1"/>
  <c r="I53" i="7"/>
  <c r="J53" i="7" s="1"/>
  <c r="K53" i="7" s="1"/>
  <c r="L53" i="7" s="1"/>
  <c r="N53" i="7" s="1"/>
  <c r="I34" i="7"/>
  <c r="J34" i="7" s="1"/>
  <c r="K34" i="7" s="1"/>
  <c r="L34" i="7" s="1"/>
  <c r="N34" i="7" s="1"/>
  <c r="P34" i="7" s="1"/>
  <c r="Q34" i="7" s="1"/>
  <c r="I26" i="7"/>
  <c r="J26" i="7" s="1"/>
  <c r="K26" i="7" s="1"/>
  <c r="L26" i="7" s="1"/>
  <c r="N26" i="7" s="1"/>
  <c r="I3" i="7"/>
  <c r="I95" i="7"/>
  <c r="J95" i="7" s="1"/>
  <c r="K95" i="7" s="1"/>
  <c r="L95" i="7" s="1"/>
  <c r="N95" i="7" s="1"/>
  <c r="I86" i="7"/>
  <c r="J86" i="7" s="1"/>
  <c r="K86" i="7" s="1"/>
  <c r="L86" i="7" s="1"/>
  <c r="N86" i="7" s="1"/>
  <c r="R86" i="7" s="1"/>
  <c r="I80" i="7"/>
  <c r="J80" i="7" s="1"/>
  <c r="K80" i="7" s="1"/>
  <c r="L80" i="7" s="1"/>
  <c r="N80" i="7" s="1"/>
  <c r="R80" i="7" s="1"/>
  <c r="I47" i="7"/>
  <c r="J47" i="7" s="1"/>
  <c r="K47" i="7" s="1"/>
  <c r="L47" i="7" s="1"/>
  <c r="N47" i="7" s="1"/>
  <c r="I85" i="7"/>
  <c r="J85" i="7" s="1"/>
  <c r="K85" i="7" s="1"/>
  <c r="L85" i="7" s="1"/>
  <c r="N85" i="7" s="1"/>
  <c r="R85" i="7" s="1"/>
  <c r="I67" i="7"/>
  <c r="J67" i="7" s="1"/>
  <c r="K67" i="7" s="1"/>
  <c r="L67" i="7" s="1"/>
  <c r="N67" i="7" s="1"/>
  <c r="I87" i="7"/>
  <c r="J87" i="7" s="1"/>
  <c r="K87" i="7" s="1"/>
  <c r="L87" i="7" s="1"/>
  <c r="N87" i="7" s="1"/>
  <c r="R87" i="7" s="1"/>
  <c r="I103" i="7"/>
  <c r="J103" i="7" s="1"/>
  <c r="K103" i="7" s="1"/>
  <c r="L103" i="7" s="1"/>
  <c r="N103" i="7" s="1"/>
  <c r="R103" i="7" s="1"/>
  <c r="I57" i="7"/>
  <c r="J57" i="7" s="1"/>
  <c r="K57" i="7" s="1"/>
  <c r="L57" i="7" s="1"/>
  <c r="N57" i="7" s="1"/>
  <c r="I30" i="7"/>
  <c r="J30" i="7" s="1"/>
  <c r="K30" i="7" s="1"/>
  <c r="L30" i="7" s="1"/>
  <c r="N30" i="7" s="1"/>
  <c r="P30" i="7" s="1"/>
  <c r="Q30" i="7" s="1"/>
  <c r="I9" i="7"/>
  <c r="J9" i="7" s="1"/>
  <c r="K9" i="7" s="1"/>
  <c r="L9" i="7" s="1"/>
  <c r="N9" i="7" s="1"/>
  <c r="I101" i="7"/>
  <c r="J101" i="7" s="1"/>
  <c r="K101" i="7" s="1"/>
  <c r="L101" i="7" s="1"/>
  <c r="N101" i="7" s="1"/>
  <c r="R101" i="7" s="1"/>
  <c r="I36" i="7"/>
  <c r="J36" i="7" s="1"/>
  <c r="K36" i="7" s="1"/>
  <c r="L36" i="7" s="1"/>
  <c r="N36" i="7" s="1"/>
  <c r="I59" i="7"/>
  <c r="J59" i="7" s="1"/>
  <c r="K59" i="7" s="1"/>
  <c r="L59" i="7" s="1"/>
  <c r="N59" i="7" s="1"/>
  <c r="I92" i="7"/>
  <c r="J92" i="7" s="1"/>
  <c r="K92" i="7" s="1"/>
  <c r="L92" i="7" s="1"/>
  <c r="N92" i="7" s="1"/>
  <c r="R92" i="7" s="1"/>
  <c r="I10" i="7"/>
  <c r="J10" i="7" s="1"/>
  <c r="K10" i="7" s="1"/>
  <c r="L10" i="7" s="1"/>
  <c r="N10" i="7" s="1"/>
  <c r="I78" i="7"/>
  <c r="J78" i="7" s="1"/>
  <c r="K78" i="7" s="1"/>
  <c r="L78" i="7" s="1"/>
  <c r="N78" i="7" s="1"/>
  <c r="R78" i="7" s="1"/>
  <c r="F72" i="7"/>
  <c r="D146" i="7"/>
  <c r="R124" i="7" l="1"/>
  <c r="R122" i="7"/>
  <c r="R119" i="7"/>
  <c r="R115" i="7"/>
  <c r="R116" i="7"/>
  <c r="R117" i="7"/>
  <c r="R118" i="7"/>
  <c r="P31" i="7"/>
  <c r="Q31" i="7" s="1"/>
  <c r="R31" i="7"/>
  <c r="P50" i="7"/>
  <c r="Q50" i="7" s="1"/>
  <c r="R50" i="7"/>
  <c r="P54" i="7"/>
  <c r="Q54" i="7" s="1"/>
  <c r="R54" i="7"/>
  <c r="P41" i="7"/>
  <c r="Q41" i="7" s="1"/>
  <c r="R41" i="7"/>
  <c r="P36" i="7"/>
  <c r="Q36" i="7" s="1"/>
  <c r="R36" i="7"/>
  <c r="P57" i="7"/>
  <c r="Q57" i="7" s="1"/>
  <c r="R57" i="7"/>
  <c r="P65" i="7"/>
  <c r="Q65" i="7" s="1"/>
  <c r="R65" i="7"/>
  <c r="P61" i="7"/>
  <c r="Q61" i="7" s="1"/>
  <c r="R61" i="7"/>
  <c r="P69" i="7"/>
  <c r="Q69" i="7" s="1"/>
  <c r="R69" i="7"/>
  <c r="P40" i="7"/>
  <c r="Q40" i="7" s="1"/>
  <c r="R40" i="7"/>
  <c r="P45" i="7"/>
  <c r="Q45" i="7" s="1"/>
  <c r="R45" i="7"/>
  <c r="P49" i="7"/>
  <c r="Q49" i="7" s="1"/>
  <c r="R49" i="7"/>
  <c r="P35" i="7"/>
  <c r="Q35" i="7" s="1"/>
  <c r="R35" i="7"/>
  <c r="P59" i="7"/>
  <c r="Q59" i="7" s="1"/>
  <c r="R59" i="7"/>
  <c r="P67" i="7"/>
  <c r="Q67" i="7" s="1"/>
  <c r="R67" i="7"/>
  <c r="P53" i="7"/>
  <c r="Q53" i="7" s="1"/>
  <c r="R53" i="7"/>
  <c r="P63" i="7"/>
  <c r="Q63" i="7" s="1"/>
  <c r="R63" i="7"/>
  <c r="P21" i="7"/>
  <c r="Q21" i="7" s="1"/>
  <c r="R21" i="7"/>
  <c r="P20" i="7"/>
  <c r="Q20" i="7" s="1"/>
  <c r="R20" i="7"/>
  <c r="R52" i="7"/>
  <c r="P23" i="7"/>
  <c r="Q23" i="7" s="1"/>
  <c r="R23" i="7"/>
  <c r="R109" i="7"/>
  <c r="P10" i="7"/>
  <c r="Q10" i="7" s="1"/>
  <c r="R10" i="7"/>
  <c r="P26" i="7"/>
  <c r="Q26" i="7" s="1"/>
  <c r="R26" i="7"/>
  <c r="R111" i="7"/>
  <c r="P9" i="7"/>
  <c r="Q9" i="7" s="1"/>
  <c r="R9" i="7"/>
  <c r="P16" i="7"/>
  <c r="Q16" i="7" s="1"/>
  <c r="R16" i="7"/>
  <c r="P4" i="7"/>
  <c r="Q4" i="7" s="1"/>
  <c r="R4" i="7"/>
  <c r="P38" i="7"/>
  <c r="Q38" i="7" s="1"/>
  <c r="R112" i="7"/>
  <c r="R38" i="7"/>
  <c r="P18" i="7"/>
  <c r="Q18" i="7" s="1"/>
  <c r="R18" i="7"/>
  <c r="R110" i="7"/>
  <c r="P7" i="7"/>
  <c r="Q7" i="7" s="1"/>
  <c r="R7" i="7"/>
  <c r="P6" i="7"/>
  <c r="Q6" i="7" s="1"/>
  <c r="R6" i="7"/>
  <c r="P15" i="7"/>
  <c r="Q15" i="7" s="1"/>
  <c r="R15" i="7"/>
  <c r="P43" i="7"/>
  <c r="Q43" i="7" s="1"/>
  <c r="R43" i="7"/>
  <c r="P29" i="7"/>
  <c r="Q29" i="7" s="1"/>
  <c r="R29" i="7"/>
  <c r="P33" i="7"/>
  <c r="Q33" i="7" s="1"/>
  <c r="R33" i="7"/>
  <c r="P5" i="7"/>
  <c r="Q5" i="7" s="1"/>
  <c r="R5" i="7"/>
  <c r="P47" i="7"/>
  <c r="Q47" i="7" s="1"/>
  <c r="R47" i="7"/>
  <c r="P14" i="7"/>
  <c r="Q14" i="7" s="1"/>
  <c r="R14" i="7"/>
  <c r="I71" i="7"/>
  <c r="J13" i="7"/>
  <c r="K13" i="7" s="1"/>
  <c r="L13" i="7" s="1"/>
  <c r="N13" i="7" s="1"/>
  <c r="I12" i="7"/>
  <c r="J3" i="7"/>
  <c r="K3" i="7" s="1"/>
  <c r="L3" i="7" s="1"/>
  <c r="N3" i="7" s="1"/>
  <c r="R127" i="7" l="1"/>
  <c r="R128" i="7"/>
  <c r="R130" i="7"/>
  <c r="R129" i="7"/>
  <c r="R113" i="7"/>
  <c r="R121" i="7"/>
  <c r="R125" i="7"/>
  <c r="R120" i="7"/>
  <c r="R114" i="7"/>
  <c r="P13" i="7"/>
  <c r="P71" i="7" s="1"/>
  <c r="R13" i="7"/>
  <c r="P3" i="7"/>
  <c r="Q3" i="7" s="1"/>
  <c r="Q12" i="7" s="1"/>
  <c r="U12" i="7" s="1"/>
  <c r="R3" i="7"/>
  <c r="I72" i="7"/>
  <c r="Q13" i="7" l="1"/>
  <c r="Q71" i="7" s="1"/>
  <c r="P12" i="7"/>
  <c r="P72" i="7" s="1"/>
  <c r="Q72" i="7" l="1"/>
  <c r="U71" i="7"/>
  <c r="B64" i="4"/>
  <c r="B65" i="4" s="1"/>
  <c r="B60" i="4" l="1"/>
  <c r="B61" i="4" s="1"/>
  <c r="C65" i="4" s="1"/>
  <c r="U72" i="7"/>
</calcChain>
</file>

<file path=xl/sharedStrings.xml><?xml version="1.0" encoding="utf-8"?>
<sst xmlns="http://schemas.openxmlformats.org/spreadsheetml/2006/main" count="248" uniqueCount="202">
  <si>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</si>
  <si>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</si>
  <si>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</si>
  <si>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</si>
  <si>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</si>
  <si>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</si>
  <si>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</si>
  <si>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</si>
  <si>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</si>
  <si>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</si>
  <si>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</si>
  <si>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</si>
  <si>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</si>
  <si>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</si>
  <si>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</si>
  <si>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</si>
  <si>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</si>
  <si>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</si>
  <si>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</si>
  <si>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</si>
  <si>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</si>
  <si>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</si>
  <si>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</si>
  <si>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</si>
  <si>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</si>
  <si>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</si>
  <si>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</si>
  <si>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</si>
  <si>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</si>
  <si>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</si>
  <si>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</si>
  <si>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</si>
  <si>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</si>
  <si>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</si>
  <si>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</si>
  <si>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</si>
  <si>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</si>
  <si>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</si>
  <si>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</si>
  <si>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</si>
  <si>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</si>
  <si>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</si>
  <si>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</si>
  <si>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</si>
  <si>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</si>
  <si>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</si>
  <si>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</si>
  <si>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</si>
  <si>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</si>
  <si>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</si>
  <si>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</si>
  <si>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</si>
  <si>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</si>
  <si>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</si>
  <si>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</si>
  <si>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</si>
  <si>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</si>
  <si>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</si>
  <si>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</si>
  <si>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</si>
  <si>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</si>
  <si>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</si>
  <si>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</si>
  <si>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</si>
  <si>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</si>
  <si>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</si>
  <si>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</si>
  <si>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</si>
  <si>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</si>
  <si>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</si>
  <si>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</si>
  <si>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</si>
  <si>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</si>
  <si>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</si>
  <si>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</si>
  <si>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</si>
  <si>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</si>
  <si>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</si>
  <si>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</si>
  <si>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</si>
  <si>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</si>
  <si>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</si>
  <si>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</si>
  <si>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</si>
  <si>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</si>
  <si>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</si>
  <si>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</si>
  <si>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</si>
  <si>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</si>
  <si>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</si>
  <si>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</si>
  <si>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</si>
  <si>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</si>
  <si>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</si>
  <si>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</si>
  <si>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</si>
  <si>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</si>
  <si>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</si>
  <si>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</si>
  <si>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</si>
  <si>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</si>
  <si>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</si>
  <si>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</si>
  <si>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</si>
  <si>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</si>
  <si>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</si>
  <si>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</si>
  <si>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</si>
  <si>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4 Yard</t>
  </si>
  <si>
    <t>6 Yard</t>
  </si>
  <si>
    <t>8 Yard</t>
  </si>
  <si>
    <t>10 Yard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</si>
  <si>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</si>
  <si>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</si>
  <si>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</si>
  <si>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</si>
  <si>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</si>
  <si>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</si>
  <si>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</si>
  <si>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</si>
  <si>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</si>
  <si>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</si>
  <si>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</si>
  <si>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</si>
  <si>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</si>
  <si>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</si>
  <si>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</si>
  <si>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</si>
  <si>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</si>
  <si>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</si>
  <si>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</si>
  <si>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</si>
  <si>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</si>
  <si>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</si>
  <si>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</si>
  <si>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</si>
  <si>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</si>
  <si>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</si>
  <si>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</si>
  <si>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</si>
  <si>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</si>
  <si>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</si>
  <si>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3 Yard - 1st Pickup</t>
  </si>
  <si>
    <t>3 Yard - Additional Pickup</t>
  </si>
  <si>
    <t>3 Yard - Special</t>
  </si>
  <si>
    <t xml:space="preserve">3 Yard - Temporary </t>
  </si>
  <si>
    <t>4 Yard - 1st Pickup</t>
  </si>
  <si>
    <t>4 Yard - Additional Pickup</t>
  </si>
  <si>
    <t>4 Yard - Special</t>
  </si>
  <si>
    <t>4 Yard - Temporary</t>
  </si>
  <si>
    <t>5 Yard - 1st Pickup</t>
  </si>
  <si>
    <t>5 Yard - Additional Pickup</t>
  </si>
  <si>
    <t>5 Yard - Special</t>
  </si>
  <si>
    <t>5 Yard - Temporary</t>
  </si>
  <si>
    <t>6 Yard - 1st Pickup</t>
  </si>
  <si>
    <t>6 Yard - Additional Pickup</t>
  </si>
  <si>
    <t>6 Yard - Special</t>
  </si>
  <si>
    <t>8 Yard - 1st Pickup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</si>
  <si>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</si>
  <si>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</si>
  <si>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</si>
  <si>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</si>
  <si>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</si>
  <si>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</si>
  <si>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</si>
  <si>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</si>
  <si>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</si>
  <si>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</si>
  <si>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</si>
  <si>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</si>
  <si>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</si>
  <si>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</si>
  <si>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</si>
  <si>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</si>
  <si>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</si>
  <si>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</si>
  <si>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</si>
  <si>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</si>
  <si>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</si>
  <si>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</si>
  <si>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</si>
  <si>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</si>
  <si>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</si>
  <si>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</si>
  <si>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</si>
  <si>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</si>
  <si>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</si>
  <si>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</si>
  <si>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</si>
  <si>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</si>
  <si>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29, 29A</t>
  </si>
  <si>
    <t>28B</t>
  </si>
  <si>
    <t>28, 28A</t>
  </si>
  <si>
    <t>Company        Calculated Rate</t>
  </si>
  <si>
    <t>Company    Current Tariff</t>
  </si>
  <si>
    <t>Company Calculated Revenue</t>
  </si>
  <si>
    <t>Walla Walla County</t>
  </si>
  <si>
    <t>28A</t>
  </si>
  <si>
    <t>29A</t>
  </si>
  <si>
    <t>New Rate</t>
  </si>
  <si>
    <t>6 Yard - Temporary</t>
  </si>
  <si>
    <t>Collector 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</si>
</sst>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gray0625">
        <bgColor indexed="13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9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11" fillId="38" borderId="0" xfId="82" applyNumberFormat="1" applyFont="1" applyFill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11" fillId="39" borderId="0" xfId="83" applyNumberFormat="1" applyFont="1" applyFill="1"/>
    <xf numFmtId="166" fontId="9" fillId="38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40" borderId="26" xfId="126" applyFont="1" applyFill="1" applyBorder="1"/>
    <xf numFmtId="44" fontId="0" fillId="40" borderId="0" xfId="126" applyFont="1" applyFill="1" applyBorder="1"/>
    <xf numFmtId="44" fontId="0" fillId="41" borderId="0" xfId="126" applyFont="1" applyFill="1" applyBorder="1"/>
    <xf numFmtId="44" fontId="11" fillId="38" borderId="0" xfId="126" applyFont="1" applyFill="1" applyBorder="1"/>
    <xf numFmtId="44" fontId="11" fillId="0" borderId="0" xfId="126" applyFont="1" applyBorder="1"/>
    <xf numFmtId="0" fontId="0" fillId="0" borderId="0" xfId="0" applyFont="1" applyFill="1" applyBorder="1" applyAlignment="1">
      <alignment horizontal="center" vertical="center" textRotation="90"/>
    </xf>
    <xf numFmtId="0" fontId="11" fillId="0" borderId="34" xfId="329" applyFont="1" applyBorder="1" applyAlignment="1">
      <alignment horizontal="left"/>
    </xf>
    <xf numFmtId="166" fontId="0" fillId="35" borderId="34" xfId="82" applyNumberFormat="1" applyFont="1" applyFill="1" applyBorder="1"/>
    <xf numFmtId="166" fontId="11" fillId="0" borderId="34" xfId="82" applyNumberFormat="1" applyFont="1" applyFill="1" applyBorder="1"/>
    <xf numFmtId="44" fontId="0" fillId="40" borderId="34" xfId="126" applyFont="1" applyFill="1" applyBorder="1"/>
    <xf numFmtId="0" fontId="3" fillId="36" borderId="0" xfId="0" applyFont="1" applyFill="1" applyBorder="1" applyAlignment="1">
      <alignment horizontal="center" wrapText="1"/>
    </xf>
    <xf numFmtId="44" fontId="0" fillId="41" borderId="0" xfId="126" applyNumberFormat="1" applyFont="1" applyFill="1" applyBorder="1"/>
    <xf numFmtId="44" fontId="0" fillId="40" borderId="0" xfId="126" applyNumberFormat="1" applyFont="1" applyFill="1" applyBorder="1"/>
    <xf numFmtId="168" fontId="0" fillId="0" borderId="0" xfId="338" applyNumberFormat="1" applyFont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465067</xdr:colOff>
      <xdr:row>25</xdr:row>
      <xdr:rowOff>37500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6667" cy="4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3" workbookViewId="0">
      <selection activeCell="B60" sqref="B60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83" t="s">
        <v>18</v>
      </c>
      <c r="B1" s="183"/>
      <c r="C1" s="183"/>
      <c r="D1" s="183"/>
      <c r="E1" s="183"/>
      <c r="F1" s="183"/>
      <c r="G1" s="183"/>
      <c r="H1" s="183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183" t="s">
        <v>10</v>
      </c>
      <c r="B11" s="183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21" t="s">
        <v>96</v>
      </c>
      <c r="B20" s="13">
        <v>37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185" t="s">
        <v>92</v>
      </c>
      <c r="C43" s="185"/>
    </row>
    <row r="46" spans="1:8">
      <c r="A46" s="29" t="s">
        <v>196</v>
      </c>
      <c r="B46" s="27" t="s">
        <v>5</v>
      </c>
      <c r="C46" s="27" t="s">
        <v>6</v>
      </c>
      <c r="F46" s="184" t="s">
        <v>26</v>
      </c>
      <c r="G46" s="184"/>
    </row>
    <row r="47" spans="1:8">
      <c r="A47" s="23" t="s">
        <v>7</v>
      </c>
      <c r="B47" s="6">
        <v>91.9</v>
      </c>
      <c r="C47" s="5">
        <f>B47/2000</f>
        <v>4.5950000000000005E-2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94.1</v>
      </c>
      <c r="C48" s="8">
        <f>B48/2000</f>
        <v>4.7049999999999995E-2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2.1999999999999886</v>
      </c>
      <c r="C49" s="12">
        <f>C48-C47</f>
        <v>1.0999999999999899E-3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2.1999999999999886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2.2426095820591119</v>
      </c>
    </row>
    <row r="54" spans="1:7">
      <c r="A54" s="3" t="s">
        <v>24</v>
      </c>
      <c r="B54" s="14">
        <f>Calculations!D144</f>
        <v>6618.43</v>
      </c>
    </row>
    <row r="55" spans="1:7">
      <c r="A55" s="2" t="s">
        <v>30</v>
      </c>
      <c r="B55" s="4">
        <f>B53*B54</f>
        <v>14842.554536187488</v>
      </c>
    </row>
    <row r="58" spans="1:7" ht="15.75" thickBot="1"/>
    <row r="59" spans="1:7">
      <c r="A59" s="98" t="s">
        <v>84</v>
      </c>
      <c r="B59" s="99" t="s">
        <v>82</v>
      </c>
      <c r="D59" s="25"/>
    </row>
    <row r="60" spans="1:7">
      <c r="A60" s="100" t="s">
        <v>83</v>
      </c>
      <c r="B60" s="101">
        <f>+Calculations!Q72</f>
        <v>14842.554536187454</v>
      </c>
    </row>
    <row r="61" spans="1:7">
      <c r="A61" s="100" t="s">
        <v>12</v>
      </c>
      <c r="B61" s="101">
        <f>B60-B55</f>
        <v>-3.4560798667371273E-11</v>
      </c>
    </row>
    <row r="62" spans="1:7">
      <c r="A62" s="100"/>
      <c r="B62" s="102"/>
    </row>
    <row r="63" spans="1:7">
      <c r="A63" s="103" t="s">
        <v>85</v>
      </c>
      <c r="B63" s="104" t="s">
        <v>82</v>
      </c>
    </row>
    <row r="64" spans="1:7">
      <c r="A64" s="100" t="s">
        <v>44</v>
      </c>
      <c r="B64" s="105">
        <f>Calculations!Q72</f>
        <v>14842.554536187454</v>
      </c>
    </row>
    <row r="65" spans="1:3" ht="15.75" thickBot="1">
      <c r="A65" s="106" t="s">
        <v>12</v>
      </c>
      <c r="B65" s="107">
        <f>B64-B55</f>
        <v>-3.4560798667371273E-11</v>
      </c>
      <c r="C65" s="25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C2" sqref="C2"/>
    </sheetView>
  </sheetViews>
  <sheetFormatPr defaultColWidth="8.85546875" defaultRowHeight="15"/>
  <cols>
    <col min="1" max="1" width="4.5703125" style="61" customWidth="1"/>
    <col min="2" max="2" width="10.85546875" style="65" bestFit="1" customWidth="1"/>
    <col min="3" max="3" width="35.5703125" style="61" bestFit="1" customWidth="1"/>
    <col min="4" max="4" width="18.85546875" style="62" customWidth="1"/>
    <col min="5" max="5" width="10.42578125" style="61" customWidth="1"/>
    <col min="6" max="6" width="14" style="61" customWidth="1"/>
    <col min="7" max="7" width="15.140625" style="61" customWidth="1"/>
    <col min="8" max="8" width="21.42578125" style="61" customWidth="1"/>
    <col min="9" max="9" width="16.28515625" style="60" customWidth="1"/>
    <col min="10" max="11" width="12.28515625" style="61" customWidth="1"/>
    <col min="12" max="12" width="10.7109375" style="61" customWidth="1"/>
    <col min="13" max="13" width="16.5703125" style="61" customWidth="1"/>
    <col min="14" max="14" width="15.42578125" style="61" customWidth="1"/>
    <col min="15" max="16" width="17.7109375" style="61" bestFit="1" customWidth="1"/>
    <col min="17" max="17" width="16" style="61" customWidth="1"/>
    <col min="18" max="18" width="11.7109375" style="61" customWidth="1"/>
    <col min="19" max="16384" width="8.85546875" style="61"/>
  </cols>
  <sheetData>
    <row r="1" spans="1:21" ht="45">
      <c r="A1" s="29"/>
      <c r="B1" s="87" t="s">
        <v>15</v>
      </c>
      <c r="C1" s="88" t="s">
        <v>17</v>
      </c>
      <c r="D1" s="87" t="s">
        <v>37</v>
      </c>
      <c r="E1" s="87" t="s">
        <v>0</v>
      </c>
      <c r="F1" s="29" t="s">
        <v>1</v>
      </c>
      <c r="G1" s="87" t="s">
        <v>10</v>
      </c>
      <c r="H1" s="87" t="s">
        <v>34</v>
      </c>
      <c r="I1" s="118" t="s">
        <v>35</v>
      </c>
      <c r="J1" s="116" t="s">
        <v>9</v>
      </c>
      <c r="K1" s="87" t="s">
        <v>2</v>
      </c>
      <c r="L1" s="87" t="s">
        <v>38</v>
      </c>
      <c r="M1" s="87" t="s">
        <v>194</v>
      </c>
      <c r="N1" s="87" t="s">
        <v>193</v>
      </c>
      <c r="O1" s="87" t="s">
        <v>36</v>
      </c>
      <c r="P1" s="87" t="s">
        <v>195</v>
      </c>
      <c r="Q1" s="87" t="s">
        <v>39</v>
      </c>
      <c r="R1" s="179" t="s">
        <v>199</v>
      </c>
    </row>
    <row r="2" spans="1:21" s="63" customFormat="1" ht="15" customHeight="1">
      <c r="A2" s="188" t="s">
        <v>13</v>
      </c>
      <c r="B2" s="123">
        <v>20</v>
      </c>
      <c r="C2" s="67" t="s">
        <v>201</v>
      </c>
      <c r="D2" s="124"/>
      <c r="E2" s="73"/>
      <c r="F2" s="72"/>
      <c r="G2" s="157"/>
      <c r="H2" s="74"/>
      <c r="I2" s="117"/>
      <c r="J2" s="76"/>
      <c r="K2" s="76"/>
      <c r="L2" s="71"/>
      <c r="M2" s="127"/>
      <c r="N2" s="169"/>
      <c r="O2" s="71"/>
      <c r="P2" s="71"/>
      <c r="Q2" s="75"/>
      <c r="R2" s="52"/>
    </row>
    <row r="3" spans="1:21" s="63" customFormat="1" ht="15" customHeight="1">
      <c r="A3" s="187"/>
      <c r="B3" s="123">
        <v>20</v>
      </c>
      <c r="C3" s="46" t="s">
        <v>99</v>
      </c>
      <c r="D3" s="124">
        <v>1125</v>
      </c>
      <c r="E3" s="73">
        <f>References!$B$7</f>
        <v>4.333333333333333</v>
      </c>
      <c r="F3" s="72">
        <f>D3*E3*12</f>
        <v>58500</v>
      </c>
      <c r="G3" s="157">
        <f>References!B21</f>
        <v>47</v>
      </c>
      <c r="H3" s="74">
        <f>F3*G3</f>
        <v>2749500</v>
      </c>
      <c r="I3" s="117">
        <f>$D$147*H3</f>
        <v>1763588.2879187881</v>
      </c>
      <c r="J3" s="76">
        <f>(References!$C$49*I3)</f>
        <v>1939.9471167106492</v>
      </c>
      <c r="K3" s="76">
        <f>J3/References!$G$52</f>
        <v>1977.5199966469411</v>
      </c>
      <c r="L3" s="71">
        <f>K3/F3*E3</f>
        <v>0.14648296271458822</v>
      </c>
      <c r="M3" s="127">
        <v>21.2</v>
      </c>
      <c r="N3" s="169">
        <f>L3+M3</f>
        <v>21.346482962714589</v>
      </c>
      <c r="O3" s="71">
        <f>D3*M3*12</f>
        <v>286200</v>
      </c>
      <c r="P3" s="71">
        <f>D3*N3*12</f>
        <v>288177.51999664697</v>
      </c>
      <c r="Q3" s="75">
        <f>+P3-O3</f>
        <v>1977.5199966469663</v>
      </c>
      <c r="R3" s="52">
        <f>ROUND(N3,2)</f>
        <v>21.35</v>
      </c>
    </row>
    <row r="4" spans="1:21" s="63" customFormat="1">
      <c r="A4" s="187"/>
      <c r="B4" s="123">
        <v>20</v>
      </c>
      <c r="C4" s="46" t="s">
        <v>100</v>
      </c>
      <c r="D4" s="124">
        <v>195</v>
      </c>
      <c r="E4" s="73">
        <f>References!$B$7</f>
        <v>4.333333333333333</v>
      </c>
      <c r="F4" s="72">
        <f t="shared" ref="F4:F10" si="0">D4*E4*12</f>
        <v>10139.999999999998</v>
      </c>
      <c r="G4" s="157">
        <f>References!B14</f>
        <v>34</v>
      </c>
      <c r="H4" s="72">
        <f t="shared" ref="H4:H10" si="1">F4*G4</f>
        <v>344759.99999999994</v>
      </c>
      <c r="I4" s="48">
        <f>$D$147*H4</f>
        <v>221136.46049932035</v>
      </c>
      <c r="J4" s="71">
        <f>(References!$C$49*I4)</f>
        <v>243.25010654925015</v>
      </c>
      <c r="K4" s="71">
        <f>J4/References!$G$52</f>
        <v>247.96137262920504</v>
      </c>
      <c r="L4" s="71">
        <f>K4/F4*E4</f>
        <v>0.10596639855948935</v>
      </c>
      <c r="M4" s="127">
        <v>16.03</v>
      </c>
      <c r="N4" s="170">
        <f>L4+M4</f>
        <v>16.135966398559489</v>
      </c>
      <c r="O4" s="71">
        <f>D4*M4*12</f>
        <v>37510.200000000004</v>
      </c>
      <c r="P4" s="71">
        <f>D4*N4*12</f>
        <v>37758.161372629205</v>
      </c>
      <c r="Q4" s="75">
        <f t="shared" ref="Q4:Q10" si="2">+P4-O4</f>
        <v>247.96137262920092</v>
      </c>
      <c r="R4" s="52">
        <f t="shared" ref="R4:R10" si="3">ROUND(N4,2)</f>
        <v>16.14</v>
      </c>
    </row>
    <row r="5" spans="1:21" s="63" customFormat="1">
      <c r="A5" s="187"/>
      <c r="B5" s="123">
        <v>20</v>
      </c>
      <c r="C5" s="46" t="s">
        <v>101</v>
      </c>
      <c r="D5" s="124">
        <v>1</v>
      </c>
      <c r="E5" s="73">
        <f>References!$B$9</f>
        <v>1</v>
      </c>
      <c r="F5" s="72">
        <f t="shared" si="0"/>
        <v>12</v>
      </c>
      <c r="G5" s="157">
        <f>References!B21</f>
        <v>47</v>
      </c>
      <c r="H5" s="72">
        <f t="shared" si="1"/>
        <v>564</v>
      </c>
      <c r="I5" s="48">
        <f>$D$147*H5</f>
        <v>361.76170008590526</v>
      </c>
      <c r="J5" s="71">
        <f>(References!$C$49*I5)</f>
        <v>0.39793787009449211</v>
      </c>
      <c r="K5" s="71">
        <f>J5/References!$G$52</f>
        <v>0.40564512751732124</v>
      </c>
      <c r="L5" s="71">
        <f t="shared" ref="L5:L10" si="4">K5/F5*E5</f>
        <v>3.3803760626443434E-2</v>
      </c>
      <c r="M5" s="127">
        <v>6.06</v>
      </c>
      <c r="N5" s="170">
        <f t="shared" ref="N5:N40" si="5">L5+M5</f>
        <v>6.093803760626443</v>
      </c>
      <c r="O5" s="71">
        <f>D5*M5*12</f>
        <v>72.72</v>
      </c>
      <c r="P5" s="71">
        <f>D5*N5*12</f>
        <v>73.125645127517316</v>
      </c>
      <c r="Q5" s="75">
        <f t="shared" si="2"/>
        <v>0.40564512751731741</v>
      </c>
      <c r="R5" s="52">
        <f t="shared" si="3"/>
        <v>6.09</v>
      </c>
    </row>
    <row r="6" spans="1:21" s="63" customFormat="1">
      <c r="A6" s="187"/>
      <c r="B6" s="123">
        <v>20</v>
      </c>
      <c r="C6" s="46" t="s">
        <v>102</v>
      </c>
      <c r="D6" s="124">
        <v>1</v>
      </c>
      <c r="E6" s="73">
        <f>References!$B$9</f>
        <v>1</v>
      </c>
      <c r="F6" s="72">
        <f t="shared" si="0"/>
        <v>12</v>
      </c>
      <c r="G6" s="157">
        <f>References!B22</f>
        <v>68</v>
      </c>
      <c r="H6" s="72">
        <f t="shared" si="1"/>
        <v>816</v>
      </c>
      <c r="I6" s="48">
        <f>$D$147*H6</f>
        <v>523.39990650726725</v>
      </c>
      <c r="J6" s="71">
        <f>(References!$C$49*I6)</f>
        <v>0.57573989715798868</v>
      </c>
      <c r="K6" s="71">
        <f>J6/References!$G$52</f>
        <v>0.58689082279101801</v>
      </c>
      <c r="L6" s="71">
        <f>K6/F6*E6</f>
        <v>4.8907568565918165E-2</v>
      </c>
      <c r="M6" s="127">
        <v>6.32</v>
      </c>
      <c r="N6" s="170">
        <f>L6+M6</f>
        <v>6.3689075685659189</v>
      </c>
      <c r="O6" s="71">
        <f>D6*M6*12</f>
        <v>75.84</v>
      </c>
      <c r="P6" s="71">
        <f>D6*N6*12</f>
        <v>76.426890822791023</v>
      </c>
      <c r="Q6" s="75">
        <f t="shared" si="2"/>
        <v>0.58689082279101967</v>
      </c>
      <c r="R6" s="52">
        <f t="shared" si="3"/>
        <v>6.37</v>
      </c>
    </row>
    <row r="7" spans="1:21" s="63" customFormat="1">
      <c r="A7" s="187"/>
      <c r="B7" s="123">
        <v>20</v>
      </c>
      <c r="C7" s="46" t="s">
        <v>103</v>
      </c>
      <c r="D7" s="124">
        <v>2086</v>
      </c>
      <c r="E7" s="73">
        <f>References!$B$7</f>
        <v>4.333333333333333</v>
      </c>
      <c r="F7" s="72">
        <f t="shared" si="0"/>
        <v>108471.99999999999</v>
      </c>
      <c r="G7" s="157">
        <f>References!B22</f>
        <v>68</v>
      </c>
      <c r="H7" s="72">
        <f t="shared" si="1"/>
        <v>7376095.9999999991</v>
      </c>
      <c r="I7" s="48">
        <f>$D$147*H7</f>
        <v>4731186.22155469</v>
      </c>
      <c r="J7" s="71">
        <f>(References!$C$49*I7)</f>
        <v>5204.3048437101115</v>
      </c>
      <c r="K7" s="71">
        <f>J7/References!$G$52</f>
        <v>5305.1017774822749</v>
      </c>
      <c r="L7" s="71">
        <f>K7/F7*E7</f>
        <v>0.21193279711897872</v>
      </c>
      <c r="M7" s="127">
        <v>26.74</v>
      </c>
      <c r="N7" s="170">
        <f t="shared" si="5"/>
        <v>26.951932797118978</v>
      </c>
      <c r="O7" s="71">
        <f>D7*M7*12</f>
        <v>669355.67999999993</v>
      </c>
      <c r="P7" s="71">
        <f>D7*N7*12</f>
        <v>674660.78177748225</v>
      </c>
      <c r="Q7" s="75">
        <f t="shared" si="2"/>
        <v>5305.1017774823122</v>
      </c>
      <c r="R7" s="52">
        <f t="shared" si="3"/>
        <v>26.95</v>
      </c>
    </row>
    <row r="8" spans="1:21" s="63" customFormat="1">
      <c r="A8" s="187"/>
      <c r="B8" s="123">
        <v>20</v>
      </c>
      <c r="C8" s="67" t="s">
        <v>128</v>
      </c>
      <c r="D8" s="124"/>
      <c r="E8" s="73"/>
      <c r="F8" s="72"/>
      <c r="G8" s="157"/>
      <c r="H8" s="72"/>
      <c r="I8" s="48"/>
      <c r="J8" s="71"/>
      <c r="K8" s="71"/>
      <c r="L8" s="71"/>
      <c r="M8" s="127"/>
      <c r="N8" s="170"/>
      <c r="O8" s="71"/>
      <c r="P8" s="71"/>
      <c r="Q8" s="75">
        <f t="shared" si="2"/>
        <v>0</v>
      </c>
    </row>
    <row r="9" spans="1:21" s="63" customFormat="1">
      <c r="A9" s="187"/>
      <c r="B9" s="123">
        <v>20</v>
      </c>
      <c r="C9" s="46" t="s">
        <v>99</v>
      </c>
      <c r="D9" s="124">
        <v>1</v>
      </c>
      <c r="E9" s="73">
        <f>References!$B$7</f>
        <v>4.333333333333333</v>
      </c>
      <c r="F9" s="72">
        <f t="shared" si="0"/>
        <v>52</v>
      </c>
      <c r="G9" s="157">
        <f>References!B21</f>
        <v>47</v>
      </c>
      <c r="H9" s="72">
        <f t="shared" si="1"/>
        <v>2444</v>
      </c>
      <c r="I9" s="48">
        <f>$D$147*H9</f>
        <v>1567.6340337055894</v>
      </c>
      <c r="J9" s="71">
        <f>(References!$C$49*I9)</f>
        <v>1.7243974370761326</v>
      </c>
      <c r="K9" s="71">
        <f>J9/References!$G$52</f>
        <v>1.7577955525750588</v>
      </c>
      <c r="L9" s="71">
        <f t="shared" si="4"/>
        <v>0.14648296271458824</v>
      </c>
      <c r="M9" s="127">
        <v>17.77</v>
      </c>
      <c r="N9" s="170">
        <f t="shared" si="5"/>
        <v>17.916482962714589</v>
      </c>
      <c r="O9" s="71">
        <f>D9*M9*12</f>
        <v>213.24</v>
      </c>
      <c r="P9" s="71">
        <f>D9*N9*12</f>
        <v>214.99779555257507</v>
      </c>
      <c r="Q9" s="75">
        <f t="shared" si="2"/>
        <v>1.757795552575061</v>
      </c>
      <c r="R9" s="52">
        <f t="shared" si="3"/>
        <v>17.920000000000002</v>
      </c>
    </row>
    <row r="10" spans="1:21" s="63" customFormat="1">
      <c r="A10" s="187"/>
      <c r="B10" s="123">
        <v>20</v>
      </c>
      <c r="C10" s="46" t="s">
        <v>101</v>
      </c>
      <c r="D10" s="124">
        <v>1</v>
      </c>
      <c r="E10" s="73">
        <f>References!$B$9</f>
        <v>1</v>
      </c>
      <c r="F10" s="72">
        <f t="shared" si="0"/>
        <v>12</v>
      </c>
      <c r="G10" s="157">
        <f>References!B21</f>
        <v>47</v>
      </c>
      <c r="H10" s="72">
        <f t="shared" si="1"/>
        <v>564</v>
      </c>
      <c r="I10" s="48">
        <f>$D$147*H10</f>
        <v>361.76170008590526</v>
      </c>
      <c r="J10" s="71">
        <f>(References!$C$49*I10)</f>
        <v>0.39793787009449211</v>
      </c>
      <c r="K10" s="71">
        <f>J10/References!$G$52</f>
        <v>0.40564512751732124</v>
      </c>
      <c r="L10" s="71">
        <f t="shared" si="4"/>
        <v>3.3803760626443434E-2</v>
      </c>
      <c r="M10" s="127">
        <v>4.03</v>
      </c>
      <c r="N10" s="170">
        <f t="shared" si="5"/>
        <v>4.0638037606264437</v>
      </c>
      <c r="O10" s="71">
        <f>D10*M10*12</f>
        <v>48.36</v>
      </c>
      <c r="P10" s="71">
        <f>D10*N10*12</f>
        <v>48.765645127517324</v>
      </c>
      <c r="Q10" s="75">
        <f t="shared" si="2"/>
        <v>0.40564512751732451</v>
      </c>
      <c r="R10" s="52">
        <f t="shared" si="3"/>
        <v>4.0599999999999996</v>
      </c>
    </row>
    <row r="11" spans="1:21" s="63" customFormat="1">
      <c r="A11" s="187"/>
      <c r="B11" s="49"/>
      <c r="C11" s="128"/>
      <c r="D11" s="129"/>
      <c r="E11" s="122"/>
      <c r="F11" s="72"/>
      <c r="G11" s="126"/>
      <c r="H11" s="72"/>
      <c r="I11" s="48"/>
      <c r="J11" s="71"/>
      <c r="K11" s="71"/>
      <c r="L11" s="71"/>
      <c r="M11" s="127"/>
      <c r="N11" s="170"/>
      <c r="O11" s="71"/>
      <c r="P11" s="71"/>
      <c r="Q11" s="75"/>
    </row>
    <row r="12" spans="1:21" s="63" customFormat="1">
      <c r="A12" s="50"/>
      <c r="B12" s="89"/>
      <c r="C12" s="51" t="s">
        <v>16</v>
      </c>
      <c r="D12" s="53">
        <f>SUM(D3:D11)</f>
        <v>3410</v>
      </c>
      <c r="E12" s="54"/>
      <c r="F12" s="55">
        <f>SUM(F3:F11)</f>
        <v>177200</v>
      </c>
      <c r="G12" s="56"/>
      <c r="H12" s="90">
        <f>SUM(H3:H11)</f>
        <v>10474744</v>
      </c>
      <c r="I12" s="57">
        <f>SUM(I3:I11)</f>
        <v>6718725.527313184</v>
      </c>
      <c r="J12" s="78"/>
      <c r="K12" s="78"/>
      <c r="L12" s="78"/>
      <c r="M12" s="78"/>
      <c r="N12" s="78"/>
      <c r="O12" s="77">
        <f>SUM(O3:O11)</f>
        <v>993476.03999999992</v>
      </c>
      <c r="P12" s="77">
        <f>SUM(P3:P11)</f>
        <v>1001009.7791233888</v>
      </c>
      <c r="Q12" s="77">
        <f>SUM(Q3:Q11)</f>
        <v>7533.7391233888802</v>
      </c>
      <c r="U12" s="182">
        <f>Q12/O12</f>
        <v>7.5832116931465006E-3</v>
      </c>
    </row>
    <row r="13" spans="1:21" s="63" customFormat="1" ht="15" customHeight="1">
      <c r="A13" s="188" t="s">
        <v>14</v>
      </c>
      <c r="B13" s="49" t="s">
        <v>197</v>
      </c>
      <c r="C13" s="130" t="s">
        <v>105</v>
      </c>
      <c r="D13" s="60"/>
      <c r="E13" s="73"/>
      <c r="F13" s="131">
        <v>1872</v>
      </c>
      <c r="G13" s="157">
        <f>References!B26</f>
        <v>29</v>
      </c>
      <c r="H13" s="72">
        <f t="shared" ref="H13:H34" si="6">F13*G13</f>
        <v>54288</v>
      </c>
      <c r="I13" s="48">
        <f>$D$147*H13</f>
        <v>34821.487897630541</v>
      </c>
      <c r="J13" s="71">
        <f>(References!$C$49*I13)</f>
        <v>38.303636687393244</v>
      </c>
      <c r="K13" s="71">
        <f>J13/References!$G$52</f>
        <v>39.045501210390668</v>
      </c>
      <c r="L13" s="71">
        <f>K13/F13</f>
        <v>2.08576395354651E-2</v>
      </c>
      <c r="M13" s="71">
        <v>3.31</v>
      </c>
      <c r="N13" s="170">
        <f t="shared" si="5"/>
        <v>3.330857639535465</v>
      </c>
      <c r="O13" s="71">
        <f>F13*M13</f>
        <v>6196.32</v>
      </c>
      <c r="P13" s="71">
        <f>F13*N13</f>
        <v>6235.3655012103909</v>
      </c>
      <c r="Q13" s="75">
        <f t="shared" ref="Q13:Q54" si="7">+P13-O13</f>
        <v>39.045501210391194</v>
      </c>
      <c r="R13" s="63">
        <f>(ROUND(N13*4.33,2))</f>
        <v>14.42</v>
      </c>
    </row>
    <row r="14" spans="1:21" s="63" customFormat="1">
      <c r="A14" s="187"/>
      <c r="B14" s="49" t="s">
        <v>197</v>
      </c>
      <c r="C14" s="130" t="s">
        <v>106</v>
      </c>
      <c r="D14" s="60"/>
      <c r="E14" s="73"/>
      <c r="F14" s="132">
        <v>23036</v>
      </c>
      <c r="G14" s="157">
        <f>References!B21</f>
        <v>47</v>
      </c>
      <c r="H14" s="114">
        <f t="shared" si="6"/>
        <v>1082692</v>
      </c>
      <c r="I14" s="48">
        <f>$D$147*H14</f>
        <v>694461.87693157617</v>
      </c>
      <c r="J14" s="71">
        <f>(References!$C$49*I14)</f>
        <v>763.90806462472676</v>
      </c>
      <c r="K14" s="71">
        <f>J14/References!$G$52</f>
        <v>778.7034297907511</v>
      </c>
      <c r="L14" s="71">
        <f t="shared" ref="L14:L40" si="8">K14/F14</f>
        <v>3.3803760626443441E-2</v>
      </c>
      <c r="M14" s="71">
        <v>4.58</v>
      </c>
      <c r="N14" s="170">
        <f t="shared" si="5"/>
        <v>4.6138037606264435</v>
      </c>
      <c r="O14" s="71">
        <f t="shared" ref="O14:O40" si="9">F14*M14</f>
        <v>105504.88</v>
      </c>
      <c r="P14" s="71">
        <f t="shared" ref="P14:P40" si="10">F14*N14</f>
        <v>106283.58342979076</v>
      </c>
      <c r="Q14" s="75">
        <f t="shared" si="7"/>
        <v>778.70342979075212</v>
      </c>
      <c r="R14" s="63">
        <f t="shared" ref="R14:R15" si="11">(ROUND(N14*4.33,2))</f>
        <v>19.98</v>
      </c>
    </row>
    <row r="15" spans="1:21" s="63" customFormat="1">
      <c r="A15" s="187"/>
      <c r="B15" s="49" t="s">
        <v>197</v>
      </c>
      <c r="C15" s="130" t="s">
        <v>107</v>
      </c>
      <c r="D15" s="125"/>
      <c r="E15" s="73"/>
      <c r="F15" s="132">
        <v>33592</v>
      </c>
      <c r="G15" s="157">
        <f>References!B22</f>
        <v>68</v>
      </c>
      <c r="H15" s="114">
        <f t="shared" si="6"/>
        <v>2284256</v>
      </c>
      <c r="I15" s="48">
        <f>$D$147*H15</f>
        <v>1465170.8049493434</v>
      </c>
      <c r="J15" s="71">
        <f>(References!$C$49*I15)</f>
        <v>1611.687885444263</v>
      </c>
      <c r="K15" s="71">
        <f>J15/References!$G$52</f>
        <v>1642.903043266323</v>
      </c>
      <c r="L15" s="71">
        <f t="shared" si="8"/>
        <v>4.8907568565918165E-2</v>
      </c>
      <c r="M15" s="97">
        <v>5.81</v>
      </c>
      <c r="N15" s="170">
        <f t="shared" si="5"/>
        <v>5.8589075685659182</v>
      </c>
      <c r="O15" s="71">
        <f t="shared" si="9"/>
        <v>195169.52</v>
      </c>
      <c r="P15" s="71">
        <f t="shared" si="10"/>
        <v>196812.42304326632</v>
      </c>
      <c r="Q15" s="75">
        <f t="shared" si="7"/>
        <v>1642.9030432663276</v>
      </c>
      <c r="R15" s="63">
        <f t="shared" si="11"/>
        <v>25.37</v>
      </c>
    </row>
    <row r="16" spans="1:21" s="63" customFormat="1">
      <c r="A16" s="187"/>
      <c r="B16" s="49" t="s">
        <v>191</v>
      </c>
      <c r="C16" s="130" t="s">
        <v>129</v>
      </c>
      <c r="D16" s="125"/>
      <c r="E16" s="73"/>
      <c r="F16" s="131">
        <v>1296</v>
      </c>
      <c r="G16" s="159">
        <f>References!B28</f>
        <v>250</v>
      </c>
      <c r="H16" s="72">
        <f>F16*G16</f>
        <v>324000</v>
      </c>
      <c r="I16" s="48">
        <f>$D$147*H16</f>
        <v>207820.55111317962</v>
      </c>
      <c r="J16" s="71">
        <f>(References!$C$49*I16)</f>
        <v>228.60260622449547</v>
      </c>
      <c r="K16" s="71">
        <f>J16/References!$G$52</f>
        <v>233.03017963761008</v>
      </c>
      <c r="L16" s="71">
        <f>K16/F16</f>
        <v>0.17980723737469914</v>
      </c>
      <c r="M16" s="145">
        <v>42.9</v>
      </c>
      <c r="N16" s="170">
        <f>L16+M16</f>
        <v>43.079807237374695</v>
      </c>
      <c r="O16" s="71">
        <f>F16*M16</f>
        <v>55598.400000000001</v>
      </c>
      <c r="P16" s="71">
        <f>F16*N16</f>
        <v>55831.430179637602</v>
      </c>
      <c r="Q16" s="75">
        <f t="shared" si="7"/>
        <v>233.03017963760067</v>
      </c>
      <c r="R16" s="52">
        <f t="shared" ref="R16" si="12">ROUND(N16,2)</f>
        <v>43.08</v>
      </c>
    </row>
    <row r="17" spans="1:18" s="63" customFormat="1">
      <c r="A17" s="187"/>
      <c r="B17" s="49">
        <v>28</v>
      </c>
      <c r="C17" s="149" t="s">
        <v>185</v>
      </c>
      <c r="D17" s="150"/>
      <c r="E17" s="151"/>
      <c r="F17" s="152">
        <v>120</v>
      </c>
      <c r="G17" s="160"/>
      <c r="H17" s="153"/>
      <c r="I17" s="154"/>
      <c r="J17" s="155"/>
      <c r="K17" s="155"/>
      <c r="L17" s="155"/>
      <c r="M17" s="172">
        <v>11.38</v>
      </c>
      <c r="N17" s="171">
        <f>L17+M17</f>
        <v>11.38</v>
      </c>
      <c r="O17" s="155">
        <f>F17*M17</f>
        <v>1365.6000000000001</v>
      </c>
      <c r="P17" s="155">
        <f>F17*N17</f>
        <v>1365.6000000000001</v>
      </c>
      <c r="Q17" s="75">
        <f t="shared" si="7"/>
        <v>0</v>
      </c>
    </row>
    <row r="18" spans="1:18" s="63" customFormat="1">
      <c r="A18" s="187"/>
      <c r="B18" s="49">
        <v>28</v>
      </c>
      <c r="C18" s="149" t="s">
        <v>130</v>
      </c>
      <c r="D18" s="150"/>
      <c r="E18" s="151"/>
      <c r="F18" s="152">
        <v>120</v>
      </c>
      <c r="G18" s="160">
        <f>References!B27</f>
        <v>175</v>
      </c>
      <c r="H18" s="153">
        <f>F18*G18</f>
        <v>21000</v>
      </c>
      <c r="I18" s="154">
        <f>$D$147*H18</f>
        <v>13469.850535113494</v>
      </c>
      <c r="J18" s="155">
        <f>(References!$C$49*I18)</f>
        <v>14.816835588624707</v>
      </c>
      <c r="K18" s="155">
        <f>J18/References!$G$52</f>
        <v>15.103807939474727</v>
      </c>
      <c r="L18" s="155">
        <f>K18/F18</f>
        <v>0.1258650661622894</v>
      </c>
      <c r="M18" s="172">
        <f>26.09-M17</f>
        <v>14.709999999999999</v>
      </c>
      <c r="N18" s="171">
        <f>L18+M18</f>
        <v>14.835865066162288</v>
      </c>
      <c r="O18" s="155">
        <f>F18*M18</f>
        <v>1765.1999999999998</v>
      </c>
      <c r="P18" s="155">
        <f>F18*N18</f>
        <v>1780.3038079394746</v>
      </c>
      <c r="Q18" s="75">
        <f t="shared" si="7"/>
        <v>15.103807939474791</v>
      </c>
      <c r="R18" s="52">
        <f>(ROUND(N18*4.33,2))+N17</f>
        <v>75.61999999999999</v>
      </c>
    </row>
    <row r="19" spans="1:18" s="63" customFormat="1">
      <c r="A19" s="187"/>
      <c r="B19" s="49">
        <v>28</v>
      </c>
      <c r="C19" s="130" t="s">
        <v>131</v>
      </c>
      <c r="D19" s="125"/>
      <c r="E19" s="73"/>
      <c r="F19" s="131">
        <v>1478.52</v>
      </c>
      <c r="G19" s="161">
        <f>References!B27</f>
        <v>175</v>
      </c>
      <c r="H19" s="72">
        <f>F19*G19</f>
        <v>258741</v>
      </c>
      <c r="I19" s="48">
        <f>$D$147*H19</f>
        <v>165962.02844313337</v>
      </c>
      <c r="J19" s="71">
        <f>(References!$C$49*I19)</f>
        <v>182.55823128744504</v>
      </c>
      <c r="K19" s="71">
        <f>J19/References!$G$52</f>
        <v>186.09401762226813</v>
      </c>
      <c r="L19" s="71">
        <f>K19/F19</f>
        <v>0.1258650661622894</v>
      </c>
      <c r="M19" s="173">
        <v>14.69</v>
      </c>
      <c r="N19" s="170">
        <f>L19+M19</f>
        <v>14.815865066162289</v>
      </c>
      <c r="O19" s="71">
        <f>F19*M19</f>
        <v>21719.4588</v>
      </c>
      <c r="P19" s="71">
        <f>F19*N19</f>
        <v>21905.552817622265</v>
      </c>
      <c r="Q19" s="75">
        <f t="shared" si="7"/>
        <v>186.0940176222648</v>
      </c>
    </row>
    <row r="20" spans="1:18" s="63" customFormat="1">
      <c r="A20" s="187"/>
      <c r="B20" s="49">
        <v>28</v>
      </c>
      <c r="C20" s="130" t="s">
        <v>132</v>
      </c>
      <c r="D20" s="60"/>
      <c r="E20" s="73"/>
      <c r="F20" s="132">
        <v>24</v>
      </c>
      <c r="G20" s="161">
        <f>References!B27</f>
        <v>175</v>
      </c>
      <c r="H20" s="72">
        <f t="shared" si="6"/>
        <v>4200</v>
      </c>
      <c r="I20" s="48">
        <f>$D$147*H20</f>
        <v>2693.9701070226988</v>
      </c>
      <c r="J20" s="71">
        <f>(References!$C$49*I20)</f>
        <v>2.9633671177249412</v>
      </c>
      <c r="K20" s="71">
        <f>J20/References!$G$52</f>
        <v>3.0207615878949454</v>
      </c>
      <c r="L20" s="71">
        <f t="shared" si="8"/>
        <v>0.1258650661622894</v>
      </c>
      <c r="M20" s="145">
        <v>18.09</v>
      </c>
      <c r="N20" s="170">
        <f t="shared" si="5"/>
        <v>18.215865066162291</v>
      </c>
      <c r="O20" s="71">
        <f t="shared" si="9"/>
        <v>434.15999999999997</v>
      </c>
      <c r="P20" s="71">
        <f t="shared" si="10"/>
        <v>437.18076158789495</v>
      </c>
      <c r="Q20" s="75">
        <f t="shared" si="7"/>
        <v>3.0207615878949809</v>
      </c>
      <c r="R20" s="52">
        <f t="shared" ref="R20:R21" si="13">ROUND(N20,2)</f>
        <v>18.22</v>
      </c>
    </row>
    <row r="21" spans="1:18" s="63" customFormat="1">
      <c r="A21" s="187"/>
      <c r="B21" s="49">
        <v>28</v>
      </c>
      <c r="C21" s="130" t="s">
        <v>133</v>
      </c>
      <c r="D21" s="60"/>
      <c r="E21" s="73"/>
      <c r="F21" s="131">
        <v>120</v>
      </c>
      <c r="G21" s="157">
        <f>References!B27</f>
        <v>175</v>
      </c>
      <c r="H21" s="72">
        <f t="shared" si="6"/>
        <v>21000</v>
      </c>
      <c r="I21" s="48">
        <f>$D$147*H21</f>
        <v>13469.850535113494</v>
      </c>
      <c r="J21" s="71">
        <f>(References!$C$49*I21)</f>
        <v>14.816835588624707</v>
      </c>
      <c r="K21" s="71">
        <f>J21/References!$G$52</f>
        <v>15.103807939474727</v>
      </c>
      <c r="L21" s="71">
        <f t="shared" si="8"/>
        <v>0.1258650661622894</v>
      </c>
      <c r="M21" s="145">
        <v>16.11</v>
      </c>
      <c r="N21" s="170">
        <f t="shared" si="5"/>
        <v>16.23586506616229</v>
      </c>
      <c r="O21" s="71">
        <f t="shared" si="9"/>
        <v>1933.1999999999998</v>
      </c>
      <c r="P21" s="71">
        <f t="shared" si="10"/>
        <v>1948.3038079394748</v>
      </c>
      <c r="Q21" s="75">
        <f t="shared" si="7"/>
        <v>15.103807939475018</v>
      </c>
      <c r="R21" s="52">
        <f t="shared" si="13"/>
        <v>16.239999999999998</v>
      </c>
    </row>
    <row r="22" spans="1:18" s="63" customFormat="1">
      <c r="A22" s="187"/>
      <c r="B22" s="49">
        <v>28</v>
      </c>
      <c r="C22" s="149" t="s">
        <v>177</v>
      </c>
      <c r="D22" s="153"/>
      <c r="E22" s="151"/>
      <c r="F22" s="152">
        <v>1644</v>
      </c>
      <c r="G22" s="160"/>
      <c r="H22" s="153"/>
      <c r="I22" s="154"/>
      <c r="J22" s="155"/>
      <c r="K22" s="155"/>
      <c r="L22" s="155"/>
      <c r="M22" s="172">
        <v>11.93</v>
      </c>
      <c r="N22" s="171">
        <f>L22+M22</f>
        <v>11.93</v>
      </c>
      <c r="O22" s="155">
        <f>F22*M22</f>
        <v>19612.919999999998</v>
      </c>
      <c r="P22" s="155">
        <f>F22*N22</f>
        <v>19612.919999999998</v>
      </c>
      <c r="Q22" s="75">
        <f t="shared" si="7"/>
        <v>0</v>
      </c>
    </row>
    <row r="23" spans="1:18" s="63" customFormat="1">
      <c r="A23" s="187"/>
      <c r="B23" s="49">
        <v>28</v>
      </c>
      <c r="C23" s="149" t="s">
        <v>134</v>
      </c>
      <c r="D23" s="153"/>
      <c r="E23" s="151"/>
      <c r="F23" s="152">
        <v>1644</v>
      </c>
      <c r="G23" s="160">
        <f>References!$B$28</f>
        <v>250</v>
      </c>
      <c r="H23" s="153">
        <f t="shared" si="6"/>
        <v>411000</v>
      </c>
      <c r="I23" s="154">
        <f>$D$147*H23</f>
        <v>263624.21761579264</v>
      </c>
      <c r="J23" s="155">
        <f>(References!$C$49*I23)</f>
        <v>289.98663937736922</v>
      </c>
      <c r="K23" s="155">
        <f>J23/References!$G$52</f>
        <v>295.60309824400531</v>
      </c>
      <c r="L23" s="155">
        <f t="shared" si="8"/>
        <v>0.17980723737469909</v>
      </c>
      <c r="M23" s="172">
        <f>34.85-M22</f>
        <v>22.92</v>
      </c>
      <c r="N23" s="171">
        <f t="shared" si="5"/>
        <v>23.099807237374701</v>
      </c>
      <c r="O23" s="155">
        <f t="shared" si="9"/>
        <v>37680.480000000003</v>
      </c>
      <c r="P23" s="155">
        <f t="shared" si="10"/>
        <v>37976.083098244009</v>
      </c>
      <c r="Q23" s="75">
        <f t="shared" si="7"/>
        <v>295.60309824400611</v>
      </c>
      <c r="R23" s="52">
        <f>(ROUND(N23*4.33,2))+N22</f>
        <v>111.94999999999999</v>
      </c>
    </row>
    <row r="24" spans="1:18" s="63" customFormat="1">
      <c r="A24" s="187"/>
      <c r="B24" s="49">
        <v>28</v>
      </c>
      <c r="C24" s="130" t="s">
        <v>135</v>
      </c>
      <c r="D24" s="60"/>
      <c r="E24" s="73"/>
      <c r="F24" s="131">
        <v>16263.72</v>
      </c>
      <c r="G24" s="157">
        <f>References!$B$28</f>
        <v>250</v>
      </c>
      <c r="H24" s="72">
        <f t="shared" si="6"/>
        <v>4065930</v>
      </c>
      <c r="I24" s="48">
        <f>$D$147*H24</f>
        <v>2607974.7326778099</v>
      </c>
      <c r="J24" s="71">
        <f>(References!$C$49*I24)</f>
        <v>2868.7722059455646</v>
      </c>
      <c r="K24" s="71">
        <f>J24/References!$G$52</f>
        <v>2924.3345626356418</v>
      </c>
      <c r="L24" s="71">
        <f t="shared" si="8"/>
        <v>0.17980723737469914</v>
      </c>
      <c r="M24" s="145">
        <v>22.92</v>
      </c>
      <c r="N24" s="170">
        <f t="shared" si="5"/>
        <v>23.099807237374701</v>
      </c>
      <c r="O24" s="71">
        <f t="shared" si="9"/>
        <v>372764.46240000002</v>
      </c>
      <c r="P24" s="71">
        <f t="shared" si="10"/>
        <v>375688.79696263565</v>
      </c>
      <c r="Q24" s="75">
        <f t="shared" si="7"/>
        <v>2924.3345626356313</v>
      </c>
    </row>
    <row r="25" spans="1:18" s="63" customFormat="1">
      <c r="A25" s="187"/>
      <c r="B25" s="49">
        <v>28</v>
      </c>
      <c r="C25" s="149" t="s">
        <v>178</v>
      </c>
      <c r="D25" s="153"/>
      <c r="E25" s="151"/>
      <c r="F25" s="152">
        <v>204</v>
      </c>
      <c r="G25" s="160"/>
      <c r="H25" s="153"/>
      <c r="I25" s="154"/>
      <c r="J25" s="155"/>
      <c r="K25" s="155"/>
      <c r="L25" s="155"/>
      <c r="M25" s="172">
        <v>14.91</v>
      </c>
      <c r="N25" s="171">
        <f>L25+M25</f>
        <v>14.91</v>
      </c>
      <c r="O25" s="155">
        <f>F25*M25</f>
        <v>3041.64</v>
      </c>
      <c r="P25" s="155">
        <f>F25*N25</f>
        <v>3041.64</v>
      </c>
      <c r="Q25" s="75">
        <f t="shared" si="7"/>
        <v>0</v>
      </c>
    </row>
    <row r="26" spans="1:18" s="63" customFormat="1">
      <c r="A26" s="187"/>
      <c r="B26" s="49">
        <v>28</v>
      </c>
      <c r="C26" s="149" t="s">
        <v>138</v>
      </c>
      <c r="D26" s="153"/>
      <c r="E26" s="151"/>
      <c r="F26" s="152">
        <v>204</v>
      </c>
      <c r="G26" s="160">
        <f>References!$B$29</f>
        <v>324</v>
      </c>
      <c r="H26" s="153">
        <f t="shared" si="6"/>
        <v>66096</v>
      </c>
      <c r="I26" s="154">
        <f>$D$147*H26</f>
        <v>42395.392427088642</v>
      </c>
      <c r="J26" s="155">
        <f>(References!$C$49*I26)</f>
        <v>46.634931669797076</v>
      </c>
      <c r="K26" s="155">
        <f>J26/References!$G$52</f>
        <v>47.538156646072451</v>
      </c>
      <c r="L26" s="155">
        <f t="shared" si="8"/>
        <v>0.23303017963761005</v>
      </c>
      <c r="M26" s="172">
        <f>41.56-M25</f>
        <v>26.650000000000002</v>
      </c>
      <c r="N26" s="171">
        <f t="shared" si="5"/>
        <v>26.883030179637611</v>
      </c>
      <c r="O26" s="155">
        <f t="shared" si="9"/>
        <v>5436.6</v>
      </c>
      <c r="P26" s="155">
        <f t="shared" si="10"/>
        <v>5484.1381566460723</v>
      </c>
      <c r="Q26" s="75">
        <f t="shared" si="7"/>
        <v>47.538156646071911</v>
      </c>
      <c r="R26" s="52">
        <f>(ROUND(N26*4.33,2))+N25</f>
        <v>131.31</v>
      </c>
    </row>
    <row r="27" spans="1:18" s="63" customFormat="1">
      <c r="A27" s="187"/>
      <c r="B27" s="49">
        <v>28</v>
      </c>
      <c r="C27" s="130" t="s">
        <v>139</v>
      </c>
      <c r="D27" s="60"/>
      <c r="E27" s="73"/>
      <c r="F27" s="131">
        <v>2917.08</v>
      </c>
      <c r="G27" s="157">
        <f>References!$B$29</f>
        <v>324</v>
      </c>
      <c r="H27" s="72">
        <f t="shared" si="6"/>
        <v>945133.91999999993</v>
      </c>
      <c r="I27" s="48">
        <f>$D$147*H27</f>
        <v>606229.17324123392</v>
      </c>
      <c r="J27" s="71">
        <f>(References!$C$49*I27)</f>
        <v>666.8520905653512</v>
      </c>
      <c r="K27" s="71">
        <f>J27/References!$G$52</f>
        <v>679.76767641727952</v>
      </c>
      <c r="L27" s="71">
        <f t="shared" si="8"/>
        <v>0.23303017963761005</v>
      </c>
      <c r="M27" s="145">
        <v>26.65</v>
      </c>
      <c r="N27" s="170">
        <f t="shared" si="5"/>
        <v>26.883030179637608</v>
      </c>
      <c r="O27" s="71">
        <f t="shared" si="9"/>
        <v>77740.182000000001</v>
      </c>
      <c r="P27" s="71">
        <f t="shared" si="10"/>
        <v>78419.949676417265</v>
      </c>
      <c r="Q27" s="75">
        <f t="shared" si="7"/>
        <v>679.76767641726474</v>
      </c>
    </row>
    <row r="28" spans="1:18" s="63" customFormat="1">
      <c r="A28" s="187"/>
      <c r="B28" s="49">
        <v>28</v>
      </c>
      <c r="C28" s="149" t="s">
        <v>179</v>
      </c>
      <c r="D28" s="153"/>
      <c r="E28" s="151"/>
      <c r="F28" s="152">
        <v>36</v>
      </c>
      <c r="G28" s="160"/>
      <c r="H28" s="153"/>
      <c r="I28" s="154"/>
      <c r="J28" s="155"/>
      <c r="K28" s="155"/>
      <c r="L28" s="155"/>
      <c r="M28" s="172">
        <v>16.96</v>
      </c>
      <c r="N28" s="171">
        <f>L28+M28</f>
        <v>16.96</v>
      </c>
      <c r="O28" s="155">
        <f>F28*M28</f>
        <v>610.56000000000006</v>
      </c>
      <c r="P28" s="155">
        <f>F28*N28</f>
        <v>610.56000000000006</v>
      </c>
      <c r="Q28" s="75">
        <f t="shared" si="7"/>
        <v>0</v>
      </c>
    </row>
    <row r="29" spans="1:18" s="63" customFormat="1">
      <c r="A29" s="187"/>
      <c r="B29" s="49">
        <v>28</v>
      </c>
      <c r="C29" s="149" t="s">
        <v>142</v>
      </c>
      <c r="D29" s="153"/>
      <c r="E29" s="151"/>
      <c r="F29" s="152">
        <v>36</v>
      </c>
      <c r="G29" s="160">
        <f>References!$B$30</f>
        <v>473</v>
      </c>
      <c r="H29" s="153">
        <f t="shared" si="6"/>
        <v>17028</v>
      </c>
      <c r="I29" s="154">
        <f>$D$147*H29</f>
        <v>10922.124519614885</v>
      </c>
      <c r="J29" s="155">
        <f>(References!$C$49*I29)</f>
        <v>12.014336971576263</v>
      </c>
      <c r="K29" s="155">
        <f>J29/References!$G$52</f>
        <v>12.247030552065509</v>
      </c>
      <c r="L29" s="155">
        <f t="shared" si="8"/>
        <v>0.34019529311293079</v>
      </c>
      <c r="M29" s="172">
        <f>56.28-M28</f>
        <v>39.32</v>
      </c>
      <c r="N29" s="171">
        <f t="shared" si="5"/>
        <v>39.660195293112928</v>
      </c>
      <c r="O29" s="155">
        <f t="shared" si="9"/>
        <v>1415.52</v>
      </c>
      <c r="P29" s="155">
        <f t="shared" si="10"/>
        <v>1427.7670305520653</v>
      </c>
      <c r="Q29" s="75">
        <f t="shared" si="7"/>
        <v>12.247030552065326</v>
      </c>
      <c r="R29" s="52">
        <f>(ROUND(N29*4.33,2))+N28</f>
        <v>188.69</v>
      </c>
    </row>
    <row r="30" spans="1:18" s="63" customFormat="1">
      <c r="A30" s="187"/>
      <c r="B30" s="49">
        <v>28</v>
      </c>
      <c r="C30" s="130" t="s">
        <v>143</v>
      </c>
      <c r="D30" s="60"/>
      <c r="E30" s="73"/>
      <c r="F30" s="132">
        <v>399.59999999999997</v>
      </c>
      <c r="G30" s="157">
        <f>References!$B$30</f>
        <v>473</v>
      </c>
      <c r="H30" s="72">
        <f t="shared" si="6"/>
        <v>189010.8</v>
      </c>
      <c r="I30" s="48">
        <f>$D$147*H30</f>
        <v>121235.58216772521</v>
      </c>
      <c r="J30" s="71">
        <f>(References!$C$49*I30)</f>
        <v>133.3591403844965</v>
      </c>
      <c r="K30" s="71">
        <f>J30/References!$G$52</f>
        <v>135.9420391279271</v>
      </c>
      <c r="L30" s="71">
        <f t="shared" si="8"/>
        <v>0.34019529311293073</v>
      </c>
      <c r="M30" s="145">
        <v>39.32</v>
      </c>
      <c r="N30" s="170">
        <f t="shared" si="5"/>
        <v>39.660195293112928</v>
      </c>
      <c r="O30" s="71">
        <f t="shared" si="9"/>
        <v>15712.271999999999</v>
      </c>
      <c r="P30" s="71">
        <f t="shared" si="10"/>
        <v>15848.214039127924</v>
      </c>
      <c r="Q30" s="75">
        <f t="shared" si="7"/>
        <v>135.94203912792545</v>
      </c>
    </row>
    <row r="31" spans="1:18" s="63" customFormat="1">
      <c r="A31" s="187"/>
      <c r="B31" s="49">
        <v>28</v>
      </c>
      <c r="C31" s="130" t="s">
        <v>145</v>
      </c>
      <c r="D31" s="60"/>
      <c r="E31" s="73"/>
      <c r="F31" s="131">
        <v>12</v>
      </c>
      <c r="G31" s="157">
        <f>References!$B$30</f>
        <v>473</v>
      </c>
      <c r="H31" s="72">
        <f t="shared" si="6"/>
        <v>5676</v>
      </c>
      <c r="I31" s="48">
        <f>$D$147*H31</f>
        <v>3640.7081732049614</v>
      </c>
      <c r="J31" s="71">
        <f>(References!$C$49*I31)</f>
        <v>4.0047789905254207</v>
      </c>
      <c r="K31" s="71">
        <f>J31/References!$G$52</f>
        <v>4.0823435173551692</v>
      </c>
      <c r="L31" s="71">
        <f t="shared" si="8"/>
        <v>0.34019529311293079</v>
      </c>
      <c r="M31" s="145">
        <v>42.22</v>
      </c>
      <c r="N31" s="170">
        <f t="shared" si="5"/>
        <v>42.560195293112926</v>
      </c>
      <c r="O31" s="71">
        <f t="shared" si="9"/>
        <v>506.64</v>
      </c>
      <c r="P31" s="71">
        <f t="shared" si="10"/>
        <v>510.72234351735511</v>
      </c>
      <c r="Q31" s="75">
        <f t="shared" si="7"/>
        <v>4.0823435173551275</v>
      </c>
      <c r="R31" s="52">
        <f t="shared" ref="R31" si="14">ROUND(N31,2)</f>
        <v>42.56</v>
      </c>
    </row>
    <row r="32" spans="1:18" s="63" customFormat="1">
      <c r="A32" s="187"/>
      <c r="B32" s="49">
        <v>28</v>
      </c>
      <c r="C32" s="149" t="s">
        <v>180</v>
      </c>
      <c r="D32" s="153"/>
      <c r="E32" s="151"/>
      <c r="F32" s="152">
        <v>36</v>
      </c>
      <c r="G32" s="160"/>
      <c r="H32" s="153"/>
      <c r="I32" s="154"/>
      <c r="J32" s="155"/>
      <c r="K32" s="155"/>
      <c r="L32" s="155"/>
      <c r="M32" s="172">
        <v>18.5</v>
      </c>
      <c r="N32" s="171">
        <f>L32+M32</f>
        <v>18.5</v>
      </c>
      <c r="O32" s="155">
        <f>F32*M32</f>
        <v>666</v>
      </c>
      <c r="P32" s="155">
        <f>F32*N32</f>
        <v>666</v>
      </c>
      <c r="Q32" s="75">
        <f t="shared" si="7"/>
        <v>0</v>
      </c>
    </row>
    <row r="33" spans="1:18" s="63" customFormat="1">
      <c r="A33" s="187"/>
      <c r="B33" s="49">
        <v>28</v>
      </c>
      <c r="C33" s="149" t="s">
        <v>146</v>
      </c>
      <c r="D33" s="153"/>
      <c r="E33" s="151"/>
      <c r="F33" s="152">
        <v>36</v>
      </c>
      <c r="G33" s="160">
        <f>References!$B$31</f>
        <v>613</v>
      </c>
      <c r="H33" s="153">
        <f t="shared" si="6"/>
        <v>22068</v>
      </c>
      <c r="I33" s="154">
        <f>$D$147*H33</f>
        <v>14154.888648042122</v>
      </c>
      <c r="J33" s="155">
        <f>(References!$C$49*I33)</f>
        <v>15.570377512846191</v>
      </c>
      <c r="K33" s="155">
        <f>J33/References!$G$52</f>
        <v>15.87194445753944</v>
      </c>
      <c r="L33" s="155">
        <f t="shared" si="8"/>
        <v>0.44088734604276225</v>
      </c>
      <c r="M33" s="172">
        <f>70.41-M32</f>
        <v>51.91</v>
      </c>
      <c r="N33" s="171">
        <f t="shared" si="5"/>
        <v>52.350887346042761</v>
      </c>
      <c r="O33" s="155">
        <f t="shared" si="9"/>
        <v>1868.7599999999998</v>
      </c>
      <c r="P33" s="155">
        <f t="shared" si="10"/>
        <v>1884.6319444575395</v>
      </c>
      <c r="Q33" s="75">
        <f t="shared" si="7"/>
        <v>15.871944457539712</v>
      </c>
      <c r="R33" s="52">
        <f>(ROUND(N33*4.33,2))+N32</f>
        <v>245.18</v>
      </c>
    </row>
    <row r="34" spans="1:18" s="63" customFormat="1">
      <c r="A34" s="187"/>
      <c r="B34" s="49">
        <v>28</v>
      </c>
      <c r="C34" s="130" t="s">
        <v>147</v>
      </c>
      <c r="D34" s="60"/>
      <c r="E34" s="73"/>
      <c r="F34" s="132">
        <v>399.59999999999997</v>
      </c>
      <c r="G34" s="161">
        <f>References!$B$31</f>
        <v>613</v>
      </c>
      <c r="H34" s="72">
        <f t="shared" si="6"/>
        <v>244954.8</v>
      </c>
      <c r="I34" s="48">
        <f>$D$147*H34</f>
        <v>157119.26399326755</v>
      </c>
      <c r="J34" s="71">
        <f>(References!$C$49*I34)</f>
        <v>172.8311903925927</v>
      </c>
      <c r="K34" s="71">
        <f>J34/References!$G$52</f>
        <v>176.17858347868778</v>
      </c>
      <c r="L34" s="71">
        <f t="shared" si="8"/>
        <v>0.44088734604276225</v>
      </c>
      <c r="M34" s="145">
        <v>51.91</v>
      </c>
      <c r="N34" s="170">
        <f t="shared" si="5"/>
        <v>52.350887346042761</v>
      </c>
      <c r="O34" s="71">
        <f t="shared" si="9"/>
        <v>20743.235999999997</v>
      </c>
      <c r="P34" s="71">
        <f t="shared" si="10"/>
        <v>20919.414583478687</v>
      </c>
      <c r="Q34" s="75">
        <f t="shared" si="7"/>
        <v>176.17858347868969</v>
      </c>
    </row>
    <row r="35" spans="1:18" s="63" customFormat="1">
      <c r="A35" s="187"/>
      <c r="B35" s="49">
        <v>28</v>
      </c>
      <c r="C35" s="130" t="s">
        <v>148</v>
      </c>
      <c r="D35" s="60"/>
      <c r="E35" s="73"/>
      <c r="F35" s="132">
        <v>1</v>
      </c>
      <c r="G35" s="161">
        <f>References!$B$31</f>
        <v>613</v>
      </c>
      <c r="H35" s="72">
        <f t="shared" ref="H35:H40" si="15">F35*G35</f>
        <v>613</v>
      </c>
      <c r="I35" s="48">
        <f>$D$147*H35</f>
        <v>393.19135133450345</v>
      </c>
      <c r="J35" s="71">
        <f>(References!$C$49*I35)</f>
        <v>0.43251048646794982</v>
      </c>
      <c r="K35" s="71">
        <f>J35/References!$G$52</f>
        <v>0.44088734604276231</v>
      </c>
      <c r="L35" s="71">
        <f t="shared" si="8"/>
        <v>0.44088734604276231</v>
      </c>
      <c r="M35" s="145">
        <v>54.82</v>
      </c>
      <c r="N35" s="170">
        <f t="shared" si="5"/>
        <v>55.260887346042765</v>
      </c>
      <c r="O35" s="71">
        <f t="shared" si="9"/>
        <v>54.82</v>
      </c>
      <c r="P35" s="71">
        <f t="shared" si="10"/>
        <v>55.260887346042765</v>
      </c>
      <c r="Q35" s="75">
        <f t="shared" si="7"/>
        <v>0.44088734604276425</v>
      </c>
      <c r="R35" s="52">
        <f t="shared" ref="R35:R36" si="16">ROUND(N35,2)</f>
        <v>55.26</v>
      </c>
    </row>
    <row r="36" spans="1:18" s="63" customFormat="1">
      <c r="A36" s="187"/>
      <c r="B36" s="49">
        <v>28</v>
      </c>
      <c r="C36" s="130" t="s">
        <v>149</v>
      </c>
      <c r="D36" s="60"/>
      <c r="E36" s="73"/>
      <c r="F36" s="131">
        <v>1</v>
      </c>
      <c r="G36" s="161">
        <f>References!$B$31</f>
        <v>613</v>
      </c>
      <c r="H36" s="72">
        <f t="shared" si="15"/>
        <v>613</v>
      </c>
      <c r="I36" s="48">
        <f>$D$147*H36</f>
        <v>393.19135133450345</v>
      </c>
      <c r="J36" s="71">
        <f>(References!$C$49*I36)</f>
        <v>0.43251048646794982</v>
      </c>
      <c r="K36" s="71">
        <f>J36/References!$G$52</f>
        <v>0.44088734604276231</v>
      </c>
      <c r="L36" s="71">
        <f t="shared" si="8"/>
        <v>0.44088734604276231</v>
      </c>
      <c r="M36" s="145">
        <v>56.02</v>
      </c>
      <c r="N36" s="170">
        <f t="shared" si="5"/>
        <v>56.460887346042767</v>
      </c>
      <c r="O36" s="71">
        <f t="shared" si="9"/>
        <v>56.02</v>
      </c>
      <c r="P36" s="71">
        <f t="shared" si="10"/>
        <v>56.460887346042767</v>
      </c>
      <c r="Q36" s="75">
        <f t="shared" si="7"/>
        <v>0.44088734604276425</v>
      </c>
      <c r="R36" s="52">
        <f t="shared" si="16"/>
        <v>56.46</v>
      </c>
    </row>
    <row r="37" spans="1:18" s="63" customFormat="1">
      <c r="A37" s="187"/>
      <c r="B37" s="49">
        <v>28</v>
      </c>
      <c r="C37" s="149" t="s">
        <v>181</v>
      </c>
      <c r="D37" s="153"/>
      <c r="E37" s="151"/>
      <c r="F37" s="152">
        <v>2</v>
      </c>
      <c r="G37" s="160"/>
      <c r="H37" s="153"/>
      <c r="I37" s="154"/>
      <c r="J37" s="155"/>
      <c r="K37" s="155"/>
      <c r="L37" s="155"/>
      <c r="M37" s="172">
        <v>18.75</v>
      </c>
      <c r="N37" s="171">
        <f>L37+M37</f>
        <v>18.75</v>
      </c>
      <c r="O37" s="155">
        <f>F37*M37</f>
        <v>37.5</v>
      </c>
      <c r="P37" s="155">
        <f>F37*N37</f>
        <v>37.5</v>
      </c>
      <c r="Q37" s="75">
        <f t="shared" si="7"/>
        <v>0</v>
      </c>
    </row>
    <row r="38" spans="1:18" s="63" customFormat="1">
      <c r="A38" s="187"/>
      <c r="B38" s="49">
        <v>28</v>
      </c>
      <c r="C38" s="149" t="s">
        <v>150</v>
      </c>
      <c r="D38" s="153"/>
      <c r="E38" s="151"/>
      <c r="F38" s="152">
        <v>2</v>
      </c>
      <c r="G38" s="162">
        <v>766.25</v>
      </c>
      <c r="H38" s="156">
        <f t="shared" si="15"/>
        <v>1532.5</v>
      </c>
      <c r="I38" s="154">
        <f>$D$147*H38</f>
        <v>982.97837833625852</v>
      </c>
      <c r="J38" s="155">
        <f>(References!$C$49*I38)</f>
        <v>1.0812762161698743</v>
      </c>
      <c r="K38" s="155">
        <f>J38/References!$G$52</f>
        <v>1.1022183651069055</v>
      </c>
      <c r="L38" s="155">
        <f t="shared" si="8"/>
        <v>0.55110918255345276</v>
      </c>
      <c r="M38" s="172">
        <f>81.2-M37</f>
        <v>62.45</v>
      </c>
      <c r="N38" s="171">
        <f t="shared" si="5"/>
        <v>63.001109182553456</v>
      </c>
      <c r="O38" s="155">
        <f t="shared" si="9"/>
        <v>124.9</v>
      </c>
      <c r="P38" s="155">
        <f t="shared" si="10"/>
        <v>126.00221836510691</v>
      </c>
      <c r="Q38" s="75">
        <f t="shared" si="7"/>
        <v>1.1022183651069071</v>
      </c>
      <c r="R38" s="52">
        <f>(ROUND(N38*4.33,2))+N37</f>
        <v>291.54000000000002</v>
      </c>
    </row>
    <row r="39" spans="1:18" s="63" customFormat="1">
      <c r="A39" s="187"/>
      <c r="B39" s="49">
        <v>28</v>
      </c>
      <c r="C39" s="130" t="s">
        <v>151</v>
      </c>
      <c r="D39" s="60"/>
      <c r="E39" s="73"/>
      <c r="F39" s="131">
        <v>19.98</v>
      </c>
      <c r="G39" s="159">
        <v>766.25</v>
      </c>
      <c r="H39" s="114">
        <f t="shared" si="15"/>
        <v>15309.675000000001</v>
      </c>
      <c r="I39" s="48">
        <f>$D$147*H39</f>
        <v>9819.9539995792238</v>
      </c>
      <c r="J39" s="71">
        <f>(References!$C$49*I39)</f>
        <v>10.801949399537047</v>
      </c>
      <c r="K39" s="71">
        <f>J39/References!$G$52</f>
        <v>11.01116146741799</v>
      </c>
      <c r="L39" s="71">
        <f t="shared" si="8"/>
        <v>0.55110918255345298</v>
      </c>
      <c r="M39" s="145">
        <v>62.45</v>
      </c>
      <c r="N39" s="170">
        <f t="shared" si="5"/>
        <v>63.001109182553456</v>
      </c>
      <c r="O39" s="71">
        <f t="shared" si="9"/>
        <v>1247.751</v>
      </c>
      <c r="P39" s="71">
        <f t="shared" si="10"/>
        <v>1258.7621614674181</v>
      </c>
      <c r="Q39" s="75">
        <f t="shared" si="7"/>
        <v>11.011161467418106</v>
      </c>
    </row>
    <row r="40" spans="1:18" s="63" customFormat="1">
      <c r="A40" s="187"/>
      <c r="B40" s="49">
        <v>28</v>
      </c>
      <c r="C40" s="130" t="s">
        <v>152</v>
      </c>
      <c r="D40" s="60"/>
      <c r="E40" s="73"/>
      <c r="F40" s="132">
        <v>1</v>
      </c>
      <c r="G40" s="159">
        <v>766.25</v>
      </c>
      <c r="H40" s="114">
        <f t="shared" si="15"/>
        <v>766.25</v>
      </c>
      <c r="I40" s="48">
        <f>$D$147*H40</f>
        <v>491.48918916812926</v>
      </c>
      <c r="J40" s="71">
        <f>(References!$C$49*I40)</f>
        <v>0.54063810808493717</v>
      </c>
      <c r="K40" s="71">
        <f>J40/References!$G$52</f>
        <v>0.55110918255345276</v>
      </c>
      <c r="L40" s="71">
        <f t="shared" si="8"/>
        <v>0.55110918255345276</v>
      </c>
      <c r="M40" s="145">
        <v>69.78</v>
      </c>
      <c r="N40" s="170">
        <f t="shared" si="5"/>
        <v>70.331109182553448</v>
      </c>
      <c r="O40" s="71">
        <f t="shared" si="9"/>
        <v>69.78</v>
      </c>
      <c r="P40" s="71">
        <f t="shared" si="10"/>
        <v>70.331109182553448</v>
      </c>
      <c r="Q40" s="75">
        <f t="shared" si="7"/>
        <v>0.55110918255344643</v>
      </c>
      <c r="R40" s="52">
        <f t="shared" ref="R40:R41" si="17">ROUND(N40,2)</f>
        <v>70.33</v>
      </c>
    </row>
    <row r="41" spans="1:18" s="63" customFormat="1">
      <c r="A41" s="187"/>
      <c r="B41" s="49">
        <v>28</v>
      </c>
      <c r="C41" s="130" t="s">
        <v>153</v>
      </c>
      <c r="D41" s="60"/>
      <c r="E41" s="73"/>
      <c r="F41" s="132">
        <v>1</v>
      </c>
      <c r="G41" s="159">
        <v>766.25</v>
      </c>
      <c r="H41" s="114">
        <f t="shared" ref="H41:H47" si="18">F41*G41</f>
        <v>766.25</v>
      </c>
      <c r="I41" s="48">
        <f>$D$147*H41</f>
        <v>491.48918916812926</v>
      </c>
      <c r="J41" s="71">
        <f>(References!$C$49*I41)</f>
        <v>0.54063810808493717</v>
      </c>
      <c r="K41" s="71">
        <f>J41/References!$G$52</f>
        <v>0.55110918255345276</v>
      </c>
      <c r="L41" s="71">
        <f t="shared" ref="L41:L47" si="19">K41/F41</f>
        <v>0.55110918255345276</v>
      </c>
      <c r="M41" s="145">
        <v>65.12</v>
      </c>
      <c r="N41" s="170">
        <f t="shared" ref="N41:N47" si="20">L41+M41</f>
        <v>65.671109182553451</v>
      </c>
      <c r="O41" s="71">
        <f t="shared" ref="O41:O47" si="21">F41*M41</f>
        <v>65.12</v>
      </c>
      <c r="P41" s="71">
        <f t="shared" ref="P41:P47" si="22">F41*N41</f>
        <v>65.671109182553451</v>
      </c>
      <c r="Q41" s="75">
        <f t="shared" si="7"/>
        <v>0.55110918255344643</v>
      </c>
      <c r="R41" s="52">
        <f t="shared" si="17"/>
        <v>65.67</v>
      </c>
    </row>
    <row r="42" spans="1:18" s="63" customFormat="1">
      <c r="A42" s="187"/>
      <c r="B42" s="49" t="s">
        <v>197</v>
      </c>
      <c r="C42" s="149" t="s">
        <v>182</v>
      </c>
      <c r="D42" s="153"/>
      <c r="E42" s="151"/>
      <c r="F42" s="152">
        <v>7</v>
      </c>
      <c r="G42" s="160"/>
      <c r="H42" s="156"/>
      <c r="I42" s="154"/>
      <c r="J42" s="155"/>
      <c r="K42" s="155"/>
      <c r="L42" s="155"/>
      <c r="M42" s="172">
        <v>18.72</v>
      </c>
      <c r="N42" s="171">
        <f>L42+M42</f>
        <v>18.72</v>
      </c>
      <c r="O42" s="155">
        <f>F42*M42</f>
        <v>131.04</v>
      </c>
      <c r="P42" s="155">
        <f>F42*N42</f>
        <v>131.04</v>
      </c>
      <c r="Q42" s="75">
        <f t="shared" si="7"/>
        <v>0</v>
      </c>
    </row>
    <row r="43" spans="1:18" s="63" customFormat="1">
      <c r="A43" s="187"/>
      <c r="B43" s="49" t="s">
        <v>197</v>
      </c>
      <c r="C43" s="149" t="s">
        <v>154</v>
      </c>
      <c r="D43" s="153"/>
      <c r="E43" s="151"/>
      <c r="F43" s="152">
        <v>7</v>
      </c>
      <c r="G43" s="160">
        <f>References!B32</f>
        <v>840</v>
      </c>
      <c r="H43" s="156">
        <f t="shared" si="18"/>
        <v>5880</v>
      </c>
      <c r="I43" s="154">
        <f>$D$147*H43</f>
        <v>3771.5581498317783</v>
      </c>
      <c r="J43" s="155">
        <f>(References!$C$49*I43)</f>
        <v>4.1487139648149176</v>
      </c>
      <c r="K43" s="155">
        <f>J43/References!$G$52</f>
        <v>4.2290662230529232</v>
      </c>
      <c r="L43" s="155">
        <f t="shared" si="19"/>
        <v>0.60415231757898902</v>
      </c>
      <c r="M43" s="172">
        <f>90.85-M42</f>
        <v>72.13</v>
      </c>
      <c r="N43" s="171">
        <f t="shared" si="20"/>
        <v>72.734152317578989</v>
      </c>
      <c r="O43" s="155">
        <f t="shared" si="21"/>
        <v>504.90999999999997</v>
      </c>
      <c r="P43" s="155">
        <f t="shared" si="22"/>
        <v>509.13906622305291</v>
      </c>
      <c r="Q43" s="75">
        <f t="shared" si="7"/>
        <v>4.2290662230529392</v>
      </c>
      <c r="R43" s="52">
        <f>(ROUND(N43*4.33,2))+N42</f>
        <v>333.65999999999997</v>
      </c>
    </row>
    <row r="44" spans="1:18" s="63" customFormat="1">
      <c r="A44" s="187"/>
      <c r="B44" s="49" t="s">
        <v>197</v>
      </c>
      <c r="C44" s="130" t="s">
        <v>155</v>
      </c>
      <c r="D44" s="60"/>
      <c r="E44" s="73"/>
      <c r="F44" s="132">
        <v>76.59</v>
      </c>
      <c r="G44" s="157">
        <f>References!B32</f>
        <v>840</v>
      </c>
      <c r="H44" s="114">
        <f t="shared" si="18"/>
        <v>64335.600000000006</v>
      </c>
      <c r="I44" s="48">
        <f>$D$147*H44</f>
        <v>41266.234099373702</v>
      </c>
      <c r="J44" s="71">
        <f>(References!$C$49*I44)</f>
        <v>45.392857509310652</v>
      </c>
      <c r="K44" s="71">
        <f>J44/References!$G$52</f>
        <v>46.272026003374776</v>
      </c>
      <c r="L44" s="71">
        <f t="shared" si="19"/>
        <v>0.60415231757898913</v>
      </c>
      <c r="M44" s="145">
        <v>72.13</v>
      </c>
      <c r="N44" s="170">
        <f t="shared" si="20"/>
        <v>72.734152317578989</v>
      </c>
      <c r="O44" s="71">
        <f t="shared" si="21"/>
        <v>5524.4367000000002</v>
      </c>
      <c r="P44" s="71">
        <f t="shared" si="22"/>
        <v>5570.708726003375</v>
      </c>
      <c r="Q44" s="75">
        <f t="shared" si="7"/>
        <v>46.272026003374776</v>
      </c>
    </row>
    <row r="45" spans="1:18" s="63" customFormat="1">
      <c r="A45" s="187"/>
      <c r="B45" s="49" t="s">
        <v>197</v>
      </c>
      <c r="C45" s="130" t="s">
        <v>156</v>
      </c>
      <c r="D45" s="60"/>
      <c r="E45" s="73"/>
      <c r="F45" s="132">
        <v>1</v>
      </c>
      <c r="G45" s="157">
        <f>References!B32</f>
        <v>840</v>
      </c>
      <c r="H45" s="114">
        <f t="shared" si="18"/>
        <v>840</v>
      </c>
      <c r="I45" s="48">
        <f>$D$147*H45</f>
        <v>538.79402140453976</v>
      </c>
      <c r="J45" s="71">
        <f>(References!$C$49*I45)</f>
        <v>0.59267342354498831</v>
      </c>
      <c r="K45" s="71">
        <f>J45/References!$G$52</f>
        <v>0.60415231757898913</v>
      </c>
      <c r="L45" s="71">
        <f t="shared" si="19"/>
        <v>0.60415231757898913</v>
      </c>
      <c r="M45" s="145">
        <v>78.239999999999995</v>
      </c>
      <c r="N45" s="170">
        <f t="shared" si="20"/>
        <v>78.844152317578988</v>
      </c>
      <c r="O45" s="71">
        <f t="shared" si="21"/>
        <v>78.239999999999995</v>
      </c>
      <c r="P45" s="71">
        <f t="shared" si="22"/>
        <v>78.844152317578988</v>
      </c>
      <c r="Q45" s="75">
        <f t="shared" si="7"/>
        <v>0.60415231757899335</v>
      </c>
      <c r="R45" s="52">
        <f t="shared" ref="R45" si="23">ROUND(N45,2)</f>
        <v>78.84</v>
      </c>
    </row>
    <row r="46" spans="1:18" s="63" customFormat="1">
      <c r="A46" s="187"/>
      <c r="B46" s="49" t="s">
        <v>197</v>
      </c>
      <c r="C46" s="149" t="s">
        <v>183</v>
      </c>
      <c r="D46" s="153"/>
      <c r="E46" s="151"/>
      <c r="F46" s="152">
        <v>1</v>
      </c>
      <c r="G46" s="160"/>
      <c r="H46" s="156"/>
      <c r="I46" s="154"/>
      <c r="J46" s="155"/>
      <c r="K46" s="155"/>
      <c r="L46" s="155"/>
      <c r="M46" s="172">
        <v>20.04</v>
      </c>
      <c r="N46" s="171">
        <f>L46+M46</f>
        <v>20.04</v>
      </c>
      <c r="O46" s="155">
        <f>F46*M46</f>
        <v>20.04</v>
      </c>
      <c r="P46" s="155">
        <f>F46*N46</f>
        <v>20.04</v>
      </c>
      <c r="Q46" s="75">
        <f t="shared" si="7"/>
        <v>0</v>
      </c>
    </row>
    <row r="47" spans="1:18" s="63" customFormat="1">
      <c r="A47" s="187"/>
      <c r="B47" s="49" t="s">
        <v>197</v>
      </c>
      <c r="C47" s="149" t="s">
        <v>157</v>
      </c>
      <c r="D47" s="153"/>
      <c r="E47" s="151"/>
      <c r="F47" s="152">
        <v>1</v>
      </c>
      <c r="G47" s="163">
        <f>References!B33</f>
        <v>980</v>
      </c>
      <c r="H47" s="156">
        <f t="shared" si="18"/>
        <v>980</v>
      </c>
      <c r="I47" s="154">
        <f t="shared" ref="I47:I54" si="24">$D$147*H47</f>
        <v>628.59302497196302</v>
      </c>
      <c r="J47" s="155">
        <f>(References!$C$49*I47)</f>
        <v>0.69145232746915297</v>
      </c>
      <c r="K47" s="155">
        <f>J47/References!$G$52</f>
        <v>0.70484437050882054</v>
      </c>
      <c r="L47" s="155">
        <f t="shared" si="19"/>
        <v>0.70484437050882054</v>
      </c>
      <c r="M47" s="172">
        <f>101.98-M46</f>
        <v>81.94</v>
      </c>
      <c r="N47" s="171">
        <f t="shared" si="20"/>
        <v>82.644844370508821</v>
      </c>
      <c r="O47" s="155">
        <f t="shared" si="21"/>
        <v>81.94</v>
      </c>
      <c r="P47" s="155">
        <f t="shared" si="22"/>
        <v>82.644844370508821</v>
      </c>
      <c r="Q47" s="75">
        <f t="shared" si="7"/>
        <v>0.7048443705088232</v>
      </c>
      <c r="R47" s="52">
        <f>(ROUND(N47*4.33,2))+N46</f>
        <v>377.89000000000004</v>
      </c>
    </row>
    <row r="48" spans="1:18" s="63" customFormat="1">
      <c r="A48" s="187"/>
      <c r="B48" s="49" t="s">
        <v>197</v>
      </c>
      <c r="C48" s="130" t="s">
        <v>158</v>
      </c>
      <c r="D48" s="60"/>
      <c r="E48" s="73"/>
      <c r="F48" s="131">
        <v>23.310000000000002</v>
      </c>
      <c r="G48" s="158">
        <f>References!B33</f>
        <v>980</v>
      </c>
      <c r="H48" s="114">
        <f t="shared" ref="H48:H69" si="25">F48*G48</f>
        <v>22843.800000000003</v>
      </c>
      <c r="I48" s="48">
        <f t="shared" si="24"/>
        <v>14652.503412096461</v>
      </c>
      <c r="J48" s="71">
        <f>(References!$C$49*I48)</f>
        <v>16.117753753305958</v>
      </c>
      <c r="K48" s="71">
        <f>J48/References!$G$52</f>
        <v>16.42992227656061</v>
      </c>
      <c r="L48" s="71">
        <f t="shared" ref="L48:L69" si="26">K48/F48</f>
        <v>0.70484437050882065</v>
      </c>
      <c r="M48" s="71">
        <v>81.94</v>
      </c>
      <c r="N48" s="170">
        <f t="shared" ref="N48:N69" si="27">L48+M48</f>
        <v>82.644844370508821</v>
      </c>
      <c r="O48" s="71">
        <f t="shared" ref="O48:O69" si="28">F48*M48</f>
        <v>1910.0214000000001</v>
      </c>
      <c r="P48" s="71">
        <f t="shared" ref="P48:P69" si="29">F48*N48</f>
        <v>1926.4513222765609</v>
      </c>
      <c r="Q48" s="75">
        <f t="shared" si="7"/>
        <v>16.429922276560774</v>
      </c>
    </row>
    <row r="49" spans="1:18" s="63" customFormat="1">
      <c r="A49" s="187"/>
      <c r="B49" s="49" t="s">
        <v>197</v>
      </c>
      <c r="C49" s="130" t="s">
        <v>159</v>
      </c>
      <c r="D49" s="60"/>
      <c r="E49" s="73"/>
      <c r="F49" s="131">
        <v>1</v>
      </c>
      <c r="G49" s="158">
        <f>References!B33</f>
        <v>980</v>
      </c>
      <c r="H49" s="114">
        <f t="shared" si="25"/>
        <v>980</v>
      </c>
      <c r="I49" s="48">
        <f t="shared" si="24"/>
        <v>628.59302497196302</v>
      </c>
      <c r="J49" s="71">
        <f>(References!$C$49*I49)</f>
        <v>0.69145232746915297</v>
      </c>
      <c r="K49" s="71">
        <f>J49/References!$G$52</f>
        <v>0.70484437050882054</v>
      </c>
      <c r="L49" s="71">
        <f t="shared" si="26"/>
        <v>0.70484437050882054</v>
      </c>
      <c r="M49" s="71">
        <v>87.02</v>
      </c>
      <c r="N49" s="170">
        <f t="shared" si="27"/>
        <v>87.724844370508819</v>
      </c>
      <c r="O49" s="71">
        <f t="shared" si="28"/>
        <v>87.02</v>
      </c>
      <c r="P49" s="71">
        <f t="shared" si="29"/>
        <v>87.724844370508819</v>
      </c>
      <c r="Q49" s="75">
        <f t="shared" si="7"/>
        <v>0.7048443705088232</v>
      </c>
      <c r="R49" s="52">
        <f t="shared" ref="R49:R50" si="30">ROUND(N49,2)</f>
        <v>87.72</v>
      </c>
    </row>
    <row r="50" spans="1:18" s="63" customFormat="1">
      <c r="A50" s="187"/>
      <c r="B50" s="49" t="s">
        <v>197</v>
      </c>
      <c r="C50" s="130" t="s">
        <v>160</v>
      </c>
      <c r="D50" s="60"/>
      <c r="E50" s="73"/>
      <c r="F50" s="131">
        <v>1</v>
      </c>
      <c r="G50" s="158">
        <f>References!B33</f>
        <v>980</v>
      </c>
      <c r="H50" s="114">
        <f t="shared" si="25"/>
        <v>980</v>
      </c>
      <c r="I50" s="48">
        <f t="shared" si="24"/>
        <v>628.59302497196302</v>
      </c>
      <c r="J50" s="71">
        <f>(References!$C$49*I50)</f>
        <v>0.69145232746915297</v>
      </c>
      <c r="K50" s="71">
        <f>J50/References!$G$52</f>
        <v>0.70484437050882054</v>
      </c>
      <c r="L50" s="71">
        <f t="shared" si="26"/>
        <v>0.70484437050882054</v>
      </c>
      <c r="M50" s="71">
        <v>84.2</v>
      </c>
      <c r="N50" s="170">
        <f t="shared" si="27"/>
        <v>84.904844370508826</v>
      </c>
      <c r="O50" s="71">
        <f t="shared" si="28"/>
        <v>84.2</v>
      </c>
      <c r="P50" s="71">
        <f t="shared" si="29"/>
        <v>84.904844370508826</v>
      </c>
      <c r="Q50" s="75">
        <f t="shared" si="7"/>
        <v>0.7048443705088232</v>
      </c>
      <c r="R50" s="52">
        <f t="shared" si="30"/>
        <v>84.9</v>
      </c>
    </row>
    <row r="51" spans="1:18" s="63" customFormat="1">
      <c r="A51" s="187"/>
      <c r="B51" s="49" t="s">
        <v>197</v>
      </c>
      <c r="C51" s="149" t="s">
        <v>184</v>
      </c>
      <c r="D51" s="153"/>
      <c r="E51" s="151"/>
      <c r="F51" s="152">
        <v>1</v>
      </c>
      <c r="G51" s="160"/>
      <c r="H51" s="156"/>
      <c r="I51" s="154">
        <f t="shared" si="24"/>
        <v>0</v>
      </c>
      <c r="J51" s="155">
        <f>(References!$C$49*I51)</f>
        <v>0</v>
      </c>
      <c r="K51" s="155">
        <f>J51/References!$G$52</f>
        <v>0</v>
      </c>
      <c r="L51" s="155">
        <f t="shared" si="26"/>
        <v>0</v>
      </c>
      <c r="M51" s="172">
        <v>25.73</v>
      </c>
      <c r="N51" s="171">
        <f>L51+M51</f>
        <v>25.73</v>
      </c>
      <c r="O51" s="155">
        <f>F51*M51</f>
        <v>25.73</v>
      </c>
      <c r="P51" s="155">
        <f>F51*N51</f>
        <v>25.73</v>
      </c>
      <c r="Q51" s="75">
        <f t="shared" si="7"/>
        <v>0</v>
      </c>
    </row>
    <row r="52" spans="1:18" s="63" customFormat="1">
      <c r="A52" s="187"/>
      <c r="B52" s="49" t="s">
        <v>197</v>
      </c>
      <c r="C52" s="149" t="s">
        <v>161</v>
      </c>
      <c r="D52" s="153"/>
      <c r="E52" s="151"/>
      <c r="F52" s="152">
        <v>1</v>
      </c>
      <c r="G52" s="160">
        <v>1312.5</v>
      </c>
      <c r="H52" s="156">
        <f t="shared" ref="H52" si="31">F52*G52</f>
        <v>1312.5</v>
      </c>
      <c r="I52" s="154">
        <f t="shared" ref="I52" si="32">$D$147*H52</f>
        <v>841.86565844459335</v>
      </c>
      <c r="J52" s="155">
        <f>(References!$C$49*I52)</f>
        <v>0.92605222428904421</v>
      </c>
      <c r="K52" s="155">
        <f>J52/References!$G$52</f>
        <v>0.94398799621717044</v>
      </c>
      <c r="L52" s="155">
        <f t="shared" ref="L52" si="33">K52/F52</f>
        <v>0.94398799621717044</v>
      </c>
      <c r="M52" s="172">
        <f>123.54-M51</f>
        <v>97.81</v>
      </c>
      <c r="N52" s="180">
        <f t="shared" ref="N52" si="34">L52+M52</f>
        <v>98.753987996217177</v>
      </c>
      <c r="O52" s="155">
        <f t="shared" ref="O52" si="35">F52*M52</f>
        <v>97.81</v>
      </c>
      <c r="P52" s="155">
        <f t="shared" ref="P52" si="36">F52*N52</f>
        <v>98.753987996217177</v>
      </c>
      <c r="Q52" s="75">
        <f t="shared" ref="Q52" si="37">+P52-O52</f>
        <v>0.94398799621717444</v>
      </c>
      <c r="R52" s="52">
        <f>(ROUND(N52*4.33,2))+N51</f>
        <v>453.33000000000004</v>
      </c>
    </row>
    <row r="53" spans="1:18" s="63" customFormat="1">
      <c r="A53" s="187"/>
      <c r="B53" s="49" t="s">
        <v>197</v>
      </c>
      <c r="C53" s="130" t="s">
        <v>162</v>
      </c>
      <c r="D53" s="60"/>
      <c r="E53" s="73"/>
      <c r="F53" s="131">
        <v>15</v>
      </c>
      <c r="G53" s="159">
        <v>1312.5</v>
      </c>
      <c r="H53" s="114">
        <f t="shared" si="25"/>
        <v>19687.5</v>
      </c>
      <c r="I53" s="48">
        <f t="shared" si="24"/>
        <v>12627.984876668901</v>
      </c>
      <c r="J53" s="71">
        <f>(References!$C$49*I53)</f>
        <v>13.890783364335663</v>
      </c>
      <c r="K53" s="71">
        <f>J53/References!$G$52</f>
        <v>14.159819943257556</v>
      </c>
      <c r="L53" s="71">
        <f t="shared" si="26"/>
        <v>0.94398799621717044</v>
      </c>
      <c r="M53" s="71">
        <v>104.21</v>
      </c>
      <c r="N53" s="170">
        <f t="shared" si="27"/>
        <v>105.15398799621717</v>
      </c>
      <c r="O53" s="71">
        <f t="shared" si="28"/>
        <v>1563.1499999999999</v>
      </c>
      <c r="P53" s="71">
        <f t="shared" si="29"/>
        <v>1577.3098199432575</v>
      </c>
      <c r="Q53" s="75">
        <f t="shared" si="7"/>
        <v>14.159819943257617</v>
      </c>
      <c r="R53" s="52">
        <f t="shared" ref="R53:R54" si="38">ROUND(N53,2)</f>
        <v>105.15</v>
      </c>
    </row>
    <row r="54" spans="1:18" s="63" customFormat="1">
      <c r="A54" s="187"/>
      <c r="B54" s="49" t="s">
        <v>197</v>
      </c>
      <c r="C54" s="130" t="s">
        <v>163</v>
      </c>
      <c r="D54" s="60"/>
      <c r="E54" s="73"/>
      <c r="F54" s="131">
        <v>1</v>
      </c>
      <c r="G54" s="159">
        <v>1312.5</v>
      </c>
      <c r="H54" s="114">
        <f t="shared" si="25"/>
        <v>1312.5</v>
      </c>
      <c r="I54" s="48">
        <f t="shared" si="24"/>
        <v>841.86565844459335</v>
      </c>
      <c r="J54" s="71">
        <f>(References!$C$49*I54)</f>
        <v>0.92605222428904421</v>
      </c>
      <c r="K54" s="71">
        <f>J54/References!$G$52</f>
        <v>0.94398799621717044</v>
      </c>
      <c r="L54" s="71">
        <f t="shared" si="26"/>
        <v>0.94398799621717044</v>
      </c>
      <c r="M54" s="71">
        <v>101.6</v>
      </c>
      <c r="N54" s="170">
        <f t="shared" si="27"/>
        <v>102.54398799621717</v>
      </c>
      <c r="O54" s="71">
        <f t="shared" si="28"/>
        <v>101.6</v>
      </c>
      <c r="P54" s="71">
        <f t="shared" si="29"/>
        <v>102.54398799621717</v>
      </c>
      <c r="Q54" s="75">
        <f t="shared" si="7"/>
        <v>0.94398799621717444</v>
      </c>
      <c r="R54" s="52">
        <f t="shared" si="38"/>
        <v>102.54</v>
      </c>
    </row>
    <row r="55" spans="1:18" s="63" customFormat="1">
      <c r="A55" s="187"/>
      <c r="B55" s="49"/>
      <c r="C55" s="147" t="s">
        <v>164</v>
      </c>
      <c r="D55" s="60"/>
      <c r="E55" s="73"/>
      <c r="F55" s="131"/>
      <c r="G55" s="157"/>
      <c r="H55" s="114"/>
      <c r="I55" s="48"/>
      <c r="J55" s="71"/>
      <c r="K55" s="71"/>
      <c r="L55" s="71"/>
      <c r="M55" s="71"/>
      <c r="N55" s="170"/>
      <c r="O55" s="71"/>
      <c r="P55" s="71"/>
      <c r="Q55" s="75"/>
    </row>
    <row r="56" spans="1:18" s="63" customFormat="1">
      <c r="A56" s="187"/>
      <c r="B56" s="49">
        <v>29</v>
      </c>
      <c r="C56" s="130" t="s">
        <v>165</v>
      </c>
      <c r="D56" s="60"/>
      <c r="E56" s="73"/>
      <c r="F56" s="131">
        <v>4.33</v>
      </c>
      <c r="G56" s="157">
        <f>References!B26</f>
        <v>29</v>
      </c>
      <c r="H56" s="114">
        <f t="shared" si="25"/>
        <v>125.57000000000001</v>
      </c>
      <c r="I56" s="48">
        <f t="shared" ref="I56:I69" si="39">$D$147*H56</f>
        <v>80.543291985438174</v>
      </c>
      <c r="J56" s="71">
        <f>(References!$C$49*I56)</f>
        <v>8.8597621183981179E-2</v>
      </c>
      <c r="K56" s="71">
        <f>J56/References!$G$52</f>
        <v>9.0313579188563892E-2</v>
      </c>
      <c r="L56" s="71">
        <f t="shared" si="26"/>
        <v>2.08576395354651E-2</v>
      </c>
      <c r="M56" s="71">
        <v>3.01</v>
      </c>
      <c r="N56" s="170">
        <f t="shared" si="27"/>
        <v>3.0308576395354647</v>
      </c>
      <c r="O56" s="71">
        <f t="shared" si="28"/>
        <v>13.033299999999999</v>
      </c>
      <c r="P56" s="71">
        <f t="shared" si="29"/>
        <v>13.123613579188563</v>
      </c>
      <c r="Q56" s="75">
        <f t="shared" ref="Q56:Q69" si="40">+P56-O56</f>
        <v>9.0313579188563864E-2</v>
      </c>
    </row>
    <row r="57" spans="1:18" s="63" customFormat="1">
      <c r="A57" s="187"/>
      <c r="B57" s="49">
        <v>29</v>
      </c>
      <c r="C57" s="130" t="s">
        <v>166</v>
      </c>
      <c r="D57" s="60"/>
      <c r="E57" s="73"/>
      <c r="F57" s="131">
        <v>1</v>
      </c>
      <c r="G57" s="157">
        <f>References!B26</f>
        <v>29</v>
      </c>
      <c r="H57" s="114">
        <f t="shared" si="25"/>
        <v>29</v>
      </c>
      <c r="I57" s="48">
        <f t="shared" si="39"/>
        <v>18.601222167537681</v>
      </c>
      <c r="J57" s="71">
        <f>(References!$C$49*I57)</f>
        <v>2.0461344384291261E-2</v>
      </c>
      <c r="K57" s="71">
        <f>J57/References!$G$52</f>
        <v>2.08576395354651E-2</v>
      </c>
      <c r="L57" s="71">
        <f t="shared" si="26"/>
        <v>2.08576395354651E-2</v>
      </c>
      <c r="M57" s="71">
        <v>3.01</v>
      </c>
      <c r="N57" s="170">
        <f t="shared" si="27"/>
        <v>3.0308576395354647</v>
      </c>
      <c r="O57" s="71">
        <f t="shared" si="28"/>
        <v>3.01</v>
      </c>
      <c r="P57" s="71">
        <f t="shared" si="29"/>
        <v>3.0308576395354647</v>
      </c>
      <c r="Q57" s="75">
        <f t="shared" si="40"/>
        <v>2.0857639535464934E-2</v>
      </c>
      <c r="R57" s="52">
        <f t="shared" ref="R57" si="41">ROUND(N57,2)</f>
        <v>3.03</v>
      </c>
    </row>
    <row r="58" spans="1:18" s="63" customFormat="1">
      <c r="A58" s="187"/>
      <c r="B58" s="49">
        <v>29</v>
      </c>
      <c r="C58" s="130" t="s">
        <v>167</v>
      </c>
      <c r="D58" s="60"/>
      <c r="E58" s="73"/>
      <c r="F58" s="131">
        <v>4.33</v>
      </c>
      <c r="G58" s="157">
        <f>References!B21</f>
        <v>47</v>
      </c>
      <c r="H58" s="114">
        <f t="shared" si="25"/>
        <v>203.51</v>
      </c>
      <c r="I58" s="48">
        <f t="shared" si="39"/>
        <v>130.5356801143308</v>
      </c>
      <c r="J58" s="71">
        <f>(References!$C$49*I58)</f>
        <v>0.14358924812576257</v>
      </c>
      <c r="K58" s="71">
        <f>J58/References!$G$52</f>
        <v>0.14637028351250006</v>
      </c>
      <c r="L58" s="71">
        <f t="shared" si="26"/>
        <v>3.3803760626443434E-2</v>
      </c>
      <c r="M58" s="71">
        <v>4.04</v>
      </c>
      <c r="N58" s="170">
        <f t="shared" si="27"/>
        <v>4.0738037606264434</v>
      </c>
      <c r="O58" s="71">
        <f t="shared" si="28"/>
        <v>17.493200000000002</v>
      </c>
      <c r="P58" s="71">
        <f t="shared" si="29"/>
        <v>17.639570283512501</v>
      </c>
      <c r="Q58" s="75">
        <f t="shared" si="40"/>
        <v>0.14637028351249981</v>
      </c>
    </row>
    <row r="59" spans="1:18" s="63" customFormat="1">
      <c r="A59" s="187"/>
      <c r="B59" s="49">
        <v>29</v>
      </c>
      <c r="C59" s="130" t="s">
        <v>168</v>
      </c>
      <c r="D59" s="60"/>
      <c r="E59" s="73"/>
      <c r="F59" s="131">
        <v>1</v>
      </c>
      <c r="G59" s="157">
        <f>References!B21</f>
        <v>47</v>
      </c>
      <c r="H59" s="114">
        <f t="shared" si="25"/>
        <v>47</v>
      </c>
      <c r="I59" s="48">
        <f t="shared" si="39"/>
        <v>30.146808340492107</v>
      </c>
      <c r="J59" s="71">
        <f>(References!$C$49*I59)</f>
        <v>3.3161489174541016E-2</v>
      </c>
      <c r="K59" s="71">
        <f>J59/References!$G$52</f>
        <v>3.3803760626443441E-2</v>
      </c>
      <c r="L59" s="71">
        <f t="shared" si="26"/>
        <v>3.3803760626443441E-2</v>
      </c>
      <c r="M59" s="71">
        <v>4.04</v>
      </c>
      <c r="N59" s="170">
        <f t="shared" si="27"/>
        <v>4.0738037606264434</v>
      </c>
      <c r="O59" s="71">
        <f t="shared" si="28"/>
        <v>4.04</v>
      </c>
      <c r="P59" s="71">
        <f t="shared" si="29"/>
        <v>4.0738037606264434</v>
      </c>
      <c r="Q59" s="75">
        <f t="shared" si="40"/>
        <v>3.3803760626443413E-2</v>
      </c>
      <c r="R59" s="52">
        <f t="shared" ref="R59" si="42">ROUND(N59,2)</f>
        <v>4.07</v>
      </c>
    </row>
    <row r="60" spans="1:18" s="63" customFormat="1">
      <c r="A60" s="187"/>
      <c r="B60" s="49">
        <v>29</v>
      </c>
      <c r="C60" s="130" t="s">
        <v>169</v>
      </c>
      <c r="D60" s="60"/>
      <c r="E60" s="73"/>
      <c r="F60" s="131">
        <v>21.65</v>
      </c>
      <c r="G60" s="157">
        <f>References!B22</f>
        <v>68</v>
      </c>
      <c r="H60" s="114">
        <f t="shared" si="25"/>
        <v>1472.1999999999998</v>
      </c>
      <c r="I60" s="48">
        <f t="shared" si="39"/>
        <v>944.30066465686116</v>
      </c>
      <c r="J60" s="71">
        <f>(References!$C$49*I60)</f>
        <v>1.0387307311225378</v>
      </c>
      <c r="K60" s="71">
        <f>J60/References!$G$52</f>
        <v>1.0588488594521281</v>
      </c>
      <c r="L60" s="71">
        <f t="shared" si="26"/>
        <v>4.8907568565918165E-2</v>
      </c>
      <c r="M60" s="71">
        <v>5.12</v>
      </c>
      <c r="N60" s="170">
        <f t="shared" si="27"/>
        <v>5.1689075685659187</v>
      </c>
      <c r="O60" s="71">
        <f t="shared" si="28"/>
        <v>110.848</v>
      </c>
      <c r="P60" s="71">
        <f t="shared" si="29"/>
        <v>111.90684885945214</v>
      </c>
      <c r="Q60" s="75">
        <f t="shared" si="40"/>
        <v>1.0588488594521408</v>
      </c>
    </row>
    <row r="61" spans="1:18" s="63" customFormat="1">
      <c r="A61" s="187"/>
      <c r="B61" s="49">
        <v>29</v>
      </c>
      <c r="C61" s="130" t="s">
        <v>170</v>
      </c>
      <c r="D61" s="60"/>
      <c r="E61" s="73"/>
      <c r="F61" s="131">
        <v>1</v>
      </c>
      <c r="G61" s="157">
        <f>References!B22</f>
        <v>68</v>
      </c>
      <c r="H61" s="114">
        <f t="shared" si="25"/>
        <v>68</v>
      </c>
      <c r="I61" s="48">
        <f t="shared" si="39"/>
        <v>43.616658875605602</v>
      </c>
      <c r="J61" s="71">
        <f>(References!$C$49*I61)</f>
        <v>4.7978324763165721E-2</v>
      </c>
      <c r="K61" s="71">
        <f>J61/References!$G$52</f>
        <v>4.8907568565918165E-2</v>
      </c>
      <c r="L61" s="71">
        <f t="shared" si="26"/>
        <v>4.8907568565918165E-2</v>
      </c>
      <c r="M61" s="71">
        <v>5.12</v>
      </c>
      <c r="N61" s="170">
        <f t="shared" si="27"/>
        <v>5.1689075685659187</v>
      </c>
      <c r="O61" s="71">
        <f t="shared" si="28"/>
        <v>5.12</v>
      </c>
      <c r="P61" s="71">
        <f t="shared" si="29"/>
        <v>5.1689075685659187</v>
      </c>
      <c r="Q61" s="75">
        <f t="shared" si="40"/>
        <v>4.8907568565918602E-2</v>
      </c>
      <c r="R61" s="52">
        <f t="shared" ref="R61" si="43">ROUND(N61,2)</f>
        <v>5.17</v>
      </c>
    </row>
    <row r="62" spans="1:18" s="63" customFormat="1">
      <c r="A62" s="187"/>
      <c r="B62" s="49">
        <v>29</v>
      </c>
      <c r="C62" s="130" t="s">
        <v>167</v>
      </c>
      <c r="D62" s="60"/>
      <c r="E62" s="73"/>
      <c r="F62" s="131">
        <v>4.33</v>
      </c>
      <c r="G62" s="157">
        <f>References!B21</f>
        <v>47</v>
      </c>
      <c r="H62" s="114">
        <f t="shared" si="25"/>
        <v>203.51</v>
      </c>
      <c r="I62" s="48">
        <f t="shared" si="39"/>
        <v>130.5356801143308</v>
      </c>
      <c r="J62" s="71">
        <f>(References!$C$49*I62)</f>
        <v>0.14358924812576257</v>
      </c>
      <c r="K62" s="71">
        <f>J62/References!$G$52</f>
        <v>0.14637028351250006</v>
      </c>
      <c r="L62" s="71">
        <f t="shared" si="26"/>
        <v>3.3803760626443434E-2</v>
      </c>
      <c r="M62" s="71">
        <v>4.04</v>
      </c>
      <c r="N62" s="170">
        <f t="shared" si="27"/>
        <v>4.0738037606264434</v>
      </c>
      <c r="O62" s="71">
        <f t="shared" si="28"/>
        <v>17.493200000000002</v>
      </c>
      <c r="P62" s="71">
        <f t="shared" si="29"/>
        <v>17.639570283512501</v>
      </c>
      <c r="Q62" s="75">
        <f t="shared" si="40"/>
        <v>0.14637028351249981</v>
      </c>
    </row>
    <row r="63" spans="1:18" s="63" customFormat="1">
      <c r="A63" s="187"/>
      <c r="B63" s="49">
        <v>29</v>
      </c>
      <c r="C63" s="130" t="s">
        <v>168</v>
      </c>
      <c r="D63" s="60"/>
      <c r="E63" s="73"/>
      <c r="F63" s="131">
        <v>1</v>
      </c>
      <c r="G63" s="157">
        <f>References!B21</f>
        <v>47</v>
      </c>
      <c r="H63" s="114">
        <f t="shared" si="25"/>
        <v>47</v>
      </c>
      <c r="I63" s="48">
        <f t="shared" si="39"/>
        <v>30.146808340492107</v>
      </c>
      <c r="J63" s="71">
        <f>(References!$C$49*I63)</f>
        <v>3.3161489174541016E-2</v>
      </c>
      <c r="K63" s="71">
        <f>J63/References!$G$52</f>
        <v>3.3803760626443441E-2</v>
      </c>
      <c r="L63" s="71">
        <f t="shared" si="26"/>
        <v>3.3803760626443441E-2</v>
      </c>
      <c r="M63" s="71">
        <v>4.04</v>
      </c>
      <c r="N63" s="170">
        <f t="shared" si="27"/>
        <v>4.0738037606264434</v>
      </c>
      <c r="O63" s="71">
        <f t="shared" si="28"/>
        <v>4.04</v>
      </c>
      <c r="P63" s="71">
        <f t="shared" si="29"/>
        <v>4.0738037606264434</v>
      </c>
      <c r="Q63" s="75">
        <f t="shared" si="40"/>
        <v>3.3803760626443413E-2</v>
      </c>
      <c r="R63" s="52">
        <f t="shared" ref="R63" si="44">ROUND(N63,2)</f>
        <v>4.07</v>
      </c>
    </row>
    <row r="64" spans="1:18" s="63" customFormat="1">
      <c r="A64" s="187"/>
      <c r="B64" s="49">
        <v>29</v>
      </c>
      <c r="C64" s="130" t="s">
        <v>171</v>
      </c>
      <c r="D64" s="60"/>
      <c r="E64" s="73"/>
      <c r="F64" s="131">
        <v>4.33</v>
      </c>
      <c r="G64" s="157">
        <f>References!B27</f>
        <v>175</v>
      </c>
      <c r="H64" s="114">
        <f t="shared" si="25"/>
        <v>757.75</v>
      </c>
      <c r="I64" s="48">
        <f t="shared" si="39"/>
        <v>486.03710680867857</v>
      </c>
      <c r="J64" s="71">
        <f>(References!$C$49*I64)</f>
        <v>0.53464081748954151</v>
      </c>
      <c r="K64" s="71">
        <f>J64/References!$G$52</f>
        <v>0.54499573648271304</v>
      </c>
      <c r="L64" s="71">
        <f t="shared" si="26"/>
        <v>0.12586506616228937</v>
      </c>
      <c r="M64" s="71">
        <v>14.34</v>
      </c>
      <c r="N64" s="170">
        <f t="shared" si="27"/>
        <v>14.465865066162289</v>
      </c>
      <c r="O64" s="71">
        <f t="shared" si="28"/>
        <v>62.092199999999998</v>
      </c>
      <c r="P64" s="71">
        <f t="shared" si="29"/>
        <v>62.63719573648271</v>
      </c>
      <c r="Q64" s="75">
        <f t="shared" si="40"/>
        <v>0.54499573648271138</v>
      </c>
    </row>
    <row r="65" spans="1:21" s="63" customFormat="1">
      <c r="A65" s="187"/>
      <c r="B65" s="49">
        <v>29</v>
      </c>
      <c r="C65" s="130" t="s">
        <v>172</v>
      </c>
      <c r="D65" s="60"/>
      <c r="E65" s="73"/>
      <c r="F65" s="131">
        <v>1</v>
      </c>
      <c r="G65" s="157">
        <f>References!B27</f>
        <v>175</v>
      </c>
      <c r="H65" s="114">
        <f t="shared" si="25"/>
        <v>175</v>
      </c>
      <c r="I65" s="48">
        <f t="shared" si="39"/>
        <v>112.24875445927911</v>
      </c>
      <c r="J65" s="71">
        <f>(References!$C$49*I65)</f>
        <v>0.12347362990520588</v>
      </c>
      <c r="K65" s="71">
        <f>J65/References!$G$52</f>
        <v>0.12586506616228937</v>
      </c>
      <c r="L65" s="71">
        <f t="shared" si="26"/>
        <v>0.12586506616228937</v>
      </c>
      <c r="M65" s="71">
        <v>19.760000000000002</v>
      </c>
      <c r="N65" s="170">
        <f t="shared" si="27"/>
        <v>19.885865066162292</v>
      </c>
      <c r="O65" s="71">
        <f t="shared" si="28"/>
        <v>19.760000000000002</v>
      </c>
      <c r="P65" s="71">
        <f t="shared" si="29"/>
        <v>19.885865066162292</v>
      </c>
      <c r="Q65" s="75">
        <f t="shared" si="40"/>
        <v>0.12586506616229087</v>
      </c>
      <c r="R65" s="52">
        <f t="shared" ref="R65" si="45">ROUND(N65,2)</f>
        <v>19.89</v>
      </c>
    </row>
    <row r="66" spans="1:21" s="63" customFormat="1">
      <c r="A66" s="187"/>
      <c r="B66" s="49">
        <v>29</v>
      </c>
      <c r="C66" s="130" t="s">
        <v>173</v>
      </c>
      <c r="D66" s="60"/>
      <c r="E66" s="73"/>
      <c r="F66" s="131">
        <v>4.33</v>
      </c>
      <c r="G66" s="157">
        <f>References!B28</f>
        <v>250</v>
      </c>
      <c r="H66" s="114">
        <f t="shared" si="25"/>
        <v>1082.5</v>
      </c>
      <c r="I66" s="48">
        <f t="shared" si="39"/>
        <v>694.33872401239796</v>
      </c>
      <c r="J66" s="71">
        <f>(References!$C$49*I66)</f>
        <v>0.76377259641363071</v>
      </c>
      <c r="K66" s="71">
        <f>J66/References!$G$52</f>
        <v>0.77856533783244719</v>
      </c>
      <c r="L66" s="71">
        <f t="shared" si="26"/>
        <v>0.17980723737469911</v>
      </c>
      <c r="M66" s="71">
        <v>20.56</v>
      </c>
      <c r="N66" s="170">
        <f t="shared" si="27"/>
        <v>20.739807237374698</v>
      </c>
      <c r="O66" s="71">
        <f t="shared" si="28"/>
        <v>89.024799999999999</v>
      </c>
      <c r="P66" s="71">
        <f t="shared" si="29"/>
        <v>89.803365337832446</v>
      </c>
      <c r="Q66" s="75">
        <f t="shared" si="40"/>
        <v>0.77856533783244686</v>
      </c>
    </row>
    <row r="67" spans="1:21" s="63" customFormat="1">
      <c r="A67" s="187"/>
      <c r="B67" s="49">
        <v>29</v>
      </c>
      <c r="C67" s="130" t="s">
        <v>174</v>
      </c>
      <c r="D67" s="60"/>
      <c r="E67" s="73"/>
      <c r="F67" s="131">
        <v>1</v>
      </c>
      <c r="G67" s="157">
        <f>References!B28</f>
        <v>250</v>
      </c>
      <c r="H67" s="114">
        <f t="shared" si="25"/>
        <v>250</v>
      </c>
      <c r="I67" s="48">
        <f t="shared" si="39"/>
        <v>160.3553635132559</v>
      </c>
      <c r="J67" s="71">
        <f>(References!$C$49*I67)</f>
        <v>0.17639089986457987</v>
      </c>
      <c r="K67" s="71">
        <f>J67/References!$G$52</f>
        <v>0.17980723737469917</v>
      </c>
      <c r="L67" s="71">
        <f t="shared" si="26"/>
        <v>0.17980723737469917</v>
      </c>
      <c r="M67" s="71">
        <v>20.56</v>
      </c>
      <c r="N67" s="170">
        <f t="shared" si="27"/>
        <v>20.739807237374698</v>
      </c>
      <c r="O67" s="71">
        <f t="shared" si="28"/>
        <v>20.56</v>
      </c>
      <c r="P67" s="71">
        <f t="shared" si="29"/>
        <v>20.739807237374698</v>
      </c>
      <c r="Q67" s="75">
        <f t="shared" si="40"/>
        <v>0.17980723737469972</v>
      </c>
      <c r="R67" s="52">
        <f t="shared" ref="R67" si="46">ROUND(N67,2)</f>
        <v>20.74</v>
      </c>
    </row>
    <row r="68" spans="1:21" s="63" customFormat="1">
      <c r="A68" s="187"/>
      <c r="B68" s="49" t="s">
        <v>198</v>
      </c>
      <c r="C68" s="130" t="s">
        <v>175</v>
      </c>
      <c r="D68" s="60"/>
      <c r="E68" s="73"/>
      <c r="F68" s="131">
        <v>4.33</v>
      </c>
      <c r="G68" s="157">
        <f>References!B29</f>
        <v>324</v>
      </c>
      <c r="H68" s="114">
        <f t="shared" si="25"/>
        <v>1402.92</v>
      </c>
      <c r="I68" s="48">
        <f t="shared" si="39"/>
        <v>899.86298632006788</v>
      </c>
      <c r="J68" s="71">
        <f>(References!$C$49*I68)</f>
        <v>0.98984928495206559</v>
      </c>
      <c r="K68" s="71">
        <f>J68/References!$G$52</f>
        <v>1.0090206778308517</v>
      </c>
      <c r="L68" s="71">
        <f t="shared" si="26"/>
        <v>0.23303017963761008</v>
      </c>
      <c r="M68" s="71">
        <v>26.06</v>
      </c>
      <c r="N68" s="170">
        <f t="shared" si="27"/>
        <v>26.293030179637608</v>
      </c>
      <c r="O68" s="71">
        <f t="shared" si="28"/>
        <v>112.8398</v>
      </c>
      <c r="P68" s="71">
        <f t="shared" si="29"/>
        <v>113.84882067783084</v>
      </c>
      <c r="Q68" s="75">
        <f t="shared" si="40"/>
        <v>1.009020677830847</v>
      </c>
    </row>
    <row r="69" spans="1:21" s="63" customFormat="1">
      <c r="A69" s="187"/>
      <c r="B69" s="49" t="s">
        <v>198</v>
      </c>
      <c r="C69" s="130" t="s">
        <v>176</v>
      </c>
      <c r="D69" s="60"/>
      <c r="E69" s="73"/>
      <c r="F69" s="131">
        <v>1</v>
      </c>
      <c r="G69" s="157">
        <f>References!B29</f>
        <v>324</v>
      </c>
      <c r="H69" s="114">
        <f t="shared" si="25"/>
        <v>324</v>
      </c>
      <c r="I69" s="48">
        <f t="shared" si="39"/>
        <v>207.82055111317962</v>
      </c>
      <c r="J69" s="71">
        <f>(References!$C$49*I69)</f>
        <v>0.22860260622449546</v>
      </c>
      <c r="K69" s="71">
        <f>J69/References!$G$52</f>
        <v>0.23303017963761005</v>
      </c>
      <c r="L69" s="71">
        <f t="shared" si="26"/>
        <v>0.23303017963761005</v>
      </c>
      <c r="M69" s="71">
        <v>26.06</v>
      </c>
      <c r="N69" s="170">
        <f t="shared" si="27"/>
        <v>26.293030179637608</v>
      </c>
      <c r="O69" s="71">
        <f t="shared" si="28"/>
        <v>26.06</v>
      </c>
      <c r="P69" s="71">
        <f t="shared" si="29"/>
        <v>26.293030179637608</v>
      </c>
      <c r="Q69" s="75">
        <f t="shared" si="40"/>
        <v>0.23303017963760908</v>
      </c>
      <c r="R69" s="52">
        <f t="shared" ref="R69" si="47">ROUND(N69,2)</f>
        <v>26.29</v>
      </c>
    </row>
    <row r="70" spans="1:21" s="63" customFormat="1">
      <c r="A70" s="187"/>
      <c r="B70" s="49"/>
      <c r="C70" s="130"/>
      <c r="D70" s="60"/>
      <c r="E70" s="73"/>
      <c r="F70" s="131"/>
      <c r="G70" s="157"/>
      <c r="H70" s="72"/>
      <c r="I70" s="48"/>
      <c r="J70" s="71"/>
      <c r="K70" s="71"/>
      <c r="L70" s="71"/>
      <c r="M70" s="71"/>
      <c r="N70" s="71"/>
      <c r="O70" s="71"/>
      <c r="P70" s="71"/>
      <c r="Q70" s="75"/>
    </row>
    <row r="71" spans="1:21" s="63" customFormat="1">
      <c r="A71" s="50"/>
      <c r="B71" s="27"/>
      <c r="C71" s="51"/>
      <c r="D71" s="53">
        <f>SUM(D13:D47)</f>
        <v>0</v>
      </c>
      <c r="E71" s="53">
        <f>SUM(E13:E47)</f>
        <v>0</v>
      </c>
      <c r="F71" s="53">
        <f>SUM(F13:F70)</f>
        <v>85710.03</v>
      </c>
      <c r="G71" s="164">
        <f>SUM(G13:G70)</f>
        <v>21435.5</v>
      </c>
      <c r="H71" s="53">
        <f>SUM(H13:H70)</f>
        <v>10162015.055000002</v>
      </c>
      <c r="I71" s="53">
        <f>SUM(I13:I70)</f>
        <v>6518134.4726868132</v>
      </c>
      <c r="J71" s="77"/>
      <c r="K71" s="77"/>
      <c r="L71" s="77"/>
      <c r="M71" s="77"/>
      <c r="N71" s="77"/>
      <c r="O71" s="146">
        <f>SUM(O13:O70)</f>
        <v>959857.4548000003</v>
      </c>
      <c r="P71" s="146">
        <f>SUM(P13:P70)</f>
        <v>967166.27021279873</v>
      </c>
      <c r="Q71" s="146">
        <f>SUM(Q13:Q70)</f>
        <v>7308.8154127985727</v>
      </c>
      <c r="U71" s="182">
        <f>Q71/O71</f>
        <v>7.6144800212250953E-3</v>
      </c>
    </row>
    <row r="72" spans="1:21">
      <c r="C72" s="67"/>
      <c r="D72" s="68">
        <f>D12+D71</f>
        <v>3410</v>
      </c>
      <c r="E72" s="68"/>
      <c r="F72" s="109">
        <f>F12+F71</f>
        <v>262910.03000000003</v>
      </c>
      <c r="G72" s="68"/>
      <c r="H72" s="68">
        <f>H12+H71</f>
        <v>20636759.055</v>
      </c>
      <c r="I72" s="68">
        <f>I12+I71</f>
        <v>13236859.999999996</v>
      </c>
      <c r="J72" s="71"/>
      <c r="K72" s="79"/>
      <c r="L72" s="79"/>
      <c r="M72" s="79"/>
      <c r="N72" s="79"/>
      <c r="O72" s="79">
        <f>O12+O71</f>
        <v>1953333.4948000002</v>
      </c>
      <c r="P72" s="79">
        <f>P12+P71</f>
        <v>1968176.0493361875</v>
      </c>
      <c r="Q72" s="79">
        <f>Q12+Q71</f>
        <v>14842.554536187454</v>
      </c>
      <c r="S72" s="63"/>
      <c r="U72" s="182">
        <f>Q72/O72</f>
        <v>7.598576779490062E-3</v>
      </c>
    </row>
    <row r="73" spans="1:21">
      <c r="G73" s="165"/>
      <c r="J73" s="59"/>
      <c r="P73" s="64"/>
      <c r="S73" s="63"/>
    </row>
    <row r="74" spans="1:21">
      <c r="G74" s="165"/>
      <c r="J74" s="59"/>
      <c r="P74" s="64"/>
      <c r="S74" s="63"/>
    </row>
    <row r="75" spans="1:21">
      <c r="A75" s="80"/>
      <c r="B75" s="81"/>
      <c r="C75" s="85" t="s">
        <v>91</v>
      </c>
      <c r="D75" s="82"/>
      <c r="E75" s="80"/>
      <c r="F75" s="80"/>
      <c r="G75" s="166"/>
      <c r="H75" s="80"/>
      <c r="I75" s="83"/>
      <c r="J75" s="84"/>
      <c r="K75" s="80"/>
      <c r="L75" s="80"/>
      <c r="M75" s="80"/>
      <c r="N75" s="80"/>
      <c r="O75" s="63"/>
      <c r="P75" s="108"/>
      <c r="Q75" s="63"/>
      <c r="S75" s="63"/>
    </row>
    <row r="76" spans="1:21" s="63" customFormat="1" ht="15" customHeight="1">
      <c r="A76" s="187" t="s">
        <v>49</v>
      </c>
      <c r="B76" s="49">
        <v>20</v>
      </c>
      <c r="C76" s="130" t="s">
        <v>117</v>
      </c>
      <c r="D76" s="72">
        <v>0</v>
      </c>
      <c r="E76" s="73">
        <f>References!$B$7</f>
        <v>4.333333333333333</v>
      </c>
      <c r="F76" s="72">
        <f>E76*12</f>
        <v>52</v>
      </c>
      <c r="G76" s="72">
        <f>References!B14</f>
        <v>34</v>
      </c>
      <c r="H76" s="72">
        <f>F76*G76</f>
        <v>1768</v>
      </c>
      <c r="I76" s="48">
        <f t="shared" ref="I76:I89" si="48">$D$147*H76</f>
        <v>1134.0331307657457</v>
      </c>
      <c r="J76" s="71">
        <f>(References!$C$49*I76)</f>
        <v>1.2474364438423087</v>
      </c>
      <c r="K76" s="71">
        <f>J76/References!$G$52</f>
        <v>1.2715967827138723</v>
      </c>
      <c r="L76" s="71">
        <f>K76/F76*E76</f>
        <v>0.10596639855948935</v>
      </c>
      <c r="M76" s="97">
        <v>12.721107320152033</v>
      </c>
      <c r="N76" s="170">
        <f>L76+M76</f>
        <v>12.827073718711523</v>
      </c>
      <c r="O76" s="133"/>
      <c r="P76" s="71"/>
      <c r="Q76" s="71"/>
      <c r="R76" s="52">
        <f t="shared" ref="R76:R89" si="49">ROUND(N76,2)</f>
        <v>12.83</v>
      </c>
    </row>
    <row r="77" spans="1:21" s="63" customFormat="1">
      <c r="A77" s="187"/>
      <c r="B77" s="49">
        <v>20</v>
      </c>
      <c r="C77" s="112" t="s">
        <v>118</v>
      </c>
      <c r="D77" s="72">
        <v>0</v>
      </c>
      <c r="E77" s="73">
        <f>References!$B$7</f>
        <v>4.333333333333333</v>
      </c>
      <c r="F77" s="72">
        <f t="shared" ref="F77:F86" si="50">E77*12</f>
        <v>52</v>
      </c>
      <c r="G77" s="72">
        <f>References!B15</f>
        <v>51</v>
      </c>
      <c r="H77" s="72">
        <f t="shared" ref="H77:H86" si="51">F77*G77</f>
        <v>2652</v>
      </c>
      <c r="I77" s="48">
        <f t="shared" si="48"/>
        <v>1701.0496961486183</v>
      </c>
      <c r="J77" s="71">
        <f>(References!$C$49*I77)</f>
        <v>1.871154665763463</v>
      </c>
      <c r="K77" s="71">
        <f>J77/References!$G$52</f>
        <v>1.9073951740708084</v>
      </c>
      <c r="L77" s="71">
        <f>K77/F77*E77</f>
        <v>0.15894959783923404</v>
      </c>
      <c r="M77" s="97">
        <v>17.101660980228051</v>
      </c>
      <c r="N77" s="170">
        <f>L77+M77</f>
        <v>17.260610578067286</v>
      </c>
      <c r="O77" s="71"/>
      <c r="P77" s="71"/>
      <c r="Q77" s="71"/>
      <c r="R77" s="52">
        <f t="shared" si="49"/>
        <v>17.260000000000002</v>
      </c>
    </row>
    <row r="78" spans="1:21" s="63" customFormat="1">
      <c r="A78" s="187"/>
      <c r="B78" s="49">
        <v>20</v>
      </c>
      <c r="C78" s="112" t="s">
        <v>119</v>
      </c>
      <c r="D78" s="72">
        <v>0</v>
      </c>
      <c r="E78" s="73">
        <f>References!$B$7</f>
        <v>4.333333333333333</v>
      </c>
      <c r="F78" s="72">
        <f t="shared" si="50"/>
        <v>52</v>
      </c>
      <c r="G78" s="72">
        <f>References!B16</f>
        <v>77</v>
      </c>
      <c r="H78" s="72">
        <f t="shared" si="51"/>
        <v>4004</v>
      </c>
      <c r="I78" s="48">
        <f t="shared" si="48"/>
        <v>2568.2515020283063</v>
      </c>
      <c r="J78" s="71">
        <f>(References!$C$49*I78)</f>
        <v>2.825076652231111</v>
      </c>
      <c r="K78" s="71">
        <f>J78/References!$G$52</f>
        <v>2.8797927137931816</v>
      </c>
      <c r="L78" s="71">
        <f t="shared" ref="L78:L86" si="52">K78/F78*E78</f>
        <v>0.23998272614943178</v>
      </c>
      <c r="M78" s="97">
        <v>21.868978342697254</v>
      </c>
      <c r="N78" s="170">
        <f t="shared" ref="N78:N86" si="53">L78+M78</f>
        <v>22.108961068846686</v>
      </c>
      <c r="O78" s="71"/>
      <c r="P78" s="71"/>
      <c r="Q78" s="71"/>
      <c r="R78" s="52">
        <f t="shared" si="49"/>
        <v>22.11</v>
      </c>
    </row>
    <row r="79" spans="1:21" s="63" customFormat="1">
      <c r="A79" s="187"/>
      <c r="B79" s="49">
        <v>20</v>
      </c>
      <c r="C79" s="112" t="s">
        <v>120</v>
      </c>
      <c r="D79" s="72">
        <v>0</v>
      </c>
      <c r="E79" s="73">
        <f>References!$B$7</f>
        <v>4.333333333333333</v>
      </c>
      <c r="F79" s="72">
        <f t="shared" si="50"/>
        <v>52</v>
      </c>
      <c r="G79" s="72">
        <f>References!B17</f>
        <v>97</v>
      </c>
      <c r="H79" s="72">
        <f t="shared" si="51"/>
        <v>5044</v>
      </c>
      <c r="I79" s="48">
        <f t="shared" si="48"/>
        <v>3235.3298142434505</v>
      </c>
      <c r="J79" s="71">
        <f>(References!$C$49*I79)</f>
        <v>3.5588627956677628</v>
      </c>
      <c r="K79" s="71">
        <f>J79/References!$G$52</f>
        <v>3.6277908212719296</v>
      </c>
      <c r="L79" s="71">
        <f t="shared" si="52"/>
        <v>0.30231590177266077</v>
      </c>
      <c r="M79" s="97">
        <v>26.998453236904332</v>
      </c>
      <c r="N79" s="170">
        <f t="shared" si="53"/>
        <v>27.300769138676994</v>
      </c>
      <c r="O79" s="71"/>
      <c r="P79" s="71"/>
      <c r="Q79" s="71"/>
      <c r="R79" s="52">
        <f t="shared" si="49"/>
        <v>27.3</v>
      </c>
    </row>
    <row r="80" spans="1:21" s="63" customFormat="1">
      <c r="A80" s="187"/>
      <c r="B80" s="49">
        <v>20</v>
      </c>
      <c r="C80" s="112" t="s">
        <v>121</v>
      </c>
      <c r="D80" s="72">
        <v>0</v>
      </c>
      <c r="E80" s="73">
        <f>References!$B$7</f>
        <v>4.333333333333333</v>
      </c>
      <c r="F80" s="72">
        <f t="shared" si="50"/>
        <v>52</v>
      </c>
      <c r="G80" s="72">
        <f>References!B18</f>
        <v>117</v>
      </c>
      <c r="H80" s="72">
        <f t="shared" si="51"/>
        <v>6084</v>
      </c>
      <c r="I80" s="48">
        <f t="shared" si="48"/>
        <v>3902.4081264585952</v>
      </c>
      <c r="J80" s="71">
        <f>(References!$C$49*I80)</f>
        <v>4.2926489391044154</v>
      </c>
      <c r="K80" s="71">
        <f>J80/References!$G$52</f>
        <v>4.3757889287506782</v>
      </c>
      <c r="L80" s="71">
        <f t="shared" si="52"/>
        <v>0.36464907739588986</v>
      </c>
      <c r="M80" s="97">
        <v>32.37792813111141</v>
      </c>
      <c r="N80" s="170">
        <f t="shared" si="53"/>
        <v>32.742577208507299</v>
      </c>
      <c r="O80" s="71"/>
      <c r="P80" s="71"/>
      <c r="Q80" s="71"/>
      <c r="R80" s="52">
        <f t="shared" si="49"/>
        <v>32.74</v>
      </c>
    </row>
    <row r="81" spans="1:18" s="63" customFormat="1">
      <c r="A81" s="187"/>
      <c r="B81" s="49">
        <v>20</v>
      </c>
      <c r="C81" s="112" t="s">
        <v>122</v>
      </c>
      <c r="D81" s="72">
        <v>0</v>
      </c>
      <c r="E81" s="73">
        <f>References!$B$7</f>
        <v>4.333333333333333</v>
      </c>
      <c r="F81" s="72">
        <f t="shared" si="50"/>
        <v>52</v>
      </c>
      <c r="G81" s="72">
        <f>References!B19</f>
        <v>157</v>
      </c>
      <c r="H81" s="72">
        <f t="shared" si="51"/>
        <v>8164</v>
      </c>
      <c r="I81" s="48">
        <f t="shared" si="48"/>
        <v>5236.5647508888842</v>
      </c>
      <c r="J81" s="71">
        <f>(References!$C$49*I81)</f>
        <v>5.7602212259777197</v>
      </c>
      <c r="K81" s="71">
        <f>J81/References!$G$52</f>
        <v>5.8717851437081752</v>
      </c>
      <c r="L81" s="71">
        <f t="shared" si="52"/>
        <v>0.48931542864234789</v>
      </c>
      <c r="M81" s="97">
        <v>38.596877919525568</v>
      </c>
      <c r="N81" s="170">
        <f>L81+M81</f>
        <v>39.086193348167917</v>
      </c>
      <c r="O81" s="71"/>
      <c r="P81" s="71"/>
      <c r="Q81" s="71"/>
      <c r="R81" s="52">
        <f t="shared" si="49"/>
        <v>39.090000000000003</v>
      </c>
    </row>
    <row r="82" spans="1:18" s="63" customFormat="1">
      <c r="A82" s="187"/>
      <c r="B82" s="49">
        <v>20</v>
      </c>
      <c r="C82" s="112" t="s">
        <v>115</v>
      </c>
      <c r="D82" s="72">
        <v>0</v>
      </c>
      <c r="E82" s="73">
        <f>References!B9</f>
        <v>1</v>
      </c>
      <c r="F82" s="72">
        <f t="shared" si="50"/>
        <v>12</v>
      </c>
      <c r="G82" s="72">
        <f>References!B14</f>
        <v>34</v>
      </c>
      <c r="H82" s="72">
        <f t="shared" si="51"/>
        <v>408</v>
      </c>
      <c r="I82" s="48">
        <f t="shared" si="48"/>
        <v>261.69995325363362</v>
      </c>
      <c r="J82" s="71">
        <f>(References!$C$49*I82)</f>
        <v>0.28786994857899434</v>
      </c>
      <c r="K82" s="71">
        <f>J82/References!$G$52</f>
        <v>0.293445411395509</v>
      </c>
      <c r="L82" s="71">
        <f t="shared" si="52"/>
        <v>2.4453784282959082E-2</v>
      </c>
      <c r="M82" s="97">
        <v>5.0133504203584378</v>
      </c>
      <c r="N82" s="170">
        <f t="shared" si="53"/>
        <v>5.0378042046413967</v>
      </c>
      <c r="O82" s="71"/>
      <c r="P82" s="71"/>
      <c r="Q82" s="71"/>
      <c r="R82" s="52">
        <f t="shared" si="49"/>
        <v>5.04</v>
      </c>
    </row>
    <row r="83" spans="1:18" s="63" customFormat="1">
      <c r="A83" s="187"/>
      <c r="B83" s="49">
        <v>20</v>
      </c>
      <c r="C83" s="112" t="s">
        <v>116</v>
      </c>
      <c r="D83" s="72">
        <v>0</v>
      </c>
      <c r="E83" s="73">
        <f>References!C9</f>
        <v>2</v>
      </c>
      <c r="F83" s="72">
        <f t="shared" si="50"/>
        <v>24</v>
      </c>
      <c r="G83" s="72">
        <f>References!B14</f>
        <v>34</v>
      </c>
      <c r="H83" s="72">
        <f t="shared" si="51"/>
        <v>816</v>
      </c>
      <c r="I83" s="48">
        <f t="shared" si="48"/>
        <v>523.39990650726725</v>
      </c>
      <c r="J83" s="71">
        <f>(References!$C$49*I83)</f>
        <v>0.57573989715798868</v>
      </c>
      <c r="K83" s="71">
        <f>J83/References!$G$52</f>
        <v>0.58689082279101801</v>
      </c>
      <c r="L83" s="71">
        <f t="shared" si="52"/>
        <v>4.8907568565918165E-2</v>
      </c>
      <c r="M83" s="97">
        <v>10.066700840716875</v>
      </c>
      <c r="N83" s="170">
        <f t="shared" si="53"/>
        <v>10.115608409282792</v>
      </c>
      <c r="O83" s="71"/>
      <c r="P83" s="71"/>
      <c r="Q83" s="71"/>
      <c r="R83" s="52">
        <f t="shared" si="49"/>
        <v>10.119999999999999</v>
      </c>
    </row>
    <row r="84" spans="1:18" s="63" customFormat="1">
      <c r="A84" s="187"/>
      <c r="B84" s="49">
        <v>20</v>
      </c>
      <c r="C84" s="112" t="s">
        <v>186</v>
      </c>
      <c r="D84" s="72">
        <v>0</v>
      </c>
      <c r="E84" s="73">
        <f>References!$B$7</f>
        <v>4.333333333333333</v>
      </c>
      <c r="F84" s="72">
        <f t="shared" si="50"/>
        <v>52</v>
      </c>
      <c r="G84" s="72">
        <f>References!B14</f>
        <v>34</v>
      </c>
      <c r="H84" s="72">
        <f t="shared" si="51"/>
        <v>1768</v>
      </c>
      <c r="I84" s="48">
        <f t="shared" si="48"/>
        <v>1134.0331307657457</v>
      </c>
      <c r="J84" s="71">
        <f>(References!$C$49*I84)</f>
        <v>1.2474364438423087</v>
      </c>
      <c r="K84" s="71">
        <f>J84/References!$G$52</f>
        <v>1.2715967827138723</v>
      </c>
      <c r="L84" s="71">
        <f t="shared" si="52"/>
        <v>0.10596639855948935</v>
      </c>
      <c r="M84" s="97">
        <v>13.411107320152034</v>
      </c>
      <c r="N84" s="170">
        <f t="shared" si="53"/>
        <v>13.517073718711524</v>
      </c>
      <c r="O84" s="71"/>
      <c r="P84" s="71"/>
      <c r="Q84" s="71"/>
      <c r="R84" s="52">
        <f t="shared" si="49"/>
        <v>13.52</v>
      </c>
    </row>
    <row r="85" spans="1:18" s="63" customFormat="1">
      <c r="A85" s="187"/>
      <c r="B85" s="49">
        <v>20</v>
      </c>
      <c r="C85" s="112" t="s">
        <v>187</v>
      </c>
      <c r="D85" s="72">
        <v>0</v>
      </c>
      <c r="E85" s="73">
        <f>References!$B$7</f>
        <v>4.333333333333333</v>
      </c>
      <c r="F85" s="72">
        <f t="shared" si="50"/>
        <v>52</v>
      </c>
      <c r="G85" s="72">
        <f>References!B22</f>
        <v>68</v>
      </c>
      <c r="H85" s="72">
        <f t="shared" si="51"/>
        <v>3536</v>
      </c>
      <c r="I85" s="48">
        <f t="shared" si="48"/>
        <v>2268.0662615314914</v>
      </c>
      <c r="J85" s="71">
        <f>(References!$C$49*I85)</f>
        <v>2.4948728876846173</v>
      </c>
      <c r="K85" s="71">
        <f>J85/References!$G$52</f>
        <v>2.5431935654277447</v>
      </c>
      <c r="L85" s="71">
        <f t="shared" si="52"/>
        <v>0.21193279711897869</v>
      </c>
      <c r="M85" s="97">
        <v>22.522214640304068</v>
      </c>
      <c r="N85" s="170">
        <f t="shared" si="53"/>
        <v>22.734147437423047</v>
      </c>
      <c r="O85" s="71"/>
      <c r="P85" s="71"/>
      <c r="Q85" s="71"/>
      <c r="R85" s="52">
        <f t="shared" si="49"/>
        <v>22.73</v>
      </c>
    </row>
    <row r="86" spans="1:18" s="63" customFormat="1">
      <c r="A86" s="187"/>
      <c r="B86" s="49">
        <v>20</v>
      </c>
      <c r="C86" s="112" t="s">
        <v>188</v>
      </c>
      <c r="D86" s="72">
        <v>0</v>
      </c>
      <c r="E86" s="73">
        <f>References!$B$7</f>
        <v>4.333333333333333</v>
      </c>
      <c r="F86" s="72">
        <f t="shared" si="50"/>
        <v>52</v>
      </c>
      <c r="G86" s="72">
        <f>References!B13</f>
        <v>20</v>
      </c>
      <c r="H86" s="72">
        <f t="shared" si="51"/>
        <v>1040</v>
      </c>
      <c r="I86" s="48">
        <f t="shared" si="48"/>
        <v>667.07831221514448</v>
      </c>
      <c r="J86" s="71">
        <f>(References!$C$49*I86)</f>
        <v>0.73378614343665216</v>
      </c>
      <c r="K86" s="71">
        <f>J86/References!$G$52</f>
        <v>0.7479981074787484</v>
      </c>
      <c r="L86" s="71">
        <f t="shared" si="52"/>
        <v>6.2333175623229028E-2</v>
      </c>
      <c r="M86" s="97">
        <v>11.449474894207079</v>
      </c>
      <c r="N86" s="170">
        <f t="shared" si="53"/>
        <v>11.511808069830307</v>
      </c>
      <c r="O86" s="71"/>
      <c r="P86" s="71"/>
      <c r="Q86" s="71"/>
      <c r="R86" s="52">
        <f t="shared" si="49"/>
        <v>11.51</v>
      </c>
    </row>
    <row r="87" spans="1:18" s="63" customFormat="1" ht="15" customHeight="1">
      <c r="A87" s="144"/>
      <c r="B87" s="49">
        <v>20</v>
      </c>
      <c r="C87" s="46" t="s">
        <v>189</v>
      </c>
      <c r="D87" s="72">
        <v>0</v>
      </c>
      <c r="E87" s="73">
        <f>References!$B$7</f>
        <v>4.333333333333333</v>
      </c>
      <c r="F87" s="72">
        <f>E87*12</f>
        <v>52</v>
      </c>
      <c r="G87" s="72">
        <f>References!B14</f>
        <v>34</v>
      </c>
      <c r="H87" s="72">
        <f>F87*G87</f>
        <v>1768</v>
      </c>
      <c r="I87" s="48">
        <f t="shared" si="48"/>
        <v>1134.0331307657457</v>
      </c>
      <c r="J87" s="71">
        <f>(References!$C$49*I87)</f>
        <v>1.2474364438423087</v>
      </c>
      <c r="K87" s="71">
        <f>J87/References!$G$52</f>
        <v>1.2715967827138723</v>
      </c>
      <c r="L87" s="71">
        <f>K87/F87*E87</f>
        <v>0.10596639855948935</v>
      </c>
      <c r="M87" s="97">
        <v>8.1933504203584366</v>
      </c>
      <c r="N87" s="170">
        <f>L87+M87</f>
        <v>8.2993168189179265</v>
      </c>
      <c r="O87" s="71"/>
      <c r="P87" s="71"/>
      <c r="Q87" s="71"/>
      <c r="R87" s="52">
        <f t="shared" si="49"/>
        <v>8.3000000000000007</v>
      </c>
    </row>
    <row r="88" spans="1:18" s="63" customFormat="1">
      <c r="A88" s="144"/>
      <c r="B88" s="49" t="s">
        <v>104</v>
      </c>
      <c r="C88" s="148" t="s">
        <v>112</v>
      </c>
      <c r="D88" s="72">
        <v>0</v>
      </c>
      <c r="E88" s="73">
        <f>References!B9</f>
        <v>1</v>
      </c>
      <c r="F88" s="72">
        <f>E88*12</f>
        <v>12</v>
      </c>
      <c r="G88" s="72">
        <f>References!B24</f>
        <v>34</v>
      </c>
      <c r="H88" s="72">
        <f>F88*G88</f>
        <v>408</v>
      </c>
      <c r="I88" s="48">
        <f t="shared" si="48"/>
        <v>261.69995325363362</v>
      </c>
      <c r="J88" s="71">
        <f>(References!$C$49*I88)</f>
        <v>0.28786994857899434</v>
      </c>
      <c r="K88" s="71">
        <f>J88/References!$G$52</f>
        <v>0.293445411395509</v>
      </c>
      <c r="L88" s="71">
        <f>K88/F88*E88</f>
        <v>2.4453784282959082E-2</v>
      </c>
      <c r="M88" s="97">
        <v>2.5633504203584372</v>
      </c>
      <c r="N88" s="170">
        <f>L88+M88</f>
        <v>2.5878042046413965</v>
      </c>
      <c r="O88" s="71"/>
      <c r="P88" s="71"/>
      <c r="Q88" s="71"/>
      <c r="R88" s="52">
        <f t="shared" si="49"/>
        <v>2.59</v>
      </c>
    </row>
    <row r="89" spans="1:18" s="63" customFormat="1">
      <c r="A89" s="144"/>
      <c r="B89" s="49">
        <v>21</v>
      </c>
      <c r="C89" s="63" t="s">
        <v>113</v>
      </c>
      <c r="D89" s="72">
        <v>0</v>
      </c>
      <c r="E89" s="73">
        <f>References!B9</f>
        <v>1</v>
      </c>
      <c r="F89" s="72">
        <f>E89*12</f>
        <v>12</v>
      </c>
      <c r="G89" s="72">
        <f>References!B42</f>
        <v>125</v>
      </c>
      <c r="H89" s="72">
        <f>F89*G89</f>
        <v>1500</v>
      </c>
      <c r="I89" s="48">
        <f t="shared" si="48"/>
        <v>962.13218107953526</v>
      </c>
      <c r="J89" s="71">
        <f>(References!$C$49*I89)</f>
        <v>1.0583453991874789</v>
      </c>
      <c r="K89" s="71">
        <f>J89/References!$G$52</f>
        <v>1.0788434242481946</v>
      </c>
      <c r="L89" s="71">
        <f>K89/F89*E89</f>
        <v>8.9903618687349543E-2</v>
      </c>
      <c r="M89" s="97">
        <v>10.165847133670725</v>
      </c>
      <c r="N89" s="170">
        <f>L89+M89</f>
        <v>10.255750752358075</v>
      </c>
      <c r="O89" s="71"/>
      <c r="P89" s="71"/>
      <c r="Q89" s="71"/>
      <c r="R89" s="52">
        <f t="shared" si="49"/>
        <v>10.26</v>
      </c>
    </row>
    <row r="90" spans="1:18" s="63" customFormat="1">
      <c r="A90" s="144"/>
      <c r="B90" s="49"/>
      <c r="C90" s="115"/>
      <c r="D90" s="72"/>
      <c r="E90" s="73"/>
      <c r="F90" s="72"/>
      <c r="G90" s="72"/>
      <c r="H90" s="72"/>
      <c r="I90" s="48"/>
      <c r="J90" s="71"/>
      <c r="K90" s="71"/>
      <c r="L90" s="71"/>
      <c r="M90" s="97"/>
      <c r="N90" s="71"/>
      <c r="O90" s="71"/>
      <c r="P90" s="71"/>
      <c r="Q90" s="71"/>
    </row>
    <row r="91" spans="1:18" s="63" customFormat="1">
      <c r="A91" s="136"/>
      <c r="B91" s="137"/>
      <c r="C91" s="115"/>
      <c r="D91" s="138"/>
      <c r="E91" s="139"/>
      <c r="F91" s="140"/>
      <c r="G91" s="140"/>
      <c r="H91" s="140"/>
      <c r="I91" s="141"/>
      <c r="J91" s="142"/>
      <c r="K91" s="142"/>
      <c r="L91" s="142"/>
      <c r="M91" s="143"/>
      <c r="N91" s="142"/>
      <c r="O91" s="71"/>
      <c r="P91" s="71"/>
      <c r="Q91" s="71"/>
    </row>
    <row r="92" spans="1:18" s="63" customFormat="1">
      <c r="A92" s="188" t="s">
        <v>14</v>
      </c>
      <c r="B92" s="49">
        <v>21</v>
      </c>
      <c r="C92" s="112" t="s">
        <v>124</v>
      </c>
      <c r="D92" s="60">
        <v>0</v>
      </c>
      <c r="E92" s="73">
        <f>References!$B$9</f>
        <v>1</v>
      </c>
      <c r="F92" s="72">
        <f>E92*12</f>
        <v>12</v>
      </c>
      <c r="G92" s="72">
        <f>References!B42</f>
        <v>125</v>
      </c>
      <c r="H92" s="72">
        <f>F92*G92</f>
        <v>1500</v>
      </c>
      <c r="I92" s="48">
        <f t="shared" ref="I92:I107" si="54">$D$147*H92</f>
        <v>962.13218107953526</v>
      </c>
      <c r="J92" s="71">
        <f>(References!$C$49*I92)</f>
        <v>1.0583453991874789</v>
      </c>
      <c r="K92" s="71">
        <f>J92/References!$G$52</f>
        <v>1.0788434242481946</v>
      </c>
      <c r="L92" s="71">
        <f>K92/F92</f>
        <v>8.9903618687349543E-2</v>
      </c>
      <c r="M92" s="71">
        <v>9.2658471336707251</v>
      </c>
      <c r="N92" s="170">
        <f>L92+M92</f>
        <v>9.355750752358075</v>
      </c>
      <c r="O92" s="71"/>
      <c r="P92" s="71"/>
      <c r="Q92" s="71"/>
      <c r="R92" s="52">
        <f t="shared" ref="R92:R94" si="55">ROUND(N92,2)</f>
        <v>9.36</v>
      </c>
    </row>
    <row r="93" spans="1:18" s="63" customFormat="1">
      <c r="A93" s="187"/>
      <c r="B93" s="49">
        <v>21</v>
      </c>
      <c r="C93" s="112" t="s">
        <v>125</v>
      </c>
      <c r="D93" s="60">
        <v>0</v>
      </c>
      <c r="E93" s="73">
        <f>References!$B$9</f>
        <v>1</v>
      </c>
      <c r="F93" s="72">
        <f>E93*12</f>
        <v>12</v>
      </c>
      <c r="G93" s="72">
        <f>References!B42</f>
        <v>125</v>
      </c>
      <c r="H93" s="72">
        <f>F93*G93</f>
        <v>1500</v>
      </c>
      <c r="I93" s="48">
        <f t="shared" si="54"/>
        <v>962.13218107953526</v>
      </c>
      <c r="J93" s="71">
        <f>(References!$C$49*I93)</f>
        <v>1.0583453991874789</v>
      </c>
      <c r="K93" s="71">
        <f>J93/References!$G$52</f>
        <v>1.0788434242481946</v>
      </c>
      <c r="L93" s="71">
        <f>K93/F93</f>
        <v>8.9903618687349543E-2</v>
      </c>
      <c r="M93" s="71">
        <v>10.645847133670726</v>
      </c>
      <c r="N93" s="170">
        <f>L93+M93</f>
        <v>10.735750752358076</v>
      </c>
      <c r="O93" s="71"/>
      <c r="P93" s="71"/>
      <c r="Q93" s="71"/>
      <c r="R93" s="52">
        <f t="shared" si="55"/>
        <v>10.74</v>
      </c>
    </row>
    <row r="94" spans="1:18" s="63" customFormat="1">
      <c r="A94" s="187"/>
      <c r="B94" s="49">
        <v>21</v>
      </c>
      <c r="C94" s="112" t="s">
        <v>126</v>
      </c>
      <c r="D94" s="60">
        <v>0</v>
      </c>
      <c r="E94" s="73">
        <f>References!$B$9</f>
        <v>1</v>
      </c>
      <c r="F94" s="72">
        <f>E94*12</f>
        <v>12</v>
      </c>
      <c r="G94" s="72">
        <f>References!B42</f>
        <v>125</v>
      </c>
      <c r="H94" s="72">
        <f>F94*G94</f>
        <v>1500</v>
      </c>
      <c r="I94" s="48">
        <f t="shared" si="54"/>
        <v>962.13218107953526</v>
      </c>
      <c r="J94" s="71">
        <f>(References!$C$49*I94)</f>
        <v>1.0583453991874789</v>
      </c>
      <c r="K94" s="71">
        <f>J94/References!$G$52</f>
        <v>1.0788434242481946</v>
      </c>
      <c r="L94" s="71">
        <f>K94/F94</f>
        <v>8.9903618687349543E-2</v>
      </c>
      <c r="M94" s="71">
        <v>9.6758471336707252</v>
      </c>
      <c r="N94" s="170">
        <f>L94+M94</f>
        <v>9.7657507523580751</v>
      </c>
      <c r="O94" s="71"/>
      <c r="P94" s="71"/>
      <c r="Q94" s="71"/>
      <c r="R94" s="52">
        <f t="shared" si="55"/>
        <v>9.77</v>
      </c>
    </row>
    <row r="95" spans="1:18" s="63" customFormat="1">
      <c r="A95" s="187"/>
      <c r="B95" s="49" t="s">
        <v>192</v>
      </c>
      <c r="C95" s="167" t="s">
        <v>161</v>
      </c>
      <c r="D95" s="72"/>
      <c r="E95" s="73">
        <f>References!$B$9</f>
        <v>1</v>
      </c>
      <c r="F95" s="132">
        <v>1</v>
      </c>
      <c r="G95" s="159">
        <v>1312.5</v>
      </c>
      <c r="H95" s="114">
        <f>F95*G95</f>
        <v>1312.5</v>
      </c>
      <c r="I95" s="48">
        <f t="shared" si="54"/>
        <v>841.86565844459335</v>
      </c>
      <c r="J95" s="71">
        <f>(References!$C$49*I95)</f>
        <v>0.92605222428904421</v>
      </c>
      <c r="K95" s="71">
        <f>J95/References!$G$52</f>
        <v>0.94398799621717044</v>
      </c>
      <c r="L95" s="71">
        <f>K95/F95</f>
        <v>0.94398799621717044</v>
      </c>
      <c r="M95" s="71">
        <v>97.811738292077294</v>
      </c>
      <c r="N95" s="181">
        <f t="shared" ref="N95:N103" si="56">L95+M95</f>
        <v>98.755726288294468</v>
      </c>
      <c r="O95" s="71"/>
      <c r="P95" s="71"/>
      <c r="Q95" s="71"/>
    </row>
    <row r="96" spans="1:18" s="63" customFormat="1">
      <c r="A96" s="187"/>
      <c r="B96" s="49" t="s">
        <v>192</v>
      </c>
      <c r="C96" s="168" t="s">
        <v>136</v>
      </c>
      <c r="D96" s="60">
        <v>0</v>
      </c>
      <c r="E96" s="73">
        <f>References!$B$9</f>
        <v>1</v>
      </c>
      <c r="F96" s="72">
        <f t="shared" ref="F96:F103" si="57">E96*12</f>
        <v>12</v>
      </c>
      <c r="G96" s="72">
        <f>References!B28</f>
        <v>250</v>
      </c>
      <c r="H96" s="114">
        <f t="shared" ref="H96:H103" si="58">F96*G96</f>
        <v>3000</v>
      </c>
      <c r="I96" s="48">
        <f t="shared" si="54"/>
        <v>1924.2643621590705</v>
      </c>
      <c r="J96" s="71">
        <f>(References!$C$49*I96)</f>
        <v>2.1166907983749579</v>
      </c>
      <c r="K96" s="71">
        <f>J96/References!$G$52</f>
        <v>2.1576868484963891</v>
      </c>
      <c r="L96" s="71">
        <f t="shared" ref="L96:L103" si="59">K96/F96</f>
        <v>0.17980723737469909</v>
      </c>
      <c r="M96" s="71">
        <v>23.721694267341451</v>
      </c>
      <c r="N96" s="170">
        <f t="shared" si="56"/>
        <v>23.901501504716151</v>
      </c>
      <c r="O96" s="71"/>
      <c r="P96" s="71"/>
      <c r="Q96" s="71"/>
      <c r="R96" s="52">
        <f t="shared" ref="R96:R105" si="60">ROUND(N96,2)</f>
        <v>23.9</v>
      </c>
    </row>
    <row r="97" spans="1:18" s="63" customFormat="1">
      <c r="A97" s="187"/>
      <c r="B97" s="49" t="s">
        <v>192</v>
      </c>
      <c r="C97" s="168" t="s">
        <v>137</v>
      </c>
      <c r="D97" s="60">
        <v>0</v>
      </c>
      <c r="E97" s="73">
        <f>References!$B$9</f>
        <v>1</v>
      </c>
      <c r="F97" s="72">
        <f t="shared" si="57"/>
        <v>12</v>
      </c>
      <c r="G97" s="72">
        <f>References!B28</f>
        <v>250</v>
      </c>
      <c r="H97" s="114">
        <f t="shared" si="58"/>
        <v>3000</v>
      </c>
      <c r="I97" s="48">
        <f t="shared" si="54"/>
        <v>1924.2643621590705</v>
      </c>
      <c r="J97" s="71">
        <f>(References!$C$49*I97)</f>
        <v>2.1166907983749579</v>
      </c>
      <c r="K97" s="71">
        <f>J97/References!$G$52</f>
        <v>2.1576868484963891</v>
      </c>
      <c r="L97" s="71">
        <f t="shared" si="59"/>
        <v>0.17980723737469909</v>
      </c>
      <c r="M97" s="71">
        <v>21.39169426734145</v>
      </c>
      <c r="N97" s="170">
        <f t="shared" si="56"/>
        <v>21.571501504716149</v>
      </c>
      <c r="O97" s="71"/>
      <c r="P97" s="71"/>
      <c r="Q97" s="71"/>
      <c r="R97" s="52">
        <f t="shared" si="60"/>
        <v>21.57</v>
      </c>
    </row>
    <row r="98" spans="1:18" s="63" customFormat="1">
      <c r="A98" s="187"/>
      <c r="B98" s="49" t="s">
        <v>192</v>
      </c>
      <c r="C98" s="46" t="s">
        <v>140</v>
      </c>
      <c r="D98" s="60">
        <v>0</v>
      </c>
      <c r="E98" s="73">
        <f>References!$B$9</f>
        <v>1</v>
      </c>
      <c r="F98" s="72">
        <f t="shared" si="57"/>
        <v>12</v>
      </c>
      <c r="G98" s="72">
        <f>References!B29</f>
        <v>324</v>
      </c>
      <c r="H98" s="114">
        <f t="shared" si="58"/>
        <v>3888</v>
      </c>
      <c r="I98" s="48">
        <f t="shared" si="54"/>
        <v>2493.8466133581555</v>
      </c>
      <c r="J98" s="71">
        <f>(References!$C$49*I98)</f>
        <v>2.743231274693946</v>
      </c>
      <c r="K98" s="71">
        <f>J98/References!$G$52</f>
        <v>2.796362155651321</v>
      </c>
      <c r="L98" s="71">
        <f t="shared" si="59"/>
        <v>0.23303017963761008</v>
      </c>
      <c r="M98" s="71">
        <v>31.102515770474518</v>
      </c>
      <c r="N98" s="170">
        <f t="shared" si="56"/>
        <v>31.335545950112127</v>
      </c>
      <c r="O98" s="71"/>
      <c r="P98" s="71"/>
      <c r="Q98" s="71"/>
      <c r="R98" s="52">
        <f t="shared" si="60"/>
        <v>31.34</v>
      </c>
    </row>
    <row r="99" spans="1:18" s="63" customFormat="1">
      <c r="A99" s="187"/>
      <c r="B99" s="49" t="s">
        <v>192</v>
      </c>
      <c r="C99" s="46" t="s">
        <v>141</v>
      </c>
      <c r="D99" s="60">
        <v>0</v>
      </c>
      <c r="E99" s="73">
        <f>References!$B$9</f>
        <v>1</v>
      </c>
      <c r="F99" s="72">
        <f t="shared" si="57"/>
        <v>12</v>
      </c>
      <c r="G99" s="72">
        <f>References!B29</f>
        <v>324</v>
      </c>
      <c r="H99" s="114">
        <f t="shared" si="58"/>
        <v>3888</v>
      </c>
      <c r="I99" s="48">
        <f t="shared" si="54"/>
        <v>2493.8466133581555</v>
      </c>
      <c r="J99" s="71">
        <f>(References!$C$49*I99)</f>
        <v>2.743231274693946</v>
      </c>
      <c r="K99" s="71">
        <f>J99/References!$G$52</f>
        <v>2.796362155651321</v>
      </c>
      <c r="L99" s="71">
        <f t="shared" si="59"/>
        <v>0.23303017963761008</v>
      </c>
      <c r="M99" s="71">
        <v>28.25251577047452</v>
      </c>
      <c r="N99" s="170">
        <f t="shared" si="56"/>
        <v>28.48554595011213</v>
      </c>
      <c r="O99" s="71"/>
      <c r="P99" s="71"/>
      <c r="Q99" s="71"/>
      <c r="R99" s="52">
        <f t="shared" si="60"/>
        <v>28.49</v>
      </c>
    </row>
    <row r="100" spans="1:18" s="63" customFormat="1">
      <c r="A100" s="187"/>
      <c r="B100" s="49" t="s">
        <v>192</v>
      </c>
      <c r="C100" s="168" t="s">
        <v>144</v>
      </c>
      <c r="D100" s="60">
        <v>0</v>
      </c>
      <c r="E100" s="73">
        <f>References!$B$9</f>
        <v>1</v>
      </c>
      <c r="F100" s="72">
        <f t="shared" si="57"/>
        <v>12</v>
      </c>
      <c r="G100" s="72">
        <f>References!B30</f>
        <v>473</v>
      </c>
      <c r="H100" s="114">
        <f t="shared" si="58"/>
        <v>5676</v>
      </c>
      <c r="I100" s="48">
        <f t="shared" si="54"/>
        <v>3640.7081732049614</v>
      </c>
      <c r="J100" s="71">
        <f>(References!$C$49*I100)</f>
        <v>4.0047789905254207</v>
      </c>
      <c r="K100" s="71">
        <f>J100/References!$G$52</f>
        <v>4.0823435173551692</v>
      </c>
      <c r="L100" s="71">
        <f t="shared" si="59"/>
        <v>0.34019529311293079</v>
      </c>
      <c r="M100" s="71">
        <v>41.314845553810024</v>
      </c>
      <c r="N100" s="170">
        <f t="shared" si="56"/>
        <v>41.655040846922951</v>
      </c>
      <c r="O100" s="71"/>
      <c r="P100" s="71"/>
      <c r="Q100" s="71"/>
      <c r="R100" s="52">
        <f t="shared" si="60"/>
        <v>41.66</v>
      </c>
    </row>
    <row r="101" spans="1:18" s="63" customFormat="1">
      <c r="A101" s="187"/>
      <c r="B101" s="49" t="s">
        <v>191</v>
      </c>
      <c r="C101" s="112" t="s">
        <v>127</v>
      </c>
      <c r="D101" s="60">
        <v>0</v>
      </c>
      <c r="E101" s="73">
        <f>References!$B$9</f>
        <v>1</v>
      </c>
      <c r="F101" s="72">
        <f t="shared" si="57"/>
        <v>12</v>
      </c>
      <c r="G101" s="72">
        <f>References!B22</f>
        <v>68</v>
      </c>
      <c r="H101" s="72">
        <f t="shared" si="58"/>
        <v>816</v>
      </c>
      <c r="I101" s="48">
        <f t="shared" si="54"/>
        <v>523.39990650726725</v>
      </c>
      <c r="J101" s="71">
        <f>(References!$C$49*I101)</f>
        <v>0.57573989715798868</v>
      </c>
      <c r="K101" s="71">
        <f>J101/References!$G$52</f>
        <v>0.58689082279101801</v>
      </c>
      <c r="L101" s="71">
        <f t="shared" si="59"/>
        <v>4.8907568565918165E-2</v>
      </c>
      <c r="M101" s="71">
        <v>5.7367008407168747</v>
      </c>
      <c r="N101" s="170">
        <f t="shared" si="56"/>
        <v>5.7856084092827933</v>
      </c>
      <c r="O101" s="71"/>
      <c r="P101" s="71"/>
      <c r="Q101" s="71"/>
      <c r="R101" s="52">
        <f t="shared" si="60"/>
        <v>5.79</v>
      </c>
    </row>
    <row r="102" spans="1:18" s="63" customFormat="1">
      <c r="A102" s="187"/>
      <c r="B102" s="49" t="s">
        <v>191</v>
      </c>
      <c r="C102" s="112" t="s">
        <v>123</v>
      </c>
      <c r="D102" s="60">
        <v>0</v>
      </c>
      <c r="E102" s="73">
        <f>References!$B$9</f>
        <v>1</v>
      </c>
      <c r="F102" s="72">
        <f t="shared" si="57"/>
        <v>12</v>
      </c>
      <c r="G102" s="72">
        <f>References!B21</f>
        <v>47</v>
      </c>
      <c r="H102" s="114">
        <f t="shared" si="58"/>
        <v>564</v>
      </c>
      <c r="I102" s="48">
        <f t="shared" si="54"/>
        <v>361.76170008590526</v>
      </c>
      <c r="J102" s="71">
        <f>(References!$C$49*I102)</f>
        <v>0.39793787009449211</v>
      </c>
      <c r="K102" s="71">
        <f>J102/References!$G$52</f>
        <v>0.40564512751732124</v>
      </c>
      <c r="L102" s="71">
        <f t="shared" si="59"/>
        <v>3.3803760626443434E-2</v>
      </c>
      <c r="M102" s="71">
        <v>5.5322785222601931</v>
      </c>
      <c r="N102" s="170">
        <f t="shared" si="56"/>
        <v>5.5660822828866365</v>
      </c>
      <c r="O102" s="71"/>
      <c r="P102" s="71"/>
      <c r="Q102" s="71"/>
      <c r="R102" s="52">
        <f t="shared" si="60"/>
        <v>5.57</v>
      </c>
    </row>
    <row r="103" spans="1:18" s="63" customFormat="1">
      <c r="A103" s="187"/>
      <c r="B103" s="49" t="s">
        <v>190</v>
      </c>
      <c r="C103" s="112" t="s">
        <v>123</v>
      </c>
      <c r="D103" s="60">
        <v>0</v>
      </c>
      <c r="E103" s="73">
        <f>References!$B$9</f>
        <v>1</v>
      </c>
      <c r="F103" s="72">
        <f t="shared" si="57"/>
        <v>12</v>
      </c>
      <c r="G103" s="72">
        <f>References!B21</f>
        <v>47</v>
      </c>
      <c r="H103" s="114">
        <f t="shared" si="58"/>
        <v>564</v>
      </c>
      <c r="I103" s="48">
        <f t="shared" si="54"/>
        <v>361.76170008590526</v>
      </c>
      <c r="J103" s="71">
        <f>(References!$C$49*I103)</f>
        <v>0.39793787009449211</v>
      </c>
      <c r="K103" s="71">
        <f>J103/References!$G$52</f>
        <v>0.40564512751732124</v>
      </c>
      <c r="L103" s="71">
        <f t="shared" si="59"/>
        <v>3.3803760626443434E-2</v>
      </c>
      <c r="M103" s="71">
        <v>3.97</v>
      </c>
      <c r="N103" s="170">
        <f t="shared" si="56"/>
        <v>4.0038037606264441</v>
      </c>
      <c r="O103" s="71"/>
      <c r="P103" s="71"/>
      <c r="Q103" s="71"/>
      <c r="R103" s="52">
        <f t="shared" si="60"/>
        <v>4</v>
      </c>
    </row>
    <row r="104" spans="1:18" s="63" customFormat="1">
      <c r="A104" s="187"/>
      <c r="B104" s="49" t="s">
        <v>190</v>
      </c>
      <c r="C104" s="168" t="s">
        <v>108</v>
      </c>
      <c r="D104" s="60">
        <v>0</v>
      </c>
      <c r="E104" s="73">
        <f>References!$B$9</f>
        <v>1</v>
      </c>
      <c r="F104" s="72">
        <f>E104*12</f>
        <v>12</v>
      </c>
      <c r="G104" s="72">
        <f>References!B31</f>
        <v>613</v>
      </c>
      <c r="H104" s="114">
        <f>F104*G104</f>
        <v>7356</v>
      </c>
      <c r="I104" s="48">
        <f t="shared" si="54"/>
        <v>4718.2962160140414</v>
      </c>
      <c r="J104" s="71">
        <f>(References!$C$49*I104)</f>
        <v>5.1901258376153976</v>
      </c>
      <c r="K104" s="71">
        <f>J104/References!$G$52</f>
        <v>5.2906481525131479</v>
      </c>
      <c r="L104" s="71">
        <f>K104/F104</f>
        <v>0.44088734604276231</v>
      </c>
      <c r="M104" s="71">
        <v>46.850994343521236</v>
      </c>
      <c r="N104" s="170">
        <f>L104+M104</f>
        <v>47.291881689564001</v>
      </c>
      <c r="O104" s="71"/>
      <c r="P104" s="71"/>
      <c r="Q104" s="71"/>
      <c r="R104" s="52">
        <f t="shared" si="60"/>
        <v>47.29</v>
      </c>
    </row>
    <row r="105" spans="1:18" s="63" customFormat="1">
      <c r="A105" s="187"/>
      <c r="B105" s="49" t="s">
        <v>190</v>
      </c>
      <c r="C105" s="168" t="s">
        <v>109</v>
      </c>
      <c r="D105" s="60">
        <v>0</v>
      </c>
      <c r="E105" s="73">
        <f>References!$B$9</f>
        <v>1</v>
      </c>
      <c r="F105" s="72">
        <f>E105*12</f>
        <v>12</v>
      </c>
      <c r="G105" s="72">
        <f>References!B32</f>
        <v>840</v>
      </c>
      <c r="H105" s="72">
        <f>F105*G105</f>
        <v>10080</v>
      </c>
      <c r="I105" s="48">
        <f t="shared" si="54"/>
        <v>6465.5282568544771</v>
      </c>
      <c r="J105" s="71">
        <f>(References!$C$49*I105)</f>
        <v>7.1120810825398593</v>
      </c>
      <c r="K105" s="71">
        <f>J105/References!$G$52</f>
        <v>7.2498278109478687</v>
      </c>
      <c r="L105" s="71">
        <f>K105/F105</f>
        <v>0.60415231757898902</v>
      </c>
      <c r="M105" s="71">
        <v>64.516892738267273</v>
      </c>
      <c r="N105" s="170">
        <f>L105+M105</f>
        <v>65.121045055846267</v>
      </c>
      <c r="O105" s="71"/>
      <c r="P105" s="71"/>
      <c r="Q105" s="71"/>
      <c r="R105" s="52">
        <f t="shared" si="60"/>
        <v>65.12</v>
      </c>
    </row>
    <row r="106" spans="1:18" s="63" customFormat="1">
      <c r="A106" s="187"/>
      <c r="B106" s="49" t="s">
        <v>190</v>
      </c>
      <c r="C106" s="168" t="s">
        <v>110</v>
      </c>
      <c r="D106" s="60">
        <v>0</v>
      </c>
      <c r="E106" s="73">
        <f>References!$B$9</f>
        <v>1</v>
      </c>
      <c r="F106" s="72">
        <f>E106*12</f>
        <v>12</v>
      </c>
      <c r="G106" s="72">
        <f>References!B33</f>
        <v>980</v>
      </c>
      <c r="H106" s="114">
        <f>F106*G106</f>
        <v>11760</v>
      </c>
      <c r="I106" s="48">
        <f t="shared" si="54"/>
        <v>7543.1162996635567</v>
      </c>
      <c r="J106" s="71">
        <f>(References!$C$49*I106)</f>
        <v>8.2974279296298352</v>
      </c>
      <c r="K106" s="71">
        <f>J106/References!$G$52</f>
        <v>8.4581324461058465</v>
      </c>
      <c r="L106" s="71">
        <f>K106/F106</f>
        <v>0.70484437050882054</v>
      </c>
      <c r="M106" s="71">
        <v>81.033041527978483</v>
      </c>
      <c r="N106" s="170">
        <f>L106+M106</f>
        <v>81.737885898487306</v>
      </c>
      <c r="O106" s="71"/>
      <c r="P106" s="71"/>
      <c r="Q106" s="71"/>
    </row>
    <row r="107" spans="1:18" s="63" customFormat="1">
      <c r="A107" s="187"/>
      <c r="B107" s="49" t="s">
        <v>190</v>
      </c>
      <c r="C107" s="168" t="s">
        <v>111</v>
      </c>
      <c r="D107" s="60">
        <v>0</v>
      </c>
      <c r="E107" s="73">
        <f>References!$B$9</f>
        <v>1</v>
      </c>
      <c r="F107" s="72">
        <f>E107*12</f>
        <v>12</v>
      </c>
      <c r="G107" s="135">
        <v>1312.5</v>
      </c>
      <c r="H107" s="114">
        <f>F107*G107</f>
        <v>15750</v>
      </c>
      <c r="I107" s="48">
        <f t="shared" si="54"/>
        <v>10102.38790133512</v>
      </c>
      <c r="J107" s="71">
        <f>(References!$C$49*I107)</f>
        <v>11.112626691468529</v>
      </c>
      <c r="K107" s="71">
        <f>J107/References!$G$52</f>
        <v>11.327855954606044</v>
      </c>
      <c r="L107" s="71">
        <f>K107/F107</f>
        <v>0.94398799621717033</v>
      </c>
      <c r="M107" s="71">
        <v>96.831738292077304</v>
      </c>
      <c r="N107" s="170">
        <f>L107+M107</f>
        <v>97.775726288294479</v>
      </c>
      <c r="O107" s="71"/>
      <c r="P107" s="71"/>
      <c r="Q107" s="71"/>
    </row>
    <row r="108" spans="1:18" s="63" customFormat="1">
      <c r="A108" s="136"/>
      <c r="B108" s="137"/>
      <c r="C108" s="175"/>
      <c r="D108" s="138"/>
      <c r="E108" s="139"/>
      <c r="F108" s="140"/>
      <c r="G108" s="176"/>
      <c r="H108" s="177"/>
      <c r="I108" s="141"/>
      <c r="J108" s="142"/>
      <c r="K108" s="142"/>
      <c r="L108" s="142"/>
      <c r="M108" s="142"/>
      <c r="N108" s="178"/>
      <c r="O108" s="71"/>
      <c r="P108" s="71"/>
      <c r="Q108" s="71"/>
    </row>
    <row r="109" spans="1:18" s="63" customFormat="1">
      <c r="A109" s="144"/>
      <c r="B109" s="49"/>
      <c r="C109" s="134"/>
      <c r="D109" s="60"/>
      <c r="E109" s="73"/>
      <c r="F109" s="72"/>
      <c r="G109" s="72"/>
      <c r="H109" s="114"/>
      <c r="I109" s="48"/>
      <c r="J109" s="71"/>
      <c r="K109" s="71"/>
      <c r="L109" s="71"/>
      <c r="M109" s="71"/>
      <c r="N109" s="71"/>
      <c r="P109" s="71"/>
      <c r="Q109" s="71"/>
      <c r="R109" s="71">
        <f>ROUND(N22+N23+N24,2)</f>
        <v>58.13</v>
      </c>
    </row>
    <row r="110" spans="1:18" s="63" customFormat="1">
      <c r="A110" s="144"/>
      <c r="B110" s="49"/>
      <c r="C110" s="134"/>
      <c r="D110" s="60"/>
      <c r="E110" s="73"/>
      <c r="F110" s="72"/>
      <c r="G110" s="72"/>
      <c r="H110" s="114"/>
      <c r="I110" s="48"/>
      <c r="J110" s="71"/>
      <c r="K110" s="71"/>
      <c r="L110" s="71"/>
      <c r="M110" s="71"/>
      <c r="N110" s="71"/>
      <c r="P110" s="71"/>
      <c r="Q110" s="71"/>
      <c r="R110" s="71">
        <f>ROUND(N17+N18+N19,2)</f>
        <v>41.03</v>
      </c>
    </row>
    <row r="111" spans="1:18" s="63" customFormat="1">
      <c r="A111" s="144"/>
      <c r="B111" s="49"/>
      <c r="C111" s="134"/>
      <c r="D111" s="60"/>
      <c r="E111" s="73"/>
      <c r="F111" s="72"/>
      <c r="G111" s="72"/>
      <c r="H111" s="114"/>
      <c r="I111" s="48"/>
      <c r="J111" s="71"/>
      <c r="K111" s="71"/>
      <c r="L111" s="71"/>
      <c r="M111" s="71"/>
      <c r="N111" s="71"/>
      <c r="O111" s="71"/>
      <c r="P111" s="71"/>
      <c r="Q111" s="71"/>
      <c r="R111" s="52">
        <f>ROUND(N25+N26+N27,2)</f>
        <v>68.680000000000007</v>
      </c>
    </row>
    <row r="112" spans="1:18" s="63" customFormat="1">
      <c r="A112" s="144"/>
      <c r="B112" s="49"/>
      <c r="C112" s="134"/>
      <c r="D112" s="60"/>
      <c r="E112" s="73"/>
      <c r="F112" s="72"/>
      <c r="G112" s="72"/>
      <c r="H112" s="114"/>
      <c r="I112" s="48"/>
      <c r="J112" s="71"/>
      <c r="K112" s="71"/>
      <c r="L112" s="71"/>
      <c r="M112" s="71"/>
      <c r="N112" s="71"/>
      <c r="O112" s="71"/>
      <c r="P112" s="71"/>
      <c r="Q112" s="71"/>
      <c r="R112" s="52">
        <f>ROUND(N37+N38+N39,2)</f>
        <v>144.75</v>
      </c>
    </row>
    <row r="113" spans="1:18" s="63" customFormat="1">
      <c r="A113" s="174"/>
      <c r="B113" s="49"/>
      <c r="C113" s="134"/>
      <c r="D113" s="60"/>
      <c r="E113" s="73"/>
      <c r="F113" s="72"/>
      <c r="G113" s="72"/>
      <c r="H113" s="114"/>
      <c r="I113" s="48"/>
      <c r="J113" s="71"/>
      <c r="K113" s="71"/>
      <c r="L113" s="71"/>
      <c r="M113" s="71"/>
      <c r="N113" s="71"/>
      <c r="O113" s="71"/>
      <c r="P113" s="71"/>
      <c r="Q113" s="71"/>
      <c r="R113" s="52" t="e">
        <f>INDEX($R$3:$R$107,MATCH(#REF!,#REF!,0))</f>
        <v>#REF!</v>
      </c>
    </row>
    <row r="114" spans="1:18" s="63" customFormat="1">
      <c r="A114" s="174"/>
      <c r="B114" s="49"/>
      <c r="C114" s="134"/>
      <c r="D114" s="60"/>
      <c r="E114" s="73"/>
      <c r="F114" s="72"/>
      <c r="G114" s="72"/>
      <c r="H114" s="114"/>
      <c r="I114" s="48"/>
      <c r="J114" s="71"/>
      <c r="K114" s="71"/>
      <c r="L114" s="71"/>
      <c r="M114" s="71"/>
      <c r="N114" s="71"/>
      <c r="O114" s="71"/>
      <c r="P114" s="71"/>
      <c r="Q114" s="71"/>
      <c r="R114" s="52" t="e">
        <f>INDEX($R$3:$R$107,MATCH(#REF!,#REF!,0))</f>
        <v>#REF!</v>
      </c>
    </row>
    <row r="115" spans="1:18" s="63" customFormat="1">
      <c r="A115" s="174"/>
      <c r="B115" s="49"/>
      <c r="C115" s="134"/>
      <c r="D115" s="60"/>
      <c r="E115" s="73"/>
      <c r="F115" s="72"/>
      <c r="G115" s="72"/>
      <c r="H115" s="114"/>
      <c r="I115" s="48"/>
      <c r="J115" s="71"/>
      <c r="K115" s="71"/>
      <c r="L115" s="71"/>
      <c r="M115" s="71"/>
      <c r="N115" s="71"/>
      <c r="O115" s="71"/>
      <c r="P115" s="71"/>
      <c r="Q115" s="71"/>
      <c r="R115" s="52" t="e">
        <f>INDEX($R$3:$R$107,MATCH(#REF!,#REF!,0))</f>
        <v>#REF!</v>
      </c>
    </row>
    <row r="116" spans="1:18" s="63" customFormat="1">
      <c r="A116" s="174"/>
      <c r="B116" s="49"/>
      <c r="C116" s="134"/>
      <c r="D116" s="60"/>
      <c r="E116" s="73"/>
      <c r="F116" s="72"/>
      <c r="G116" s="72"/>
      <c r="H116" s="114"/>
      <c r="I116" s="48"/>
      <c r="J116" s="71"/>
      <c r="K116" s="71"/>
      <c r="L116" s="71"/>
      <c r="M116" s="71"/>
      <c r="N116" s="71"/>
      <c r="O116" s="71"/>
      <c r="P116" s="71"/>
      <c r="Q116" s="71"/>
      <c r="R116" s="52" t="e">
        <f>INDEX($R$3:$R$107,MATCH(#REF!,#REF!,0))</f>
        <v>#REF!</v>
      </c>
    </row>
    <row r="117" spans="1:18" s="63" customFormat="1">
      <c r="A117" s="174"/>
      <c r="B117" s="49"/>
      <c r="C117" s="134"/>
      <c r="D117" s="60"/>
      <c r="E117" s="73"/>
      <c r="F117" s="72"/>
      <c r="G117" s="72"/>
      <c r="H117" s="114"/>
      <c r="I117" s="48"/>
      <c r="J117" s="71"/>
      <c r="K117" s="71"/>
      <c r="L117" s="71"/>
      <c r="M117" s="71"/>
      <c r="N117" s="71"/>
      <c r="O117" s="71"/>
      <c r="P117" s="71"/>
      <c r="Q117" s="71"/>
      <c r="R117" s="52" t="e">
        <f>INDEX($R$3:$R$107,MATCH(#REF!,#REF!,0))</f>
        <v>#REF!</v>
      </c>
    </row>
    <row r="118" spans="1:18" s="63" customFormat="1">
      <c r="A118" s="174"/>
      <c r="B118" s="49"/>
      <c r="C118" s="134"/>
      <c r="D118" s="60"/>
      <c r="E118" s="73"/>
      <c r="F118" s="72"/>
      <c r="G118" s="72"/>
      <c r="H118" s="114"/>
      <c r="I118" s="48"/>
      <c r="J118" s="71"/>
      <c r="K118" s="71"/>
      <c r="L118" s="71"/>
      <c r="M118" s="71"/>
      <c r="N118" s="71"/>
      <c r="O118" s="71"/>
      <c r="P118" s="71"/>
      <c r="Q118" s="71"/>
      <c r="R118" s="52" t="e">
        <f>INDEX($R$3:$R$107,MATCH(#REF!,#REF!,0))</f>
        <v>#REF!</v>
      </c>
    </row>
    <row r="119" spans="1:18" s="63" customFormat="1">
      <c r="A119" s="174"/>
      <c r="B119" s="49"/>
      <c r="C119" s="134"/>
      <c r="D119" s="60"/>
      <c r="E119" s="73"/>
      <c r="F119" s="72"/>
      <c r="G119" s="72"/>
      <c r="H119" s="114"/>
      <c r="I119" s="48"/>
      <c r="J119" s="71"/>
      <c r="K119" s="71"/>
      <c r="L119" s="71"/>
      <c r="M119" s="71"/>
      <c r="N119" s="71"/>
      <c r="O119" s="71"/>
      <c r="P119" s="71"/>
      <c r="Q119" s="71"/>
      <c r="R119" s="52" t="e">
        <f>INDEX($R$3:$R$107,MATCH(#REF!,#REF!,0))</f>
        <v>#REF!</v>
      </c>
    </row>
    <row r="120" spans="1:18" s="63" customFormat="1">
      <c r="A120" s="174"/>
      <c r="B120" s="49"/>
      <c r="C120" s="134"/>
      <c r="D120" s="60"/>
      <c r="E120" s="73"/>
      <c r="F120" s="72"/>
      <c r="G120" s="72"/>
      <c r="H120" s="114"/>
      <c r="I120" s="48"/>
      <c r="J120" s="71"/>
      <c r="K120" s="71"/>
      <c r="L120" s="71"/>
      <c r="M120" s="71"/>
      <c r="N120" s="71"/>
      <c r="O120" s="71"/>
      <c r="P120" s="71"/>
      <c r="Q120" s="71"/>
      <c r="R120" s="52" t="e">
        <f>INDEX($R$3:$R$107,MATCH(#REF!,#REF!,0))</f>
        <v>#REF!</v>
      </c>
    </row>
    <row r="121" spans="1:18" s="63" customFormat="1">
      <c r="A121" s="174"/>
      <c r="B121" s="49"/>
      <c r="C121" s="134"/>
      <c r="D121" s="60"/>
      <c r="E121" s="73"/>
      <c r="F121" s="72"/>
      <c r="G121" s="72"/>
      <c r="H121" s="114"/>
      <c r="I121" s="48"/>
      <c r="J121" s="71"/>
      <c r="K121" s="71"/>
      <c r="L121" s="71"/>
      <c r="M121" s="71"/>
      <c r="N121" s="71"/>
      <c r="O121" s="71"/>
      <c r="P121" s="71"/>
      <c r="Q121" s="71"/>
      <c r="R121" s="52" t="e">
        <f>INDEX($R$3:$R$107,MATCH(#REF!,#REF!,0))</f>
        <v>#REF!</v>
      </c>
    </row>
    <row r="122" spans="1:18" s="63" customFormat="1">
      <c r="A122" s="174"/>
      <c r="B122" s="49"/>
      <c r="C122" s="134"/>
      <c r="D122" s="60"/>
      <c r="E122" s="73"/>
      <c r="F122" s="72"/>
      <c r="G122" s="72"/>
      <c r="H122" s="114"/>
      <c r="I122" s="48"/>
      <c r="J122" s="71"/>
      <c r="K122" s="71"/>
      <c r="L122" s="71"/>
      <c r="M122" s="71"/>
      <c r="N122" s="71"/>
      <c r="O122" s="71"/>
      <c r="P122" s="71"/>
      <c r="Q122" s="71"/>
      <c r="R122" s="52" t="e">
        <f>INDEX($R$3:$R$107,MATCH(#REF!,#REF!,0))</f>
        <v>#REF!</v>
      </c>
    </row>
    <row r="123" spans="1:18" s="63" customFormat="1">
      <c r="A123" s="174"/>
      <c r="B123" s="49" t="s">
        <v>197</v>
      </c>
      <c r="C123" s="134" t="s">
        <v>200</v>
      </c>
      <c r="D123" s="60">
        <v>0</v>
      </c>
      <c r="E123" s="73">
        <f>References!$B$9</f>
        <v>1</v>
      </c>
      <c r="F123" s="72">
        <f t="shared" ref="F123" si="61">E123*12</f>
        <v>12</v>
      </c>
      <c r="G123" s="72">
        <f>References!B32</f>
        <v>840</v>
      </c>
      <c r="H123" s="114">
        <f t="shared" ref="H123" si="62">F123*G123</f>
        <v>10080</v>
      </c>
      <c r="I123" s="48">
        <f t="shared" ref="I123" si="63">$D$147*H123</f>
        <v>6465.5282568544771</v>
      </c>
      <c r="J123" s="71">
        <f>(References!$C$49*I123)</f>
        <v>7.1120810825398593</v>
      </c>
      <c r="K123" s="71">
        <f>J123/References!$G$52</f>
        <v>7.2498278109478687</v>
      </c>
      <c r="L123" s="71">
        <f t="shared" ref="L123" si="64">K123/F123</f>
        <v>0.60415231757898902</v>
      </c>
      <c r="M123" s="71">
        <v>73.37</v>
      </c>
      <c r="N123" s="170">
        <f t="shared" ref="N123" si="65">L123+M123</f>
        <v>73.974152317578998</v>
      </c>
      <c r="O123" s="71"/>
      <c r="P123" s="71"/>
      <c r="Q123" s="71"/>
      <c r="R123" s="52">
        <f>ROUND(N123,2)</f>
        <v>73.97</v>
      </c>
    </row>
    <row r="124" spans="1:18" s="63" customFormat="1">
      <c r="A124" s="174"/>
      <c r="B124" s="49"/>
      <c r="C124" s="134"/>
      <c r="D124" s="60"/>
      <c r="E124" s="73"/>
      <c r="F124" s="72"/>
      <c r="G124" s="72"/>
      <c r="H124" s="114"/>
      <c r="I124" s="48"/>
      <c r="J124" s="71"/>
      <c r="K124" s="71"/>
      <c r="L124" s="71"/>
      <c r="M124" s="71"/>
      <c r="N124" s="71"/>
      <c r="O124" s="71"/>
      <c r="P124" s="71"/>
      <c r="Q124" s="71"/>
      <c r="R124" s="52" t="e">
        <f>INDEX($R$3:$R$107,MATCH(#REF!,#REF!,0))</f>
        <v>#REF!</v>
      </c>
    </row>
    <row r="125" spans="1:18" s="63" customFormat="1">
      <c r="A125" s="174"/>
      <c r="B125" s="49"/>
      <c r="C125" s="134"/>
      <c r="D125" s="60"/>
      <c r="E125" s="73"/>
      <c r="F125" s="72"/>
      <c r="G125" s="72"/>
      <c r="H125" s="114"/>
      <c r="I125" s="48"/>
      <c r="J125" s="71"/>
      <c r="K125" s="71"/>
      <c r="L125" s="71"/>
      <c r="M125" s="71"/>
      <c r="N125" s="71"/>
      <c r="O125" s="71"/>
      <c r="P125" s="71"/>
      <c r="Q125" s="71"/>
      <c r="R125" s="52" t="e">
        <f>INDEX($R$3:$R$107,MATCH(#REF!,#REF!,0))</f>
        <v>#REF!</v>
      </c>
    </row>
    <row r="126" spans="1:18" s="63" customFormat="1">
      <c r="A126" s="174"/>
      <c r="B126" s="49"/>
      <c r="C126" s="134"/>
      <c r="D126" s="60"/>
      <c r="E126" s="73"/>
      <c r="F126" s="72"/>
      <c r="G126" s="72"/>
      <c r="H126" s="114"/>
      <c r="I126" s="48"/>
      <c r="J126" s="71"/>
      <c r="K126" s="71"/>
      <c r="L126" s="71"/>
      <c r="M126" s="71"/>
      <c r="N126" s="71"/>
      <c r="O126" s="71"/>
      <c r="P126" s="71"/>
      <c r="Q126" s="71"/>
      <c r="R126" s="52">
        <f>ROUND(N22+N23,2)</f>
        <v>35.03</v>
      </c>
    </row>
    <row r="127" spans="1:18" s="63" customFormat="1">
      <c r="A127" s="174"/>
      <c r="B127" s="49"/>
      <c r="C127" s="134"/>
      <c r="D127" s="60"/>
      <c r="E127" s="73"/>
      <c r="F127" s="72"/>
      <c r="G127" s="72"/>
      <c r="H127" s="114"/>
      <c r="I127" s="48"/>
      <c r="J127" s="71"/>
      <c r="K127" s="71"/>
      <c r="L127" s="71"/>
      <c r="M127" s="71"/>
      <c r="N127" s="71"/>
      <c r="O127" s="71"/>
      <c r="P127" s="71"/>
      <c r="Q127" s="71"/>
      <c r="R127" s="52" t="e">
        <f>INDEX($R$3:$R$107,MATCH(#REF!,#REF!,0))*2</f>
        <v>#REF!</v>
      </c>
    </row>
    <row r="128" spans="1:18" s="63" customFormat="1">
      <c r="A128" s="174"/>
      <c r="B128" s="49"/>
      <c r="C128" s="134"/>
      <c r="D128" s="60"/>
      <c r="E128" s="73"/>
      <c r="F128" s="72"/>
      <c r="G128" s="72"/>
      <c r="H128" s="114"/>
      <c r="I128" s="48"/>
      <c r="J128" s="71"/>
      <c r="K128" s="71"/>
      <c r="L128" s="71"/>
      <c r="M128" s="71"/>
      <c r="N128" s="71"/>
      <c r="O128" s="71"/>
      <c r="P128" s="71"/>
      <c r="Q128" s="71"/>
      <c r="R128" s="52" t="e">
        <f>INDEX($R$3:$R$107,MATCH(#REF!,#REF!,0))*2</f>
        <v>#REF!</v>
      </c>
    </row>
    <row r="129" spans="1:19" s="63" customFormat="1">
      <c r="A129" s="174"/>
      <c r="B129" s="49"/>
      <c r="C129" s="134"/>
      <c r="D129" s="60"/>
      <c r="E129" s="73"/>
      <c r="F129" s="72"/>
      <c r="G129" s="72"/>
      <c r="H129" s="114"/>
      <c r="I129" s="48"/>
      <c r="J129" s="71"/>
      <c r="K129" s="71"/>
      <c r="L129" s="71"/>
      <c r="M129" s="71"/>
      <c r="N129" s="71"/>
      <c r="O129" s="71"/>
      <c r="P129" s="71"/>
      <c r="Q129" s="71"/>
      <c r="R129" s="52" t="e">
        <f>INDEX($R$3:$R$107,MATCH(#REF!,#REF!,0))*2</f>
        <v>#REF!</v>
      </c>
    </row>
    <row r="130" spans="1:19" s="63" customFormat="1">
      <c r="A130" s="174"/>
      <c r="B130" s="49"/>
      <c r="C130" s="134"/>
      <c r="D130" s="60"/>
      <c r="E130" s="73"/>
      <c r="F130" s="72"/>
      <c r="G130" s="72"/>
      <c r="H130" s="114"/>
      <c r="I130" s="48"/>
      <c r="J130" s="71"/>
      <c r="K130" s="71"/>
      <c r="L130" s="71"/>
      <c r="M130" s="71"/>
      <c r="N130" s="71"/>
      <c r="O130" s="71"/>
      <c r="P130" s="71"/>
      <c r="Q130" s="71"/>
      <c r="R130" s="52" t="e">
        <f>INDEX($R$3:$R$107,MATCH(#REF!,#REF!,0))*2</f>
        <v>#REF!</v>
      </c>
    </row>
    <row r="131" spans="1:19" s="63" customFormat="1">
      <c r="A131" s="174"/>
      <c r="B131" s="49"/>
      <c r="C131" s="134"/>
      <c r="D131" s="60"/>
      <c r="E131" s="73"/>
      <c r="F131" s="72"/>
      <c r="G131" s="72"/>
      <c r="H131" s="114"/>
      <c r="I131" s="48"/>
      <c r="J131" s="71"/>
      <c r="K131" s="71"/>
      <c r="L131" s="71"/>
      <c r="M131" s="71"/>
      <c r="N131" s="71"/>
      <c r="O131" s="71"/>
      <c r="P131" s="71"/>
      <c r="Q131" s="71"/>
      <c r="R131" s="52">
        <v>91.9</v>
      </c>
    </row>
    <row r="132" spans="1:19" s="63" customFormat="1">
      <c r="A132" s="174"/>
      <c r="B132" s="49"/>
      <c r="C132" s="134"/>
      <c r="D132" s="60"/>
      <c r="E132" s="73"/>
      <c r="F132" s="72"/>
      <c r="G132" s="72"/>
      <c r="H132" s="114"/>
      <c r="I132" s="48"/>
      <c r="J132" s="71"/>
      <c r="K132" s="71"/>
      <c r="L132" s="71"/>
      <c r="M132" s="71"/>
      <c r="N132" s="71"/>
      <c r="O132" s="71"/>
      <c r="P132" s="71"/>
      <c r="Q132" s="71"/>
      <c r="R132" s="52"/>
    </row>
    <row r="133" spans="1:19" s="63" customFormat="1">
      <c r="A133" s="174"/>
      <c r="B133" s="49"/>
      <c r="C133" s="134"/>
      <c r="D133" s="60"/>
      <c r="E133" s="73"/>
      <c r="F133" s="72"/>
      <c r="G133" s="72"/>
      <c r="H133" s="114"/>
      <c r="I133" s="48"/>
      <c r="J133" s="71"/>
      <c r="K133" s="71"/>
      <c r="L133" s="71"/>
      <c r="M133" s="71"/>
      <c r="N133" s="71"/>
      <c r="O133" s="71"/>
      <c r="P133" s="71"/>
      <c r="Q133" s="71"/>
      <c r="R133" s="52"/>
    </row>
    <row r="134" spans="1:19" s="63" customFormat="1">
      <c r="A134" s="174"/>
      <c r="B134" s="49"/>
      <c r="C134" s="134"/>
      <c r="D134" s="60"/>
      <c r="E134" s="73"/>
      <c r="F134" s="72"/>
      <c r="G134" s="72"/>
      <c r="H134" s="114"/>
      <c r="I134" s="48"/>
      <c r="J134" s="71"/>
      <c r="K134" s="71"/>
      <c r="L134" s="71"/>
      <c r="M134" s="71"/>
      <c r="N134" s="71"/>
      <c r="O134" s="71"/>
      <c r="P134" s="71"/>
      <c r="Q134" s="71"/>
      <c r="R134" s="52"/>
    </row>
    <row r="135" spans="1:19" s="63" customFormat="1">
      <c r="A135" s="174"/>
      <c r="B135" s="49"/>
      <c r="C135" s="134"/>
      <c r="D135" s="60"/>
      <c r="E135" s="73"/>
      <c r="F135" s="72"/>
      <c r="G135" s="72"/>
      <c r="H135" s="114"/>
      <c r="I135" s="48"/>
      <c r="J135" s="71"/>
      <c r="K135" s="71"/>
      <c r="L135" s="71"/>
      <c r="M135" s="71"/>
      <c r="N135" s="71"/>
      <c r="O135" s="71"/>
      <c r="P135" s="71"/>
      <c r="Q135" s="71"/>
      <c r="R135" s="52"/>
    </row>
    <row r="136" spans="1:19" s="63" customFormat="1">
      <c r="A136" s="174"/>
      <c r="B136" s="49"/>
      <c r="C136" s="134"/>
      <c r="D136" s="60"/>
      <c r="E136" s="73"/>
      <c r="F136" s="72"/>
      <c r="G136" s="72"/>
      <c r="H136" s="114"/>
      <c r="I136" s="48"/>
      <c r="J136" s="71"/>
      <c r="K136" s="71"/>
      <c r="L136" s="71"/>
      <c r="M136" s="71"/>
      <c r="N136" s="71"/>
      <c r="O136" s="71"/>
      <c r="P136" s="71"/>
      <c r="Q136" s="71"/>
      <c r="R136" s="52"/>
    </row>
    <row r="137" spans="1:19" s="63" customFormat="1">
      <c r="A137" s="174"/>
      <c r="B137" s="49"/>
      <c r="C137" s="134"/>
      <c r="D137" s="60"/>
      <c r="E137" s="73"/>
      <c r="F137" s="72"/>
      <c r="G137" s="72"/>
      <c r="H137" s="114"/>
      <c r="I137" s="48"/>
      <c r="J137" s="71"/>
      <c r="K137" s="71"/>
      <c r="L137" s="71"/>
      <c r="M137" s="71"/>
      <c r="N137" s="71"/>
      <c r="O137" s="71"/>
      <c r="P137" s="71"/>
      <c r="Q137" s="71"/>
      <c r="R137" s="52"/>
    </row>
    <row r="138" spans="1:19" s="63" customFormat="1">
      <c r="A138" s="121"/>
      <c r="B138" s="113"/>
      <c r="C138" s="115"/>
      <c r="D138" s="14"/>
      <c r="E138" s="110"/>
      <c r="F138" s="86"/>
      <c r="G138" s="86"/>
      <c r="H138" s="86"/>
      <c r="I138" s="111"/>
      <c r="J138" s="96"/>
      <c r="K138" s="96"/>
      <c r="L138" s="96"/>
      <c r="M138" s="96"/>
      <c r="N138" s="96"/>
      <c r="O138" s="71"/>
      <c r="P138" s="71"/>
      <c r="Q138" s="71"/>
    </row>
    <row r="139" spans="1:19">
      <c r="A139" s="66"/>
      <c r="C139" s="92"/>
      <c r="D139" s="40"/>
      <c r="E139" s="33"/>
      <c r="F139" s="60"/>
      <c r="G139" s="72"/>
      <c r="H139" s="60"/>
      <c r="J139" s="71"/>
      <c r="K139" s="97"/>
      <c r="L139" s="97"/>
      <c r="M139" s="97"/>
      <c r="N139" s="97"/>
      <c r="P139" s="64"/>
      <c r="S139" s="63"/>
    </row>
    <row r="140" spans="1:19">
      <c r="A140" s="66"/>
      <c r="C140" s="69"/>
      <c r="P140" s="64"/>
      <c r="S140" s="63"/>
    </row>
    <row r="141" spans="1:19">
      <c r="A141" s="66"/>
      <c r="C141" s="69"/>
      <c r="P141" s="64"/>
      <c r="S141" s="63"/>
    </row>
    <row r="142" spans="1:19">
      <c r="A142" s="66"/>
      <c r="C142" s="186" t="s">
        <v>86</v>
      </c>
      <c r="D142" s="186"/>
      <c r="E142" s="91"/>
      <c r="F142" s="91"/>
      <c r="H142" s="95" t="s">
        <v>94</v>
      </c>
      <c r="S142" s="63"/>
    </row>
    <row r="143" spans="1:19">
      <c r="A143" s="66"/>
      <c r="D143" s="58" t="s">
        <v>16</v>
      </c>
      <c r="E143" s="39"/>
      <c r="F143" s="39"/>
      <c r="H143" s="93" t="s">
        <v>114</v>
      </c>
      <c r="J143" s="43"/>
      <c r="O143" s="62"/>
      <c r="S143" s="63"/>
    </row>
    <row r="144" spans="1:19">
      <c r="A144" s="66"/>
      <c r="C144" s="61" t="s">
        <v>32</v>
      </c>
      <c r="D144" s="70">
        <v>6618.43</v>
      </c>
      <c r="E144" s="60"/>
      <c r="F144" s="60"/>
      <c r="G144" s="47"/>
      <c r="H144" s="94" t="s">
        <v>95</v>
      </c>
      <c r="J144" s="43"/>
      <c r="O144" s="62"/>
      <c r="S144" s="63"/>
    </row>
    <row r="145" spans="1:19">
      <c r="A145" s="66"/>
      <c r="C145" s="61" t="s">
        <v>33</v>
      </c>
      <c r="D145" s="38">
        <f>D144*2000</f>
        <v>13236860</v>
      </c>
      <c r="E145" s="38"/>
      <c r="F145" s="38"/>
      <c r="G145" s="38"/>
      <c r="H145" s="119" t="s">
        <v>97</v>
      </c>
      <c r="J145" s="43"/>
      <c r="S145" s="63"/>
    </row>
    <row r="146" spans="1:19">
      <c r="A146" s="66"/>
      <c r="C146" s="61" t="s">
        <v>4</v>
      </c>
      <c r="D146" s="38">
        <f>F12+F71</f>
        <v>262910.03000000003</v>
      </c>
      <c r="E146" s="60"/>
      <c r="F146" s="60"/>
      <c r="G146" s="60"/>
      <c r="H146" s="120" t="s">
        <v>98</v>
      </c>
      <c r="J146" s="43"/>
      <c r="O146" s="62"/>
      <c r="S146" s="63"/>
    </row>
    <row r="147" spans="1:19">
      <c r="C147" s="44" t="s">
        <v>11</v>
      </c>
      <c r="D147" s="37">
        <f>D145/$H$72</f>
        <v>0.64142145405302353</v>
      </c>
      <c r="E147" s="37"/>
      <c r="F147" s="37"/>
      <c r="G147" s="37"/>
      <c r="H147" s="32"/>
      <c r="J147" s="43"/>
      <c r="M147" s="42"/>
      <c r="N147" s="42"/>
      <c r="O147" s="41"/>
      <c r="S147" s="63"/>
    </row>
    <row r="148" spans="1:19">
      <c r="G148" s="46"/>
      <c r="H148" s="34"/>
      <c r="J148" s="43"/>
      <c r="M148" s="45"/>
      <c r="N148" s="31"/>
      <c r="O148" s="64"/>
      <c r="S148" s="63"/>
    </row>
    <row r="149" spans="1:19">
      <c r="D149" s="36"/>
      <c r="E149" s="35"/>
      <c r="G149" s="46"/>
      <c r="H149" s="34"/>
      <c r="J149" s="43"/>
      <c r="M149" s="45"/>
      <c r="N149" s="31"/>
      <c r="O149" s="64"/>
      <c r="S149" s="63"/>
    </row>
    <row r="150" spans="1:19">
      <c r="D150" s="36"/>
      <c r="E150" s="35"/>
      <c r="G150" s="46"/>
      <c r="H150" s="34"/>
      <c r="J150" s="43"/>
      <c r="M150" s="45"/>
      <c r="N150" s="31"/>
      <c r="O150" s="64"/>
      <c r="S150" s="63"/>
    </row>
    <row r="151" spans="1:19">
      <c r="D151" s="61"/>
      <c r="I151" s="61"/>
      <c r="S151" s="63"/>
    </row>
    <row r="152" spans="1:19">
      <c r="D152" s="61"/>
      <c r="E152" s="43"/>
      <c r="I152" s="61"/>
      <c r="S152" s="63"/>
    </row>
    <row r="153" spans="1:19">
      <c r="D153" s="61"/>
      <c r="I153" s="61"/>
      <c r="S153" s="63"/>
    </row>
    <row r="154" spans="1:19">
      <c r="D154" s="61"/>
      <c r="I154" s="61"/>
    </row>
    <row r="155" spans="1:19">
      <c r="D155" s="61"/>
    </row>
  </sheetData>
  <autoFilter ref="A1:R138"/>
  <mergeCells count="5">
    <mergeCell ref="A2:A11"/>
    <mergeCell ref="C142:D142"/>
    <mergeCell ref="A76:A86"/>
    <mergeCell ref="A13:A70"/>
    <mergeCell ref="A92:A107"/>
  </mergeCells>
  <phoneticPr fontId="0" type="noConversion"/>
  <pageMargins left="0.2" right="0.22" top="0.63" bottom="0.34" header="0.19" footer="0.17"/>
  <pageSetup paperSize="3" scale="79" fitToHeight="0" orientation="landscape" horizontalDpi="4294967293" r:id="rId1"/>
  <headerFooter>
    <oddHeader>&amp;C&amp;"-,Bold"&amp;12Basin Disposal of Walla Walla&amp;"-,Regular"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C1CE8520AB24F9E27B4A5C83573CE" ma:contentTypeVersion="56" ma:contentTypeDescription="" ma:contentTypeScope="" ma:versionID="87987fc870d0d63b5b78bafafb550a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2019-10-31T07:00:00+00:00</OpenedDate>
    <Date1 xmlns="dc463f71-b30c-4ab2-9473-d307f9d35888">2019-10-31T07:00:00+00:00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</CaseCompanyNames>
    <DocketNumber xmlns="dc463f71-b30c-4ab2-9473-d307f9d35888">190901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40054-C536-44E0-A11E-DCFC56AFFCFA}"/>
</file>

<file path=customXml/itemProps2.xml><?xml version="1.0" encoding="utf-8"?>
<ds:datastoreItem xmlns:ds="http://schemas.openxmlformats.org/officeDocument/2006/customXml" ds:itemID="{B2694A6D-3949-49E7-A646-94EE4F9C042A}"/>
</file>

<file path=customXml/itemProps3.xml><?xml version="1.0" encoding="utf-8"?>
<ds:datastoreItem xmlns:ds="http://schemas.openxmlformats.org/officeDocument/2006/customXml" ds:itemID="{13838375-1189-4892-A6D2-BB556694395F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c463f71-b30c-4ab2-9473-d307f9d3588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References</vt:lpstr>
      <vt:lpstr>Calculations</vt:lpstr>
      <vt:lpstr>SourceNotes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Dave Atwell</cp:lastModifiedBy>
  <cp:lastPrinted>2019-10-21T23:29:31Z</cp:lastPrinted>
  <dcterms:created xsi:type="dcterms:W3CDTF">2013-10-29T22:33:54Z</dcterms:created>
  <dcterms:modified xsi:type="dcterms:W3CDTF">2019-10-30T23:36:07Z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0x0101006E56B4D1795A2E4DB2F0B01679ED314A0084EC1CE8520AB24F9E27B4A5C83573CE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