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tabRatio="886" activeTab="1"/>
  </bookViews>
  <sheets>
    <sheet name="References" sheetId="1" r:id="rId1"/>
    <sheet name="Calcs" sheetId="2" r:id="rId2"/>
  </sheets>
  <definedNames>
    <definedName name="_xlfn.IFERROR" hidden="1">#NAME?</definedName>
    <definedName name="_xlnm.Print_Area" localSheetId="1">'Calcs'!$C$1:$S$89</definedName>
    <definedName name="_xlnm.Print_Titles" localSheetId="1">'Calcs'!$1:$1</definedName>
  </definedNames>
  <calcPr fullCalcOnLoad="1"/>
</workbook>
</file>

<file path=xl/comments2.xml><?xml version="1.0" encoding="utf-8"?>
<comments xmlns="http://schemas.openxmlformats.org/spreadsheetml/2006/main">
  <authors>
    <author>Mike Young</author>
  </authors>
  <commentList>
    <comment ref="Q40" authorId="0">
      <text>
        <r>
          <rPr>
            <b/>
            <sz val="9"/>
            <rFont val="Tahoma"/>
            <family val="2"/>
          </rPr>
          <t>Mike Young:</t>
        </r>
        <r>
          <rPr>
            <sz val="9"/>
            <rFont val="Tahoma"/>
            <family val="2"/>
          </rPr>
          <t xml:space="preserve">
check this on revised tariff pages</t>
        </r>
      </text>
    </comment>
    <comment ref="F20" authorId="0">
      <text>
        <r>
          <rPr>
            <b/>
            <sz val="9"/>
            <rFont val="Tahoma"/>
            <family val="2"/>
          </rPr>
          <t>Mike Young:</t>
        </r>
        <r>
          <rPr>
            <sz val="9"/>
            <rFont val="Tahoma"/>
            <family val="2"/>
          </rPr>
          <t xml:space="preserve">
This appears to be a monthly number; Total revenue should be $129,940</t>
        </r>
      </text>
    </comment>
  </commentList>
</comments>
</file>

<file path=xl/sharedStrings.xml><?xml version="1.0" encoding="utf-8"?>
<sst xmlns="http://schemas.openxmlformats.org/spreadsheetml/2006/main" count="224" uniqueCount="190">
  <si>
    <t>Total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</si>
  <si>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</si>
  <si>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</si>
  <si>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</si>
  <si>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</si>
  <si>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</si>
  <si>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</si>
  <si>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</si>
  <si>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</si>
  <si>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</si>
  <si>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</si>
  <si>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</si>
  <si>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</si>
  <si>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</si>
  <si>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</si>
  <si>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</si>
  <si>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</si>
  <si>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Meeks Weights</t>
  </si>
  <si>
    <t>Res'l</t>
  </si>
  <si>
    <t>Pounds per Pickup</t>
  </si>
  <si>
    <t>20 gal minican</t>
  </si>
  <si>
    <t>1 can</t>
  </si>
  <si>
    <t>2 cans</t>
  </si>
  <si>
    <t>3 cans</t>
  </si>
  <si>
    <t>Lbs. per ton</t>
  </si>
  <si>
    <t>4 cans</t>
  </si>
  <si>
    <t>Yds. Per ton</t>
  </si>
  <si>
    <t>n/a</t>
  </si>
  <si>
    <t>5 cans</t>
  </si>
  <si>
    <t>6 cans</t>
  </si>
  <si>
    <t>35 gallon Can</t>
  </si>
  <si>
    <t>*</t>
  </si>
  <si>
    <t>Supercan 60</t>
  </si>
  <si>
    <t>Supercan 90</t>
  </si>
  <si>
    <t>Once a month</t>
  </si>
  <si>
    <t>Extras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</si>
  <si>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</si>
  <si>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</si>
  <si>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</si>
  <si>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</si>
  <si>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</si>
  <si>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</si>
  <si>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</si>
  <si>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</si>
  <si>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</si>
  <si>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1 yd packer/compactor</t>
  </si>
  <si>
    <t>1.5 yd packer/compactor</t>
  </si>
  <si>
    <t>2 yd packer/compactor</t>
  </si>
  <si>
    <t>3 yd packer/compactor</t>
  </si>
  <si>
    <t>4 yd packer/compactor</t>
  </si>
  <si>
    <t>5 yd packer/compactor</t>
  </si>
  <si>
    <t>6 yd packer/compactor</t>
  </si>
  <si>
    <t>8 yd packer/compactor</t>
  </si>
  <si>
    <t>Yards</t>
  </si>
  <si>
    <t>* not on meeks - calculated by staff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</si>
  <si>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</si>
  <si>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</si>
  <si>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</si>
  <si>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</si>
  <si>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</si>
  <si>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</si>
  <si>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</si>
  <si>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Increase</t>
  </si>
  <si>
    <t>Bad Debts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</si>
  <si>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</si>
  <si>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</si>
  <si>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</si>
  <si>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</si>
  <si>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</si>
  <si>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</si>
  <si>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</si>
  <si>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</si>
  <si>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</si>
  <si>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</si>
  <si>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</si>
  <si>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Tariff Page</t>
  </si>
  <si>
    <t>Scheduled Service</t>
  </si>
  <si>
    <t>Monthly Customers</t>
  </si>
  <si>
    <t>Annual PU's</t>
  </si>
  <si>
    <t>Adjusted Annual Pounds</t>
  </si>
  <si>
    <t>Gross Up</t>
  </si>
  <si>
    <t>Company Current Tariff</t>
  </si>
  <si>
    <t>Company Current Revenue</t>
  </si>
  <si>
    <t>Revised Tariff Rate</t>
  </si>
  <si>
    <t>Revised Revenue</t>
  </si>
  <si>
    <t>Revised Revenue Increase</t>
  </si>
  <si>
    <t>Residential</t>
  </si>
  <si>
    <t>Commercial</t>
  </si>
  <si>
    <t>Totals</t>
  </si>
  <si>
    <t>Adjustment Factor Calculation</t>
  </si>
  <si>
    <t>Total Tonnage</t>
  </si>
  <si>
    <t>Total Pounds</t>
  </si>
  <si>
    <t>Total Pick Ups</t>
  </si>
  <si>
    <t>Adjustment factor</t>
  </si>
  <si>
    <t>C3M 32 GAL CAN MSW 1X MO</t>
  </si>
  <si>
    <t>T5M 35 GAL CART MSW 1X MO</t>
  </si>
  <si>
    <t>C21 1-20 GAL MINI CAN MSW</t>
  </si>
  <si>
    <t>C2T 20 GAL CART MSW</t>
  </si>
  <si>
    <t>C31 1-32 GAL CAN MSW</t>
  </si>
  <si>
    <t>C32 2-32 GAL CANS MSW</t>
  </si>
  <si>
    <t>C33 3-32 GAL CANS MSW</t>
  </si>
  <si>
    <t>C34 4-32 GAL CANS MSW</t>
  </si>
  <si>
    <t>C35 5-32 GAL CANS MSW</t>
  </si>
  <si>
    <t>T51 1-35 GAL CART MSW</t>
  </si>
  <si>
    <t>T52 2-35 GAL CARTS MSW</t>
  </si>
  <si>
    <t>T53 3-35 GAL CARTS MSW</t>
  </si>
  <si>
    <t>T54 4-35 GAL CARTS MSW</t>
  </si>
  <si>
    <t>T61 1-64 GAL CART MSW</t>
  </si>
  <si>
    <t>T62 2-64 GAL CARTS MSW</t>
  </si>
  <si>
    <t>T63 3-64 GAL CARTS MSW</t>
  </si>
  <si>
    <t>T91 1-96 GAL CART MSW</t>
  </si>
  <si>
    <t>T92 2-96 GAL CARTS MSW</t>
  </si>
  <si>
    <t>1AM 1-32 GAL CAN MSW</t>
  </si>
  <si>
    <t>2AM 2-32 GAL CANS MSW</t>
  </si>
  <si>
    <t>3AM 3-32 GAL CANS MSW</t>
  </si>
  <si>
    <t>4AM 4-32 GAL CANS MSW</t>
  </si>
  <si>
    <t>5AM 5-32 GAL CANS MSW</t>
  </si>
  <si>
    <t>BH0 28-32 GAL CANS MSW</t>
  </si>
  <si>
    <t>CM1 35 GAL CART MSW 1X WK</t>
  </si>
  <si>
    <t>CT2 2-35 GAL CARTS MSW</t>
  </si>
  <si>
    <t>CT4 4-35 GAL CARTS MSW</t>
  </si>
  <si>
    <t>1DM 1-64 GAL CART MSW</t>
  </si>
  <si>
    <t>2DM 2-64 GAL CARTS MSW</t>
  </si>
  <si>
    <t>1EM 1-96 GAL CART MSW</t>
  </si>
  <si>
    <t>2EM 2-96 GAL CARTS MSW</t>
  </si>
  <si>
    <t>1FE 1 YD MSW EOW</t>
  </si>
  <si>
    <t>111 1-1 YD 1X PER WEEK</t>
  </si>
  <si>
    <t>211 2-1 YD 1X PER WEEK</t>
  </si>
  <si>
    <t>112 1-1 YD 2X PER WEEK</t>
  </si>
  <si>
    <t>5FE 1.5 YD MSW EOW</t>
  </si>
  <si>
    <t>151 1-1.5 YD 1X PER WEEK</t>
  </si>
  <si>
    <t>2FE 2 YD MSW EOW</t>
  </si>
  <si>
    <t>121 1-2 YD 1X PER WEEK</t>
  </si>
  <si>
    <t>221 2-2 YD 1X PER WEEK</t>
  </si>
  <si>
    <t>321 3-2 YD 1X PER WEEK</t>
  </si>
  <si>
    <t>122 1-2 YD 2X PER WEEK</t>
  </si>
  <si>
    <t>222 2-2 YD 2X PER WEEK</t>
  </si>
  <si>
    <t>3FE 3 YD MSW EOW</t>
  </si>
  <si>
    <t>131 1-3 YD 1X PER WEEK</t>
  </si>
  <si>
    <t>132 1-3 YD 2X PER WEEK</t>
  </si>
  <si>
    <t>4FE 4 YD MSW EOW</t>
  </si>
  <si>
    <t>141 1-4 YD 1X PER WEEK</t>
  </si>
  <si>
    <t>241 2-4 YD 1X PER WEEK</t>
  </si>
  <si>
    <t>142 1-4 YD 2X PER WEEK</t>
  </si>
  <si>
    <t>242 2-4 YD 2X PER WEEK</t>
  </si>
  <si>
    <t>143 1-4 YD 3X PER WEEK</t>
  </si>
  <si>
    <t>6FE 6 YD MSW EOW</t>
  </si>
  <si>
    <t>161 1-6 YD 1X PER WEEK</t>
  </si>
  <si>
    <t>261 2-6 YD 1X PER WEEK</t>
  </si>
  <si>
    <t>361 3-6 YD 1X PER WEEK</t>
  </si>
  <si>
    <t>461 4-6 YD 1X PER WEEK</t>
  </si>
  <si>
    <t>561 5-6 YD 1X PER WEEK</t>
  </si>
  <si>
    <t>162 1-6 YD 2X PER WEEK</t>
  </si>
  <si>
    <t>262 2-6 YD 2X PER WEEK</t>
  </si>
  <si>
    <t>163 1-6 YD 3X PER WEEK</t>
  </si>
  <si>
    <t>463 4-6 YD 3X PER WEEK</t>
  </si>
  <si>
    <t>8FE 8 YD MSW EOW</t>
  </si>
  <si>
    <t>181 1-8 YD 1X PER WEEK</t>
  </si>
  <si>
    <t>281 2-8 YD 1X PER WEEK</t>
  </si>
  <si>
    <t>381 3-8 YD 1X PER WEEK</t>
  </si>
  <si>
    <t>581 5-8 YD 1X PER WEEK</t>
  </si>
  <si>
    <t>681 6-8 YD 1X PER WEEK</t>
  </si>
  <si>
    <t>182 1-8 YD 2X PER WEEK</t>
  </si>
  <si>
    <t>282 2-8 YD 2X PER WEEK</t>
  </si>
  <si>
    <t>183 1-8 YD 3X PER WEEK</t>
  </si>
  <si>
    <t>283 2-8 YD 3X PER WEEK</t>
  </si>
  <si>
    <t>184 1-8 YD 4X PER WEEK</t>
  </si>
  <si>
    <t>185 1-8 YD 5X PER WEEK</t>
  </si>
  <si>
    <t>2C1 2 YD COMPACTOR 1X WK</t>
  </si>
  <si>
    <t>2C2 2 YD COMPACTOR 2X WK</t>
  </si>
  <si>
    <t>3C1 3 YD COMPACTOR 1X WK</t>
  </si>
  <si>
    <t>4CE 4 YD COMPACTOR EOW</t>
  </si>
  <si>
    <t>4C1 4 YD COMPACTOR 1X WK</t>
  </si>
  <si>
    <t>4C2 4 YD COMPACTOR 2X WK</t>
  </si>
  <si>
    <t>YDC YARDAGE MSW</t>
  </si>
  <si>
    <t>OFC SNAPSHOT EXCESS YARDS</t>
  </si>
  <si>
    <t>Valley TS</t>
  </si>
  <si>
    <t>Jan - Apr 13</t>
  </si>
  <si>
    <t>May - Dec 13</t>
  </si>
  <si>
    <t>Spokane TS</t>
  </si>
  <si>
    <t>WTE</t>
  </si>
  <si>
    <t>Transfer Stations</t>
  </si>
  <si>
    <t>Valley &amp; Spokane TS</t>
  </si>
  <si>
    <t>Tariff Rate Inc. (dec.)</t>
  </si>
  <si>
    <t>Company Calculated Rate</t>
  </si>
  <si>
    <t>Co. Calculated Revenue</t>
  </si>
  <si>
    <t>Monthly   Frequency</t>
  </si>
  <si>
    <t>Calculated  Annual  Pounds</t>
  </si>
  <si>
    <t>Regulated Tons delivered to Transfer Stations</t>
  </si>
  <si>
    <t>Regulated Tons delivered to WTE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</si>
</sst>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.0_);_(* \(#,##0.0\);_(* &quot;-&quot;??_);_(@_)"/>
    <numFmt numFmtId="166" formatCode="_(* #,##0_);_(* \(#,##0\);_(* &quot;-&quot;??_);_(@_)"/>
    <numFmt numFmtId="167" formatCode="m/d/yy\ h:mm\ AM/PM"/>
    <numFmt numFmtId="168" formatCode="mm/dd/yy"/>
    <numFmt numFmtId="169" formatCode="mmm\-yyyy"/>
    <numFmt numFmtId="170" formatCode="mmmm\-yy"/>
    <numFmt numFmtId="171" formatCode="_*\ #,###.0,;_(* \(#,###.0,\);_(* &quot;-&quot;??_);_(@_)"/>
    <numFmt numFmtId="172" formatCode="0.0%"/>
    <numFmt numFmtId="173" formatCode="_(* #,##0,_);_(* \(#,##0,\);_(* &quot;-&quot;??_);_(@_)"/>
    <numFmt numFmtId="174" formatCode="_(&quot;$&quot;* #,##0_);_(&quot;$&quot;* \(#,##0\);_(&quot;$&quot;* &quot;-&quot;??_);_(@_)"/>
    <numFmt numFmtId="175" formatCode="_(* #,##0_);_(&quot;$&quot;* \(#,##0\);_(* &quot;-&quot;??_);_(@_)"/>
    <numFmt numFmtId="176" formatCode="#,##0.0000_);\(#,##0.0000\)"/>
    <numFmt numFmtId="177" formatCode=";;;"/>
    <numFmt numFmtId="178" formatCode="#,##0.000_);\(#,##0.000\)"/>
    <numFmt numFmtId="179" formatCode="0.0000%"/>
    <numFmt numFmtId="180" formatCode="#,##0.0_);\(#,##0.0\)"/>
    <numFmt numFmtId="181" formatCode="m/d/yy;@"/>
    <numFmt numFmtId="182" formatCode="General_)"/>
    <numFmt numFmtId="183" formatCode="_(&quot;$&quot;* #,##0.000_);_(&quot;$&quot;* \(#,##0.000\);_(&quot;$&quot;* &quot;-&quot;??_);_(@_)"/>
    <numFmt numFmtId="184" formatCode="0.000%"/>
    <numFmt numFmtId="185" formatCode="_(&quot;$&quot;* #,##0.000000_);_(&quot;$&quot;* \(#,##0.000000\);_(&quot;$&quot;* &quot;-&quot;??????_);_(@_)"/>
    <numFmt numFmtId="186" formatCode="_(&quot;$&quot;* #,##0.0_);_(&quot;$&quot;* \(#,##0.0\);_(&quot;$&quot;* &quot;-&quot;??_);_(@_)"/>
    <numFmt numFmtId="187" formatCode="_(&quot;$&quot;* #,##0.0000_);_(&quot;$&quot;* \(#,##0.0000\);_(&quot;$&quot;* &quot;-&quot;????_);_(@_)"/>
    <numFmt numFmtId="188" formatCode="_(* #,##0.000000_);_(* \(#,##0.000000\);_(* &quot;-&quot;??_);_(@_)"/>
    <numFmt numFmtId="189" formatCode="_(&quot;$&quot;* #,##0.000000_);_(&quot;$&quot;* \(#,##0.000000\);_(&quot;$&quot;* &quot;-&quot;??_);_(@_)"/>
    <numFmt numFmtId="190" formatCode="0.000000"/>
    <numFmt numFmtId="191" formatCode="#,##0.00000000"/>
    <numFmt numFmtId="192" formatCode="_(* #,##0.000_);_(* \(#,##0.000\);_(* &quot;-&quot;??_);_(@_)"/>
    <numFmt numFmtId="193" formatCode="_(* #,##0.000_);_(* \(#,##0.000\);_(* &quot;-&quot;???_);_(@_)"/>
    <numFmt numFmtId="194" formatCode="0.0000"/>
    <numFmt numFmtId="195" formatCode="0.000"/>
    <numFmt numFmtId="196" formatCode="_(* #,##0.0000_);_(* \(#,##0.0000\);_(* &quot;-&quot;??_);_(@_)"/>
    <numFmt numFmtId="197" formatCode="_(* #,##0.00000_);_(* \(#,##0.000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3" tint="0.39998000860214233"/>
      <name val="Calibri"/>
      <family val="2"/>
    </font>
    <font>
      <u val="singleAccounting"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4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66" fontId="3" fillId="34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47" fillId="0" borderId="0" xfId="0" applyFont="1" applyAlignment="1">
      <alignment/>
    </xf>
    <xf numFmtId="43" fontId="0" fillId="0" borderId="0" xfId="42" applyFont="1" applyAlignment="1">
      <alignment horizontal="center"/>
    </xf>
    <xf numFmtId="0" fontId="0" fillId="0" borderId="0" xfId="0" applyFont="1" applyAlignment="1">
      <alignment horizontal="left" indent="1"/>
    </xf>
    <xf numFmtId="166" fontId="0" fillId="0" borderId="0" xfId="42" applyNumberFormat="1" applyFont="1" applyAlignment="1">
      <alignment/>
    </xf>
    <xf numFmtId="0" fontId="0" fillId="35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7" fillId="36" borderId="11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88" fontId="0" fillId="0" borderId="0" xfId="42" applyNumberFormat="1" applyFont="1" applyAlignment="1">
      <alignment/>
    </xf>
    <xf numFmtId="188" fontId="0" fillId="0" borderId="0" xfId="42" applyNumberFormat="1" applyFont="1" applyBorder="1" applyAlignment="1">
      <alignment/>
    </xf>
    <xf numFmtId="188" fontId="0" fillId="0" borderId="11" xfId="42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0" fillId="36" borderId="11" xfId="0" applyFont="1" applyFill="1" applyBorder="1" applyAlignment="1">
      <alignment/>
    </xf>
    <xf numFmtId="44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66" fontId="0" fillId="0" borderId="11" xfId="42" applyNumberFormat="1" applyFont="1" applyBorder="1" applyAlignment="1">
      <alignment/>
    </xf>
    <xf numFmtId="44" fontId="47" fillId="0" borderId="0" xfId="0" applyNumberFormat="1" applyFont="1" applyAlignment="1">
      <alignment/>
    </xf>
    <xf numFmtId="0" fontId="47" fillId="0" borderId="12" xfId="0" applyFont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44" fontId="0" fillId="0" borderId="15" xfId="53" applyFont="1" applyBorder="1" applyAlignment="1">
      <alignment/>
    </xf>
    <xf numFmtId="0" fontId="0" fillId="0" borderId="15" xfId="0" applyFont="1" applyBorder="1" applyAlignment="1">
      <alignment/>
    </xf>
    <xf numFmtId="0" fontId="47" fillId="0" borderId="14" xfId="0" applyFont="1" applyBorder="1" applyAlignment="1">
      <alignment/>
    </xf>
    <xf numFmtId="0" fontId="0" fillId="36" borderId="16" xfId="0" applyFont="1" applyFill="1" applyBorder="1" applyAlignment="1">
      <alignment horizontal="center"/>
    </xf>
    <xf numFmtId="44" fontId="0" fillId="0" borderId="15" xfId="53" applyFont="1" applyBorder="1" applyAlignment="1">
      <alignment/>
    </xf>
    <xf numFmtId="0" fontId="0" fillId="0" borderId="17" xfId="0" applyFont="1" applyBorder="1" applyAlignment="1">
      <alignment horizontal="left"/>
    </xf>
    <xf numFmtId="44" fontId="0" fillId="0" borderId="18" xfId="53" applyFont="1" applyBorder="1" applyAlignment="1">
      <alignment/>
    </xf>
    <xf numFmtId="0" fontId="47" fillId="36" borderId="11" xfId="0" applyFont="1" applyFill="1" applyBorder="1" applyAlignment="1">
      <alignment horizont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center" wrapText="1"/>
    </xf>
    <xf numFmtId="166" fontId="47" fillId="36" borderId="11" xfId="42" applyNumberFormat="1" applyFont="1" applyFill="1" applyBorder="1" applyAlignment="1">
      <alignment horizontal="center" wrapText="1"/>
    </xf>
    <xf numFmtId="0" fontId="47" fillId="36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4" fontId="0" fillId="0" borderId="0" xfId="53" applyFont="1" applyFill="1" applyBorder="1" applyAlignment="1">
      <alignment/>
    </xf>
    <xf numFmtId="44" fontId="0" fillId="37" borderId="0" xfId="53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3" fontId="27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textRotation="90"/>
    </xf>
    <xf numFmtId="166" fontId="27" fillId="0" borderId="0" xfId="42" applyNumberFormat="1" applyFont="1" applyFill="1" applyBorder="1" applyAlignment="1">
      <alignment/>
    </xf>
    <xf numFmtId="0" fontId="0" fillId="36" borderId="11" xfId="0" applyFont="1" applyFill="1" applyBorder="1" applyAlignment="1">
      <alignment vertical="center" textRotation="90"/>
    </xf>
    <xf numFmtId="0" fontId="0" fillId="36" borderId="11" xfId="0" applyFont="1" applyFill="1" applyBorder="1" applyAlignment="1">
      <alignment horizontal="center" vertical="center"/>
    </xf>
    <xf numFmtId="0" fontId="28" fillId="36" borderId="11" xfId="78" applyFont="1" applyFill="1" applyBorder="1" applyAlignment="1">
      <alignment horizontal="left"/>
      <protection/>
    </xf>
    <xf numFmtId="3" fontId="47" fillId="36" borderId="11" xfId="0" applyNumberFormat="1" applyFont="1" applyFill="1" applyBorder="1" applyAlignment="1">
      <alignment horizontal="right"/>
    </xf>
    <xf numFmtId="43" fontId="0" fillId="36" borderId="11" xfId="42" applyFont="1" applyFill="1" applyBorder="1" applyAlignment="1">
      <alignment/>
    </xf>
    <xf numFmtId="166" fontId="47" fillId="36" borderId="11" xfId="0" applyNumberFormat="1" applyFont="1" applyFill="1" applyBorder="1" applyAlignment="1">
      <alignment/>
    </xf>
    <xf numFmtId="3" fontId="47" fillId="36" borderId="11" xfId="0" applyNumberFormat="1" applyFont="1" applyFill="1" applyBorder="1" applyAlignment="1">
      <alignment/>
    </xf>
    <xf numFmtId="166" fontId="47" fillId="36" borderId="11" xfId="42" applyNumberFormat="1" applyFont="1" applyFill="1" applyBorder="1" applyAlignment="1">
      <alignment/>
    </xf>
    <xf numFmtId="44" fontId="0" fillId="36" borderId="11" xfId="53" applyFont="1" applyFill="1" applyBorder="1" applyAlignment="1">
      <alignment/>
    </xf>
    <xf numFmtId="44" fontId="47" fillId="36" borderId="11" xfId="53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8" fillId="0" borderId="0" xfId="78" applyFont="1" applyFill="1" applyBorder="1" applyAlignment="1">
      <alignment horizontal="left"/>
      <protection/>
    </xf>
    <xf numFmtId="166" fontId="47" fillId="0" borderId="0" xfId="42" applyNumberFormat="1" applyFont="1" applyBorder="1" applyAlignment="1">
      <alignment horizontal="right"/>
    </xf>
    <xf numFmtId="44" fontId="47" fillId="0" borderId="0" xfId="5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4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48" fillId="0" borderId="0" xfId="74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166" fontId="47" fillId="0" borderId="11" xfId="42" applyNumberFormat="1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166" fontId="27" fillId="0" borderId="0" xfId="42" applyNumberFormat="1" applyFont="1" applyFill="1" applyBorder="1" applyAlignment="1">
      <alignment horizontal="left"/>
    </xf>
    <xf numFmtId="166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81" applyNumberFormat="1" applyFont="1" applyBorder="1" applyAlignment="1">
      <alignment horizontal="right"/>
    </xf>
    <xf numFmtId="10" fontId="0" fillId="0" borderId="0" xfId="81" applyNumberFormat="1" applyFont="1" applyBorder="1" applyAlignment="1">
      <alignment/>
    </xf>
    <xf numFmtId="0" fontId="27" fillId="0" borderId="0" xfId="78" applyFont="1" applyFill="1" applyBorder="1" applyAlignment="1">
      <alignment horizontal="left"/>
      <protection/>
    </xf>
    <xf numFmtId="43" fontId="0" fillId="0" borderId="0" xfId="42" applyFont="1" applyBorder="1" applyAlignment="1">
      <alignment/>
    </xf>
    <xf numFmtId="166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43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 horizontal="center" wrapText="1"/>
    </xf>
    <xf numFmtId="44" fontId="0" fillId="0" borderId="0" xfId="53" applyFont="1" applyFill="1" applyBorder="1" applyAlignment="1">
      <alignment/>
    </xf>
    <xf numFmtId="44" fontId="0" fillId="0" borderId="11" xfId="53" applyFont="1" applyFill="1" applyBorder="1" applyAlignment="1">
      <alignment/>
    </xf>
    <xf numFmtId="44" fontId="0" fillId="0" borderId="0" xfId="53" applyFont="1" applyFill="1" applyAlignment="1">
      <alignment/>
    </xf>
    <xf numFmtId="183" fontId="0" fillId="0" borderId="0" xfId="53" applyNumberFormat="1" applyFont="1" applyFill="1" applyAlignment="1">
      <alignment/>
    </xf>
    <xf numFmtId="183" fontId="0" fillId="0" borderId="11" xfId="53" applyNumberFormat="1" applyFont="1" applyFill="1" applyBorder="1" applyAlignment="1">
      <alignment/>
    </xf>
    <xf numFmtId="189" fontId="0" fillId="0" borderId="0" xfId="53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43" fontId="7" fillId="0" borderId="19" xfId="49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6" fontId="2" fillId="0" borderId="0" xfId="46" applyNumberFormat="1" applyFont="1" applyAlignment="1">
      <alignment/>
    </xf>
    <xf numFmtId="166" fontId="2" fillId="0" borderId="0" xfId="46" applyNumberFormat="1" applyFont="1" applyFill="1" applyAlignment="1">
      <alignment/>
    </xf>
    <xf numFmtId="166" fontId="0" fillId="36" borderId="11" xfId="0" applyNumberFormat="1" applyFont="1" applyFill="1" applyBorder="1" applyAlignment="1">
      <alignment/>
    </xf>
    <xf numFmtId="166" fontId="47" fillId="36" borderId="11" xfId="0" applyNumberFormat="1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49" fillId="0" borderId="0" xfId="73" applyFont="1">
      <alignment/>
      <protection/>
    </xf>
    <xf numFmtId="166" fontId="0" fillId="0" borderId="0" xfId="46" applyNumberFormat="1" applyFont="1" applyAlignment="1">
      <alignment/>
    </xf>
    <xf numFmtId="166" fontId="0" fillId="0" borderId="0" xfId="46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10" fontId="0" fillId="0" borderId="0" xfId="81" applyNumberFormat="1" applyFont="1" applyBorder="1" applyAlignment="1">
      <alignment/>
    </xf>
    <xf numFmtId="44" fontId="0" fillId="35" borderId="0" xfId="53" applyFon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0" fontId="50" fillId="0" borderId="0" xfId="42" applyNumberFormat="1" applyFont="1" applyFill="1" applyBorder="1" applyAlignment="1">
      <alignment horizontal="left"/>
    </xf>
    <xf numFmtId="10" fontId="0" fillId="0" borderId="0" xfId="81" applyNumberFormat="1" applyFont="1" applyBorder="1" applyAlignment="1">
      <alignment/>
    </xf>
    <xf numFmtId="44" fontId="47" fillId="0" borderId="0" xfId="53" applyFont="1" applyFill="1" applyBorder="1" applyAlignment="1">
      <alignment horizontal="right"/>
    </xf>
    <xf numFmtId="0" fontId="47" fillId="36" borderId="11" xfId="0" applyFont="1" applyFill="1" applyBorder="1" applyAlignment="1">
      <alignment horizontal="center"/>
    </xf>
    <xf numFmtId="174" fontId="47" fillId="36" borderId="0" xfId="53" applyNumberFormat="1" applyFont="1" applyFill="1" applyBorder="1" applyAlignment="1">
      <alignment horizontal="center" wrapText="1"/>
    </xf>
    <xf numFmtId="174" fontId="0" fillId="37" borderId="0" xfId="53" applyNumberFormat="1" applyFont="1" applyFill="1" applyBorder="1" applyAlignment="1">
      <alignment/>
    </xf>
    <xf numFmtId="174" fontId="47" fillId="36" borderId="11" xfId="53" applyNumberFormat="1" applyFont="1" applyFill="1" applyBorder="1" applyAlignment="1">
      <alignment/>
    </xf>
    <xf numFmtId="174" fontId="47" fillId="0" borderId="0" xfId="53" applyNumberFormat="1" applyFont="1" applyBorder="1" applyAlignment="1">
      <alignment horizontal="right"/>
    </xf>
    <xf numFmtId="174" fontId="0" fillId="0" borderId="0" xfId="53" applyNumberFormat="1" applyFont="1" applyBorder="1" applyAlignment="1">
      <alignment/>
    </xf>
    <xf numFmtId="174" fontId="47" fillId="36" borderId="11" xfId="53" applyNumberFormat="1" applyFont="1" applyFill="1" applyBorder="1" applyAlignment="1">
      <alignment horizontal="center" wrapText="1"/>
    </xf>
    <xf numFmtId="174" fontId="0" fillId="0" borderId="0" xfId="53" applyNumberFormat="1" applyFont="1" applyFill="1" applyBorder="1" applyAlignment="1">
      <alignment/>
    </xf>
    <xf numFmtId="174" fontId="0" fillId="0" borderId="0" xfId="53" applyNumberFormat="1" applyFont="1" applyBorder="1" applyAlignment="1">
      <alignment horizontal="right"/>
    </xf>
    <xf numFmtId="174" fontId="0" fillId="0" borderId="0" xfId="53" applyNumberFormat="1" applyFont="1" applyBorder="1" applyAlignment="1">
      <alignment horizontal="center" wrapText="1"/>
    </xf>
    <xf numFmtId="174" fontId="0" fillId="0" borderId="0" xfId="53" applyNumberFormat="1" applyFont="1" applyBorder="1" applyAlignment="1">
      <alignment/>
    </xf>
    <xf numFmtId="172" fontId="0" fillId="0" borderId="0" xfId="81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10" fontId="0" fillId="0" borderId="0" xfId="81" applyNumberFormat="1" applyFont="1" applyFill="1" applyBorder="1" applyAlignment="1">
      <alignment/>
    </xf>
    <xf numFmtId="10" fontId="0" fillId="0" borderId="0" xfId="81" applyNumberFormat="1" applyFont="1" applyFill="1" applyBorder="1" applyAlignment="1">
      <alignment/>
    </xf>
    <xf numFmtId="172" fontId="0" fillId="0" borderId="0" xfId="81" applyNumberFormat="1" applyFont="1" applyAlignment="1">
      <alignment/>
    </xf>
    <xf numFmtId="44" fontId="0" fillId="0" borderId="0" xfId="81" applyNumberFormat="1" applyFont="1" applyFill="1" applyBorder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7" fillId="36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center" vertical="center" textRotation="90"/>
    </xf>
    <xf numFmtId="0" fontId="0" fillId="36" borderId="0" xfId="0" applyFont="1" applyFill="1" applyBorder="1" applyAlignment="1">
      <alignment horizontal="right"/>
    </xf>
    <xf numFmtId="43" fontId="51" fillId="0" borderId="0" xfId="42" applyFont="1" applyBorder="1" applyAlignment="1">
      <alignment/>
    </xf>
    <xf numFmtId="43" fontId="0" fillId="0" borderId="0" xfId="42" applyFont="1" applyBorder="1" applyAlignment="1">
      <alignment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10" xfId="46"/>
    <cellStyle name="Comma 2" xfId="47"/>
    <cellStyle name="Comma 2 6" xfId="48"/>
    <cellStyle name="Comma 20" xfId="49"/>
    <cellStyle name="Comma 3" xfId="50"/>
    <cellStyle name="Comma 4" xfId="51"/>
    <cellStyle name="Comma 5" xfId="52"/>
    <cellStyle name="Currency" xfId="53"/>
    <cellStyle name="Currency [0]" xfId="54"/>
    <cellStyle name="Currency 11" xfId="55"/>
    <cellStyle name="Currency 2" xfId="56"/>
    <cellStyle name="Currency 2 6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2" xfId="70"/>
    <cellStyle name="Normal 2 2 2 2 3" xfId="71"/>
    <cellStyle name="Normal 2 8" xfId="72"/>
    <cellStyle name="Normal 21" xfId="73"/>
    <cellStyle name="Normal 90" xfId="74"/>
    <cellStyle name="Normal 93" xfId="75"/>
    <cellStyle name="Normal 94" xfId="76"/>
    <cellStyle name="Normal 98" xfId="77"/>
    <cellStyle name="Normal_Price out" xfId="78"/>
    <cellStyle name="Note" xfId="79"/>
    <cellStyle name="Output" xfId="80"/>
    <cellStyle name="Percent" xfId="81"/>
    <cellStyle name="Percent 2" xfId="82"/>
    <cellStyle name="Percent 2 6" xfId="83"/>
    <cellStyle name="Percent 3" xfId="84"/>
    <cellStyle name="PS_Comma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Title" xfId="92"/>
    <cellStyle name="Total" xfId="93"/>
    <cellStyle name="Warning Text" xfId="94"/>
    <cellStyle name="WM_STANDARD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H71"/>
  <sheetViews>
    <sheetView zoomScalePageLayoutView="0" workbookViewId="0" topLeftCell="A1">
      <selection activeCell="B48" sqref="B48"/>
    </sheetView>
  </sheetViews>
  <sheetFormatPr defaultColWidth="9.140625" defaultRowHeight="15"/>
  <cols>
    <col min="1" max="1" width="36.421875" style="0" customWidth="1"/>
    <col min="2" max="2" width="16.7109375" style="0" customWidth="1"/>
    <col min="3" max="3" width="15.57421875" style="0" customWidth="1"/>
    <col min="5" max="5" width="12.57421875" style="0" bestFit="1" customWidth="1"/>
    <col min="6" max="6" width="12.421875" style="0" customWidth="1"/>
    <col min="7" max="7" width="10.7109375" style="0" customWidth="1"/>
  </cols>
  <sheetData>
    <row r="1" spans="1:8" ht="15">
      <c r="A1" s="136" t="s">
        <v>1</v>
      </c>
      <c r="B1" s="136"/>
      <c r="C1" s="136"/>
      <c r="D1" s="136"/>
      <c r="E1" s="136"/>
      <c r="F1" s="136"/>
      <c r="G1" s="136"/>
      <c r="H1" s="136"/>
    </row>
    <row r="2" spans="1:8" ht="15">
      <c r="A2" s="5" t="s">
        <v>2</v>
      </c>
      <c r="B2" s="6" t="s">
        <v>3</v>
      </c>
      <c r="C2" s="6" t="s">
        <v>4</v>
      </c>
      <c r="D2" s="6" t="s">
        <v>5</v>
      </c>
      <c r="E2" s="7" t="s">
        <v>6</v>
      </c>
      <c r="F2" s="7" t="s">
        <v>7</v>
      </c>
      <c r="G2" s="7" t="s">
        <v>8</v>
      </c>
      <c r="H2" s="6" t="s">
        <v>9</v>
      </c>
    </row>
    <row r="3" spans="1:8" ht="15">
      <c r="A3" s="5" t="s">
        <v>10</v>
      </c>
      <c r="B3" s="8">
        <f>52*5/12</f>
        <v>21.666666666666668</v>
      </c>
      <c r="C3" s="9">
        <f>$B$3*2</f>
        <v>43.333333333333336</v>
      </c>
      <c r="D3" s="9">
        <f>$B$3*3</f>
        <v>65</v>
      </c>
      <c r="E3" s="9">
        <f>$B$3*4</f>
        <v>86.66666666666667</v>
      </c>
      <c r="F3" s="9">
        <f>$B$3*5</f>
        <v>108.33333333333334</v>
      </c>
      <c r="G3" s="9">
        <f>$B$3*6</f>
        <v>130</v>
      </c>
      <c r="H3" s="9">
        <f>$B$3*7</f>
        <v>151.66666666666669</v>
      </c>
    </row>
    <row r="4" spans="1:8" ht="15">
      <c r="A4" s="5" t="s">
        <v>11</v>
      </c>
      <c r="B4" s="8">
        <f>52*4/12</f>
        <v>17.333333333333332</v>
      </c>
      <c r="C4" s="9">
        <f>$B$4*2</f>
        <v>34.666666666666664</v>
      </c>
      <c r="D4" s="9">
        <f>$B$4*3</f>
        <v>52</v>
      </c>
      <c r="E4" s="9">
        <f>$B$4*4</f>
        <v>69.33333333333333</v>
      </c>
      <c r="F4" s="9">
        <f>$B$4*5</f>
        <v>86.66666666666666</v>
      </c>
      <c r="G4" s="9">
        <f>$B$4*6</f>
        <v>104</v>
      </c>
      <c r="H4" s="9">
        <f>$B$4*7</f>
        <v>121.33333333333333</v>
      </c>
    </row>
    <row r="5" spans="1:8" ht="15">
      <c r="A5" s="5" t="s">
        <v>12</v>
      </c>
      <c r="B5" s="8">
        <f>52*3/12</f>
        <v>13</v>
      </c>
      <c r="C5" s="9">
        <f>$B$5*2</f>
        <v>26</v>
      </c>
      <c r="D5" s="9">
        <f>$B$5*3</f>
        <v>39</v>
      </c>
      <c r="E5" s="9">
        <f>$B$5*4</f>
        <v>52</v>
      </c>
      <c r="F5" s="9">
        <f>$B$5*5</f>
        <v>65</v>
      </c>
      <c r="G5" s="9">
        <f>$B$5*6</f>
        <v>78</v>
      </c>
      <c r="H5" s="9">
        <f>$B$5*7</f>
        <v>91</v>
      </c>
    </row>
    <row r="6" spans="1:8" ht="15">
      <c r="A6" s="5" t="s">
        <v>13</v>
      </c>
      <c r="B6" s="8">
        <f>52*2/12</f>
        <v>8.666666666666666</v>
      </c>
      <c r="C6" s="10">
        <f>$B$6*2</f>
        <v>17.333333333333332</v>
      </c>
      <c r="D6" s="10">
        <f>$B$6*3</f>
        <v>26</v>
      </c>
      <c r="E6" s="10">
        <f>$B$6*4</f>
        <v>34.666666666666664</v>
      </c>
      <c r="F6" s="10">
        <f>$B$6*5</f>
        <v>43.33333333333333</v>
      </c>
      <c r="G6" s="10">
        <f>$B$6*6</f>
        <v>52</v>
      </c>
      <c r="H6" s="10">
        <f>$B$6*7</f>
        <v>60.666666666666664</v>
      </c>
    </row>
    <row r="7" spans="1:8" ht="15">
      <c r="A7" s="5" t="s">
        <v>14</v>
      </c>
      <c r="B7" s="8">
        <f>52/12</f>
        <v>4.333333333333333</v>
      </c>
      <c r="C7" s="10">
        <f>$B$7*2</f>
        <v>8.666666666666666</v>
      </c>
      <c r="D7" s="10">
        <f>$B$7*3</f>
        <v>13</v>
      </c>
      <c r="E7" s="10">
        <f>$B$7*4</f>
        <v>17.333333333333332</v>
      </c>
      <c r="F7" s="10">
        <f>$B$7*5</f>
        <v>21.666666666666664</v>
      </c>
      <c r="G7" s="10">
        <f>$B$7*6</f>
        <v>26</v>
      </c>
      <c r="H7" s="10">
        <f>$B$7*7</f>
        <v>30.333333333333332</v>
      </c>
    </row>
    <row r="8" spans="1:8" ht="15">
      <c r="A8" s="5" t="s">
        <v>15</v>
      </c>
      <c r="B8" s="8">
        <f>26/12</f>
        <v>2.1666666666666665</v>
      </c>
      <c r="C8" s="10">
        <f>$B$8*2</f>
        <v>4.333333333333333</v>
      </c>
      <c r="D8" s="10">
        <f>$B$8*3</f>
        <v>6.5</v>
      </c>
      <c r="E8" s="10">
        <f>$B$8*4</f>
        <v>8.666666666666666</v>
      </c>
      <c r="F8" s="10">
        <f>$B$8*5</f>
        <v>10.833333333333332</v>
      </c>
      <c r="G8" s="10">
        <f>$B$8*6</f>
        <v>13</v>
      </c>
      <c r="H8" s="10">
        <f>$B$8*7</f>
        <v>15.166666666666666</v>
      </c>
    </row>
    <row r="9" spans="1:8" ht="15">
      <c r="A9" s="5" t="s">
        <v>16</v>
      </c>
      <c r="B9" s="8">
        <f>12/12</f>
        <v>1</v>
      </c>
      <c r="C9" s="10">
        <f>$B$9*2</f>
        <v>2</v>
      </c>
      <c r="D9" s="10">
        <f>$B$9*3</f>
        <v>3</v>
      </c>
      <c r="E9" s="10">
        <f>$B$9*4</f>
        <v>4</v>
      </c>
      <c r="F9" s="10">
        <f>$B$9*5</f>
        <v>5</v>
      </c>
      <c r="G9" s="10">
        <f>$B$9*6</f>
        <v>6</v>
      </c>
      <c r="H9" s="10">
        <f>$B$9*7</f>
        <v>7</v>
      </c>
    </row>
    <row r="10" spans="1:8" ht="15">
      <c r="A10" s="5"/>
      <c r="B10" s="8"/>
      <c r="C10" s="10"/>
      <c r="D10" s="10"/>
      <c r="E10" s="10"/>
      <c r="F10" s="10"/>
      <c r="G10" s="10"/>
      <c r="H10" s="10"/>
    </row>
    <row r="11" spans="1:8" ht="15">
      <c r="A11" s="136" t="s">
        <v>17</v>
      </c>
      <c r="B11" s="136"/>
      <c r="C11" s="10"/>
      <c r="D11" s="10"/>
      <c r="E11" s="10"/>
      <c r="F11" s="10"/>
      <c r="G11" s="10"/>
      <c r="H11" s="10"/>
    </row>
    <row r="12" spans="1:8" ht="15">
      <c r="A12" s="11" t="s">
        <v>18</v>
      </c>
      <c r="B12" s="12" t="s">
        <v>19</v>
      </c>
      <c r="C12" s="10"/>
      <c r="D12" s="10"/>
      <c r="E12" s="10"/>
      <c r="F12" s="10"/>
      <c r="G12" s="10"/>
      <c r="H12" s="10"/>
    </row>
    <row r="13" spans="1:8" ht="15">
      <c r="A13" s="13" t="s">
        <v>20</v>
      </c>
      <c r="B13" s="14">
        <v>20</v>
      </c>
      <c r="C13" s="10"/>
      <c r="D13" s="10"/>
      <c r="E13" s="10"/>
      <c r="F13" s="10"/>
      <c r="G13" s="10"/>
      <c r="H13" s="10"/>
    </row>
    <row r="14" spans="1:8" ht="15">
      <c r="A14" s="13" t="s">
        <v>21</v>
      </c>
      <c r="B14" s="14">
        <v>34</v>
      </c>
      <c r="C14" s="10"/>
      <c r="D14" s="10"/>
      <c r="E14" s="10"/>
      <c r="F14" s="10"/>
      <c r="G14" s="10"/>
      <c r="H14" s="10"/>
    </row>
    <row r="15" spans="1:8" ht="15">
      <c r="A15" s="13" t="s">
        <v>22</v>
      </c>
      <c r="B15" s="14">
        <v>51</v>
      </c>
      <c r="C15" s="10"/>
      <c r="D15" s="10"/>
      <c r="E15" s="10"/>
      <c r="F15" s="10"/>
      <c r="G15" s="10"/>
      <c r="H15" s="10"/>
    </row>
    <row r="16" spans="1:8" ht="15">
      <c r="A16" s="13" t="s">
        <v>23</v>
      </c>
      <c r="B16" s="14">
        <v>77</v>
      </c>
      <c r="C16" s="10"/>
      <c r="D16" s="10"/>
      <c r="E16" s="10"/>
      <c r="F16" s="5" t="s">
        <v>24</v>
      </c>
      <c r="G16" s="14">
        <v>2000</v>
      </c>
      <c r="H16" s="10"/>
    </row>
    <row r="17" spans="1:8" ht="15">
      <c r="A17" s="13" t="s">
        <v>25</v>
      </c>
      <c r="B17" s="14">
        <v>97</v>
      </c>
      <c r="C17" s="10"/>
      <c r="D17" s="10"/>
      <c r="E17" s="10"/>
      <c r="F17" s="5" t="s">
        <v>26</v>
      </c>
      <c r="G17" s="15" t="s">
        <v>27</v>
      </c>
      <c r="H17" s="10"/>
    </row>
    <row r="18" spans="1:8" ht="15">
      <c r="A18" s="13" t="s">
        <v>28</v>
      </c>
      <c r="B18" s="14">
        <v>117</v>
      </c>
      <c r="C18" s="10"/>
      <c r="D18" s="10"/>
      <c r="E18" s="10"/>
      <c r="F18" s="5"/>
      <c r="G18" s="5"/>
      <c r="H18" s="10"/>
    </row>
    <row r="19" spans="1:8" ht="15">
      <c r="A19" s="13" t="s">
        <v>29</v>
      </c>
      <c r="B19" s="14">
        <v>157</v>
      </c>
      <c r="C19" s="10"/>
      <c r="D19" s="10"/>
      <c r="E19" s="10"/>
      <c r="F19" s="16"/>
      <c r="G19" s="17"/>
      <c r="H19" s="10"/>
    </row>
    <row r="20" spans="1:8" ht="15">
      <c r="A20" s="13" t="s">
        <v>30</v>
      </c>
      <c r="B20" s="14">
        <v>37</v>
      </c>
      <c r="C20" s="10" t="s">
        <v>31</v>
      </c>
      <c r="D20" s="10"/>
      <c r="E20" s="10"/>
      <c r="F20" s="16"/>
      <c r="G20" s="17"/>
      <c r="H20" s="10"/>
    </row>
    <row r="21" spans="1:8" ht="15">
      <c r="A21" s="13" t="s">
        <v>32</v>
      </c>
      <c r="B21" s="14">
        <v>47</v>
      </c>
      <c r="C21" s="10"/>
      <c r="D21" s="10"/>
      <c r="E21" s="10"/>
      <c r="F21" s="10"/>
      <c r="G21" s="10"/>
      <c r="H21" s="10"/>
    </row>
    <row r="22" spans="1:8" ht="15">
      <c r="A22" s="13" t="s">
        <v>33</v>
      </c>
      <c r="B22" s="14">
        <v>68</v>
      </c>
      <c r="C22" s="10"/>
      <c r="D22" s="10"/>
      <c r="E22" s="10"/>
      <c r="F22" s="10"/>
      <c r="G22" s="10"/>
      <c r="H22" s="10"/>
    </row>
    <row r="23" spans="1:8" ht="15">
      <c r="A23" s="13" t="s">
        <v>34</v>
      </c>
      <c r="B23" s="14">
        <v>34</v>
      </c>
      <c r="C23" s="10"/>
      <c r="D23" s="10"/>
      <c r="E23" s="10"/>
      <c r="F23" s="10"/>
      <c r="G23" s="10"/>
      <c r="H23" s="10"/>
    </row>
    <row r="24" spans="1:8" ht="15">
      <c r="A24" s="13" t="s">
        <v>35</v>
      </c>
      <c r="B24" s="14">
        <v>34</v>
      </c>
      <c r="C24" s="10"/>
      <c r="D24" s="10"/>
      <c r="E24" s="10"/>
      <c r="F24" s="10"/>
      <c r="G24" s="10"/>
      <c r="H24" s="10"/>
    </row>
    <row r="25" spans="1:8" ht="15">
      <c r="A25" s="11" t="s">
        <v>36</v>
      </c>
      <c r="B25" s="14"/>
      <c r="C25" s="10"/>
      <c r="D25" s="10"/>
      <c r="E25" s="10"/>
      <c r="F25" s="10"/>
      <c r="G25" s="10"/>
      <c r="H25" s="10"/>
    </row>
    <row r="26" spans="1:8" ht="15">
      <c r="A26" s="13" t="s">
        <v>37</v>
      </c>
      <c r="B26" s="14">
        <v>29</v>
      </c>
      <c r="C26" s="10"/>
      <c r="D26" s="10"/>
      <c r="E26" s="10"/>
      <c r="F26" s="10"/>
      <c r="G26" s="10"/>
      <c r="H26" s="10"/>
    </row>
    <row r="27" spans="1:8" ht="15">
      <c r="A27" s="13" t="s">
        <v>38</v>
      </c>
      <c r="B27" s="14">
        <v>175</v>
      </c>
      <c r="C27" s="10"/>
      <c r="D27" s="10"/>
      <c r="E27" s="10"/>
      <c r="F27" s="10"/>
      <c r="G27" s="10"/>
      <c r="H27" s="10"/>
    </row>
    <row r="28" spans="1:8" ht="15">
      <c r="A28" s="13" t="s">
        <v>39</v>
      </c>
      <c r="B28" s="14">
        <v>250</v>
      </c>
      <c r="C28" s="10"/>
      <c r="D28" s="10"/>
      <c r="E28" s="10"/>
      <c r="F28" s="10"/>
      <c r="G28" s="10"/>
      <c r="H28" s="10"/>
    </row>
    <row r="29" spans="1:8" ht="15">
      <c r="A29" s="13" t="s">
        <v>40</v>
      </c>
      <c r="B29" s="14">
        <v>324</v>
      </c>
      <c r="C29" s="10"/>
      <c r="D29" s="10"/>
      <c r="E29" s="10"/>
      <c r="F29" s="10"/>
      <c r="G29" s="10"/>
      <c r="H29" s="10"/>
    </row>
    <row r="30" spans="1:8" ht="15">
      <c r="A30" s="13" t="s">
        <v>41</v>
      </c>
      <c r="B30" s="14">
        <v>473</v>
      </c>
      <c r="C30" s="10"/>
      <c r="D30" s="10"/>
      <c r="E30" s="10"/>
      <c r="F30" s="10"/>
      <c r="G30" s="10"/>
      <c r="H30" s="10"/>
    </row>
    <row r="31" spans="1:8" ht="15">
      <c r="A31" s="13" t="s">
        <v>42</v>
      </c>
      <c r="B31" s="14">
        <v>613</v>
      </c>
      <c r="C31" s="10"/>
      <c r="D31" s="10"/>
      <c r="E31" s="10"/>
      <c r="F31" s="10"/>
      <c r="G31" s="10"/>
      <c r="H31" s="10"/>
    </row>
    <row r="32" spans="1:8" ht="15">
      <c r="A32" s="13" t="s">
        <v>43</v>
      </c>
      <c r="B32" s="14">
        <v>840</v>
      </c>
      <c r="C32" s="10"/>
      <c r="D32" s="10"/>
      <c r="E32" s="10"/>
      <c r="F32" s="10"/>
      <c r="G32" s="10"/>
      <c r="H32" s="10"/>
    </row>
    <row r="33" spans="1:8" ht="15">
      <c r="A33" s="13" t="s">
        <v>44</v>
      </c>
      <c r="B33" s="14">
        <v>980</v>
      </c>
      <c r="C33" s="10"/>
      <c r="D33" s="10"/>
      <c r="E33" s="10"/>
      <c r="F33" s="10"/>
      <c r="G33" s="10"/>
      <c r="H33" s="10"/>
    </row>
    <row r="34" spans="1:8" ht="15">
      <c r="A34" s="13" t="s">
        <v>45</v>
      </c>
      <c r="B34" s="14">
        <v>482</v>
      </c>
      <c r="C34" s="10" t="s">
        <v>31</v>
      </c>
      <c r="D34" s="10"/>
      <c r="E34" s="10"/>
      <c r="F34" s="10"/>
      <c r="G34" s="10"/>
      <c r="H34" s="10"/>
    </row>
    <row r="35" spans="1:8" ht="15">
      <c r="A35" s="13" t="s">
        <v>46</v>
      </c>
      <c r="B35" s="14">
        <v>689</v>
      </c>
      <c r="C35" s="10" t="s">
        <v>31</v>
      </c>
      <c r="D35" s="10"/>
      <c r="E35" s="10"/>
      <c r="F35" s="10"/>
      <c r="G35" s="10"/>
      <c r="H35" s="10"/>
    </row>
    <row r="36" spans="1:8" ht="15">
      <c r="A36" s="13" t="s">
        <v>47</v>
      </c>
      <c r="B36" s="14">
        <v>892</v>
      </c>
      <c r="C36" s="10" t="s">
        <v>31</v>
      </c>
      <c r="D36" s="10"/>
      <c r="E36" s="10"/>
      <c r="F36" s="10"/>
      <c r="G36" s="10"/>
      <c r="H36" s="10"/>
    </row>
    <row r="37" spans="1:8" ht="15">
      <c r="A37" s="13" t="s">
        <v>48</v>
      </c>
      <c r="B37" s="14">
        <v>1301</v>
      </c>
      <c r="C37" s="10"/>
      <c r="D37" s="10"/>
      <c r="E37" s="10"/>
      <c r="F37" s="10"/>
      <c r="G37" s="10"/>
      <c r="H37" s="10"/>
    </row>
    <row r="38" spans="1:8" ht="15">
      <c r="A38" s="13" t="s">
        <v>49</v>
      </c>
      <c r="B38" s="14">
        <v>1686</v>
      </c>
      <c r="C38" s="10"/>
      <c r="D38" s="10"/>
      <c r="E38" s="10"/>
      <c r="F38" s="10"/>
      <c r="G38" s="10"/>
      <c r="H38" s="10"/>
    </row>
    <row r="39" spans="1:8" ht="15">
      <c r="A39" s="13" t="s">
        <v>50</v>
      </c>
      <c r="B39" s="14">
        <v>2046</v>
      </c>
      <c r="C39" s="10"/>
      <c r="D39" s="10"/>
      <c r="E39" s="10"/>
      <c r="F39" s="10"/>
      <c r="G39" s="10"/>
      <c r="H39" s="10"/>
    </row>
    <row r="40" spans="1:8" ht="15">
      <c r="A40" s="13" t="s">
        <v>51</v>
      </c>
      <c r="B40" s="14">
        <v>2310</v>
      </c>
      <c r="C40" s="10"/>
      <c r="D40" s="10"/>
      <c r="E40" s="10"/>
      <c r="F40" s="10"/>
      <c r="G40" s="10"/>
      <c r="H40" s="10"/>
    </row>
    <row r="41" spans="1:8" ht="15">
      <c r="A41" s="13" t="s">
        <v>52</v>
      </c>
      <c r="B41" s="14">
        <v>2800</v>
      </c>
      <c r="C41" s="10" t="s">
        <v>31</v>
      </c>
      <c r="D41" s="10"/>
      <c r="E41" s="10"/>
      <c r="F41" s="10"/>
      <c r="G41" s="10"/>
      <c r="H41" s="10"/>
    </row>
    <row r="42" spans="1:8" ht="15">
      <c r="A42" s="13" t="s">
        <v>53</v>
      </c>
      <c r="B42" s="14">
        <v>125</v>
      </c>
      <c r="C42" s="10"/>
      <c r="D42" s="10"/>
      <c r="E42" s="10"/>
      <c r="F42" s="10"/>
      <c r="G42" s="10"/>
      <c r="H42" s="10"/>
    </row>
    <row r="43" spans="1:8" ht="15">
      <c r="A43" s="5"/>
      <c r="B43" s="137" t="s">
        <v>54</v>
      </c>
      <c r="C43" s="137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18" t="s">
        <v>180</v>
      </c>
      <c r="B46" s="19" t="s">
        <v>55</v>
      </c>
      <c r="C46" s="19" t="s">
        <v>56</v>
      </c>
      <c r="D46" s="5"/>
      <c r="E46" s="5"/>
      <c r="F46" s="138" t="s">
        <v>57</v>
      </c>
      <c r="G46" s="138"/>
      <c r="H46" s="5"/>
    </row>
    <row r="47" spans="1:8" ht="15">
      <c r="A47" s="20" t="s">
        <v>58</v>
      </c>
      <c r="B47" s="92">
        <v>107.53</v>
      </c>
      <c r="C47" s="93">
        <f>B47/2000</f>
        <v>0.053765</v>
      </c>
      <c r="D47" s="5"/>
      <c r="E47" s="5"/>
      <c r="F47" s="5" t="s">
        <v>59</v>
      </c>
      <c r="G47" s="21">
        <f>0.015</f>
        <v>0.015</v>
      </c>
      <c r="H47" s="5"/>
    </row>
    <row r="48" spans="1:8" ht="15">
      <c r="A48" s="20" t="s">
        <v>60</v>
      </c>
      <c r="B48" s="91">
        <v>110.65</v>
      </c>
      <c r="C48" s="94">
        <f>B48/2000</f>
        <v>0.055325000000000006</v>
      </c>
      <c r="D48" s="5"/>
      <c r="E48" s="5"/>
      <c r="F48" s="5" t="s">
        <v>61</v>
      </c>
      <c r="G48" s="22">
        <f>0.0051</f>
        <v>0.0051</v>
      </c>
      <c r="H48" s="5"/>
    </row>
    <row r="49" spans="1:8" ht="15">
      <c r="A49" s="13" t="s">
        <v>62</v>
      </c>
      <c r="B49" s="92">
        <f>B48-B47</f>
        <v>3.1200000000000045</v>
      </c>
      <c r="C49" s="95">
        <f>C48-C47</f>
        <v>0.0015600000000000058</v>
      </c>
      <c r="D49" s="5"/>
      <c r="E49" s="5"/>
      <c r="F49" s="5" t="s">
        <v>63</v>
      </c>
      <c r="G49" s="23">
        <v>0.0075</v>
      </c>
      <c r="H49" s="5"/>
    </row>
    <row r="50" spans="1:8" ht="15">
      <c r="A50" s="5"/>
      <c r="B50" s="134">
        <f>+B49/B47</f>
        <v>0.02901515856040179</v>
      </c>
      <c r="C50" s="5"/>
      <c r="D50" s="5"/>
      <c r="E50" s="5"/>
      <c r="F50" s="5" t="s">
        <v>0</v>
      </c>
      <c r="G50" s="24">
        <f>SUM(G47:G49)</f>
        <v>0.0276</v>
      </c>
      <c r="H50" s="5"/>
    </row>
    <row r="51" spans="1:8" ht="15">
      <c r="A51" s="18" t="s">
        <v>182</v>
      </c>
      <c r="B51" s="19" t="s">
        <v>55</v>
      </c>
      <c r="C51" s="19" t="s">
        <v>56</v>
      </c>
      <c r="D51" s="5"/>
      <c r="E51" s="5"/>
      <c r="F51" s="5"/>
      <c r="G51" s="24"/>
      <c r="H51" s="5"/>
    </row>
    <row r="52" spans="1:8" ht="15">
      <c r="A52" s="99" t="s">
        <v>58</v>
      </c>
      <c r="B52" s="92">
        <v>104.5</v>
      </c>
      <c r="C52" s="93">
        <f>B52/2000</f>
        <v>0.05225</v>
      </c>
      <c r="D52" s="5"/>
      <c r="E52" s="5"/>
      <c r="F52" s="5"/>
      <c r="G52" s="24"/>
      <c r="H52" s="5"/>
    </row>
    <row r="53" spans="1:8" ht="15">
      <c r="A53" s="99" t="s">
        <v>60</v>
      </c>
      <c r="B53" s="91">
        <v>108</v>
      </c>
      <c r="C53" s="94">
        <f>B53/2000</f>
        <v>0.054</v>
      </c>
      <c r="D53" s="5"/>
      <c r="E53" s="5"/>
      <c r="F53" s="5" t="s">
        <v>65</v>
      </c>
      <c r="G53" s="27">
        <f>1-G50</f>
        <v>0.9724</v>
      </c>
      <c r="H53" s="5"/>
    </row>
    <row r="54" spans="1:8" ht="15">
      <c r="A54" s="13" t="s">
        <v>62</v>
      </c>
      <c r="B54" s="92">
        <f>B53-B52</f>
        <v>3.5</v>
      </c>
      <c r="C54" s="95">
        <f>C53-C52</f>
        <v>0.0017500000000000016</v>
      </c>
      <c r="D54" s="5"/>
      <c r="E54" s="5"/>
      <c r="F54" s="5"/>
      <c r="G54" s="24"/>
      <c r="H54" s="5"/>
    </row>
    <row r="55" spans="1:8" ht="15">
      <c r="A55" s="5"/>
      <c r="B55" s="134">
        <f>+B54/B52</f>
        <v>0.03349282296650718</v>
      </c>
      <c r="C55" s="5"/>
      <c r="D55" s="5"/>
      <c r="E55" s="5"/>
      <c r="F55" s="5"/>
      <c r="G55" s="24"/>
      <c r="H55" s="5"/>
    </row>
    <row r="56" spans="1:8" ht="15">
      <c r="A56" s="5"/>
      <c r="B56" s="5"/>
      <c r="C56" s="5"/>
      <c r="D56" s="5"/>
      <c r="E56" s="5"/>
      <c r="F56" s="5"/>
      <c r="G56" s="24"/>
      <c r="H56" s="5"/>
    </row>
    <row r="57" spans="1:8" ht="15">
      <c r="A57" s="5"/>
      <c r="B57" s="25" t="s">
        <v>180</v>
      </c>
      <c r="C57" s="25" t="s">
        <v>181</v>
      </c>
      <c r="D57" s="5"/>
      <c r="E57" s="5"/>
      <c r="F57" s="5"/>
      <c r="G57" s="5"/>
      <c r="H57" s="5"/>
    </row>
    <row r="58" spans="1:8" ht="15">
      <c r="A58" s="5" t="s">
        <v>64</v>
      </c>
      <c r="B58" s="26">
        <f>B49</f>
        <v>3.1200000000000045</v>
      </c>
      <c r="C58" s="26">
        <f>B54</f>
        <v>3.5</v>
      </c>
      <c r="D58" s="5"/>
      <c r="E58" s="5"/>
      <c r="H58" s="5"/>
    </row>
    <row r="59" spans="1:8" ht="15">
      <c r="A59" s="5" t="s">
        <v>66</v>
      </c>
      <c r="B59" s="26">
        <f>B58/$G$53</f>
        <v>3.2085561497326247</v>
      </c>
      <c r="C59" s="26">
        <f>C58/$G$53</f>
        <v>3.5993418346359523</v>
      </c>
      <c r="D59" s="5"/>
      <c r="E59" s="5"/>
      <c r="F59" s="5"/>
      <c r="G59" s="5"/>
      <c r="H59" s="5"/>
    </row>
    <row r="60" spans="1:8" ht="15">
      <c r="A60" s="5" t="s">
        <v>67</v>
      </c>
      <c r="B60" s="28">
        <f>Calcs!F101</f>
        <v>1193.08</v>
      </c>
      <c r="C60" s="28">
        <f>Calcs!F100</f>
        <v>29072.72</v>
      </c>
      <c r="D60" s="5"/>
      <c r="E60" s="5"/>
      <c r="F60" s="5"/>
      <c r="G60" s="5"/>
      <c r="H60" s="5"/>
    </row>
    <row r="61" spans="1:8" ht="15">
      <c r="A61" s="11" t="s">
        <v>68</v>
      </c>
      <c r="B61" s="29">
        <f>B59*B60</f>
        <v>3828.0641711229996</v>
      </c>
      <c r="C61" s="29">
        <f>C59*C60</f>
        <v>104642.65734265734</v>
      </c>
      <c r="D61" s="5"/>
      <c r="E61" s="26">
        <f>B61+C61</f>
        <v>108470.72151378034</v>
      </c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  <row r="63" spans="1:8" ht="15">
      <c r="A63" s="5"/>
      <c r="B63" s="5"/>
      <c r="C63" s="5"/>
      <c r="D63" s="5"/>
      <c r="E63" s="5"/>
      <c r="F63" s="5"/>
      <c r="G63" s="5"/>
      <c r="H63" s="5"/>
    </row>
    <row r="64" spans="1:8" ht="15.75" thickBot="1">
      <c r="A64" s="5"/>
      <c r="B64" s="5"/>
      <c r="C64" s="5"/>
      <c r="D64" s="5"/>
      <c r="E64" s="5"/>
      <c r="F64" s="5"/>
      <c r="G64" s="5"/>
      <c r="H64" s="5"/>
    </row>
    <row r="65" spans="1:8" ht="15">
      <c r="A65" s="30" t="s">
        <v>69</v>
      </c>
      <c r="B65" s="31" t="s">
        <v>70</v>
      </c>
      <c r="C65" s="5"/>
      <c r="D65" s="26"/>
      <c r="E65" s="5"/>
      <c r="F65" s="5"/>
      <c r="G65" s="5"/>
      <c r="H65" s="5"/>
    </row>
    <row r="66" spans="1:8" ht="15">
      <c r="A66" s="32" t="s">
        <v>71</v>
      </c>
      <c r="B66" s="33">
        <f>+Calcs!S89</f>
        <v>113211.86269733022</v>
      </c>
      <c r="C66" s="5"/>
      <c r="D66" s="5"/>
      <c r="E66" s="5"/>
      <c r="F66" s="5"/>
      <c r="G66" s="5"/>
      <c r="H66" s="5"/>
    </row>
    <row r="67" spans="1:8" ht="15">
      <c r="A67" s="32" t="s">
        <v>72</v>
      </c>
      <c r="B67" s="33">
        <f>B66-C61-B61</f>
        <v>4741.141183549871</v>
      </c>
      <c r="C67" s="5"/>
      <c r="D67" s="5"/>
      <c r="E67" s="5"/>
      <c r="F67" s="5"/>
      <c r="G67" s="5"/>
      <c r="H67" s="5"/>
    </row>
    <row r="68" spans="1:8" ht="15">
      <c r="A68" s="32"/>
      <c r="B68" s="34"/>
      <c r="C68" s="5"/>
      <c r="D68" s="5"/>
      <c r="E68" s="5"/>
      <c r="F68" s="5"/>
      <c r="G68" s="5"/>
      <c r="H68" s="5"/>
    </row>
    <row r="69" spans="1:8" ht="15">
      <c r="A69" s="35" t="s">
        <v>73</v>
      </c>
      <c r="B69" s="36" t="s">
        <v>70</v>
      </c>
      <c r="C69" s="5"/>
      <c r="D69" s="5"/>
      <c r="E69" s="5"/>
      <c r="F69" s="5"/>
      <c r="G69" s="5"/>
      <c r="H69" s="5"/>
    </row>
    <row r="70" spans="1:8" ht="15">
      <c r="A70" s="32" t="s">
        <v>74</v>
      </c>
      <c r="B70" s="37">
        <f>Calcs!S89</f>
        <v>113211.86269733022</v>
      </c>
      <c r="C70" s="5"/>
      <c r="D70" s="5"/>
      <c r="E70" s="5"/>
      <c r="F70" s="5"/>
      <c r="G70" s="5"/>
      <c r="H70" s="5"/>
    </row>
    <row r="71" spans="1:8" ht="15.75" thickBot="1">
      <c r="A71" s="38" t="s">
        <v>72</v>
      </c>
      <c r="B71" s="39">
        <f>B70-B61-C61</f>
        <v>4741.141183549873</v>
      </c>
      <c r="C71" s="26"/>
      <c r="D71" s="5"/>
      <c r="E71" s="5"/>
      <c r="F71" s="5"/>
      <c r="G71" s="5"/>
      <c r="H71" s="5"/>
    </row>
  </sheetData>
  <sheetProtection/>
  <mergeCells count="4">
    <mergeCell ref="A1:H1"/>
    <mergeCell ref="A11:B11"/>
    <mergeCell ref="B43:C43"/>
    <mergeCell ref="F46:G46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Z126"/>
  <sheetViews>
    <sheetView tabSelected="1" zoomScale="80" zoomScaleNormal="80" zoomScalePageLayoutView="0" workbookViewId="0" topLeftCell="C1">
      <pane xSplit="2" ySplit="1" topLeftCell="E2" activePane="bottomRight" state="frozen"/>
      <selection pane="topLeft" activeCell="C1" sqref="C1"/>
      <selection pane="topRight" activeCell="E1" sqref="E1"/>
      <selection pane="bottomLeft" activeCell="C2" sqref="C2"/>
      <selection pane="bottomRight" activeCell="D100" sqref="D100"/>
    </sheetView>
  </sheetViews>
  <sheetFormatPr defaultColWidth="8.8515625" defaultRowHeight="15"/>
  <cols>
    <col min="1" max="1" width="4.57421875" style="45" customWidth="1"/>
    <col min="2" max="2" width="16.8515625" style="67" customWidth="1"/>
    <col min="3" max="3" width="31.421875" style="45" bestFit="1" customWidth="1"/>
    <col min="4" max="4" width="13.00390625" style="71" customWidth="1"/>
    <col min="5" max="5" width="13.57421875" style="45" customWidth="1"/>
    <col min="6" max="6" width="13.28125" style="45" customWidth="1"/>
    <col min="7" max="7" width="11.28125" style="45" bestFit="1" customWidth="1"/>
    <col min="8" max="8" width="19.57421875" style="45" bestFit="1" customWidth="1"/>
    <col min="9" max="9" width="13.28125" style="65" customWidth="1"/>
    <col min="10" max="10" width="14.140625" style="45" customWidth="1"/>
    <col min="11" max="11" width="14.28125" style="45" customWidth="1"/>
    <col min="12" max="13" width="10.7109375" style="45" customWidth="1"/>
    <col min="14" max="14" width="10.7109375" style="49" customWidth="1"/>
    <col min="15" max="15" width="15.00390625" style="124" bestFit="1" customWidth="1"/>
    <col min="16" max="16" width="14.8515625" style="124" customWidth="1"/>
    <col min="17" max="17" width="13.57421875" style="45" bestFit="1" customWidth="1"/>
    <col min="18" max="18" width="12.28125" style="124" bestFit="1" customWidth="1"/>
    <col min="19" max="19" width="11.421875" style="124" customWidth="1"/>
    <col min="20" max="16384" width="8.8515625" style="45" customWidth="1"/>
  </cols>
  <sheetData>
    <row r="1" spans="1:19" ht="60">
      <c r="A1" s="18"/>
      <c r="B1" s="40" t="s">
        <v>75</v>
      </c>
      <c r="C1" s="41" t="s">
        <v>76</v>
      </c>
      <c r="D1" s="40" t="s">
        <v>77</v>
      </c>
      <c r="E1" s="40" t="s">
        <v>186</v>
      </c>
      <c r="F1" s="119" t="s">
        <v>78</v>
      </c>
      <c r="G1" s="40" t="s">
        <v>17</v>
      </c>
      <c r="H1" s="42" t="s">
        <v>187</v>
      </c>
      <c r="I1" s="43" t="s">
        <v>79</v>
      </c>
      <c r="J1" s="44" t="s">
        <v>62</v>
      </c>
      <c r="K1" s="40" t="s">
        <v>80</v>
      </c>
      <c r="L1" s="42" t="s">
        <v>183</v>
      </c>
      <c r="M1" s="42" t="s">
        <v>81</v>
      </c>
      <c r="N1" s="42" t="s">
        <v>184</v>
      </c>
      <c r="O1" s="120" t="s">
        <v>82</v>
      </c>
      <c r="P1" s="120" t="s">
        <v>185</v>
      </c>
      <c r="Q1" s="40" t="s">
        <v>83</v>
      </c>
      <c r="R1" s="120" t="s">
        <v>84</v>
      </c>
      <c r="S1" s="125" t="s">
        <v>85</v>
      </c>
    </row>
    <row r="2" spans="1:26" s="49" customFormat="1" ht="15">
      <c r="A2" s="139" t="s">
        <v>86</v>
      </c>
      <c r="B2" s="46"/>
      <c r="C2" s="105" t="s">
        <v>94</v>
      </c>
      <c r="D2" s="106">
        <v>118</v>
      </c>
      <c r="E2" s="52">
        <v>1</v>
      </c>
      <c r="F2" s="88">
        <f aca="true" t="shared" si="0" ref="F2:F7">D2*E2*12</f>
        <v>1416</v>
      </c>
      <c r="G2" s="100">
        <f>References!$B$14</f>
        <v>34</v>
      </c>
      <c r="H2" s="73">
        <f aca="true" t="shared" si="1" ref="H2:H20">G2*F2</f>
        <v>48144</v>
      </c>
      <c r="I2" s="51">
        <f aca="true" t="shared" si="2" ref="I2:I20">$C$98*H2</f>
        <v>32806.96620615987</v>
      </c>
      <c r="J2" s="47">
        <f>((References!$C$49*I2)*$G$101)+((References!$C$54*I2)*$G$100)</f>
        <v>57.16647279960727</v>
      </c>
      <c r="K2" s="47">
        <f>J2/References!$G$53</f>
        <v>58.78905059605848</v>
      </c>
      <c r="L2" s="47">
        <f>(K2/F2)*E2</f>
        <v>0.041517691098911354</v>
      </c>
      <c r="M2" s="90">
        <v>7.09</v>
      </c>
      <c r="N2" s="114">
        <f aca="true" t="shared" si="3" ref="N2:N20">L2+M2</f>
        <v>7.131517691098911</v>
      </c>
      <c r="O2" s="126">
        <f>D2*M2*12</f>
        <v>10039.44</v>
      </c>
      <c r="P2" s="126">
        <f>D2*N2*12</f>
        <v>10098.22905059606</v>
      </c>
      <c r="Q2" s="48">
        <f aca="true" t="shared" si="4" ref="Q2:Q20">N2</f>
        <v>7.131517691098911</v>
      </c>
      <c r="R2" s="121">
        <f>D2*Q2*12</f>
        <v>10098.22905059606</v>
      </c>
      <c r="S2" s="121">
        <f aca="true" t="shared" si="5" ref="S2:S20">R2-O2</f>
        <v>58.78905059605859</v>
      </c>
      <c r="T2" s="133">
        <f>+N2/M2-1</f>
        <v>0.005855809745967777</v>
      </c>
      <c r="U2" s="131"/>
      <c r="V2" s="132"/>
      <c r="Z2" s="90"/>
    </row>
    <row r="3" spans="1:26" s="49" customFormat="1" ht="15">
      <c r="A3" s="139"/>
      <c r="B3" s="46"/>
      <c r="C3" s="105" t="s">
        <v>95</v>
      </c>
      <c r="D3" s="106">
        <v>129</v>
      </c>
      <c r="E3" s="52">
        <f>+E2</f>
        <v>1</v>
      </c>
      <c r="F3" s="88">
        <f t="shared" si="0"/>
        <v>1548</v>
      </c>
      <c r="G3" s="100">
        <f>References!B20</f>
        <v>37</v>
      </c>
      <c r="H3" s="73">
        <f t="shared" si="1"/>
        <v>57276</v>
      </c>
      <c r="I3" s="51">
        <f t="shared" si="2"/>
        <v>39029.82295663037</v>
      </c>
      <c r="J3" s="90">
        <f>((References!$C$49*I3)*$G$101)+((References!$C$54*I3)*$G$100)</f>
        <v>68.00986407590365</v>
      </c>
      <c r="K3" s="47">
        <f>J3/References!$G$53</f>
        <v>69.94021398180136</v>
      </c>
      <c r="L3" s="90">
        <f aca="true" t="shared" si="6" ref="L3:L20">(K3/F3)*E3</f>
        <v>0.04518101678410941</v>
      </c>
      <c r="M3" s="90">
        <v>8.29</v>
      </c>
      <c r="N3" s="114">
        <f t="shared" si="3"/>
        <v>8.335181016784109</v>
      </c>
      <c r="O3" s="126">
        <f>D3*M3*12</f>
        <v>12832.919999999998</v>
      </c>
      <c r="P3" s="126">
        <f>D3*N3*12</f>
        <v>12902.860213981801</v>
      </c>
      <c r="Q3" s="48">
        <f t="shared" si="4"/>
        <v>8.335181016784109</v>
      </c>
      <c r="R3" s="121">
        <f>D3*Q3*12</f>
        <v>12902.860213981801</v>
      </c>
      <c r="S3" s="121">
        <f t="shared" si="5"/>
        <v>69.94021398180303</v>
      </c>
      <c r="T3" s="133">
        <f aca="true" t="shared" si="7" ref="T3:T20">+N3/M3-1</f>
        <v>0.005450062338252071</v>
      </c>
      <c r="U3" s="131"/>
      <c r="V3" s="132"/>
      <c r="Z3" s="90"/>
    </row>
    <row r="4" spans="1:26" s="49" customFormat="1" ht="15">
      <c r="A4" s="139"/>
      <c r="B4" s="46"/>
      <c r="C4" s="105" t="s">
        <v>96</v>
      </c>
      <c r="D4" s="106">
        <v>147</v>
      </c>
      <c r="E4" s="52">
        <f>+E5</f>
        <v>4.333333333333333</v>
      </c>
      <c r="F4" s="88">
        <f t="shared" si="0"/>
        <v>7644</v>
      </c>
      <c r="G4" s="100">
        <f>References!B13</f>
        <v>20</v>
      </c>
      <c r="H4" s="73">
        <f t="shared" si="1"/>
        <v>152880</v>
      </c>
      <c r="I4" s="51">
        <f t="shared" si="2"/>
        <v>104177.65440340896</v>
      </c>
      <c r="J4" s="90">
        <f>((References!$C$49*I4)*$G$101)+((References!$C$54*I4)*$G$100)</f>
        <v>181.53062399476482</v>
      </c>
      <c r="K4" s="47">
        <f>J4/References!$G$53</f>
        <v>186.68307691769314</v>
      </c>
      <c r="L4" s="90">
        <f t="shared" si="6"/>
        <v>0.1058294086834995</v>
      </c>
      <c r="M4" s="90">
        <v>10.84</v>
      </c>
      <c r="N4" s="114">
        <f t="shared" si="3"/>
        <v>10.9458294086835</v>
      </c>
      <c r="O4" s="126">
        <f>D4*M4*12</f>
        <v>19121.760000000002</v>
      </c>
      <c r="P4" s="126">
        <f>D4*N4*12</f>
        <v>19308.44307691769</v>
      </c>
      <c r="Q4" s="48">
        <f t="shared" si="4"/>
        <v>10.9458294086835</v>
      </c>
      <c r="R4" s="121">
        <f>D4*Q4*12</f>
        <v>19308.44307691769</v>
      </c>
      <c r="S4" s="121">
        <f t="shared" si="5"/>
        <v>186.6830769176886</v>
      </c>
      <c r="T4" s="133">
        <f t="shared" si="7"/>
        <v>0.009762860579658694</v>
      </c>
      <c r="U4" s="131"/>
      <c r="V4" s="132"/>
      <c r="Z4" s="90"/>
    </row>
    <row r="5" spans="1:26" s="49" customFormat="1" ht="15">
      <c r="A5" s="139"/>
      <c r="B5" s="46"/>
      <c r="C5" s="105" t="s">
        <v>97</v>
      </c>
      <c r="D5" s="106">
        <v>1120</v>
      </c>
      <c r="E5" s="52">
        <f>References!B7</f>
        <v>4.333333333333333</v>
      </c>
      <c r="F5" s="88">
        <f t="shared" si="0"/>
        <v>58240</v>
      </c>
      <c r="G5" s="100">
        <f>References!B13</f>
        <v>20</v>
      </c>
      <c r="H5" s="73">
        <f t="shared" si="1"/>
        <v>1164800</v>
      </c>
      <c r="I5" s="51">
        <f t="shared" si="2"/>
        <v>793734.5097402587</v>
      </c>
      <c r="J5" s="90">
        <f>((References!$C$49*I5)*$G$101)+((References!$C$54*I5)*$G$100)</f>
        <v>1383.0904685315413</v>
      </c>
      <c r="K5" s="47">
        <f>J5/References!$G$53</f>
        <v>1422.3472527062333</v>
      </c>
      <c r="L5" s="90">
        <f t="shared" si="6"/>
        <v>0.1058294086834995</v>
      </c>
      <c r="M5" s="90">
        <v>11.84</v>
      </c>
      <c r="N5" s="114">
        <f t="shared" si="3"/>
        <v>11.9458294086835</v>
      </c>
      <c r="O5" s="126">
        <f>F5*M5</f>
        <v>689561.6</v>
      </c>
      <c r="P5" s="126">
        <f>N5*F5</f>
        <v>695725.104761727</v>
      </c>
      <c r="Q5" s="48">
        <f t="shared" si="4"/>
        <v>11.9458294086835</v>
      </c>
      <c r="R5" s="121">
        <f>F5*Q5</f>
        <v>695725.104761727</v>
      </c>
      <c r="S5" s="121">
        <f t="shared" si="5"/>
        <v>6163.504761727061</v>
      </c>
      <c r="T5" s="133">
        <f t="shared" si="7"/>
        <v>0.008938294652322654</v>
      </c>
      <c r="U5" s="131"/>
      <c r="V5" s="132"/>
      <c r="Z5" s="90"/>
    </row>
    <row r="6" spans="1:26" s="49" customFormat="1" ht="15">
      <c r="A6" s="139"/>
      <c r="B6" s="46"/>
      <c r="C6" s="105" t="s">
        <v>98</v>
      </c>
      <c r="D6" s="106">
        <v>4049</v>
      </c>
      <c r="E6" s="52">
        <f>References!B7</f>
        <v>4.333333333333333</v>
      </c>
      <c r="F6" s="88">
        <f t="shared" si="0"/>
        <v>210547.99999999997</v>
      </c>
      <c r="G6" s="100">
        <f>References!$B$14</f>
        <v>34</v>
      </c>
      <c r="H6" s="73">
        <f t="shared" si="1"/>
        <v>7158631.999999999</v>
      </c>
      <c r="I6" s="51">
        <f t="shared" si="2"/>
        <v>4878136.384727787</v>
      </c>
      <c r="J6" s="90">
        <f>((References!$C$49*I6)*$G$101)+((References!$C$54*I6)*$G$100)</f>
        <v>8500.202341109964</v>
      </c>
      <c r="K6" s="47">
        <f>J6/References!$G$53</f>
        <v>8741.466825493586</v>
      </c>
      <c r="L6" s="90">
        <f t="shared" si="6"/>
        <v>0.1799099947619492</v>
      </c>
      <c r="M6" s="90">
        <v>14.17</v>
      </c>
      <c r="N6" s="114">
        <f t="shared" si="3"/>
        <v>14.34990999476195</v>
      </c>
      <c r="O6" s="126">
        <f aca="true" t="shared" si="8" ref="O6:O19">D6*M6*12</f>
        <v>688491.96</v>
      </c>
      <c r="P6" s="126">
        <f aca="true" t="shared" si="9" ref="P6:P19">D6*N6*12</f>
        <v>697233.4268254936</v>
      </c>
      <c r="Q6" s="48">
        <f t="shared" si="4"/>
        <v>14.34990999476195</v>
      </c>
      <c r="R6" s="121">
        <f aca="true" t="shared" si="10" ref="R6:R19">D6*Q6*12</f>
        <v>697233.4268254936</v>
      </c>
      <c r="S6" s="121">
        <f t="shared" si="5"/>
        <v>8741.466825493611</v>
      </c>
      <c r="T6" s="133">
        <f t="shared" si="7"/>
        <v>0.012696541620462298</v>
      </c>
      <c r="U6" s="131"/>
      <c r="V6" s="132"/>
      <c r="Z6" s="90"/>
    </row>
    <row r="7" spans="1:26" s="49" customFormat="1" ht="15">
      <c r="A7" s="139"/>
      <c r="B7" s="46"/>
      <c r="C7" s="105" t="s">
        <v>99</v>
      </c>
      <c r="D7" s="106">
        <v>1155</v>
      </c>
      <c r="E7" s="52">
        <f>References!C7</f>
        <v>8.666666666666666</v>
      </c>
      <c r="F7" s="88">
        <f t="shared" si="0"/>
        <v>120120</v>
      </c>
      <c r="G7" s="100">
        <f>References!$B$14</f>
        <v>34</v>
      </c>
      <c r="H7" s="73">
        <f t="shared" si="1"/>
        <v>4084080</v>
      </c>
      <c r="I7" s="51">
        <f t="shared" si="2"/>
        <v>2783031.624776782</v>
      </c>
      <c r="J7" s="90">
        <f>((References!$C$49*I7)*$G$101)+((References!$C$54*I7)*$G$100)</f>
        <v>4849.460955288718</v>
      </c>
      <c r="K7" s="47">
        <f>J7/References!$G$53</f>
        <v>4987.105054801232</v>
      </c>
      <c r="L7" s="90">
        <f t="shared" si="6"/>
        <v>0.3598199895238984</v>
      </c>
      <c r="M7" s="90">
        <v>22.06</v>
      </c>
      <c r="N7" s="114">
        <f t="shared" si="3"/>
        <v>22.419819989523898</v>
      </c>
      <c r="O7" s="126">
        <f t="shared" si="8"/>
        <v>305751.6</v>
      </c>
      <c r="P7" s="126">
        <f t="shared" si="9"/>
        <v>310738.7050548012</v>
      </c>
      <c r="Q7" s="48">
        <f t="shared" si="4"/>
        <v>22.419819989523898</v>
      </c>
      <c r="R7" s="121">
        <f t="shared" si="10"/>
        <v>310738.7050548012</v>
      </c>
      <c r="S7" s="121">
        <f t="shared" si="5"/>
        <v>4987.105054801214</v>
      </c>
      <c r="T7" s="133">
        <f t="shared" si="7"/>
        <v>0.016310969606704306</v>
      </c>
      <c r="U7" s="131"/>
      <c r="V7" s="132"/>
      <c r="Z7" s="90"/>
    </row>
    <row r="8" spans="1:26" s="49" customFormat="1" ht="15">
      <c r="A8" s="139"/>
      <c r="B8" s="46"/>
      <c r="C8" s="105" t="s">
        <v>100</v>
      </c>
      <c r="D8" s="106">
        <v>64</v>
      </c>
      <c r="E8" s="52">
        <f>References!D7</f>
        <v>13</v>
      </c>
      <c r="F8" s="85">
        <f aca="true" t="shared" si="11" ref="F8:F19">D8*E8*12</f>
        <v>9984</v>
      </c>
      <c r="G8" s="100">
        <f>References!$B$14</f>
        <v>34</v>
      </c>
      <c r="H8" s="73">
        <f t="shared" si="1"/>
        <v>339456</v>
      </c>
      <c r="I8" s="51">
        <f t="shared" si="2"/>
        <v>231316.9142671611</v>
      </c>
      <c r="J8" s="90">
        <f>((References!$C$49*I8)*$G$101)+((References!$C$54*I8)*$G$100)</f>
        <v>403.0720794006207</v>
      </c>
      <c r="K8" s="47">
        <f>J8/References!$G$53</f>
        <v>414.5126279315309</v>
      </c>
      <c r="L8" s="90">
        <f t="shared" si="6"/>
        <v>0.5397299842858475</v>
      </c>
      <c r="M8" s="90">
        <v>29.95</v>
      </c>
      <c r="N8" s="114">
        <f t="shared" si="3"/>
        <v>30.489729984285848</v>
      </c>
      <c r="O8" s="126">
        <f t="shared" si="8"/>
        <v>23001.6</v>
      </c>
      <c r="P8" s="126">
        <f t="shared" si="9"/>
        <v>23416.112627931532</v>
      </c>
      <c r="Q8" s="48">
        <f t="shared" si="4"/>
        <v>30.489729984285848</v>
      </c>
      <c r="R8" s="121">
        <f t="shared" si="10"/>
        <v>23416.112627931532</v>
      </c>
      <c r="S8" s="121">
        <f t="shared" si="5"/>
        <v>414.51262793153364</v>
      </c>
      <c r="T8" s="133">
        <f t="shared" si="7"/>
        <v>0.018021034533751257</v>
      </c>
      <c r="U8" s="131"/>
      <c r="V8" s="132"/>
      <c r="Z8" s="90"/>
    </row>
    <row r="9" spans="1:26" s="49" customFormat="1" ht="15">
      <c r="A9" s="139"/>
      <c r="B9" s="46"/>
      <c r="C9" s="105" t="s">
        <v>101</v>
      </c>
      <c r="D9" s="106">
        <v>13</v>
      </c>
      <c r="E9" s="52">
        <f>References!E7</f>
        <v>17.333333333333332</v>
      </c>
      <c r="F9" s="85">
        <f t="shared" si="11"/>
        <v>2704</v>
      </c>
      <c r="G9" s="100">
        <f>References!$B$14</f>
        <v>34</v>
      </c>
      <c r="H9" s="73">
        <f t="shared" si="1"/>
        <v>91936</v>
      </c>
      <c r="I9" s="51">
        <f t="shared" si="2"/>
        <v>62648.33094735613</v>
      </c>
      <c r="J9" s="90">
        <f>((References!$C$49*I9)*$G$101)+((References!$C$54*I9)*$G$100)</f>
        <v>109.1653548376681</v>
      </c>
      <c r="K9" s="47">
        <f>J9/References!$G$53</f>
        <v>112.2638367314563</v>
      </c>
      <c r="L9" s="90">
        <f t="shared" si="6"/>
        <v>0.7196399790477968</v>
      </c>
      <c r="M9" s="90">
        <v>37.84</v>
      </c>
      <c r="N9" s="114">
        <f t="shared" si="3"/>
        <v>38.5596399790478</v>
      </c>
      <c r="O9" s="126">
        <f t="shared" si="8"/>
        <v>5903.040000000001</v>
      </c>
      <c r="P9" s="126">
        <f t="shared" si="9"/>
        <v>6015.303836731457</v>
      </c>
      <c r="Q9" s="48">
        <f t="shared" si="4"/>
        <v>38.5596399790478</v>
      </c>
      <c r="R9" s="121">
        <f t="shared" si="10"/>
        <v>6015.303836731457</v>
      </c>
      <c r="S9" s="121">
        <f t="shared" si="5"/>
        <v>112.26383673145574</v>
      </c>
      <c r="T9" s="133">
        <f t="shared" si="7"/>
        <v>0.019017969847986205</v>
      </c>
      <c r="U9" s="131"/>
      <c r="V9" s="132"/>
      <c r="Z9" s="90"/>
    </row>
    <row r="10" spans="1:26" s="49" customFormat="1" ht="15">
      <c r="A10" s="139"/>
      <c r="B10" s="46"/>
      <c r="C10" s="105" t="s">
        <v>102</v>
      </c>
      <c r="D10" s="106">
        <v>3</v>
      </c>
      <c r="E10" s="52">
        <f>References!F7</f>
        <v>21.666666666666664</v>
      </c>
      <c r="F10" s="85">
        <f t="shared" si="11"/>
        <v>780</v>
      </c>
      <c r="G10" s="100">
        <f>References!$B$14</f>
        <v>34</v>
      </c>
      <c r="H10" s="73">
        <f t="shared" si="1"/>
        <v>26520</v>
      </c>
      <c r="I10" s="51">
        <f t="shared" si="2"/>
        <v>18071.633927121962</v>
      </c>
      <c r="J10" s="90">
        <f>((References!$C$49*I10)*$G$101)+((References!$C$54*I10)*$G$100)</f>
        <v>31.49000620317349</v>
      </c>
      <c r="K10" s="47">
        <f>J10/References!$G$53</f>
        <v>32.38379905715085</v>
      </c>
      <c r="L10" s="90">
        <f t="shared" si="6"/>
        <v>0.8995499738097458</v>
      </c>
      <c r="M10" s="90">
        <v>45.74</v>
      </c>
      <c r="N10" s="114">
        <f t="shared" si="3"/>
        <v>46.63954997380975</v>
      </c>
      <c r="O10" s="126">
        <f t="shared" si="8"/>
        <v>1646.6399999999999</v>
      </c>
      <c r="P10" s="126">
        <f t="shared" si="9"/>
        <v>1679.0237990571509</v>
      </c>
      <c r="Q10" s="48">
        <f t="shared" si="4"/>
        <v>46.63954997380975</v>
      </c>
      <c r="R10" s="121">
        <f t="shared" si="10"/>
        <v>1679.0237990571509</v>
      </c>
      <c r="S10" s="121">
        <f t="shared" si="5"/>
        <v>32.38379905715101</v>
      </c>
      <c r="T10" s="133">
        <f t="shared" si="7"/>
        <v>0.019666593218402806</v>
      </c>
      <c r="U10" s="131"/>
      <c r="V10" s="132"/>
      <c r="Z10" s="90"/>
    </row>
    <row r="11" spans="1:26" s="49" customFormat="1" ht="15">
      <c r="A11" s="139"/>
      <c r="B11" s="46"/>
      <c r="C11" s="105" t="s">
        <v>103</v>
      </c>
      <c r="D11" s="106">
        <v>8197</v>
      </c>
      <c r="E11" s="52">
        <f>References!B7</f>
        <v>4.333333333333333</v>
      </c>
      <c r="F11" s="85">
        <f t="shared" si="11"/>
        <v>426243.99999999994</v>
      </c>
      <c r="G11" s="100">
        <f>References!$B$20</f>
        <v>37</v>
      </c>
      <c r="H11" s="73">
        <f t="shared" si="1"/>
        <v>15771027.999999998</v>
      </c>
      <c r="I11" s="51">
        <f t="shared" si="2"/>
        <v>10746917.219848808</v>
      </c>
      <c r="J11" s="90">
        <f>((References!$C$49*I11)*$G$101)+((References!$C$54*I11)*$G$100)</f>
        <v>18726.612728145654</v>
      </c>
      <c r="K11" s="47">
        <f>J11/References!$G$53</f>
        <v>19258.13731812593</v>
      </c>
      <c r="L11" s="90">
        <f t="shared" si="6"/>
        <v>0.19578440606447411</v>
      </c>
      <c r="M11" s="90">
        <v>15.28</v>
      </c>
      <c r="N11" s="114">
        <f t="shared" si="3"/>
        <v>15.475784406064474</v>
      </c>
      <c r="O11" s="126">
        <f t="shared" si="8"/>
        <v>1503001.92</v>
      </c>
      <c r="P11" s="126">
        <f t="shared" si="9"/>
        <v>1522260.0573181259</v>
      </c>
      <c r="Q11" s="48">
        <f t="shared" si="4"/>
        <v>15.475784406064474</v>
      </c>
      <c r="R11" s="121">
        <f t="shared" si="10"/>
        <v>1522260.0573181259</v>
      </c>
      <c r="S11" s="121">
        <f t="shared" si="5"/>
        <v>19258.137318125926</v>
      </c>
      <c r="T11" s="133">
        <f t="shared" si="7"/>
        <v>0.012813115580135648</v>
      </c>
      <c r="U11" s="131"/>
      <c r="V11" s="132"/>
      <c r="Z11" s="90"/>
    </row>
    <row r="12" spans="1:26" s="49" customFormat="1" ht="15">
      <c r="A12" s="139"/>
      <c r="B12" s="46"/>
      <c r="C12" s="105" t="s">
        <v>104</v>
      </c>
      <c r="D12" s="106">
        <v>24</v>
      </c>
      <c r="E12" s="52">
        <f>References!C7</f>
        <v>8.666666666666666</v>
      </c>
      <c r="F12" s="85">
        <f t="shared" si="11"/>
        <v>2496</v>
      </c>
      <c r="G12" s="100">
        <f>References!$B$20</f>
        <v>37</v>
      </c>
      <c r="H12" s="73">
        <f t="shared" si="1"/>
        <v>92352</v>
      </c>
      <c r="I12" s="51">
        <f t="shared" si="2"/>
        <v>62931.807557977656</v>
      </c>
      <c r="J12" s="90">
        <f>((References!$C$49*I12)*$G$101)+((References!$C$54*I12)*$G$100)</f>
        <v>109.65931571928652</v>
      </c>
      <c r="K12" s="47">
        <f>J12/References!$G$53</f>
        <v>112.7718178931371</v>
      </c>
      <c r="L12" s="90">
        <f t="shared" si="6"/>
        <v>0.39156881212894823</v>
      </c>
      <c r="M12" s="90">
        <f>+M11+8.41</f>
        <v>23.689999999999998</v>
      </c>
      <c r="N12" s="114">
        <f t="shared" si="3"/>
        <v>24.081568812128946</v>
      </c>
      <c r="O12" s="126">
        <f t="shared" si="8"/>
        <v>6822.719999999999</v>
      </c>
      <c r="P12" s="126">
        <f t="shared" si="9"/>
        <v>6935.491817893137</v>
      </c>
      <c r="Q12" s="48">
        <f t="shared" si="4"/>
        <v>24.081568812128946</v>
      </c>
      <c r="R12" s="121">
        <f t="shared" si="10"/>
        <v>6935.491817893137</v>
      </c>
      <c r="S12" s="121">
        <f t="shared" si="5"/>
        <v>112.77181789313727</v>
      </c>
      <c r="T12" s="133">
        <f t="shared" si="7"/>
        <v>0.016528865011774974</v>
      </c>
      <c r="U12" s="131"/>
      <c r="V12" s="135">
        <f>+N12-N11</f>
        <v>8.605784406064473</v>
      </c>
      <c r="W12" s="49">
        <v>6.49</v>
      </c>
      <c r="X12" s="49">
        <f>+W12*T12</f>
        <v>0.10727233392641958</v>
      </c>
      <c r="Y12" s="49">
        <f>+X12+W12</f>
        <v>6.59727233392642</v>
      </c>
      <c r="Z12" s="90"/>
    </row>
    <row r="13" spans="1:26" s="49" customFormat="1" ht="15">
      <c r="A13" s="139"/>
      <c r="B13" s="46"/>
      <c r="C13" s="105" t="s">
        <v>105</v>
      </c>
      <c r="D13" s="106">
        <v>1</v>
      </c>
      <c r="E13" s="52">
        <f>References!D7</f>
        <v>13</v>
      </c>
      <c r="F13" s="85">
        <f t="shared" si="11"/>
        <v>156</v>
      </c>
      <c r="G13" s="100">
        <f>References!$B$20</f>
        <v>37</v>
      </c>
      <c r="H13" s="73">
        <f t="shared" si="1"/>
        <v>5772</v>
      </c>
      <c r="I13" s="51">
        <f t="shared" si="2"/>
        <v>3933.2379723736035</v>
      </c>
      <c r="J13" s="90">
        <f>((References!$C$49*I13)*$G$101)+((References!$C$54*I13)*$G$100)</f>
        <v>6.853707232455408</v>
      </c>
      <c r="K13" s="47">
        <f>J13/References!$G$53</f>
        <v>7.048238618321069</v>
      </c>
      <c r="L13" s="90">
        <f t="shared" si="6"/>
        <v>0.5873532181934223</v>
      </c>
      <c r="M13" s="90">
        <f>+M12+8.41</f>
        <v>32.099999999999994</v>
      </c>
      <c r="N13" s="114">
        <f t="shared" si="3"/>
        <v>32.687353218193415</v>
      </c>
      <c r="O13" s="126">
        <f t="shared" si="8"/>
        <v>385.19999999999993</v>
      </c>
      <c r="P13" s="126">
        <f t="shared" si="9"/>
        <v>392.248238618321</v>
      </c>
      <c r="Q13" s="48">
        <f t="shared" si="4"/>
        <v>32.687353218193415</v>
      </c>
      <c r="R13" s="121">
        <f t="shared" si="10"/>
        <v>392.248238618321</v>
      </c>
      <c r="S13" s="121">
        <f t="shared" si="5"/>
        <v>7.048238618321079</v>
      </c>
      <c r="T13" s="133">
        <f t="shared" si="7"/>
        <v>0.018297608043408742</v>
      </c>
      <c r="U13" s="131"/>
      <c r="V13" s="135">
        <f>+N13-N12</f>
        <v>8.605784406064469</v>
      </c>
      <c r="Z13" s="90"/>
    </row>
    <row r="14" spans="1:26" s="49" customFormat="1" ht="15">
      <c r="A14" s="139"/>
      <c r="B14" s="46"/>
      <c r="C14" s="105" t="s">
        <v>106</v>
      </c>
      <c r="D14" s="106">
        <v>2</v>
      </c>
      <c r="E14" s="52">
        <f>References!E7</f>
        <v>17.333333333333332</v>
      </c>
      <c r="F14" s="85">
        <f t="shared" si="11"/>
        <v>416</v>
      </c>
      <c r="G14" s="100">
        <f>References!$B$20</f>
        <v>37</v>
      </c>
      <c r="H14" s="73">
        <f t="shared" si="1"/>
        <v>15392</v>
      </c>
      <c r="I14" s="51">
        <f t="shared" si="2"/>
        <v>10488.634592996275</v>
      </c>
      <c r="J14" s="90">
        <f>((References!$C$49*I14)*$G$101)+((References!$C$54*I14)*$G$100)</f>
        <v>18.276552619881084</v>
      </c>
      <c r="K14" s="47">
        <f>J14/References!$G$53</f>
        <v>18.795302982189515</v>
      </c>
      <c r="L14" s="90">
        <f t="shared" si="6"/>
        <v>0.7831376242578965</v>
      </c>
      <c r="M14" s="90">
        <f>+M13+8.41</f>
        <v>40.50999999999999</v>
      </c>
      <c r="N14" s="114">
        <f t="shared" si="3"/>
        <v>41.29313762425789</v>
      </c>
      <c r="O14" s="126">
        <f t="shared" si="8"/>
        <v>972.2399999999998</v>
      </c>
      <c r="P14" s="126">
        <f t="shared" si="9"/>
        <v>991.0353029821893</v>
      </c>
      <c r="Q14" s="48">
        <f t="shared" si="4"/>
        <v>41.29313762425789</v>
      </c>
      <c r="R14" s="121">
        <f t="shared" si="10"/>
        <v>991.0353029821893</v>
      </c>
      <c r="S14" s="121">
        <f t="shared" si="5"/>
        <v>18.79530298218947</v>
      </c>
      <c r="T14" s="133">
        <f t="shared" si="7"/>
        <v>0.01933195814016031</v>
      </c>
      <c r="U14" s="131"/>
      <c r="V14" s="135">
        <f>+N14-N13</f>
        <v>8.605784406064473</v>
      </c>
      <c r="Z14" s="90"/>
    </row>
    <row r="15" spans="1:26" s="49" customFormat="1" ht="15">
      <c r="A15" s="139"/>
      <c r="B15" s="46"/>
      <c r="C15" s="105" t="s">
        <v>107</v>
      </c>
      <c r="D15" s="106">
        <v>7933</v>
      </c>
      <c r="E15" s="52">
        <f>References!B7</f>
        <v>4.333333333333333</v>
      </c>
      <c r="F15" s="85">
        <f t="shared" si="11"/>
        <v>412515.99999999994</v>
      </c>
      <c r="G15" s="101">
        <f>References!$B$21</f>
        <v>47</v>
      </c>
      <c r="H15" s="73">
        <f t="shared" si="1"/>
        <v>19388251.999999996</v>
      </c>
      <c r="I15" s="51">
        <f t="shared" si="2"/>
        <v>13211817.218355587</v>
      </c>
      <c r="J15" s="90">
        <f>((References!$C$49*I15)*$G$101)+((References!$C$54*I15)*$G$100)</f>
        <v>23021.72608403811</v>
      </c>
      <c r="K15" s="47">
        <f>J15/References!$G$53</f>
        <v>23675.16051423088</v>
      </c>
      <c r="L15" s="90">
        <f t="shared" si="6"/>
        <v>0.2486991104062238</v>
      </c>
      <c r="M15" s="90">
        <v>23.01</v>
      </c>
      <c r="N15" s="114">
        <f t="shared" si="3"/>
        <v>23.258699110406226</v>
      </c>
      <c r="O15" s="126">
        <f t="shared" si="8"/>
        <v>2190459.96</v>
      </c>
      <c r="P15" s="126">
        <f t="shared" si="9"/>
        <v>2214135.1205142313</v>
      </c>
      <c r="Q15" s="48">
        <f t="shared" si="4"/>
        <v>23.258699110406226</v>
      </c>
      <c r="R15" s="121">
        <f t="shared" si="10"/>
        <v>2214135.1205142313</v>
      </c>
      <c r="S15" s="121">
        <f t="shared" si="5"/>
        <v>23675.160514231306</v>
      </c>
      <c r="T15" s="133">
        <f t="shared" si="7"/>
        <v>0.010808305536993634</v>
      </c>
      <c r="U15" s="131"/>
      <c r="V15" s="135"/>
      <c r="Z15" s="90"/>
    </row>
    <row r="16" spans="1:26" s="49" customFormat="1" ht="15">
      <c r="A16" s="139"/>
      <c r="B16" s="46"/>
      <c r="C16" s="105" t="s">
        <v>108</v>
      </c>
      <c r="D16" s="106">
        <v>59</v>
      </c>
      <c r="E16" s="52">
        <f>References!C7</f>
        <v>8.666666666666666</v>
      </c>
      <c r="F16" s="85">
        <f t="shared" si="11"/>
        <v>6136</v>
      </c>
      <c r="G16" s="101">
        <f>References!$B$21</f>
        <v>47</v>
      </c>
      <c r="H16" s="73">
        <f t="shared" si="1"/>
        <v>288392</v>
      </c>
      <c r="I16" s="51">
        <f t="shared" si="2"/>
        <v>196520.16031336942</v>
      </c>
      <c r="J16" s="90">
        <f>((References!$C$49*I16)*$G$101)+((References!$C$54*I16)*$G$100)</f>
        <v>342.4383811819611</v>
      </c>
      <c r="K16" s="47">
        <f>J16/References!$G$53</f>
        <v>352.15794033521297</v>
      </c>
      <c r="L16" s="90">
        <f t="shared" si="6"/>
        <v>0.49739822081244767</v>
      </c>
      <c r="M16" s="90">
        <f>+M15+12.61</f>
        <v>35.620000000000005</v>
      </c>
      <c r="N16" s="114">
        <f t="shared" si="3"/>
        <v>36.117398220812454</v>
      </c>
      <c r="O16" s="126">
        <f t="shared" si="8"/>
        <v>25218.960000000006</v>
      </c>
      <c r="P16" s="126">
        <f t="shared" si="9"/>
        <v>25571.117940335218</v>
      </c>
      <c r="Q16" s="48">
        <f t="shared" si="4"/>
        <v>36.117398220812454</v>
      </c>
      <c r="R16" s="121">
        <f t="shared" si="10"/>
        <v>25571.117940335218</v>
      </c>
      <c r="S16" s="121">
        <f t="shared" si="5"/>
        <v>352.1579403352116</v>
      </c>
      <c r="T16" s="133">
        <f t="shared" si="7"/>
        <v>0.013964015182831302</v>
      </c>
      <c r="U16" s="131"/>
      <c r="V16" s="135">
        <f>+N16-N15</f>
        <v>12.858699110406228</v>
      </c>
      <c r="Z16" s="90"/>
    </row>
    <row r="17" spans="1:26" s="49" customFormat="1" ht="15">
      <c r="A17" s="139"/>
      <c r="B17" s="46"/>
      <c r="C17" s="105" t="s">
        <v>109</v>
      </c>
      <c r="D17" s="106">
        <v>4</v>
      </c>
      <c r="E17" s="52">
        <f>References!D7</f>
        <v>13</v>
      </c>
      <c r="F17" s="85">
        <f t="shared" si="11"/>
        <v>624</v>
      </c>
      <c r="G17" s="101">
        <f>References!$B$21</f>
        <v>47</v>
      </c>
      <c r="H17" s="73">
        <f t="shared" si="1"/>
        <v>29328</v>
      </c>
      <c r="I17" s="51">
        <f t="shared" si="2"/>
        <v>19985.10104881723</v>
      </c>
      <c r="J17" s="90">
        <f>((References!$C$49*I17)*$G$101)+((References!$C$54*I17)*$G$100)</f>
        <v>34.824242154097746</v>
      </c>
      <c r="K17" s="47">
        <f>J17/References!$G$53</f>
        <v>35.81267189849624</v>
      </c>
      <c r="L17" s="90">
        <f t="shared" si="6"/>
        <v>0.7460973312186716</v>
      </c>
      <c r="M17" s="90">
        <f>+M16+12.61</f>
        <v>48.230000000000004</v>
      </c>
      <c r="N17" s="114">
        <f t="shared" si="3"/>
        <v>48.976097331218675</v>
      </c>
      <c r="O17" s="126">
        <f t="shared" si="8"/>
        <v>2315.04</v>
      </c>
      <c r="P17" s="126">
        <f t="shared" si="9"/>
        <v>2350.8526718984963</v>
      </c>
      <c r="Q17" s="48">
        <f t="shared" si="4"/>
        <v>48.976097331218675</v>
      </c>
      <c r="R17" s="121">
        <f t="shared" si="10"/>
        <v>2350.8526718984963</v>
      </c>
      <c r="S17" s="121">
        <f t="shared" si="5"/>
        <v>35.81267189849632</v>
      </c>
      <c r="T17" s="133">
        <f t="shared" si="7"/>
        <v>0.015469569380440973</v>
      </c>
      <c r="U17" s="131"/>
      <c r="V17" s="135">
        <f>+N17-N16</f>
        <v>12.85869911040622</v>
      </c>
      <c r="Z17" s="90"/>
    </row>
    <row r="18" spans="1:26" s="49" customFormat="1" ht="15">
      <c r="A18" s="139"/>
      <c r="B18" s="46"/>
      <c r="C18" s="105" t="s">
        <v>110</v>
      </c>
      <c r="D18" s="106">
        <v>2045</v>
      </c>
      <c r="E18" s="52">
        <f>References!B7</f>
        <v>4.333333333333333</v>
      </c>
      <c r="F18" s="85">
        <f t="shared" si="11"/>
        <v>106340</v>
      </c>
      <c r="G18" s="101">
        <f>References!$B$22</f>
        <v>68</v>
      </c>
      <c r="H18" s="73">
        <f t="shared" si="1"/>
        <v>7231120</v>
      </c>
      <c r="I18" s="51">
        <f t="shared" si="2"/>
        <v>4927532.184128588</v>
      </c>
      <c r="J18" s="90">
        <f>((References!$C$49*I18)*$G$101)+((References!$C$54*I18)*$G$100)</f>
        <v>8586.275024731971</v>
      </c>
      <c r="K18" s="47">
        <f>J18/References!$G$53</f>
        <v>8829.982542916465</v>
      </c>
      <c r="L18" s="90">
        <f t="shared" si="6"/>
        <v>0.3598199895238983</v>
      </c>
      <c r="M18" s="90">
        <v>30.8</v>
      </c>
      <c r="N18" s="114">
        <f t="shared" si="3"/>
        <v>31.1598199895239</v>
      </c>
      <c r="O18" s="126">
        <f t="shared" si="8"/>
        <v>755832</v>
      </c>
      <c r="P18" s="126">
        <f t="shared" si="9"/>
        <v>764661.9825429166</v>
      </c>
      <c r="Q18" s="48">
        <f t="shared" si="4"/>
        <v>31.1598199895239</v>
      </c>
      <c r="R18" s="121">
        <f t="shared" si="10"/>
        <v>764661.9825429166</v>
      </c>
      <c r="S18" s="121">
        <f t="shared" si="5"/>
        <v>8829.98254291655</v>
      </c>
      <c r="T18" s="133">
        <f t="shared" si="7"/>
        <v>0.011682467192334345</v>
      </c>
      <c r="U18" s="131"/>
      <c r="V18" s="135"/>
      <c r="Z18" s="90"/>
    </row>
    <row r="19" spans="1:26" s="49" customFormat="1" ht="15">
      <c r="A19" s="139"/>
      <c r="B19" s="46"/>
      <c r="C19" s="105" t="s">
        <v>111</v>
      </c>
      <c r="D19" s="107">
        <v>53</v>
      </c>
      <c r="E19" s="52">
        <f>References!C7</f>
        <v>8.666666666666666</v>
      </c>
      <c r="F19" s="85">
        <f t="shared" si="11"/>
        <v>5512</v>
      </c>
      <c r="G19" s="101">
        <f>References!$B$22</f>
        <v>68</v>
      </c>
      <c r="H19" s="73">
        <f t="shared" si="1"/>
        <v>374816</v>
      </c>
      <c r="I19" s="51">
        <f t="shared" si="2"/>
        <v>255412.4261699904</v>
      </c>
      <c r="J19" s="90">
        <f>((References!$C$49*I19)*$G$101)+((References!$C$54*I19)*$G$100)</f>
        <v>445.05875433818534</v>
      </c>
      <c r="K19" s="47">
        <f>J19/References!$G$53</f>
        <v>457.6910266743987</v>
      </c>
      <c r="L19" s="90">
        <f t="shared" si="6"/>
        <v>0.7196399790477966</v>
      </c>
      <c r="M19" s="90">
        <f>+M18+16.89</f>
        <v>47.69</v>
      </c>
      <c r="N19" s="114">
        <f t="shared" si="3"/>
        <v>48.409639979047796</v>
      </c>
      <c r="O19" s="126">
        <f t="shared" si="8"/>
        <v>30330.839999999997</v>
      </c>
      <c r="P19" s="126">
        <f t="shared" si="9"/>
        <v>30788.531026674398</v>
      </c>
      <c r="Q19" s="48">
        <f t="shared" si="4"/>
        <v>48.409639979047796</v>
      </c>
      <c r="R19" s="121">
        <f t="shared" si="10"/>
        <v>30788.531026674398</v>
      </c>
      <c r="S19" s="121">
        <f t="shared" si="5"/>
        <v>457.69102667440166</v>
      </c>
      <c r="T19" s="133">
        <f t="shared" si="7"/>
        <v>0.015089955526269572</v>
      </c>
      <c r="U19" s="131"/>
      <c r="V19" s="135">
        <f>+N19-N18</f>
        <v>17.249819989523896</v>
      </c>
      <c r="Z19" s="90"/>
    </row>
    <row r="20" spans="1:26" s="49" customFormat="1" ht="15">
      <c r="A20" s="139"/>
      <c r="B20" s="46"/>
      <c r="C20" s="105" t="s">
        <v>35</v>
      </c>
      <c r="D20" s="107"/>
      <c r="E20" s="52">
        <v>1</v>
      </c>
      <c r="F20" s="85">
        <v>2942.4870923913045</v>
      </c>
      <c r="G20" s="101">
        <f>References!B24</f>
        <v>34</v>
      </c>
      <c r="H20" s="73">
        <f t="shared" si="1"/>
        <v>100044.56114130435</v>
      </c>
      <c r="I20" s="51">
        <f t="shared" si="2"/>
        <v>68173.78149868865</v>
      </c>
      <c r="J20" s="90">
        <f>((References!$C$49*I20)*$G$101)+((References!$C$54*I20)*$G$100)</f>
        <v>118.79350870789756</v>
      </c>
      <c r="K20" s="47">
        <f>J20/References!$G$53</f>
        <v>122.16527016443598</v>
      </c>
      <c r="L20" s="90">
        <f t="shared" si="6"/>
        <v>0.04151769109891134</v>
      </c>
      <c r="M20" s="90">
        <v>3.87</v>
      </c>
      <c r="N20" s="114">
        <f t="shared" si="3"/>
        <v>3.9115176910989113</v>
      </c>
      <c r="O20" s="126">
        <f>F20*M20</f>
        <v>11387.425047554349</v>
      </c>
      <c r="P20" s="126">
        <f>F20*N20</f>
        <v>11509.590317718785</v>
      </c>
      <c r="Q20" s="48">
        <f t="shared" si="4"/>
        <v>3.9115176910989113</v>
      </c>
      <c r="R20" s="121">
        <f>F20*Q20</f>
        <v>11509.590317718785</v>
      </c>
      <c r="S20" s="121">
        <f t="shared" si="5"/>
        <v>122.16527016443615</v>
      </c>
      <c r="T20" s="133">
        <f t="shared" si="7"/>
        <v>0.01072808555527427</v>
      </c>
      <c r="U20" s="131"/>
      <c r="V20" s="135"/>
      <c r="Z20" s="90"/>
    </row>
    <row r="21" spans="1:26" s="49" customFormat="1" ht="15">
      <c r="A21" s="139"/>
      <c r="B21" s="46"/>
      <c r="C21" s="1"/>
      <c r="D21" s="85"/>
      <c r="E21" s="52"/>
      <c r="F21" s="88"/>
      <c r="G21" s="100"/>
      <c r="H21" s="85"/>
      <c r="I21" s="51"/>
      <c r="J21" s="47"/>
      <c r="K21" s="47"/>
      <c r="L21" s="47"/>
      <c r="M21" s="90"/>
      <c r="N21" s="90"/>
      <c r="O21" s="126"/>
      <c r="P21" s="126"/>
      <c r="Q21" s="48"/>
      <c r="R21" s="121"/>
      <c r="S21" s="121"/>
      <c r="T21" s="133"/>
      <c r="U21" s="131"/>
      <c r="V21" s="132"/>
      <c r="Z21" s="90"/>
    </row>
    <row r="22" spans="1:26" s="49" customFormat="1" ht="15">
      <c r="A22" s="55"/>
      <c r="B22" s="56"/>
      <c r="C22" s="57" t="s">
        <v>0</v>
      </c>
      <c r="D22" s="58">
        <f>SUM(D2:D21)</f>
        <v>25116</v>
      </c>
      <c r="E22" s="59"/>
      <c r="F22" s="60">
        <f>SUM(F2:F21)</f>
        <v>1376366.4870923914</v>
      </c>
      <c r="G22" s="102"/>
      <c r="H22" s="61">
        <f>SUM(H2:H21)</f>
        <v>56420220.561141305</v>
      </c>
      <c r="I22" s="62">
        <f>SUM(I2:I21)</f>
        <v>38446665.61343986</v>
      </c>
      <c r="J22" s="63"/>
      <c r="K22" s="63"/>
      <c r="L22" s="63"/>
      <c r="M22" s="63"/>
      <c r="N22" s="63"/>
      <c r="O22" s="122">
        <f>SUM(O2:O21)</f>
        <v>6283076.865047554</v>
      </c>
      <c r="P22" s="122">
        <f>SUM(P2:P21)</f>
        <v>6356713.236938632</v>
      </c>
      <c r="Q22" s="64"/>
      <c r="R22" s="122">
        <f>SUM(R2:R21)</f>
        <v>6356713.236938632</v>
      </c>
      <c r="S22" s="122">
        <f>SUM(S2:S21)</f>
        <v>73636.37189107755</v>
      </c>
      <c r="U22" s="131"/>
      <c r="V22" s="132"/>
      <c r="Z22" s="90"/>
    </row>
    <row r="23" spans="1:26" s="49" customFormat="1" ht="15" customHeight="1">
      <c r="A23" s="140" t="s">
        <v>87</v>
      </c>
      <c r="B23" s="46"/>
      <c r="C23" s="108" t="s">
        <v>112</v>
      </c>
      <c r="D23" s="85">
        <v>4</v>
      </c>
      <c r="E23" s="50">
        <v>1</v>
      </c>
      <c r="F23" s="66">
        <f>E23*52</f>
        <v>52</v>
      </c>
      <c r="G23" s="101">
        <f>References!$B$26</f>
        <v>29</v>
      </c>
      <c r="H23" s="54">
        <f>F23*G23</f>
        <v>1508</v>
      </c>
      <c r="I23" s="51">
        <f aca="true" t="shared" si="12" ref="I23:I54">$C$98*H23</f>
        <v>1027.6027135030135</v>
      </c>
      <c r="J23" s="90">
        <f>ROUND(((References!$C$49*I23)*$G$101)+((References!$C$54*I23)*$G$100),2)</f>
        <v>1.79</v>
      </c>
      <c r="K23" s="47">
        <f>J23/References!$G$53</f>
        <v>1.8408062525709583</v>
      </c>
      <c r="L23" s="90">
        <f>(K23/F23)</f>
        <v>0.0354001202417492</v>
      </c>
      <c r="M23" s="90">
        <v>3.69</v>
      </c>
      <c r="N23" s="114">
        <f aca="true" t="shared" si="13" ref="N23:N73">L23+M23</f>
        <v>3.725400120241749</v>
      </c>
      <c r="O23" s="126">
        <f aca="true" t="shared" si="14" ref="O23:O54">F23*M23</f>
        <v>191.88</v>
      </c>
      <c r="P23" s="126">
        <f aca="true" t="shared" si="15" ref="P23:P54">F23*N23</f>
        <v>193.72080625257095</v>
      </c>
      <c r="Q23" s="48">
        <f aca="true" t="shared" si="16" ref="Q23:Q54">N23</f>
        <v>3.725400120241749</v>
      </c>
      <c r="R23" s="121">
        <f aca="true" t="shared" si="17" ref="R23:R54">F23*Q23</f>
        <v>193.72080625257095</v>
      </c>
      <c r="S23" s="121">
        <f aca="true" t="shared" si="18" ref="S23:S54">R23-O23</f>
        <v>1.8408062525709568</v>
      </c>
      <c r="U23" s="131"/>
      <c r="V23" s="132"/>
      <c r="Z23" s="90"/>
    </row>
    <row r="24" spans="1:26" s="49" customFormat="1" ht="15">
      <c r="A24" s="139"/>
      <c r="B24" s="46"/>
      <c r="C24" s="108" t="s">
        <v>113</v>
      </c>
      <c r="D24" s="85">
        <v>12</v>
      </c>
      <c r="E24" s="50">
        <v>1</v>
      </c>
      <c r="F24" s="66">
        <f aca="true" t="shared" si="19" ref="F24:F35">D24*E24*52</f>
        <v>624</v>
      </c>
      <c r="G24" s="101">
        <f>References!$B$26</f>
        <v>29</v>
      </c>
      <c r="H24" s="54">
        <f aca="true" t="shared" si="20" ref="H24:H86">F24*G24</f>
        <v>18096</v>
      </c>
      <c r="I24" s="51">
        <f t="shared" si="12"/>
        <v>12331.232562036163</v>
      </c>
      <c r="J24" s="90">
        <f>ROUND(((References!$C$49*I24)*$G$101)+((References!$C$54*I24)*$G$100),2)</f>
        <v>21.49</v>
      </c>
      <c r="K24" s="47">
        <f>ROUND(J24/References!$G$53,2)</f>
        <v>22.1</v>
      </c>
      <c r="L24" s="90">
        <f aca="true" t="shared" si="21" ref="L24:L86">(K24/F24)</f>
        <v>0.035416666666666666</v>
      </c>
      <c r="M24" s="90">
        <v>3.69</v>
      </c>
      <c r="N24" s="114">
        <f t="shared" si="13"/>
        <v>3.725416666666667</v>
      </c>
      <c r="O24" s="126">
        <f t="shared" si="14"/>
        <v>2302.56</v>
      </c>
      <c r="P24" s="126">
        <f t="shared" si="15"/>
        <v>2324.6600000000003</v>
      </c>
      <c r="Q24" s="48">
        <f t="shared" si="16"/>
        <v>3.725416666666667</v>
      </c>
      <c r="R24" s="121">
        <f t="shared" si="17"/>
        <v>2324.6600000000003</v>
      </c>
      <c r="S24" s="121">
        <f t="shared" si="18"/>
        <v>22.100000000000364</v>
      </c>
      <c r="T24" s="133">
        <f>+N24/M24-1</f>
        <v>0.009598012646793164</v>
      </c>
      <c r="U24" s="131"/>
      <c r="V24" s="132"/>
      <c r="Z24" s="90"/>
    </row>
    <row r="25" spans="1:26" s="49" customFormat="1" ht="15">
      <c r="A25" s="139"/>
      <c r="B25" s="46"/>
      <c r="C25" s="108" t="s">
        <v>114</v>
      </c>
      <c r="D25" s="85">
        <v>3</v>
      </c>
      <c r="E25" s="50">
        <v>1</v>
      </c>
      <c r="F25" s="66">
        <f t="shared" si="19"/>
        <v>156</v>
      </c>
      <c r="G25" s="101">
        <f>References!$B$26</f>
        <v>29</v>
      </c>
      <c r="H25" s="54">
        <f t="shared" si="20"/>
        <v>4524</v>
      </c>
      <c r="I25" s="51">
        <f t="shared" si="12"/>
        <v>3082.8081405090406</v>
      </c>
      <c r="J25" s="90">
        <f>ROUND(((References!$C$49*I25)*$G$101)+((References!$C$54*I25)*$G$100),2)</f>
        <v>5.37</v>
      </c>
      <c r="K25" s="90">
        <f>ROUND(J25/References!$G$53,2)</f>
        <v>5.52</v>
      </c>
      <c r="L25" s="90">
        <f t="shared" si="21"/>
        <v>0.03538461538461538</v>
      </c>
      <c r="M25" s="90">
        <v>3.69</v>
      </c>
      <c r="N25" s="114">
        <f t="shared" si="13"/>
        <v>3.7253846153846153</v>
      </c>
      <c r="O25" s="126">
        <f t="shared" si="14"/>
        <v>575.64</v>
      </c>
      <c r="P25" s="126">
        <f t="shared" si="15"/>
        <v>581.16</v>
      </c>
      <c r="Q25" s="48">
        <f t="shared" si="16"/>
        <v>3.7253846153846153</v>
      </c>
      <c r="R25" s="121">
        <f t="shared" si="17"/>
        <v>581.16</v>
      </c>
      <c r="S25" s="121">
        <f t="shared" si="18"/>
        <v>5.519999999999982</v>
      </c>
      <c r="T25" s="133">
        <f>+N25/M25-1</f>
        <v>0.009589326662497344</v>
      </c>
      <c r="U25" s="131"/>
      <c r="V25" s="132"/>
      <c r="Z25" s="90"/>
    </row>
    <row r="26" spans="1:26" s="49" customFormat="1" ht="15">
      <c r="A26" s="139"/>
      <c r="B26" s="46"/>
      <c r="C26" s="108" t="s">
        <v>115</v>
      </c>
      <c r="D26" s="85">
        <v>8</v>
      </c>
      <c r="E26" s="50">
        <v>1</v>
      </c>
      <c r="F26" s="66">
        <f t="shared" si="19"/>
        <v>416</v>
      </c>
      <c r="G26" s="101">
        <f>References!$B$26</f>
        <v>29</v>
      </c>
      <c r="H26" s="54">
        <f t="shared" si="20"/>
        <v>12064</v>
      </c>
      <c r="I26" s="51">
        <f t="shared" si="12"/>
        <v>8220.821708024108</v>
      </c>
      <c r="J26" s="90">
        <f>ROUND(((References!$C$49*I26)*$G$101)+((References!$C$54*I26)*$G$100),2)</f>
        <v>14.32</v>
      </c>
      <c r="K26" s="90">
        <f>ROUND(J26/References!$G$53,2)</f>
        <v>14.73</v>
      </c>
      <c r="L26" s="90">
        <f t="shared" si="21"/>
        <v>0.03540865384615385</v>
      </c>
      <c r="M26" s="90">
        <v>3.69</v>
      </c>
      <c r="N26" s="114">
        <f t="shared" si="13"/>
        <v>3.725408653846154</v>
      </c>
      <c r="O26" s="126">
        <f t="shared" si="14"/>
        <v>1535.04</v>
      </c>
      <c r="P26" s="126">
        <f t="shared" si="15"/>
        <v>1549.77</v>
      </c>
      <c r="Q26" s="48">
        <f t="shared" si="16"/>
        <v>3.725408653846154</v>
      </c>
      <c r="R26" s="121">
        <f t="shared" si="17"/>
        <v>1549.77</v>
      </c>
      <c r="S26" s="121">
        <f t="shared" si="18"/>
        <v>14.730000000000018</v>
      </c>
      <c r="T26" s="133">
        <f aca="true" t="shared" si="22" ref="T26:T86">+N26/M26-1</f>
        <v>0.00959584115071932</v>
      </c>
      <c r="U26" s="131"/>
      <c r="V26" s="132"/>
      <c r="Z26" s="90"/>
    </row>
    <row r="27" spans="1:26" s="49" customFormat="1" ht="15">
      <c r="A27" s="139"/>
      <c r="B27" s="46"/>
      <c r="C27" s="108" t="s">
        <v>116</v>
      </c>
      <c r="D27" s="85">
        <v>5</v>
      </c>
      <c r="E27" s="50">
        <v>1</v>
      </c>
      <c r="F27" s="66">
        <f t="shared" si="19"/>
        <v>260</v>
      </c>
      <c r="G27" s="101">
        <f>References!$B$26</f>
        <v>29</v>
      </c>
      <c r="H27" s="54">
        <f t="shared" si="20"/>
        <v>7540</v>
      </c>
      <c r="I27" s="51">
        <f t="shared" si="12"/>
        <v>5138.013567515068</v>
      </c>
      <c r="J27" s="90">
        <f>ROUND(((References!$C$49*I27)*$G$101)+((References!$C$54*I27)*$G$100),2)</f>
        <v>8.95</v>
      </c>
      <c r="K27" s="90">
        <f>ROUND(J27/References!$G$53,2)</f>
        <v>9.2</v>
      </c>
      <c r="L27" s="90">
        <f t="shared" si="21"/>
        <v>0.03538461538461538</v>
      </c>
      <c r="M27" s="90">
        <v>3.69</v>
      </c>
      <c r="N27" s="114">
        <f t="shared" si="13"/>
        <v>3.7253846153846153</v>
      </c>
      <c r="O27" s="126">
        <f t="shared" si="14"/>
        <v>959.4</v>
      </c>
      <c r="P27" s="126">
        <f t="shared" si="15"/>
        <v>968.6</v>
      </c>
      <c r="Q27" s="48">
        <f t="shared" si="16"/>
        <v>3.7253846153846153</v>
      </c>
      <c r="R27" s="121">
        <f t="shared" si="17"/>
        <v>968.6</v>
      </c>
      <c r="S27" s="121">
        <f t="shared" si="18"/>
        <v>9.200000000000045</v>
      </c>
      <c r="T27" s="133">
        <f t="shared" si="22"/>
        <v>0.009589326662497344</v>
      </c>
      <c r="U27" s="131"/>
      <c r="V27" s="132"/>
      <c r="Z27" s="90"/>
    </row>
    <row r="28" spans="1:26" s="49" customFormat="1" ht="15">
      <c r="A28" s="139"/>
      <c r="B28" s="46"/>
      <c r="C28" s="109" t="s">
        <v>117</v>
      </c>
      <c r="D28" s="85">
        <v>28</v>
      </c>
      <c r="E28" s="50">
        <v>1</v>
      </c>
      <c r="F28" s="66">
        <f t="shared" si="19"/>
        <v>1456</v>
      </c>
      <c r="G28" s="101">
        <f>References!$B$26</f>
        <v>29</v>
      </c>
      <c r="H28" s="54">
        <f t="shared" si="20"/>
        <v>42224</v>
      </c>
      <c r="I28" s="51">
        <f t="shared" si="12"/>
        <v>28772.87597808438</v>
      </c>
      <c r="J28" s="90">
        <f>ROUND(((References!$C$49*I28)*$G$101)+((References!$C$54*I28)*$G$100),2)</f>
        <v>50.14</v>
      </c>
      <c r="K28" s="90">
        <f>ROUND(J28/References!$G$53,2)</f>
        <v>51.56</v>
      </c>
      <c r="L28" s="90">
        <f t="shared" si="21"/>
        <v>0.035412087912087914</v>
      </c>
      <c r="M28" s="90">
        <v>3.69</v>
      </c>
      <c r="N28" s="114">
        <f t="shared" si="13"/>
        <v>3.7254120879120878</v>
      </c>
      <c r="O28" s="126">
        <f t="shared" si="14"/>
        <v>5372.64</v>
      </c>
      <c r="P28" s="126">
        <f t="shared" si="15"/>
        <v>5424.2</v>
      </c>
      <c r="Q28" s="48">
        <f t="shared" si="16"/>
        <v>3.7254120879120878</v>
      </c>
      <c r="R28" s="121">
        <f t="shared" si="17"/>
        <v>5424.2</v>
      </c>
      <c r="S28" s="121">
        <f t="shared" si="18"/>
        <v>51.55999999999949</v>
      </c>
      <c r="T28" s="133">
        <f t="shared" si="22"/>
        <v>0.009596771791893666</v>
      </c>
      <c r="U28" s="131"/>
      <c r="V28" s="132"/>
      <c r="Z28" s="90"/>
    </row>
    <row r="29" spans="1:26" s="49" customFormat="1" ht="15">
      <c r="A29" s="139"/>
      <c r="B29" s="46"/>
      <c r="C29" s="109" t="s">
        <v>118</v>
      </c>
      <c r="D29" s="88">
        <v>18</v>
      </c>
      <c r="E29" s="87">
        <v>1</v>
      </c>
      <c r="F29" s="96">
        <f t="shared" si="19"/>
        <v>936</v>
      </c>
      <c r="G29" s="101">
        <v>37</v>
      </c>
      <c r="H29" s="54">
        <f t="shared" si="20"/>
        <v>34632</v>
      </c>
      <c r="I29" s="89">
        <f t="shared" si="12"/>
        <v>23599.427834241622</v>
      </c>
      <c r="J29" s="90">
        <f>ROUND(((References!$C$49*I29)*$G$101)+((References!$C$54*I29)*$G$100),2)</f>
        <v>41.12</v>
      </c>
      <c r="K29" s="90">
        <f>ROUND(J29/References!$G$53,2)</f>
        <v>42.29</v>
      </c>
      <c r="L29" s="90">
        <f t="shared" si="21"/>
        <v>0.04518162393162393</v>
      </c>
      <c r="M29" s="90">
        <v>3.89</v>
      </c>
      <c r="N29" s="114">
        <f t="shared" si="13"/>
        <v>3.935181623931624</v>
      </c>
      <c r="O29" s="126">
        <f t="shared" si="14"/>
        <v>3641.04</v>
      </c>
      <c r="P29" s="126">
        <f t="shared" si="15"/>
        <v>3683.3300000000004</v>
      </c>
      <c r="Q29" s="48">
        <f t="shared" si="16"/>
        <v>3.935181623931624</v>
      </c>
      <c r="R29" s="121">
        <f t="shared" si="17"/>
        <v>3683.3300000000004</v>
      </c>
      <c r="S29" s="121">
        <f t="shared" si="18"/>
        <v>42.29000000000042</v>
      </c>
      <c r="T29" s="133">
        <f t="shared" si="22"/>
        <v>0.011614813350031783</v>
      </c>
      <c r="U29" s="131"/>
      <c r="V29" s="132"/>
      <c r="Z29" s="90"/>
    </row>
    <row r="30" spans="1:26" s="49" customFormat="1" ht="15">
      <c r="A30" s="139"/>
      <c r="B30" s="46"/>
      <c r="C30" s="109" t="s">
        <v>119</v>
      </c>
      <c r="D30" s="85">
        <v>4</v>
      </c>
      <c r="E30" s="50">
        <v>1</v>
      </c>
      <c r="F30" s="66">
        <f t="shared" si="19"/>
        <v>208</v>
      </c>
      <c r="G30" s="101">
        <f>References!B20</f>
        <v>37</v>
      </c>
      <c r="H30" s="54">
        <f t="shared" si="20"/>
        <v>7696</v>
      </c>
      <c r="I30" s="51">
        <f t="shared" si="12"/>
        <v>5244.317296498138</v>
      </c>
      <c r="J30" s="90">
        <f>ROUND(((References!$C$49*I30)*$G$101)+((References!$C$54*I30)*$G$100),2)</f>
        <v>9.14</v>
      </c>
      <c r="K30" s="90">
        <f>ROUND(J30/References!$G$53,2)</f>
        <v>9.4</v>
      </c>
      <c r="L30" s="90">
        <f t="shared" si="21"/>
        <v>0.04519230769230769</v>
      </c>
      <c r="M30" s="90">
        <v>3.89</v>
      </c>
      <c r="N30" s="114">
        <f t="shared" si="13"/>
        <v>3.935192307692308</v>
      </c>
      <c r="O30" s="126">
        <f t="shared" si="14"/>
        <v>809.12</v>
      </c>
      <c r="P30" s="126">
        <f t="shared" si="15"/>
        <v>818.52</v>
      </c>
      <c r="Q30" s="48">
        <f t="shared" si="16"/>
        <v>3.935192307692308</v>
      </c>
      <c r="R30" s="121">
        <f t="shared" si="17"/>
        <v>818.52</v>
      </c>
      <c r="S30" s="121">
        <f t="shared" si="18"/>
        <v>9.399999999999977</v>
      </c>
      <c r="T30" s="133">
        <f t="shared" si="22"/>
        <v>0.011617559818073886</v>
      </c>
      <c r="U30" s="131"/>
      <c r="V30" s="132"/>
      <c r="Z30" s="90"/>
    </row>
    <row r="31" spans="1:26" s="49" customFormat="1" ht="15">
      <c r="A31" s="139"/>
      <c r="B31" s="46"/>
      <c r="C31" s="109" t="s">
        <v>120</v>
      </c>
      <c r="D31" s="85">
        <v>4</v>
      </c>
      <c r="E31" s="50">
        <v>1</v>
      </c>
      <c r="F31" s="66">
        <f t="shared" si="19"/>
        <v>208</v>
      </c>
      <c r="G31" s="101">
        <f>References!B20</f>
        <v>37</v>
      </c>
      <c r="H31" s="54">
        <f t="shared" si="20"/>
        <v>7696</v>
      </c>
      <c r="I31" s="51">
        <f t="shared" si="12"/>
        <v>5244.317296498138</v>
      </c>
      <c r="J31" s="90">
        <f>ROUND(((References!$C$49*I31)*$G$101)+((References!$C$54*I31)*$G$100),2)</f>
        <v>9.14</v>
      </c>
      <c r="K31" s="90">
        <f>ROUND(J31/References!$G$53,2)</f>
        <v>9.4</v>
      </c>
      <c r="L31" s="90">
        <f t="shared" si="21"/>
        <v>0.04519230769230769</v>
      </c>
      <c r="M31" s="90">
        <v>3.89</v>
      </c>
      <c r="N31" s="114">
        <f t="shared" si="13"/>
        <v>3.935192307692308</v>
      </c>
      <c r="O31" s="126">
        <f t="shared" si="14"/>
        <v>809.12</v>
      </c>
      <c r="P31" s="126">
        <f t="shared" si="15"/>
        <v>818.52</v>
      </c>
      <c r="Q31" s="48">
        <f t="shared" si="16"/>
        <v>3.935192307692308</v>
      </c>
      <c r="R31" s="121">
        <f t="shared" si="17"/>
        <v>818.52</v>
      </c>
      <c r="S31" s="121">
        <f t="shared" si="18"/>
        <v>9.399999999999977</v>
      </c>
      <c r="T31" s="133">
        <f t="shared" si="22"/>
        <v>0.011617559818073886</v>
      </c>
      <c r="U31" s="131"/>
      <c r="V31" s="132"/>
      <c r="Z31" s="90"/>
    </row>
    <row r="32" spans="1:26" s="49" customFormat="1" ht="15">
      <c r="A32" s="139"/>
      <c r="B32" s="46"/>
      <c r="C32" s="109" t="s">
        <v>121</v>
      </c>
      <c r="D32" s="85">
        <v>26</v>
      </c>
      <c r="E32" s="50">
        <v>1</v>
      </c>
      <c r="F32" s="66">
        <f t="shared" si="19"/>
        <v>1352</v>
      </c>
      <c r="G32" s="101">
        <f>References!$B$21</f>
        <v>47</v>
      </c>
      <c r="H32" s="54">
        <f t="shared" si="20"/>
        <v>63544</v>
      </c>
      <c r="I32" s="51">
        <f t="shared" si="12"/>
        <v>43301.05227243733</v>
      </c>
      <c r="J32" s="90">
        <f>ROUND(((References!$C$49*I32)*$G$101)+((References!$C$54*I32)*$G$100),2)</f>
        <v>75.45</v>
      </c>
      <c r="K32" s="90">
        <f>ROUND(J32/References!$G$53,2)</f>
        <v>77.59</v>
      </c>
      <c r="L32" s="90">
        <f t="shared" si="21"/>
        <v>0.05738905325443787</v>
      </c>
      <c r="M32" s="90">
        <v>6.92</v>
      </c>
      <c r="N32" s="114">
        <f t="shared" si="13"/>
        <v>6.977389053254438</v>
      </c>
      <c r="O32" s="126">
        <f t="shared" si="14"/>
        <v>9355.84</v>
      </c>
      <c r="P32" s="126">
        <f t="shared" si="15"/>
        <v>9433.43</v>
      </c>
      <c r="Q32" s="48">
        <f t="shared" si="16"/>
        <v>6.977389053254438</v>
      </c>
      <c r="R32" s="121">
        <f t="shared" si="17"/>
        <v>9433.43</v>
      </c>
      <c r="S32" s="121">
        <f t="shared" si="18"/>
        <v>77.59000000000015</v>
      </c>
      <c r="T32" s="133">
        <f t="shared" si="22"/>
        <v>0.008293215788213626</v>
      </c>
      <c r="U32" s="131"/>
      <c r="V32" s="132"/>
      <c r="Z32" s="90"/>
    </row>
    <row r="33" spans="1:26" s="49" customFormat="1" ht="15">
      <c r="A33" s="139"/>
      <c r="B33" s="46"/>
      <c r="C33" s="109" t="s">
        <v>122</v>
      </c>
      <c r="D33" s="85">
        <v>4</v>
      </c>
      <c r="E33" s="50">
        <v>1</v>
      </c>
      <c r="F33" s="66">
        <f t="shared" si="19"/>
        <v>208</v>
      </c>
      <c r="G33" s="101">
        <f>References!$B$21</f>
        <v>47</v>
      </c>
      <c r="H33" s="54">
        <f t="shared" si="20"/>
        <v>9776</v>
      </c>
      <c r="I33" s="51">
        <f t="shared" si="12"/>
        <v>6661.700349605742</v>
      </c>
      <c r="J33" s="90">
        <f>ROUND(((References!$C$49*I33)*$G$101)+((References!$C$54*I33)*$G$100),2)</f>
        <v>11.61</v>
      </c>
      <c r="K33" s="90">
        <f>ROUND(J33/References!$G$53,2)</f>
        <v>11.94</v>
      </c>
      <c r="L33" s="90">
        <f t="shared" si="21"/>
        <v>0.05740384615384615</v>
      </c>
      <c r="M33" s="90">
        <v>6.92</v>
      </c>
      <c r="N33" s="114">
        <f t="shared" si="13"/>
        <v>6.977403846153846</v>
      </c>
      <c r="O33" s="126">
        <f t="shared" si="14"/>
        <v>1439.36</v>
      </c>
      <c r="P33" s="126">
        <f t="shared" si="15"/>
        <v>1451.3</v>
      </c>
      <c r="Q33" s="48">
        <f t="shared" si="16"/>
        <v>6.977403846153846</v>
      </c>
      <c r="R33" s="121">
        <f t="shared" si="17"/>
        <v>1451.3</v>
      </c>
      <c r="S33" s="121">
        <f t="shared" si="18"/>
        <v>11.940000000000055</v>
      </c>
      <c r="T33" s="133">
        <f t="shared" si="22"/>
        <v>0.008295353490440194</v>
      </c>
      <c r="U33" s="131"/>
      <c r="V33" s="132"/>
      <c r="Z33" s="90"/>
    </row>
    <row r="34" spans="1:26" s="49" customFormat="1" ht="15">
      <c r="A34" s="139"/>
      <c r="B34" s="46"/>
      <c r="C34" s="2" t="s">
        <v>123</v>
      </c>
      <c r="D34" s="85">
        <v>20</v>
      </c>
      <c r="E34" s="50">
        <v>1</v>
      </c>
      <c r="F34" s="66">
        <f t="shared" si="19"/>
        <v>1040</v>
      </c>
      <c r="G34" s="101">
        <f>References!$B$22</f>
        <v>68</v>
      </c>
      <c r="H34" s="54">
        <f t="shared" si="20"/>
        <v>70720</v>
      </c>
      <c r="I34" s="51">
        <f t="shared" si="12"/>
        <v>48191.023805658566</v>
      </c>
      <c r="J34" s="90">
        <f>ROUND(((References!$C$49*I34)*$G$101)+((References!$C$54*I34)*$G$100),2)</f>
        <v>83.97</v>
      </c>
      <c r="K34" s="90">
        <f>ROUND(J34/References!$G$53,2)</f>
        <v>86.35</v>
      </c>
      <c r="L34" s="90">
        <f t="shared" si="21"/>
        <v>0.08302884615384615</v>
      </c>
      <c r="M34" s="90">
        <v>9.99</v>
      </c>
      <c r="N34" s="114">
        <f t="shared" si="13"/>
        <v>10.073028846153846</v>
      </c>
      <c r="O34" s="126">
        <f t="shared" si="14"/>
        <v>10389.6</v>
      </c>
      <c r="P34" s="126">
        <f t="shared" si="15"/>
        <v>10475.95</v>
      </c>
      <c r="Q34" s="48">
        <f t="shared" si="16"/>
        <v>10.073028846153846</v>
      </c>
      <c r="R34" s="121">
        <f t="shared" si="17"/>
        <v>10475.95</v>
      </c>
      <c r="S34" s="121">
        <f t="shared" si="18"/>
        <v>86.35000000000036</v>
      </c>
      <c r="T34" s="133">
        <f t="shared" si="22"/>
        <v>0.008311195811195882</v>
      </c>
      <c r="U34" s="131"/>
      <c r="V34" s="132"/>
      <c r="Z34" s="90"/>
    </row>
    <row r="35" spans="1:26" s="49" customFormat="1" ht="15">
      <c r="A35" s="139"/>
      <c r="B35" s="46"/>
      <c r="C35" s="2" t="s">
        <v>124</v>
      </c>
      <c r="D35" s="85">
        <v>8</v>
      </c>
      <c r="E35" s="50">
        <v>1</v>
      </c>
      <c r="F35" s="66">
        <f t="shared" si="19"/>
        <v>416</v>
      </c>
      <c r="G35" s="101">
        <f>References!$B$22</f>
        <v>68</v>
      </c>
      <c r="H35" s="54">
        <f t="shared" si="20"/>
        <v>28288</v>
      </c>
      <c r="I35" s="51">
        <f t="shared" si="12"/>
        <v>19276.409522263424</v>
      </c>
      <c r="J35" s="90">
        <f>ROUND(((References!$C$49*I35)*$G$101)+((References!$C$54*I35)*$G$100),2)</f>
        <v>33.59</v>
      </c>
      <c r="K35" s="90">
        <f>ROUND(J35/References!$G$53,2)</f>
        <v>34.54</v>
      </c>
      <c r="L35" s="90">
        <f t="shared" si="21"/>
        <v>0.08302884615384615</v>
      </c>
      <c r="M35" s="90">
        <v>9.99</v>
      </c>
      <c r="N35" s="114">
        <f t="shared" si="13"/>
        <v>10.073028846153846</v>
      </c>
      <c r="O35" s="126">
        <f t="shared" si="14"/>
        <v>4155.84</v>
      </c>
      <c r="P35" s="126">
        <f t="shared" si="15"/>
        <v>4190.38</v>
      </c>
      <c r="Q35" s="48">
        <f t="shared" si="16"/>
        <v>10.073028846153846</v>
      </c>
      <c r="R35" s="121">
        <f t="shared" si="17"/>
        <v>4190.38</v>
      </c>
      <c r="S35" s="121">
        <f t="shared" si="18"/>
        <v>34.539999999999964</v>
      </c>
      <c r="T35" s="133">
        <f t="shared" si="22"/>
        <v>0.008311195811195882</v>
      </c>
      <c r="U35" s="131"/>
      <c r="V35" s="132"/>
      <c r="Z35" s="90"/>
    </row>
    <row r="36" spans="1:26" s="49" customFormat="1" ht="15">
      <c r="A36" s="139"/>
      <c r="B36" s="46"/>
      <c r="C36" s="2" t="s">
        <v>125</v>
      </c>
      <c r="D36" s="85">
        <v>104</v>
      </c>
      <c r="E36" s="50">
        <v>0.5</v>
      </c>
      <c r="F36" s="66">
        <f>D36*26</f>
        <v>2704</v>
      </c>
      <c r="G36" s="101">
        <f>References!$B$27</f>
        <v>175</v>
      </c>
      <c r="H36" s="54">
        <f t="shared" si="20"/>
        <v>473200</v>
      </c>
      <c r="I36" s="51">
        <f t="shared" si="12"/>
        <v>322454.6445819801</v>
      </c>
      <c r="J36" s="90">
        <f>ROUND(((References!$C$49*I36)*$G$101)+((References!$C$54*I36)*$G$100),2)</f>
        <v>561.88</v>
      </c>
      <c r="K36" s="90">
        <f>ROUND(J36/References!$G$53,2)</f>
        <v>577.83</v>
      </c>
      <c r="L36" s="90">
        <f t="shared" si="21"/>
        <v>0.21369452662721894</v>
      </c>
      <c r="M36" s="90">
        <v>16.14</v>
      </c>
      <c r="N36" s="114">
        <f t="shared" si="13"/>
        <v>16.35369452662722</v>
      </c>
      <c r="O36" s="126">
        <f t="shared" si="14"/>
        <v>43642.560000000005</v>
      </c>
      <c r="P36" s="126">
        <f t="shared" si="15"/>
        <v>44220.39</v>
      </c>
      <c r="Q36" s="48">
        <f t="shared" si="16"/>
        <v>16.35369452662722</v>
      </c>
      <c r="R36" s="121">
        <f t="shared" si="17"/>
        <v>44220.39</v>
      </c>
      <c r="S36" s="121">
        <f t="shared" si="18"/>
        <v>577.8299999999945</v>
      </c>
      <c r="T36" s="133">
        <f t="shared" si="22"/>
        <v>0.013240057411847417</v>
      </c>
      <c r="U36" s="131"/>
      <c r="V36" s="132"/>
      <c r="Z36" s="90"/>
    </row>
    <row r="37" spans="1:26" s="49" customFormat="1" ht="15">
      <c r="A37" s="139"/>
      <c r="B37" s="46"/>
      <c r="C37" s="2" t="s">
        <v>126</v>
      </c>
      <c r="D37" s="85">
        <v>101</v>
      </c>
      <c r="E37" s="50">
        <v>1</v>
      </c>
      <c r="F37" s="66">
        <f>D37*E37*52</f>
        <v>5252</v>
      </c>
      <c r="G37" s="101">
        <f>References!$B$27</f>
        <v>175</v>
      </c>
      <c r="H37" s="54">
        <f t="shared" si="20"/>
        <v>919100</v>
      </c>
      <c r="I37" s="51">
        <f t="shared" si="12"/>
        <v>626306.1365919228</v>
      </c>
      <c r="J37" s="90">
        <f>ROUND(((References!$C$49*I37)*$G$101)+((References!$C$54*I37)*$G$100),2)</f>
        <v>1091.34</v>
      </c>
      <c r="K37" s="90">
        <f>ROUND(J37/References!$G$53,2)</f>
        <v>1122.32</v>
      </c>
      <c r="L37" s="90">
        <f t="shared" si="21"/>
        <v>0.21369383092155367</v>
      </c>
      <c r="M37" s="90">
        <v>16.14</v>
      </c>
      <c r="N37" s="114">
        <f t="shared" si="13"/>
        <v>16.353693830921554</v>
      </c>
      <c r="O37" s="126">
        <f t="shared" si="14"/>
        <v>84767.28</v>
      </c>
      <c r="P37" s="126">
        <f t="shared" si="15"/>
        <v>85889.6</v>
      </c>
      <c r="Q37" s="48">
        <f t="shared" si="16"/>
        <v>16.353693830921554</v>
      </c>
      <c r="R37" s="121">
        <f t="shared" si="17"/>
        <v>85889.6</v>
      </c>
      <c r="S37" s="121">
        <f t="shared" si="18"/>
        <v>1122.320000000007</v>
      </c>
      <c r="T37" s="133">
        <f t="shared" si="22"/>
        <v>0.013240014307407177</v>
      </c>
      <c r="U37" s="131"/>
      <c r="V37" s="132"/>
      <c r="Z37" s="90"/>
    </row>
    <row r="38" spans="1:26" s="49" customFormat="1" ht="15">
      <c r="A38" s="139"/>
      <c r="B38" s="46"/>
      <c r="C38" s="3" t="s">
        <v>127</v>
      </c>
      <c r="D38" s="85">
        <v>4</v>
      </c>
      <c r="E38" s="50">
        <v>1</v>
      </c>
      <c r="F38" s="66">
        <f>D38*E38*52</f>
        <v>208</v>
      </c>
      <c r="G38" s="101">
        <f>References!$B$27</f>
        <v>175</v>
      </c>
      <c r="H38" s="54">
        <f t="shared" si="20"/>
        <v>36400</v>
      </c>
      <c r="I38" s="51">
        <f t="shared" si="12"/>
        <v>24804.203429383084</v>
      </c>
      <c r="J38" s="90">
        <f>ROUND(((References!$C$49*I38)*$G$101)+((References!$C$54*I38)*$G$100),2)</f>
        <v>43.22</v>
      </c>
      <c r="K38" s="90">
        <f>ROUND(J38/References!$G$53,2)</f>
        <v>44.45</v>
      </c>
      <c r="L38" s="90">
        <f t="shared" si="21"/>
        <v>0.2137019230769231</v>
      </c>
      <c r="M38" s="90">
        <v>16.14</v>
      </c>
      <c r="N38" s="114">
        <f t="shared" si="13"/>
        <v>16.353701923076922</v>
      </c>
      <c r="O38" s="126">
        <f t="shared" si="14"/>
        <v>3357.12</v>
      </c>
      <c r="P38" s="126">
        <f t="shared" si="15"/>
        <v>3401.5699999999997</v>
      </c>
      <c r="Q38" s="48">
        <f t="shared" si="16"/>
        <v>16.353701923076922</v>
      </c>
      <c r="R38" s="121">
        <f t="shared" si="17"/>
        <v>3401.5699999999997</v>
      </c>
      <c r="S38" s="121">
        <f t="shared" si="18"/>
        <v>44.44999999999982</v>
      </c>
      <c r="T38" s="133">
        <f t="shared" si="22"/>
        <v>0.013240515680106757</v>
      </c>
      <c r="U38" s="131"/>
      <c r="V38" s="132"/>
      <c r="Z38" s="90"/>
    </row>
    <row r="39" spans="1:26" s="49" customFormat="1" ht="15">
      <c r="A39" s="139"/>
      <c r="B39" s="46"/>
      <c r="C39" s="3" t="s">
        <v>128</v>
      </c>
      <c r="D39" s="85">
        <v>2</v>
      </c>
      <c r="E39" s="50">
        <v>1</v>
      </c>
      <c r="F39" s="66">
        <f>D39*E39*52*2</f>
        <v>208</v>
      </c>
      <c r="G39" s="101">
        <f>References!$B$27</f>
        <v>175</v>
      </c>
      <c r="H39" s="54">
        <f t="shared" si="20"/>
        <v>36400</v>
      </c>
      <c r="I39" s="51">
        <f t="shared" si="12"/>
        <v>24804.203429383084</v>
      </c>
      <c r="J39" s="90">
        <f>ROUND(((References!$C$49*I39)*$G$101)+((References!$C$54*I39)*$G$100),2)</f>
        <v>43.22</v>
      </c>
      <c r="K39" s="90">
        <f>ROUND(J39/References!$G$53,2)</f>
        <v>44.45</v>
      </c>
      <c r="L39" s="90">
        <f t="shared" si="21"/>
        <v>0.2137019230769231</v>
      </c>
      <c r="M39" s="90">
        <v>16.14</v>
      </c>
      <c r="N39" s="114">
        <f t="shared" si="13"/>
        <v>16.353701923076922</v>
      </c>
      <c r="O39" s="126">
        <f t="shared" si="14"/>
        <v>3357.12</v>
      </c>
      <c r="P39" s="126">
        <f t="shared" si="15"/>
        <v>3401.5699999999997</v>
      </c>
      <c r="Q39" s="48">
        <f t="shared" si="16"/>
        <v>16.353701923076922</v>
      </c>
      <c r="R39" s="121">
        <f t="shared" si="17"/>
        <v>3401.5699999999997</v>
      </c>
      <c r="S39" s="121">
        <f t="shared" si="18"/>
        <v>44.44999999999982</v>
      </c>
      <c r="T39" s="133">
        <f t="shared" si="22"/>
        <v>0.013240515680106757</v>
      </c>
      <c r="U39" s="131"/>
      <c r="V39" s="132"/>
      <c r="Z39" s="90"/>
    </row>
    <row r="40" spans="1:26" s="49" customFormat="1" ht="15">
      <c r="A40" s="139"/>
      <c r="B40" s="46"/>
      <c r="C40" s="2" t="s">
        <v>129</v>
      </c>
      <c r="D40" s="85">
        <v>40</v>
      </c>
      <c r="E40" s="50">
        <v>1</v>
      </c>
      <c r="F40" s="66">
        <f>D40*E40*26</f>
        <v>1040</v>
      </c>
      <c r="G40" s="101">
        <f>References!$B$28</f>
        <v>250</v>
      </c>
      <c r="H40" s="54">
        <f t="shared" si="20"/>
        <v>260000</v>
      </c>
      <c r="I40" s="51">
        <f t="shared" si="12"/>
        <v>177172.8816384506</v>
      </c>
      <c r="J40" s="90">
        <f>ROUND(((References!$C$49*I40)*$G$101)+((References!$C$54*I40)*$G$100),2)</f>
        <v>308.73</v>
      </c>
      <c r="K40" s="90">
        <f>ROUND(J40/References!$G$53,2)</f>
        <v>317.49</v>
      </c>
      <c r="L40" s="90">
        <f t="shared" si="21"/>
        <v>0.30527884615384615</v>
      </c>
      <c r="M40" s="90">
        <v>23.15</v>
      </c>
      <c r="N40" s="114">
        <f t="shared" si="13"/>
        <v>23.455278846153846</v>
      </c>
      <c r="O40" s="126">
        <f t="shared" si="14"/>
        <v>24076</v>
      </c>
      <c r="P40" s="126">
        <f t="shared" si="15"/>
        <v>24393.489999999998</v>
      </c>
      <c r="Q40" s="48">
        <f t="shared" si="16"/>
        <v>23.455278846153846</v>
      </c>
      <c r="R40" s="121">
        <f t="shared" si="17"/>
        <v>24393.489999999998</v>
      </c>
      <c r="S40" s="121">
        <f t="shared" si="18"/>
        <v>317.48999999999796</v>
      </c>
      <c r="T40" s="133">
        <f t="shared" si="22"/>
        <v>0.013186991194550579</v>
      </c>
      <c r="U40" s="131"/>
      <c r="V40" s="132"/>
      <c r="Z40" s="90"/>
    </row>
    <row r="41" spans="1:26" s="49" customFormat="1" ht="15">
      <c r="A41" s="139"/>
      <c r="B41" s="46"/>
      <c r="C41" s="2" t="s">
        <v>130</v>
      </c>
      <c r="D41" s="85">
        <v>31</v>
      </c>
      <c r="E41" s="50">
        <v>1</v>
      </c>
      <c r="F41" s="66">
        <f>D41*E41*52</f>
        <v>1612</v>
      </c>
      <c r="G41" s="101">
        <f>References!$B$28</f>
        <v>250</v>
      </c>
      <c r="H41" s="54">
        <f t="shared" si="20"/>
        <v>403000</v>
      </c>
      <c r="I41" s="51">
        <f t="shared" si="12"/>
        <v>274617.9665395984</v>
      </c>
      <c r="J41" s="90">
        <f>ROUND(((References!$C$49*I41)*$G$101)+((References!$C$54*I41)*$G$100),2)</f>
        <v>478.52</v>
      </c>
      <c r="K41" s="90">
        <f>ROUND(J41/References!$G$53,2)</f>
        <v>492.1</v>
      </c>
      <c r="L41" s="90">
        <f t="shared" si="21"/>
        <v>0.305272952853598</v>
      </c>
      <c r="M41" s="90">
        <v>23.15</v>
      </c>
      <c r="N41" s="114">
        <f t="shared" si="13"/>
        <v>23.455272952853598</v>
      </c>
      <c r="O41" s="126">
        <f t="shared" si="14"/>
        <v>37317.799999999996</v>
      </c>
      <c r="P41" s="126">
        <f t="shared" si="15"/>
        <v>37809.9</v>
      </c>
      <c r="Q41" s="48">
        <f t="shared" si="16"/>
        <v>23.455272952853598</v>
      </c>
      <c r="R41" s="121">
        <f t="shared" si="17"/>
        <v>37809.9</v>
      </c>
      <c r="S41" s="121">
        <f t="shared" si="18"/>
        <v>492.1000000000058</v>
      </c>
      <c r="T41" s="133">
        <f t="shared" si="22"/>
        <v>0.013186736624345441</v>
      </c>
      <c r="U41" s="131"/>
      <c r="V41" s="132"/>
      <c r="Z41" s="90"/>
    </row>
    <row r="42" spans="1:26" s="49" customFormat="1" ht="15">
      <c r="A42" s="139"/>
      <c r="B42" s="46"/>
      <c r="C42" s="2" t="s">
        <v>131</v>
      </c>
      <c r="D42" s="85">
        <v>50</v>
      </c>
      <c r="E42" s="87">
        <v>0.5</v>
      </c>
      <c r="F42" s="66">
        <f>D42*26</f>
        <v>1300</v>
      </c>
      <c r="G42" s="101">
        <f>References!$B$29</f>
        <v>324</v>
      </c>
      <c r="H42" s="54">
        <f t="shared" si="20"/>
        <v>421200</v>
      </c>
      <c r="I42" s="51">
        <f t="shared" si="12"/>
        <v>287020.06825429</v>
      </c>
      <c r="J42" s="90">
        <f>ROUND(((References!$C$49*I42)*$G$101)+((References!$C$54*I42)*$G$100),2)</f>
        <v>500.14</v>
      </c>
      <c r="K42" s="90">
        <f>ROUND(J42/References!$G$53,2)</f>
        <v>514.34</v>
      </c>
      <c r="L42" s="90">
        <f t="shared" si="21"/>
        <v>0.39564615384615387</v>
      </c>
      <c r="M42" s="90">
        <v>28.94</v>
      </c>
      <c r="N42" s="114">
        <f t="shared" si="13"/>
        <v>29.335646153846156</v>
      </c>
      <c r="O42" s="126">
        <f t="shared" si="14"/>
        <v>37622</v>
      </c>
      <c r="P42" s="126">
        <f t="shared" si="15"/>
        <v>38136.340000000004</v>
      </c>
      <c r="Q42" s="48">
        <f t="shared" si="16"/>
        <v>29.335646153846156</v>
      </c>
      <c r="R42" s="121">
        <f t="shared" si="17"/>
        <v>38136.340000000004</v>
      </c>
      <c r="S42" s="121">
        <f t="shared" si="18"/>
        <v>514.3400000000038</v>
      </c>
      <c r="T42" s="133">
        <f t="shared" si="22"/>
        <v>0.013671256179894842</v>
      </c>
      <c r="U42" s="131"/>
      <c r="V42" s="132"/>
      <c r="Z42" s="90"/>
    </row>
    <row r="43" spans="1:26" s="49" customFormat="1" ht="15">
      <c r="A43" s="139"/>
      <c r="B43" s="46"/>
      <c r="C43" s="2" t="s">
        <v>132</v>
      </c>
      <c r="D43" s="85">
        <v>127</v>
      </c>
      <c r="E43" s="50">
        <v>1</v>
      </c>
      <c r="F43" s="66">
        <f>D43*E43*52</f>
        <v>6604</v>
      </c>
      <c r="G43" s="101">
        <f>References!$B$29</f>
        <v>324</v>
      </c>
      <c r="H43" s="54">
        <f t="shared" si="20"/>
        <v>2139696</v>
      </c>
      <c r="I43" s="51">
        <f t="shared" si="12"/>
        <v>1458061.946731793</v>
      </c>
      <c r="J43" s="90">
        <f>ROUND(((References!$C$49*I43)*$G$101)+((References!$C$54*I43)*$G$100),2)</f>
        <v>2540.69</v>
      </c>
      <c r="K43" s="90">
        <f>ROUND(J43/References!$G$53,2)</f>
        <v>2612.8</v>
      </c>
      <c r="L43" s="90">
        <f t="shared" si="21"/>
        <v>0.39563900666262874</v>
      </c>
      <c r="M43" s="90">
        <v>28.94</v>
      </c>
      <c r="N43" s="114">
        <f t="shared" si="13"/>
        <v>29.335639006662632</v>
      </c>
      <c r="O43" s="126">
        <f t="shared" si="14"/>
        <v>191119.76</v>
      </c>
      <c r="P43" s="126">
        <f t="shared" si="15"/>
        <v>193732.56000000003</v>
      </c>
      <c r="Q43" s="48">
        <f t="shared" si="16"/>
        <v>29.335639006662632</v>
      </c>
      <c r="R43" s="121">
        <f t="shared" si="17"/>
        <v>193732.56000000003</v>
      </c>
      <c r="S43" s="121">
        <f t="shared" si="18"/>
        <v>2612.8000000000175</v>
      </c>
      <c r="T43" s="133">
        <f t="shared" si="22"/>
        <v>0.01367100921432729</v>
      </c>
      <c r="U43" s="131"/>
      <c r="V43" s="132"/>
      <c r="Z43" s="90"/>
    </row>
    <row r="44" spans="1:26" s="49" customFormat="1" ht="15">
      <c r="A44" s="139"/>
      <c r="B44" s="46"/>
      <c r="C44" s="2" t="s">
        <v>133</v>
      </c>
      <c r="D44" s="85">
        <v>6</v>
      </c>
      <c r="E44" s="50">
        <v>1</v>
      </c>
      <c r="F44" s="66">
        <f>D44*E44*52</f>
        <v>312</v>
      </c>
      <c r="G44" s="101">
        <f>References!$B$29</f>
        <v>324</v>
      </c>
      <c r="H44" s="54">
        <f t="shared" si="20"/>
        <v>101088</v>
      </c>
      <c r="I44" s="51">
        <f t="shared" si="12"/>
        <v>68884.8163810296</v>
      </c>
      <c r="J44" s="90">
        <f>ROUND(((References!$C$49*I44)*$G$101)+((References!$C$54*I44)*$G$100),2)</f>
        <v>120.03</v>
      </c>
      <c r="K44" s="90">
        <f>ROUND(J44/References!$G$53,2)</f>
        <v>123.44</v>
      </c>
      <c r="L44" s="90">
        <f t="shared" si="21"/>
        <v>0.39564102564102566</v>
      </c>
      <c r="M44" s="90">
        <v>28.94</v>
      </c>
      <c r="N44" s="114">
        <f t="shared" si="13"/>
        <v>29.335641025641028</v>
      </c>
      <c r="O44" s="126">
        <f t="shared" si="14"/>
        <v>9029.28</v>
      </c>
      <c r="P44" s="126">
        <f t="shared" si="15"/>
        <v>9152.720000000001</v>
      </c>
      <c r="Q44" s="48">
        <f t="shared" si="16"/>
        <v>29.335641025641028</v>
      </c>
      <c r="R44" s="121">
        <f t="shared" si="17"/>
        <v>9152.720000000001</v>
      </c>
      <c r="S44" s="121">
        <f t="shared" si="18"/>
        <v>123.44000000000051</v>
      </c>
      <c r="T44" s="133">
        <f t="shared" si="22"/>
        <v>0.013671078978611861</v>
      </c>
      <c r="U44" s="131"/>
      <c r="V44" s="132"/>
      <c r="Z44" s="90"/>
    </row>
    <row r="45" spans="1:26" s="49" customFormat="1" ht="15">
      <c r="A45" s="139"/>
      <c r="B45" s="46"/>
      <c r="C45" s="2" t="s">
        <v>134</v>
      </c>
      <c r="D45" s="85">
        <v>3</v>
      </c>
      <c r="E45" s="50">
        <v>1</v>
      </c>
      <c r="F45" s="66">
        <f>D45*E45*52</f>
        <v>156</v>
      </c>
      <c r="G45" s="101">
        <f>References!$B$29</f>
        <v>324</v>
      </c>
      <c r="H45" s="54">
        <f t="shared" si="20"/>
        <v>50544</v>
      </c>
      <c r="I45" s="51">
        <f t="shared" si="12"/>
        <v>34442.4081905148</v>
      </c>
      <c r="J45" s="90">
        <f>ROUND(((References!$C$49*I45)*$G$101)+((References!$C$54*I45)*$G$100),2)</f>
        <v>60.02</v>
      </c>
      <c r="K45" s="90">
        <f>ROUND(J45/References!$G$53,2)</f>
        <v>61.72</v>
      </c>
      <c r="L45" s="90">
        <f t="shared" si="21"/>
        <v>0.39564102564102566</v>
      </c>
      <c r="M45" s="90">
        <v>28.94</v>
      </c>
      <c r="N45" s="114">
        <f t="shared" si="13"/>
        <v>29.335641025641028</v>
      </c>
      <c r="O45" s="126">
        <f t="shared" si="14"/>
        <v>4514.64</v>
      </c>
      <c r="P45" s="126">
        <f t="shared" si="15"/>
        <v>4576.360000000001</v>
      </c>
      <c r="Q45" s="48">
        <f t="shared" si="16"/>
        <v>29.335641025641028</v>
      </c>
      <c r="R45" s="121">
        <f t="shared" si="17"/>
        <v>4576.360000000001</v>
      </c>
      <c r="S45" s="121">
        <f t="shared" si="18"/>
        <v>61.720000000000255</v>
      </c>
      <c r="T45" s="133">
        <f t="shared" si="22"/>
        <v>0.013671078978611861</v>
      </c>
      <c r="U45" s="131"/>
      <c r="V45" s="132"/>
      <c r="Z45" s="90"/>
    </row>
    <row r="46" spans="1:26" s="49" customFormat="1" ht="15">
      <c r="A46" s="139"/>
      <c r="B46" s="46"/>
      <c r="C46" s="2" t="s">
        <v>135</v>
      </c>
      <c r="D46" s="85">
        <v>5</v>
      </c>
      <c r="E46" s="50">
        <v>2</v>
      </c>
      <c r="F46" s="66">
        <f>D46*E46*52</f>
        <v>520</v>
      </c>
      <c r="G46" s="101">
        <f>References!$B$29</f>
        <v>324</v>
      </c>
      <c r="H46" s="54">
        <f t="shared" si="20"/>
        <v>168480</v>
      </c>
      <c r="I46" s="51">
        <f t="shared" si="12"/>
        <v>114808.02730171599</v>
      </c>
      <c r="J46" s="90">
        <f>ROUND(((References!$C$49*I46)*$G$101)+((References!$C$54*I46)*$G$100),2)</f>
        <v>200.05</v>
      </c>
      <c r="K46" s="90">
        <f>ROUND(J46/References!$G$53,2)</f>
        <v>205.73</v>
      </c>
      <c r="L46" s="90">
        <f t="shared" si="21"/>
        <v>0.39563461538461536</v>
      </c>
      <c r="M46" s="90">
        <v>28.94</v>
      </c>
      <c r="N46" s="114">
        <f t="shared" si="13"/>
        <v>29.335634615384617</v>
      </c>
      <c r="O46" s="126">
        <f t="shared" si="14"/>
        <v>15048.800000000001</v>
      </c>
      <c r="P46" s="126">
        <f t="shared" si="15"/>
        <v>15254.53</v>
      </c>
      <c r="Q46" s="48">
        <f t="shared" si="16"/>
        <v>29.335634615384617</v>
      </c>
      <c r="R46" s="121">
        <f t="shared" si="17"/>
        <v>15254.53</v>
      </c>
      <c r="S46" s="121">
        <f t="shared" si="18"/>
        <v>205.72999999999956</v>
      </c>
      <c r="T46" s="133">
        <f t="shared" si="22"/>
        <v>0.013670857477008136</v>
      </c>
      <c r="U46" s="131"/>
      <c r="V46" s="132"/>
      <c r="Z46" s="90"/>
    </row>
    <row r="47" spans="1:26" s="49" customFormat="1" ht="15">
      <c r="A47" s="139"/>
      <c r="B47" s="46"/>
      <c r="C47" s="2" t="s">
        <v>136</v>
      </c>
      <c r="D47" s="85">
        <v>2</v>
      </c>
      <c r="E47" s="50">
        <v>2</v>
      </c>
      <c r="F47" s="66">
        <f>D47*E47*52</f>
        <v>208</v>
      </c>
      <c r="G47" s="101">
        <f>References!$B$29</f>
        <v>324</v>
      </c>
      <c r="H47" s="54">
        <f t="shared" si="20"/>
        <v>67392</v>
      </c>
      <c r="I47" s="51">
        <f t="shared" si="12"/>
        <v>45923.2109206864</v>
      </c>
      <c r="J47" s="90">
        <f>ROUND(((References!$C$49*I47)*$G$101)+((References!$C$54*I47)*$G$100),2)</f>
        <v>80.02</v>
      </c>
      <c r="K47" s="90">
        <f>ROUND(J47/References!$G$53,2)</f>
        <v>82.29</v>
      </c>
      <c r="L47" s="90">
        <f t="shared" si="21"/>
        <v>0.395625</v>
      </c>
      <c r="M47" s="90">
        <v>28.94</v>
      </c>
      <c r="N47" s="114">
        <f t="shared" si="13"/>
        <v>29.335625</v>
      </c>
      <c r="O47" s="126">
        <f t="shared" si="14"/>
        <v>6019.52</v>
      </c>
      <c r="P47" s="126">
        <f t="shared" si="15"/>
        <v>6101.81</v>
      </c>
      <c r="Q47" s="48">
        <f t="shared" si="16"/>
        <v>29.335625</v>
      </c>
      <c r="R47" s="121">
        <f t="shared" si="17"/>
        <v>6101.81</v>
      </c>
      <c r="S47" s="121">
        <f t="shared" si="18"/>
        <v>82.28999999999996</v>
      </c>
      <c r="T47" s="133">
        <f t="shared" si="22"/>
        <v>0.013670525224602548</v>
      </c>
      <c r="U47" s="131"/>
      <c r="V47" s="132"/>
      <c r="Z47" s="90"/>
    </row>
    <row r="48" spans="1:26" s="49" customFormat="1" ht="15">
      <c r="A48" s="139"/>
      <c r="B48" s="46"/>
      <c r="C48" s="2" t="s">
        <v>137</v>
      </c>
      <c r="D48" s="85">
        <v>24</v>
      </c>
      <c r="E48" s="87">
        <v>0.5</v>
      </c>
      <c r="F48" s="66">
        <f>D48*26</f>
        <v>624</v>
      </c>
      <c r="G48" s="101">
        <f>References!$B$30</f>
        <v>473</v>
      </c>
      <c r="H48" s="54">
        <f t="shared" si="20"/>
        <v>295152</v>
      </c>
      <c r="I48" s="51">
        <f t="shared" si="12"/>
        <v>201126.6552359691</v>
      </c>
      <c r="J48" s="90">
        <f>ROUND(((References!$C$49*I48)*$G$101)+((References!$C$54*I48)*$G$100),2)</f>
        <v>350.47</v>
      </c>
      <c r="K48" s="90">
        <f>ROUND(J48/References!$G$53,2)</f>
        <v>360.42</v>
      </c>
      <c r="L48" s="90">
        <f t="shared" si="21"/>
        <v>0.5775961538461539</v>
      </c>
      <c r="M48" s="90">
        <v>40.04</v>
      </c>
      <c r="N48" s="114">
        <f t="shared" si="13"/>
        <v>40.61759615384615</v>
      </c>
      <c r="O48" s="126">
        <f t="shared" si="14"/>
        <v>24984.96</v>
      </c>
      <c r="P48" s="126">
        <f t="shared" si="15"/>
        <v>25345.379999999997</v>
      </c>
      <c r="Q48" s="48">
        <f t="shared" si="16"/>
        <v>40.61759615384615</v>
      </c>
      <c r="R48" s="121">
        <f t="shared" si="17"/>
        <v>25345.379999999997</v>
      </c>
      <c r="S48" s="121">
        <f t="shared" si="18"/>
        <v>360.41999999999825</v>
      </c>
      <c r="T48" s="133">
        <f t="shared" si="22"/>
        <v>0.01442547836778596</v>
      </c>
      <c r="U48" s="131"/>
      <c r="V48" s="132"/>
      <c r="Z48" s="90"/>
    </row>
    <row r="49" spans="1:26" s="49" customFormat="1" ht="15">
      <c r="A49" s="139"/>
      <c r="B49" s="46"/>
      <c r="C49" s="2" t="s">
        <v>138</v>
      </c>
      <c r="D49" s="85">
        <v>69</v>
      </c>
      <c r="E49" s="50">
        <v>1</v>
      </c>
      <c r="F49" s="66">
        <f>D49*E49*52</f>
        <v>3588</v>
      </c>
      <c r="G49" s="101">
        <f>References!$B$30</f>
        <v>473</v>
      </c>
      <c r="H49" s="54">
        <f t="shared" si="20"/>
        <v>1697124</v>
      </c>
      <c r="I49" s="51">
        <f t="shared" si="12"/>
        <v>1156478.2676068225</v>
      </c>
      <c r="J49" s="90">
        <f>ROUND(((References!$C$49*I49)*$G$101)+((References!$C$54*I49)*$G$100),2)</f>
        <v>2015.18</v>
      </c>
      <c r="K49" s="90">
        <f>ROUND(J49/References!$G$53,2)</f>
        <v>2072.38</v>
      </c>
      <c r="L49" s="90">
        <f t="shared" si="21"/>
        <v>0.5775863991081382</v>
      </c>
      <c r="M49" s="90">
        <v>40.04</v>
      </c>
      <c r="N49" s="114">
        <f t="shared" si="13"/>
        <v>40.617586399108134</v>
      </c>
      <c r="O49" s="126">
        <f t="shared" si="14"/>
        <v>143663.52</v>
      </c>
      <c r="P49" s="126">
        <f t="shared" si="15"/>
        <v>145735.9</v>
      </c>
      <c r="Q49" s="48">
        <f t="shared" si="16"/>
        <v>40.617586399108134</v>
      </c>
      <c r="R49" s="121">
        <f t="shared" si="17"/>
        <v>145735.9</v>
      </c>
      <c r="S49" s="121">
        <f t="shared" si="18"/>
        <v>2072.3800000000047</v>
      </c>
      <c r="T49" s="133">
        <f t="shared" si="22"/>
        <v>0.014425234742960313</v>
      </c>
      <c r="U49" s="131"/>
      <c r="V49" s="132"/>
      <c r="Z49" s="90"/>
    </row>
    <row r="50" spans="1:26" s="49" customFormat="1" ht="15">
      <c r="A50" s="139"/>
      <c r="B50" s="46"/>
      <c r="C50" s="2" t="s">
        <v>139</v>
      </c>
      <c r="D50" s="85">
        <v>2</v>
      </c>
      <c r="E50" s="50">
        <v>1</v>
      </c>
      <c r="F50" s="66">
        <f>D50*E50*52*2</f>
        <v>208</v>
      </c>
      <c r="G50" s="101">
        <f>References!$B$30</f>
        <v>473</v>
      </c>
      <c r="H50" s="54">
        <f t="shared" si="20"/>
        <v>98384</v>
      </c>
      <c r="I50" s="51">
        <f t="shared" si="12"/>
        <v>67042.21841198971</v>
      </c>
      <c r="J50" s="90">
        <f>ROUND(((References!$C$49*I50)*$G$101)+((References!$C$54*I50)*$G$100),2)</f>
        <v>116.82</v>
      </c>
      <c r="K50" s="90">
        <f>ROUND(J50/References!$G$53,2)</f>
        <v>120.14</v>
      </c>
      <c r="L50" s="90">
        <f t="shared" si="21"/>
        <v>0.5775961538461538</v>
      </c>
      <c r="M50" s="90">
        <v>40.04</v>
      </c>
      <c r="N50" s="114">
        <f t="shared" si="13"/>
        <v>40.61759615384615</v>
      </c>
      <c r="O50" s="126">
        <f t="shared" si="14"/>
        <v>8328.32</v>
      </c>
      <c r="P50" s="126">
        <f t="shared" si="15"/>
        <v>8448.46</v>
      </c>
      <c r="Q50" s="48">
        <f t="shared" si="16"/>
        <v>40.61759615384615</v>
      </c>
      <c r="R50" s="121">
        <f t="shared" si="17"/>
        <v>8448.46</v>
      </c>
      <c r="S50" s="121">
        <f t="shared" si="18"/>
        <v>120.13999999999942</v>
      </c>
      <c r="T50" s="133">
        <f t="shared" si="22"/>
        <v>0.01442547836778596</v>
      </c>
      <c r="U50" s="131"/>
      <c r="V50" s="132"/>
      <c r="Z50" s="90"/>
    </row>
    <row r="51" spans="1:26" s="49" customFormat="1" ht="15">
      <c r="A51" s="139"/>
      <c r="B51" s="46"/>
      <c r="C51" s="2" t="s">
        <v>140</v>
      </c>
      <c r="D51" s="85">
        <v>25</v>
      </c>
      <c r="E51" s="87">
        <v>0.5</v>
      </c>
      <c r="F51" s="66">
        <f>D51*26</f>
        <v>650</v>
      </c>
      <c r="G51" s="101">
        <f>References!$B$31</f>
        <v>613</v>
      </c>
      <c r="H51" s="54">
        <f t="shared" si="20"/>
        <v>398450</v>
      </c>
      <c r="I51" s="51">
        <f t="shared" si="12"/>
        <v>271517.4411109256</v>
      </c>
      <c r="J51" s="90">
        <f>ROUND(((References!$C$49*I51)*$G$101)+((References!$C$54*I51)*$G$100),2)</f>
        <v>473.12</v>
      </c>
      <c r="K51" s="90">
        <f>ROUND(J51/References!$G$53,2)</f>
        <v>486.55</v>
      </c>
      <c r="L51" s="90">
        <f t="shared" si="21"/>
        <v>0.7485384615384616</v>
      </c>
      <c r="M51" s="90">
        <v>48.85</v>
      </c>
      <c r="N51" s="114">
        <f t="shared" si="13"/>
        <v>49.59853846153846</v>
      </c>
      <c r="O51" s="126">
        <f t="shared" si="14"/>
        <v>31752.5</v>
      </c>
      <c r="P51" s="126">
        <f t="shared" si="15"/>
        <v>32239.05</v>
      </c>
      <c r="Q51" s="48">
        <f t="shared" si="16"/>
        <v>49.59853846153846</v>
      </c>
      <c r="R51" s="121">
        <f t="shared" si="17"/>
        <v>32239.05</v>
      </c>
      <c r="S51" s="121">
        <f t="shared" si="18"/>
        <v>486.5499999999993</v>
      </c>
      <c r="T51" s="133">
        <f t="shared" si="22"/>
        <v>0.015323202897409516</v>
      </c>
      <c r="U51" s="131"/>
      <c r="V51" s="132"/>
      <c r="Z51" s="90"/>
    </row>
    <row r="52" spans="1:26" s="49" customFormat="1" ht="15">
      <c r="A52" s="139"/>
      <c r="B52" s="46"/>
      <c r="C52" s="2" t="s">
        <v>141</v>
      </c>
      <c r="D52" s="85">
        <v>89</v>
      </c>
      <c r="E52" s="50">
        <v>1</v>
      </c>
      <c r="F52" s="66">
        <f>D52*E52*52</f>
        <v>4628</v>
      </c>
      <c r="G52" s="101">
        <f>References!$B$31</f>
        <v>613</v>
      </c>
      <c r="H52" s="54">
        <f t="shared" si="20"/>
        <v>2836964</v>
      </c>
      <c r="I52" s="51">
        <f t="shared" si="12"/>
        <v>1933204.18070979</v>
      </c>
      <c r="J52" s="90">
        <f>ROUND(((References!$C$49*I52)*$G$101)+((References!$C$54*I52)*$G$100),2)</f>
        <v>3368.63</v>
      </c>
      <c r="K52" s="90">
        <f>ROUND(J52/References!$G$53,2)</f>
        <v>3464.24</v>
      </c>
      <c r="L52" s="90">
        <f t="shared" si="21"/>
        <v>0.7485393258426966</v>
      </c>
      <c r="M52" s="90">
        <v>48.85</v>
      </c>
      <c r="N52" s="114">
        <f t="shared" si="13"/>
        <v>49.5985393258427</v>
      </c>
      <c r="O52" s="126">
        <f t="shared" si="14"/>
        <v>226077.80000000002</v>
      </c>
      <c r="P52" s="126">
        <f t="shared" si="15"/>
        <v>229542.04</v>
      </c>
      <c r="Q52" s="48">
        <f t="shared" si="16"/>
        <v>49.5985393258427</v>
      </c>
      <c r="R52" s="121">
        <f t="shared" si="17"/>
        <v>229542.04</v>
      </c>
      <c r="S52" s="121">
        <f t="shared" si="18"/>
        <v>3464.2399999999907</v>
      </c>
      <c r="T52" s="133">
        <f t="shared" si="22"/>
        <v>0.015323220590433895</v>
      </c>
      <c r="U52" s="131"/>
      <c r="V52" s="132"/>
      <c r="Z52" s="90"/>
    </row>
    <row r="53" spans="1:26" s="49" customFormat="1" ht="15">
      <c r="A53" s="139"/>
      <c r="B53" s="46"/>
      <c r="C53" s="2" t="s">
        <v>142</v>
      </c>
      <c r="D53" s="85">
        <v>4</v>
      </c>
      <c r="E53" s="50">
        <v>1</v>
      </c>
      <c r="F53" s="66">
        <f>D53*E53*52</f>
        <v>208</v>
      </c>
      <c r="G53" s="101">
        <f>References!$B$31</f>
        <v>613</v>
      </c>
      <c r="H53" s="54">
        <f t="shared" si="20"/>
        <v>127504</v>
      </c>
      <c r="I53" s="51">
        <f t="shared" si="12"/>
        <v>86885.58115549617</v>
      </c>
      <c r="J53" s="90">
        <f>ROUND(((References!$C$49*I53)*$G$101)+((References!$C$54*I53)*$G$100),2)</f>
        <v>151.4</v>
      </c>
      <c r="K53" s="90">
        <f>ROUND(J53/References!$G$53,2)</f>
        <v>155.7</v>
      </c>
      <c r="L53" s="90">
        <f t="shared" si="21"/>
        <v>0.7485576923076922</v>
      </c>
      <c r="M53" s="90">
        <v>48.85</v>
      </c>
      <c r="N53" s="114">
        <f t="shared" si="13"/>
        <v>49.59855769230769</v>
      </c>
      <c r="O53" s="126">
        <f t="shared" si="14"/>
        <v>10160.800000000001</v>
      </c>
      <c r="P53" s="126">
        <f t="shared" si="15"/>
        <v>10316.5</v>
      </c>
      <c r="Q53" s="48">
        <f t="shared" si="16"/>
        <v>49.59855769230769</v>
      </c>
      <c r="R53" s="121">
        <f t="shared" si="17"/>
        <v>10316.5</v>
      </c>
      <c r="S53" s="121">
        <f t="shared" si="18"/>
        <v>155.6999999999989</v>
      </c>
      <c r="T53" s="133">
        <f t="shared" si="22"/>
        <v>0.015323596567199393</v>
      </c>
      <c r="U53" s="131"/>
      <c r="V53" s="132"/>
      <c r="Z53" s="90"/>
    </row>
    <row r="54" spans="1:26" s="49" customFormat="1" ht="15">
      <c r="A54" s="139"/>
      <c r="B54" s="46"/>
      <c r="C54" s="2" t="s">
        <v>143</v>
      </c>
      <c r="D54" s="85">
        <v>8</v>
      </c>
      <c r="E54" s="50">
        <v>1</v>
      </c>
      <c r="F54" s="66">
        <f>D54*E54*52*2</f>
        <v>832</v>
      </c>
      <c r="G54" s="101">
        <f>References!$B$31</f>
        <v>613</v>
      </c>
      <c r="H54" s="54">
        <f t="shared" si="20"/>
        <v>510016</v>
      </c>
      <c r="I54" s="51">
        <f t="shared" si="12"/>
        <v>347542.3246219847</v>
      </c>
      <c r="J54" s="90">
        <f>ROUND(((References!$C$49*I54)*$G$101)+((References!$C$54*I54)*$G$100),2)</f>
        <v>605.6</v>
      </c>
      <c r="K54" s="90">
        <f>ROUND(J54/References!$G$53,2)</f>
        <v>622.79</v>
      </c>
      <c r="L54" s="90">
        <f t="shared" si="21"/>
        <v>0.748545673076923</v>
      </c>
      <c r="M54" s="90">
        <v>48.85</v>
      </c>
      <c r="N54" s="114">
        <f t="shared" si="13"/>
        <v>49.59854567307693</v>
      </c>
      <c r="O54" s="126">
        <f t="shared" si="14"/>
        <v>40643.200000000004</v>
      </c>
      <c r="P54" s="126">
        <f t="shared" si="15"/>
        <v>41265.990000000005</v>
      </c>
      <c r="Q54" s="48">
        <f t="shared" si="16"/>
        <v>49.59854567307693</v>
      </c>
      <c r="R54" s="121">
        <f t="shared" si="17"/>
        <v>41265.990000000005</v>
      </c>
      <c r="S54" s="121">
        <f t="shared" si="18"/>
        <v>622.7900000000009</v>
      </c>
      <c r="T54" s="133">
        <f t="shared" si="22"/>
        <v>0.015323350523580803</v>
      </c>
      <c r="U54" s="131"/>
      <c r="V54" s="132"/>
      <c r="Z54" s="90"/>
    </row>
    <row r="55" spans="1:26" s="49" customFormat="1" ht="15">
      <c r="A55" s="139"/>
      <c r="B55" s="46"/>
      <c r="C55" s="2" t="s">
        <v>144</v>
      </c>
      <c r="D55" s="85">
        <v>2</v>
      </c>
      <c r="E55" s="50">
        <v>1</v>
      </c>
      <c r="F55" s="66">
        <f>D55*E55*52*2</f>
        <v>208</v>
      </c>
      <c r="G55" s="101">
        <f>References!$B$31</f>
        <v>613</v>
      </c>
      <c r="H55" s="54">
        <f t="shared" si="20"/>
        <v>127504</v>
      </c>
      <c r="I55" s="51">
        <f aca="true" t="shared" si="23" ref="I55:I86">$C$98*H55</f>
        <v>86885.58115549617</v>
      </c>
      <c r="J55" s="90">
        <f>ROUND(((References!$C$49*I55)*$G$101)+((References!$C$54*I55)*$G$100),2)</f>
        <v>151.4</v>
      </c>
      <c r="K55" s="90">
        <f>ROUND(J55/References!$G$53,2)</f>
        <v>155.7</v>
      </c>
      <c r="L55" s="90">
        <f t="shared" si="21"/>
        <v>0.7485576923076922</v>
      </c>
      <c r="M55" s="90">
        <v>48.85</v>
      </c>
      <c r="N55" s="114">
        <f t="shared" si="13"/>
        <v>49.59855769230769</v>
      </c>
      <c r="O55" s="126">
        <f aca="true" t="shared" si="24" ref="O55:O86">F55*M55</f>
        <v>10160.800000000001</v>
      </c>
      <c r="P55" s="126">
        <f aca="true" t="shared" si="25" ref="P55:P86">F55*N55</f>
        <v>10316.5</v>
      </c>
      <c r="Q55" s="48">
        <f aca="true" t="shared" si="26" ref="Q55:Q86">N55</f>
        <v>49.59855769230769</v>
      </c>
      <c r="R55" s="121">
        <f aca="true" t="shared" si="27" ref="R55:R86">F55*Q55</f>
        <v>10316.5</v>
      </c>
      <c r="S55" s="121">
        <f aca="true" t="shared" si="28" ref="S55:S86">R55-O55</f>
        <v>155.6999999999989</v>
      </c>
      <c r="T55" s="133">
        <f t="shared" si="22"/>
        <v>0.015323596567199393</v>
      </c>
      <c r="U55" s="131"/>
      <c r="V55" s="132"/>
      <c r="Z55" s="90"/>
    </row>
    <row r="56" spans="1:26" s="49" customFormat="1" ht="15">
      <c r="A56" s="139"/>
      <c r="B56" s="46"/>
      <c r="C56" s="2" t="s">
        <v>145</v>
      </c>
      <c r="D56" s="85">
        <v>1</v>
      </c>
      <c r="E56" s="50">
        <v>1</v>
      </c>
      <c r="F56" s="66">
        <f>D56*E56*52*3</f>
        <v>156</v>
      </c>
      <c r="G56" s="101">
        <f>References!$B$31</f>
        <v>613</v>
      </c>
      <c r="H56" s="54">
        <f t="shared" si="20"/>
        <v>95628</v>
      </c>
      <c r="I56" s="51">
        <f t="shared" si="23"/>
        <v>65164.18586662213</v>
      </c>
      <c r="J56" s="90">
        <f>ROUND(((References!$C$49*I56)*$G$101)+((References!$C$54*I56)*$G$100),2)</f>
        <v>113.55</v>
      </c>
      <c r="K56" s="90">
        <f>ROUND(J56/References!$G$53,2)</f>
        <v>116.77</v>
      </c>
      <c r="L56" s="90">
        <f t="shared" si="21"/>
        <v>0.748525641025641</v>
      </c>
      <c r="M56" s="90">
        <v>48.85</v>
      </c>
      <c r="N56" s="114">
        <f t="shared" si="13"/>
        <v>49.598525641025645</v>
      </c>
      <c r="O56" s="126">
        <f t="shared" si="24"/>
        <v>7620.6</v>
      </c>
      <c r="P56" s="126">
        <f t="shared" si="25"/>
        <v>7737.370000000001</v>
      </c>
      <c r="Q56" s="48">
        <f t="shared" si="26"/>
        <v>49.598525641025645</v>
      </c>
      <c r="R56" s="121">
        <f t="shared" si="27"/>
        <v>7737.370000000001</v>
      </c>
      <c r="S56" s="121">
        <f t="shared" si="28"/>
        <v>116.77000000000044</v>
      </c>
      <c r="T56" s="133">
        <f t="shared" si="22"/>
        <v>0.015322940450883227</v>
      </c>
      <c r="U56" s="131"/>
      <c r="V56" s="132"/>
      <c r="Z56" s="90"/>
    </row>
    <row r="57" spans="1:26" s="49" customFormat="1" ht="15">
      <c r="A57" s="139"/>
      <c r="B57" s="46"/>
      <c r="C57" s="2" t="s">
        <v>146</v>
      </c>
      <c r="D57" s="85">
        <v>18</v>
      </c>
      <c r="E57" s="87">
        <v>0.5</v>
      </c>
      <c r="F57" s="66">
        <f>D57*26</f>
        <v>468</v>
      </c>
      <c r="G57" s="101">
        <f>References!$B$32</f>
        <v>840</v>
      </c>
      <c r="H57" s="54">
        <f t="shared" si="20"/>
        <v>393120</v>
      </c>
      <c r="I57" s="51">
        <f t="shared" si="23"/>
        <v>267885.3970373373</v>
      </c>
      <c r="J57" s="90">
        <f>ROUND(((References!$C$49*I57)*$G$101)+((References!$C$54*I57)*$G$100),2)</f>
        <v>466.79</v>
      </c>
      <c r="K57" s="90">
        <f>ROUND(J57/References!$G$53,2)</f>
        <v>480.04</v>
      </c>
      <c r="L57" s="90">
        <f t="shared" si="21"/>
        <v>1.0257264957264958</v>
      </c>
      <c r="M57" s="90">
        <v>66.43</v>
      </c>
      <c r="N57" s="114">
        <f t="shared" si="13"/>
        <v>67.45572649572651</v>
      </c>
      <c r="O57" s="126">
        <f t="shared" si="24"/>
        <v>31089.24</v>
      </c>
      <c r="P57" s="126">
        <f t="shared" si="25"/>
        <v>31569.280000000006</v>
      </c>
      <c r="Q57" s="48">
        <f t="shared" si="26"/>
        <v>67.45572649572651</v>
      </c>
      <c r="R57" s="121">
        <f t="shared" si="27"/>
        <v>31569.280000000006</v>
      </c>
      <c r="S57" s="121">
        <f t="shared" si="28"/>
        <v>480.0400000000045</v>
      </c>
      <c r="T57" s="133">
        <f t="shared" si="22"/>
        <v>0.015440711963367493</v>
      </c>
      <c r="U57" s="131"/>
      <c r="V57" s="132"/>
      <c r="Z57" s="90"/>
    </row>
    <row r="58" spans="1:26" s="49" customFormat="1" ht="15">
      <c r="A58" s="139"/>
      <c r="B58" s="46"/>
      <c r="C58" s="2" t="s">
        <v>147</v>
      </c>
      <c r="D58" s="85">
        <v>103</v>
      </c>
      <c r="E58" s="50">
        <v>1</v>
      </c>
      <c r="F58" s="66">
        <f>D58*E58*52</f>
        <v>5356</v>
      </c>
      <c r="G58" s="101">
        <f>References!$B$32</f>
        <v>840</v>
      </c>
      <c r="H58" s="54">
        <f t="shared" si="20"/>
        <v>4499040</v>
      </c>
      <c r="I58" s="51">
        <f t="shared" si="23"/>
        <v>3065799.543871749</v>
      </c>
      <c r="J58" s="90">
        <f>ROUND(((References!$C$49*I58)*$G$101)+((References!$C$54*I58)*$G$100),2)</f>
        <v>5342.19</v>
      </c>
      <c r="K58" s="90">
        <f>ROUND(J58/References!$G$53,2)</f>
        <v>5493.82</v>
      </c>
      <c r="L58" s="90">
        <f t="shared" si="21"/>
        <v>1.0257318894697536</v>
      </c>
      <c r="M58" s="90">
        <v>66.43</v>
      </c>
      <c r="N58" s="114">
        <f t="shared" si="13"/>
        <v>67.45573188946976</v>
      </c>
      <c r="O58" s="126">
        <f t="shared" si="24"/>
        <v>355799.08</v>
      </c>
      <c r="P58" s="126">
        <f t="shared" si="25"/>
        <v>361292.9</v>
      </c>
      <c r="Q58" s="48">
        <f t="shared" si="26"/>
        <v>67.45573188946976</v>
      </c>
      <c r="R58" s="121">
        <f t="shared" si="27"/>
        <v>361292.9</v>
      </c>
      <c r="S58" s="121">
        <f t="shared" si="28"/>
        <v>5493.820000000007</v>
      </c>
      <c r="T58" s="133">
        <f t="shared" si="22"/>
        <v>0.01544079315775626</v>
      </c>
      <c r="U58" s="131"/>
      <c r="V58" s="132"/>
      <c r="Z58" s="90"/>
    </row>
    <row r="59" spans="1:26" s="49" customFormat="1" ht="15">
      <c r="A59" s="139"/>
      <c r="B59" s="46"/>
      <c r="C59" s="2" t="s">
        <v>148</v>
      </c>
      <c r="D59" s="85">
        <v>10</v>
      </c>
      <c r="E59" s="50">
        <v>1</v>
      </c>
      <c r="F59" s="66">
        <f>D59*E59*52</f>
        <v>520</v>
      </c>
      <c r="G59" s="101">
        <f>References!$B$32</f>
        <v>840</v>
      </c>
      <c r="H59" s="54">
        <f t="shared" si="20"/>
        <v>436800</v>
      </c>
      <c r="I59" s="51">
        <f t="shared" si="23"/>
        <v>297650.441152597</v>
      </c>
      <c r="J59" s="90">
        <f>ROUND(((References!$C$49*I59)*$G$101)+((References!$C$54*I59)*$G$100),2)</f>
        <v>518.66</v>
      </c>
      <c r="K59" s="90">
        <f>ROUND(J59/References!$G$53,2)</f>
        <v>533.38</v>
      </c>
      <c r="L59" s="90">
        <f t="shared" si="21"/>
        <v>1.0257307692307691</v>
      </c>
      <c r="M59" s="90">
        <v>66.43</v>
      </c>
      <c r="N59" s="114">
        <f t="shared" si="13"/>
        <v>67.45573076923077</v>
      </c>
      <c r="O59" s="126">
        <f t="shared" si="24"/>
        <v>34543.600000000006</v>
      </c>
      <c r="P59" s="126">
        <f t="shared" si="25"/>
        <v>35076.98</v>
      </c>
      <c r="Q59" s="48">
        <f t="shared" si="26"/>
        <v>67.45573076923077</v>
      </c>
      <c r="R59" s="121">
        <f t="shared" si="27"/>
        <v>35076.98</v>
      </c>
      <c r="S59" s="121">
        <f t="shared" si="28"/>
        <v>533.3799999999974</v>
      </c>
      <c r="T59" s="133">
        <f t="shared" si="22"/>
        <v>0.015440776294306291</v>
      </c>
      <c r="U59" s="131"/>
      <c r="V59" s="132"/>
      <c r="Z59" s="90"/>
    </row>
    <row r="60" spans="1:26" s="49" customFormat="1" ht="15">
      <c r="A60" s="139"/>
      <c r="B60" s="46"/>
      <c r="C60" s="2" t="s">
        <v>149</v>
      </c>
      <c r="D60" s="85">
        <v>15</v>
      </c>
      <c r="E60" s="50">
        <v>1</v>
      </c>
      <c r="F60" s="66">
        <f>D60*E60*52</f>
        <v>780</v>
      </c>
      <c r="G60" s="101">
        <f>References!$B$32</f>
        <v>840</v>
      </c>
      <c r="H60" s="54">
        <f t="shared" si="20"/>
        <v>655200</v>
      </c>
      <c r="I60" s="51">
        <f t="shared" si="23"/>
        <v>446475.6617288955</v>
      </c>
      <c r="J60" s="90">
        <f>ROUND(((References!$C$49*I60)*$G$101)+((References!$C$54*I60)*$G$100),2)</f>
        <v>777.99</v>
      </c>
      <c r="K60" s="90">
        <f>ROUND(J60/References!$G$53,2)</f>
        <v>800.07</v>
      </c>
      <c r="L60" s="90">
        <f t="shared" si="21"/>
        <v>1.0257307692307693</v>
      </c>
      <c r="M60" s="90">
        <v>66.43</v>
      </c>
      <c r="N60" s="114">
        <f t="shared" si="13"/>
        <v>67.45573076923078</v>
      </c>
      <c r="O60" s="126">
        <f t="shared" si="24"/>
        <v>51815.40000000001</v>
      </c>
      <c r="P60" s="126">
        <f t="shared" si="25"/>
        <v>52615.47000000001</v>
      </c>
      <c r="Q60" s="48">
        <f t="shared" si="26"/>
        <v>67.45573076923078</v>
      </c>
      <c r="R60" s="121">
        <f t="shared" si="27"/>
        <v>52615.47000000001</v>
      </c>
      <c r="S60" s="121">
        <f t="shared" si="28"/>
        <v>800.0699999999997</v>
      </c>
      <c r="T60" s="133">
        <f t="shared" si="22"/>
        <v>0.015440776294306513</v>
      </c>
      <c r="U60" s="131"/>
      <c r="V60" s="132"/>
      <c r="Z60" s="90"/>
    </row>
    <row r="61" spans="1:26" s="49" customFormat="1" ht="15">
      <c r="A61" s="139"/>
      <c r="B61" s="46"/>
      <c r="C61" s="2" t="s">
        <v>150</v>
      </c>
      <c r="D61" s="85">
        <v>4</v>
      </c>
      <c r="E61" s="50">
        <v>1</v>
      </c>
      <c r="F61" s="66">
        <f>D61*E61*52</f>
        <v>208</v>
      </c>
      <c r="G61" s="101">
        <f>References!$B$32</f>
        <v>840</v>
      </c>
      <c r="H61" s="54">
        <f t="shared" si="20"/>
        <v>174720</v>
      </c>
      <c r="I61" s="51">
        <f t="shared" si="23"/>
        <v>119060.1764610388</v>
      </c>
      <c r="J61" s="90">
        <f>ROUND(((References!$C$49*I61)*$G$101)+((References!$C$54*I61)*$G$100),2)</f>
        <v>207.46</v>
      </c>
      <c r="K61" s="90">
        <f>ROUND(J61/References!$G$53,2)</f>
        <v>213.35</v>
      </c>
      <c r="L61" s="90">
        <f t="shared" si="21"/>
        <v>1.025721153846154</v>
      </c>
      <c r="M61" s="90">
        <v>66.43</v>
      </c>
      <c r="N61" s="114">
        <f t="shared" si="13"/>
        <v>67.45572115384616</v>
      </c>
      <c r="O61" s="126">
        <f t="shared" si="24"/>
        <v>13817.440000000002</v>
      </c>
      <c r="P61" s="126">
        <f t="shared" si="25"/>
        <v>14030.79</v>
      </c>
      <c r="Q61" s="48">
        <f t="shared" si="26"/>
        <v>67.45572115384616</v>
      </c>
      <c r="R61" s="121">
        <f t="shared" si="27"/>
        <v>14030.79</v>
      </c>
      <c r="S61" s="121">
        <f t="shared" si="28"/>
        <v>213.34999999999854</v>
      </c>
      <c r="T61" s="133">
        <f t="shared" si="22"/>
        <v>0.015440631549693551</v>
      </c>
      <c r="U61" s="131"/>
      <c r="V61" s="132"/>
      <c r="Z61" s="90"/>
    </row>
    <row r="62" spans="1:26" s="49" customFormat="1" ht="15">
      <c r="A62" s="139"/>
      <c r="B62" s="46"/>
      <c r="C62" s="2" t="s">
        <v>151</v>
      </c>
      <c r="D62" s="85">
        <v>10</v>
      </c>
      <c r="E62" s="50">
        <v>1</v>
      </c>
      <c r="F62" s="66">
        <f>D62*E62*52</f>
        <v>520</v>
      </c>
      <c r="G62" s="101">
        <f>References!$B$32</f>
        <v>840</v>
      </c>
      <c r="H62" s="54">
        <f t="shared" si="20"/>
        <v>436800</v>
      </c>
      <c r="I62" s="51">
        <f t="shared" si="23"/>
        <v>297650.441152597</v>
      </c>
      <c r="J62" s="90">
        <f>ROUND(((References!$C$49*I62)*$G$101)+((References!$C$54*I62)*$G$100),2)</f>
        <v>518.66</v>
      </c>
      <c r="K62" s="90">
        <f>ROUND(J62/References!$G$53,2)</f>
        <v>533.38</v>
      </c>
      <c r="L62" s="90">
        <f t="shared" si="21"/>
        <v>1.0257307692307691</v>
      </c>
      <c r="M62" s="90">
        <v>66.43</v>
      </c>
      <c r="N62" s="114">
        <f t="shared" si="13"/>
        <v>67.45573076923077</v>
      </c>
      <c r="O62" s="126">
        <f t="shared" si="24"/>
        <v>34543.600000000006</v>
      </c>
      <c r="P62" s="126">
        <f t="shared" si="25"/>
        <v>35076.98</v>
      </c>
      <c r="Q62" s="48">
        <f t="shared" si="26"/>
        <v>67.45573076923077</v>
      </c>
      <c r="R62" s="121">
        <f t="shared" si="27"/>
        <v>35076.98</v>
      </c>
      <c r="S62" s="121">
        <f t="shared" si="28"/>
        <v>533.3799999999974</v>
      </c>
      <c r="T62" s="133">
        <f t="shared" si="22"/>
        <v>0.015440776294306291</v>
      </c>
      <c r="U62" s="131"/>
      <c r="V62" s="132"/>
      <c r="Z62" s="90"/>
    </row>
    <row r="63" spans="1:26" s="49" customFormat="1" ht="15">
      <c r="A63" s="139"/>
      <c r="B63" s="46"/>
      <c r="C63" s="2" t="s">
        <v>152</v>
      </c>
      <c r="D63" s="85">
        <v>26</v>
      </c>
      <c r="E63" s="50">
        <v>1</v>
      </c>
      <c r="F63" s="66">
        <f>D63*E63*52*2</f>
        <v>2704</v>
      </c>
      <c r="G63" s="101">
        <f>References!$B$32</f>
        <v>840</v>
      </c>
      <c r="H63" s="54">
        <f t="shared" si="20"/>
        <v>2271360</v>
      </c>
      <c r="I63" s="51">
        <f t="shared" si="23"/>
        <v>1547782.2939935045</v>
      </c>
      <c r="J63" s="90">
        <f>ROUND(((References!$C$49*I63)*$G$101)+((References!$C$54*I63)*$G$100),2)</f>
        <v>2697.03</v>
      </c>
      <c r="K63" s="90">
        <f>ROUND(J63/References!$G$53,2)</f>
        <v>2773.58</v>
      </c>
      <c r="L63" s="90">
        <f t="shared" si="21"/>
        <v>1.02573224852071</v>
      </c>
      <c r="M63" s="90">
        <v>66.43</v>
      </c>
      <c r="N63" s="114">
        <f t="shared" si="13"/>
        <v>67.45573224852072</v>
      </c>
      <c r="O63" s="126">
        <f t="shared" si="24"/>
        <v>179626.72000000003</v>
      </c>
      <c r="P63" s="126">
        <f t="shared" si="25"/>
        <v>182400.30000000002</v>
      </c>
      <c r="Q63" s="48">
        <f t="shared" si="26"/>
        <v>67.45573224852072</v>
      </c>
      <c r="R63" s="121">
        <f t="shared" si="27"/>
        <v>182400.30000000002</v>
      </c>
      <c r="S63" s="121">
        <f t="shared" si="28"/>
        <v>2773.579999999987</v>
      </c>
      <c r="T63" s="133">
        <f t="shared" si="22"/>
        <v>0.015440798562708302</v>
      </c>
      <c r="U63" s="131"/>
      <c r="V63" s="132"/>
      <c r="Z63" s="90"/>
    </row>
    <row r="64" spans="1:26" s="49" customFormat="1" ht="15">
      <c r="A64" s="139"/>
      <c r="B64" s="46"/>
      <c r="C64" s="2" t="s">
        <v>153</v>
      </c>
      <c r="D64" s="85">
        <v>6</v>
      </c>
      <c r="E64" s="50">
        <v>1</v>
      </c>
      <c r="F64" s="66">
        <f>D64*E64*52*2</f>
        <v>624</v>
      </c>
      <c r="G64" s="101">
        <f>References!$B$32</f>
        <v>840</v>
      </c>
      <c r="H64" s="54">
        <f t="shared" si="20"/>
        <v>524160</v>
      </c>
      <c r="I64" s="51">
        <f t="shared" si="23"/>
        <v>357180.5293831164</v>
      </c>
      <c r="J64" s="90">
        <f>ROUND(((References!$C$49*I64)*$G$101)+((References!$C$54*I64)*$G$100),2)</f>
        <v>622.39</v>
      </c>
      <c r="K64" s="90">
        <f>ROUND(J64/References!$G$53,2)</f>
        <v>640.06</v>
      </c>
      <c r="L64" s="90">
        <f t="shared" si="21"/>
        <v>1.0257371794871795</v>
      </c>
      <c r="M64" s="90">
        <v>66.43</v>
      </c>
      <c r="N64" s="114">
        <f t="shared" si="13"/>
        <v>67.45573717948719</v>
      </c>
      <c r="O64" s="126">
        <f t="shared" si="24"/>
        <v>41452.32000000001</v>
      </c>
      <c r="P64" s="126">
        <f t="shared" si="25"/>
        <v>42092.380000000005</v>
      </c>
      <c r="Q64" s="48">
        <f t="shared" si="26"/>
        <v>67.45573717948719</v>
      </c>
      <c r="R64" s="121">
        <f t="shared" si="27"/>
        <v>42092.380000000005</v>
      </c>
      <c r="S64" s="121">
        <f t="shared" si="28"/>
        <v>640.0599999999977</v>
      </c>
      <c r="T64" s="133">
        <f t="shared" si="22"/>
        <v>0.01544087279071471</v>
      </c>
      <c r="U64" s="131"/>
      <c r="V64" s="132"/>
      <c r="Z64" s="90"/>
    </row>
    <row r="65" spans="1:26" s="49" customFormat="1" ht="15">
      <c r="A65" s="139"/>
      <c r="B65" s="46"/>
      <c r="C65" s="2" t="s">
        <v>154</v>
      </c>
      <c r="D65" s="85">
        <v>5</v>
      </c>
      <c r="E65" s="50">
        <v>1</v>
      </c>
      <c r="F65" s="66">
        <f>D65*E65*52*3</f>
        <v>780</v>
      </c>
      <c r="G65" s="101">
        <f>References!$B$32</f>
        <v>840</v>
      </c>
      <c r="H65" s="54">
        <f t="shared" si="20"/>
        <v>655200</v>
      </c>
      <c r="I65" s="51">
        <f t="shared" si="23"/>
        <v>446475.6617288955</v>
      </c>
      <c r="J65" s="90">
        <f>ROUND(((References!$C$49*I65)*$G$101)+((References!$C$54*I65)*$G$100),2)</f>
        <v>777.99</v>
      </c>
      <c r="K65" s="90">
        <f>ROUND(J65/References!$G$53,2)</f>
        <v>800.07</v>
      </c>
      <c r="L65" s="90">
        <f t="shared" si="21"/>
        <v>1.0257307692307693</v>
      </c>
      <c r="M65" s="90">
        <v>66.43</v>
      </c>
      <c r="N65" s="114">
        <f t="shared" si="13"/>
        <v>67.45573076923078</v>
      </c>
      <c r="O65" s="126">
        <f t="shared" si="24"/>
        <v>51815.40000000001</v>
      </c>
      <c r="P65" s="126">
        <f t="shared" si="25"/>
        <v>52615.47000000001</v>
      </c>
      <c r="Q65" s="48">
        <f t="shared" si="26"/>
        <v>67.45573076923078</v>
      </c>
      <c r="R65" s="121">
        <f t="shared" si="27"/>
        <v>52615.47000000001</v>
      </c>
      <c r="S65" s="121">
        <f t="shared" si="28"/>
        <v>800.0699999999997</v>
      </c>
      <c r="T65" s="133">
        <f t="shared" si="22"/>
        <v>0.015440776294306513</v>
      </c>
      <c r="U65" s="131"/>
      <c r="V65" s="132"/>
      <c r="Z65" s="90"/>
    </row>
    <row r="66" spans="1:26" s="49" customFormat="1" ht="15">
      <c r="A66" s="139"/>
      <c r="B66" s="46"/>
      <c r="C66" s="2" t="s">
        <v>155</v>
      </c>
      <c r="D66" s="85">
        <v>4</v>
      </c>
      <c r="E66" s="50">
        <v>1</v>
      </c>
      <c r="F66" s="66">
        <f>D66*E66*52*3</f>
        <v>624</v>
      </c>
      <c r="G66" s="101">
        <f>References!$B$32</f>
        <v>840</v>
      </c>
      <c r="H66" s="54">
        <f t="shared" si="20"/>
        <v>524160</v>
      </c>
      <c r="I66" s="51">
        <f t="shared" si="23"/>
        <v>357180.5293831164</v>
      </c>
      <c r="J66" s="90">
        <f>ROUND(((References!$C$49*I66)*$G$101)+((References!$C$54*I66)*$G$100),2)</f>
        <v>622.39</v>
      </c>
      <c r="K66" s="90">
        <f>ROUND(J66/References!$G$53,2)</f>
        <v>640.06</v>
      </c>
      <c r="L66" s="90">
        <f t="shared" si="21"/>
        <v>1.0257371794871795</v>
      </c>
      <c r="M66" s="90">
        <v>66.43</v>
      </c>
      <c r="N66" s="114">
        <f t="shared" si="13"/>
        <v>67.45573717948719</v>
      </c>
      <c r="O66" s="126">
        <f t="shared" si="24"/>
        <v>41452.32000000001</v>
      </c>
      <c r="P66" s="126">
        <f t="shared" si="25"/>
        <v>42092.380000000005</v>
      </c>
      <c r="Q66" s="48">
        <f t="shared" si="26"/>
        <v>67.45573717948719</v>
      </c>
      <c r="R66" s="121">
        <f t="shared" si="27"/>
        <v>42092.380000000005</v>
      </c>
      <c r="S66" s="121">
        <f t="shared" si="28"/>
        <v>640.0599999999977</v>
      </c>
      <c r="T66" s="133">
        <f t="shared" si="22"/>
        <v>0.01544087279071471</v>
      </c>
      <c r="U66" s="131"/>
      <c r="V66" s="132"/>
      <c r="Z66" s="90"/>
    </row>
    <row r="67" spans="1:26" s="49" customFormat="1" ht="15">
      <c r="A67" s="139"/>
      <c r="B67" s="46"/>
      <c r="C67" s="2" t="s">
        <v>156</v>
      </c>
      <c r="D67" s="85">
        <v>14</v>
      </c>
      <c r="E67" s="87">
        <v>0.5</v>
      </c>
      <c r="F67" s="66">
        <f>D67*26</f>
        <v>364</v>
      </c>
      <c r="G67" s="101">
        <f>References!$B$33</f>
        <v>980</v>
      </c>
      <c r="H67" s="54">
        <f t="shared" si="20"/>
        <v>356720</v>
      </c>
      <c r="I67" s="51">
        <f t="shared" si="23"/>
        <v>243081.19360795422</v>
      </c>
      <c r="J67" s="90">
        <f>ROUND(((References!$C$49*I67)*$G$101)+((References!$C$54*I67)*$G$100),2)</f>
        <v>423.57</v>
      </c>
      <c r="K67" s="90">
        <f>ROUND(J67/References!$G$53,2)</f>
        <v>435.59</v>
      </c>
      <c r="L67" s="90">
        <f t="shared" si="21"/>
        <v>1.1966758241758242</v>
      </c>
      <c r="M67" s="90">
        <v>79.99</v>
      </c>
      <c r="N67" s="114">
        <f t="shared" si="13"/>
        <v>81.18667582417582</v>
      </c>
      <c r="O67" s="126">
        <f t="shared" si="24"/>
        <v>29116.359999999997</v>
      </c>
      <c r="P67" s="126">
        <f t="shared" si="25"/>
        <v>29551.95</v>
      </c>
      <c r="Q67" s="48">
        <f t="shared" si="26"/>
        <v>81.18667582417582</v>
      </c>
      <c r="R67" s="121">
        <f t="shared" si="27"/>
        <v>29551.95</v>
      </c>
      <c r="S67" s="121">
        <f t="shared" si="28"/>
        <v>435.5900000000038</v>
      </c>
      <c r="T67" s="133">
        <f t="shared" si="22"/>
        <v>0.014960317841927973</v>
      </c>
      <c r="U67" s="131"/>
      <c r="V67" s="132"/>
      <c r="Z67" s="90"/>
    </row>
    <row r="68" spans="1:26" s="49" customFormat="1" ht="15">
      <c r="A68" s="139"/>
      <c r="B68" s="46"/>
      <c r="C68" s="2" t="s">
        <v>157</v>
      </c>
      <c r="D68" s="85">
        <v>68</v>
      </c>
      <c r="E68" s="50">
        <v>1</v>
      </c>
      <c r="F68" s="66">
        <f aca="true" t="shared" si="29" ref="F68:F86">D68*E68*52</f>
        <v>3536</v>
      </c>
      <c r="G68" s="101">
        <f>References!$B$33</f>
        <v>980</v>
      </c>
      <c r="H68" s="54">
        <f t="shared" si="20"/>
        <v>3465280</v>
      </c>
      <c r="I68" s="51">
        <f t="shared" si="23"/>
        <v>2361360.1664772695</v>
      </c>
      <c r="J68" s="90">
        <f>ROUND(((References!$C$49*I68)*$G$101)+((References!$C$54*I68)*$G$100),2)</f>
        <v>4114.69</v>
      </c>
      <c r="K68" s="90">
        <f>ROUND(J68/References!$G$53,2)</f>
        <v>4231.48</v>
      </c>
      <c r="L68" s="90">
        <f t="shared" si="21"/>
        <v>1.1966855203619908</v>
      </c>
      <c r="M68" s="90">
        <v>79.99</v>
      </c>
      <c r="N68" s="114">
        <f t="shared" si="13"/>
        <v>81.18668552036199</v>
      </c>
      <c r="O68" s="126">
        <f t="shared" si="24"/>
        <v>282844.63999999996</v>
      </c>
      <c r="P68" s="126">
        <f t="shared" si="25"/>
        <v>287076.12</v>
      </c>
      <c r="Q68" s="48">
        <f t="shared" si="26"/>
        <v>81.18668552036199</v>
      </c>
      <c r="R68" s="121">
        <f t="shared" si="27"/>
        <v>287076.12</v>
      </c>
      <c r="S68" s="121">
        <f t="shared" si="28"/>
        <v>4231.48000000004</v>
      </c>
      <c r="T68" s="133">
        <f t="shared" si="22"/>
        <v>0.01496043905940736</v>
      </c>
      <c r="U68" s="131"/>
      <c r="V68" s="132"/>
      <c r="Z68" s="90"/>
    </row>
    <row r="69" spans="1:26" s="49" customFormat="1" ht="15">
      <c r="A69" s="139"/>
      <c r="B69" s="46"/>
      <c r="C69" s="2" t="s">
        <v>158</v>
      </c>
      <c r="D69" s="85">
        <v>8</v>
      </c>
      <c r="E69" s="50">
        <v>1</v>
      </c>
      <c r="F69" s="66">
        <f t="shared" si="29"/>
        <v>416</v>
      </c>
      <c r="G69" s="101">
        <f>References!$B$33</f>
        <v>980</v>
      </c>
      <c r="H69" s="54">
        <f t="shared" si="20"/>
        <v>407680</v>
      </c>
      <c r="I69" s="51">
        <f t="shared" si="23"/>
        <v>277807.0784090905</v>
      </c>
      <c r="J69" s="90">
        <f>ROUND(((References!$C$49*I69)*$G$101)+((References!$C$54*I69)*$G$100),2)</f>
        <v>484.08</v>
      </c>
      <c r="K69" s="90">
        <f>ROUND(J69/References!$G$53,2)</f>
        <v>497.82</v>
      </c>
      <c r="L69" s="90">
        <f t="shared" si="21"/>
        <v>1.1966826923076923</v>
      </c>
      <c r="M69" s="90">
        <v>79.99</v>
      </c>
      <c r="N69" s="114">
        <f t="shared" si="13"/>
        <v>81.18668269230768</v>
      </c>
      <c r="O69" s="126">
        <f t="shared" si="24"/>
        <v>33275.84</v>
      </c>
      <c r="P69" s="126">
        <f t="shared" si="25"/>
        <v>33773.659999999996</v>
      </c>
      <c r="Q69" s="48">
        <f t="shared" si="26"/>
        <v>81.18668269230768</v>
      </c>
      <c r="R69" s="121">
        <f t="shared" si="27"/>
        <v>33773.659999999996</v>
      </c>
      <c r="S69" s="121">
        <f t="shared" si="28"/>
        <v>497.8199999999997</v>
      </c>
      <c r="T69" s="133">
        <f t="shared" si="22"/>
        <v>0.014960403704309178</v>
      </c>
      <c r="U69" s="131"/>
      <c r="V69" s="132"/>
      <c r="Z69" s="90"/>
    </row>
    <row r="70" spans="1:26" s="49" customFormat="1" ht="15">
      <c r="A70" s="139"/>
      <c r="B70" s="46"/>
      <c r="C70" s="2" t="s">
        <v>159</v>
      </c>
      <c r="D70" s="85">
        <v>9</v>
      </c>
      <c r="E70" s="50">
        <v>1</v>
      </c>
      <c r="F70" s="66">
        <f t="shared" si="29"/>
        <v>468</v>
      </c>
      <c r="G70" s="101">
        <f>References!$B$33</f>
        <v>980</v>
      </c>
      <c r="H70" s="54">
        <f t="shared" si="20"/>
        <v>458640</v>
      </c>
      <c r="I70" s="51">
        <f t="shared" si="23"/>
        <v>312532.96321022685</v>
      </c>
      <c r="J70" s="90">
        <f>ROUND(((References!$C$49*I70)*$G$101)+((References!$C$54*I70)*$G$100),2)</f>
        <v>544.59</v>
      </c>
      <c r="K70" s="90">
        <f>ROUND(J70/References!$G$53,2)</f>
        <v>560.05</v>
      </c>
      <c r="L70" s="90">
        <f t="shared" si="21"/>
        <v>1.1966880341880342</v>
      </c>
      <c r="M70" s="90">
        <v>79.99</v>
      </c>
      <c r="N70" s="114">
        <f t="shared" si="13"/>
        <v>81.18668803418802</v>
      </c>
      <c r="O70" s="126">
        <f t="shared" si="24"/>
        <v>37435.32</v>
      </c>
      <c r="P70" s="126">
        <f t="shared" si="25"/>
        <v>37995.369999999995</v>
      </c>
      <c r="Q70" s="48">
        <f t="shared" si="26"/>
        <v>81.18668803418802</v>
      </c>
      <c r="R70" s="121">
        <f t="shared" si="27"/>
        <v>37995.369999999995</v>
      </c>
      <c r="S70" s="121">
        <f t="shared" si="28"/>
        <v>560.0499999999956</v>
      </c>
      <c r="T70" s="133">
        <f t="shared" si="22"/>
        <v>0.014960470486161226</v>
      </c>
      <c r="U70" s="131"/>
      <c r="V70" s="132"/>
      <c r="Z70" s="90"/>
    </row>
    <row r="71" spans="1:26" s="49" customFormat="1" ht="15">
      <c r="A71" s="139"/>
      <c r="B71" s="46"/>
      <c r="C71" s="2" t="s">
        <v>160</v>
      </c>
      <c r="D71" s="85">
        <v>5</v>
      </c>
      <c r="E71" s="50">
        <v>1</v>
      </c>
      <c r="F71" s="66">
        <f t="shared" si="29"/>
        <v>260</v>
      </c>
      <c r="G71" s="101">
        <f>References!$B$33</f>
        <v>980</v>
      </c>
      <c r="H71" s="54">
        <f t="shared" si="20"/>
        <v>254800</v>
      </c>
      <c r="I71" s="51">
        <f t="shared" si="23"/>
        <v>173629.4240056816</v>
      </c>
      <c r="J71" s="90">
        <f>ROUND(((References!$C$49*I71)*$G$101)+((References!$C$54*I71)*$G$100),2)</f>
        <v>302.55</v>
      </c>
      <c r="K71" s="90">
        <f>ROUND(J71/References!$G$53,2)</f>
        <v>311.14</v>
      </c>
      <c r="L71" s="90">
        <f t="shared" si="21"/>
        <v>1.1966923076923077</v>
      </c>
      <c r="M71" s="90">
        <v>79.99</v>
      </c>
      <c r="N71" s="114">
        <f t="shared" si="13"/>
        <v>81.1866923076923</v>
      </c>
      <c r="O71" s="126">
        <f t="shared" si="24"/>
        <v>20797.399999999998</v>
      </c>
      <c r="P71" s="126">
        <f t="shared" si="25"/>
        <v>21108.539999999997</v>
      </c>
      <c r="Q71" s="48">
        <f t="shared" si="26"/>
        <v>81.1866923076923</v>
      </c>
      <c r="R71" s="121">
        <f t="shared" si="27"/>
        <v>21108.539999999997</v>
      </c>
      <c r="S71" s="121">
        <f t="shared" si="28"/>
        <v>311.1399999999994</v>
      </c>
      <c r="T71" s="133">
        <f t="shared" si="22"/>
        <v>0.01496052391164282</v>
      </c>
      <c r="U71" s="131"/>
      <c r="V71" s="132"/>
      <c r="Z71" s="90"/>
    </row>
    <row r="72" spans="1:26" s="49" customFormat="1" ht="15">
      <c r="A72" s="139"/>
      <c r="B72" s="46"/>
      <c r="C72" s="2" t="s">
        <v>161</v>
      </c>
      <c r="D72" s="85">
        <v>6</v>
      </c>
      <c r="E72" s="50">
        <v>1</v>
      </c>
      <c r="F72" s="66">
        <f t="shared" si="29"/>
        <v>312</v>
      </c>
      <c r="G72" s="101">
        <f>References!$B$33</f>
        <v>980</v>
      </c>
      <c r="H72" s="54">
        <f t="shared" si="20"/>
        <v>305760</v>
      </c>
      <c r="I72" s="51">
        <f t="shared" si="23"/>
        <v>208355.30880681792</v>
      </c>
      <c r="J72" s="90">
        <f>ROUND(((References!$C$49*I72)*$G$101)+((References!$C$54*I72)*$G$100),2)</f>
        <v>363.06</v>
      </c>
      <c r="K72" s="90">
        <f>ROUND(J72/References!$G$53,2)</f>
        <v>373.36</v>
      </c>
      <c r="L72" s="90">
        <f t="shared" si="21"/>
        <v>1.1966666666666668</v>
      </c>
      <c r="M72" s="90">
        <v>79.99</v>
      </c>
      <c r="N72" s="114">
        <f t="shared" si="13"/>
        <v>81.18666666666667</v>
      </c>
      <c r="O72" s="126">
        <f t="shared" si="24"/>
        <v>24956.879999999997</v>
      </c>
      <c r="P72" s="126">
        <f t="shared" si="25"/>
        <v>25330.24</v>
      </c>
      <c r="Q72" s="48">
        <f t="shared" si="26"/>
        <v>81.18666666666667</v>
      </c>
      <c r="R72" s="121">
        <f t="shared" si="27"/>
        <v>25330.24</v>
      </c>
      <c r="S72" s="121">
        <f t="shared" si="28"/>
        <v>373.3600000000042</v>
      </c>
      <c r="T72" s="133">
        <f t="shared" si="22"/>
        <v>0.014960203358753255</v>
      </c>
      <c r="U72" s="131"/>
      <c r="V72" s="132"/>
      <c r="Z72" s="90"/>
    </row>
    <row r="73" spans="1:26" s="49" customFormat="1" ht="15">
      <c r="A73" s="139"/>
      <c r="B73" s="46"/>
      <c r="C73" s="2" t="s">
        <v>162</v>
      </c>
      <c r="D73" s="85">
        <v>17</v>
      </c>
      <c r="E73" s="50">
        <v>2</v>
      </c>
      <c r="F73" s="66">
        <f t="shared" si="29"/>
        <v>1768</v>
      </c>
      <c r="G73" s="101">
        <f>References!$B$33</f>
        <v>980</v>
      </c>
      <c r="H73" s="54">
        <f t="shared" si="20"/>
        <v>1732640</v>
      </c>
      <c r="I73" s="51">
        <f t="shared" si="23"/>
        <v>1180680.0832386347</v>
      </c>
      <c r="J73" s="90">
        <f>ROUND(((References!$C$49*I73)*$G$101)+((References!$C$54*I73)*$G$100),2)</f>
        <v>2057.35</v>
      </c>
      <c r="K73" s="90">
        <f>ROUND(J73/References!$G$53,2)</f>
        <v>2115.74</v>
      </c>
      <c r="L73" s="90">
        <f t="shared" si="21"/>
        <v>1.1966855203619908</v>
      </c>
      <c r="M73" s="90">
        <v>79.99</v>
      </c>
      <c r="N73" s="114">
        <f t="shared" si="13"/>
        <v>81.18668552036199</v>
      </c>
      <c r="O73" s="126">
        <f t="shared" si="24"/>
        <v>141422.31999999998</v>
      </c>
      <c r="P73" s="126">
        <f t="shared" si="25"/>
        <v>143538.06</v>
      </c>
      <c r="Q73" s="48">
        <f t="shared" si="26"/>
        <v>81.18668552036199</v>
      </c>
      <c r="R73" s="121">
        <f t="shared" si="27"/>
        <v>143538.06</v>
      </c>
      <c r="S73" s="121">
        <f t="shared" si="28"/>
        <v>2115.74000000002</v>
      </c>
      <c r="T73" s="133">
        <f t="shared" si="22"/>
        <v>0.01496043905940736</v>
      </c>
      <c r="U73" s="131"/>
      <c r="V73" s="132"/>
      <c r="Z73" s="90"/>
    </row>
    <row r="74" spans="1:26" s="49" customFormat="1" ht="15">
      <c r="A74" s="139"/>
      <c r="B74" s="46"/>
      <c r="C74" s="2" t="s">
        <v>163</v>
      </c>
      <c r="D74" s="85">
        <v>4</v>
      </c>
      <c r="E74" s="50">
        <v>2</v>
      </c>
      <c r="F74" s="66">
        <f t="shared" si="29"/>
        <v>416</v>
      </c>
      <c r="G74" s="101">
        <f>References!$B$33</f>
        <v>980</v>
      </c>
      <c r="H74" s="54">
        <f t="shared" si="20"/>
        <v>407680</v>
      </c>
      <c r="I74" s="51">
        <f t="shared" si="23"/>
        <v>277807.0784090905</v>
      </c>
      <c r="J74" s="90">
        <f>ROUND(((References!$C$49*I74)*$G$101)+((References!$C$54*I74)*$G$100),2)</f>
        <v>484.08</v>
      </c>
      <c r="K74" s="90">
        <f>ROUND(J74/References!$G$53,2)</f>
        <v>497.82</v>
      </c>
      <c r="L74" s="90">
        <f t="shared" si="21"/>
        <v>1.1966826923076923</v>
      </c>
      <c r="M74" s="90">
        <v>79.99</v>
      </c>
      <c r="N74" s="114">
        <f aca="true" t="shared" si="30" ref="N74:N86">L74+M74</f>
        <v>81.18668269230768</v>
      </c>
      <c r="O74" s="126">
        <f t="shared" si="24"/>
        <v>33275.84</v>
      </c>
      <c r="P74" s="126">
        <f t="shared" si="25"/>
        <v>33773.659999999996</v>
      </c>
      <c r="Q74" s="48">
        <f t="shared" si="26"/>
        <v>81.18668269230768</v>
      </c>
      <c r="R74" s="121">
        <f t="shared" si="27"/>
        <v>33773.659999999996</v>
      </c>
      <c r="S74" s="121">
        <f t="shared" si="28"/>
        <v>497.8199999999997</v>
      </c>
      <c r="T74" s="133">
        <f t="shared" si="22"/>
        <v>0.014960403704309178</v>
      </c>
      <c r="U74" s="131"/>
      <c r="V74" s="132"/>
      <c r="Z74" s="90"/>
    </row>
    <row r="75" spans="1:26" s="49" customFormat="1" ht="15">
      <c r="A75" s="139"/>
      <c r="B75" s="46"/>
      <c r="C75" s="2" t="s">
        <v>164</v>
      </c>
      <c r="D75" s="85">
        <v>7</v>
      </c>
      <c r="E75" s="50">
        <v>3</v>
      </c>
      <c r="F75" s="66">
        <f t="shared" si="29"/>
        <v>1092</v>
      </c>
      <c r="G75" s="101">
        <f>References!$B$33</f>
        <v>980</v>
      </c>
      <c r="H75" s="54">
        <f t="shared" si="20"/>
        <v>1070160</v>
      </c>
      <c r="I75" s="51">
        <f t="shared" si="23"/>
        <v>729243.5808238627</v>
      </c>
      <c r="J75" s="90">
        <f>ROUND(((References!$C$49*I75)*$G$101)+((References!$C$54*I75)*$G$100),2)</f>
        <v>1270.71</v>
      </c>
      <c r="K75" s="90">
        <f>ROUND(J75/References!$G$53,2)</f>
        <v>1306.78</v>
      </c>
      <c r="L75" s="90">
        <f t="shared" si="21"/>
        <v>1.1966849816849816</v>
      </c>
      <c r="M75" s="90">
        <v>79.99</v>
      </c>
      <c r="N75" s="114">
        <f t="shared" si="30"/>
        <v>81.18668498168498</v>
      </c>
      <c r="O75" s="126">
        <f t="shared" si="24"/>
        <v>87349.07999999999</v>
      </c>
      <c r="P75" s="126">
        <f t="shared" si="25"/>
        <v>88655.86</v>
      </c>
      <c r="Q75" s="48">
        <f t="shared" si="26"/>
        <v>81.18668498168498</v>
      </c>
      <c r="R75" s="121">
        <f t="shared" si="27"/>
        <v>88655.86</v>
      </c>
      <c r="S75" s="121">
        <f t="shared" si="28"/>
        <v>1306.7800000000134</v>
      </c>
      <c r="T75" s="133">
        <f t="shared" si="22"/>
        <v>0.014960432325102913</v>
      </c>
      <c r="U75" s="131"/>
      <c r="V75" s="132"/>
      <c r="Z75" s="90"/>
    </row>
    <row r="76" spans="1:26" s="49" customFormat="1" ht="15">
      <c r="A76" s="139"/>
      <c r="B76" s="46"/>
      <c r="C76" s="2" t="s">
        <v>165</v>
      </c>
      <c r="D76" s="85">
        <v>2</v>
      </c>
      <c r="E76" s="50">
        <v>3</v>
      </c>
      <c r="F76" s="66">
        <f t="shared" si="29"/>
        <v>312</v>
      </c>
      <c r="G76" s="101">
        <f>References!$B$33</f>
        <v>980</v>
      </c>
      <c r="H76" s="54">
        <f t="shared" si="20"/>
        <v>305760</v>
      </c>
      <c r="I76" s="51">
        <f t="shared" si="23"/>
        <v>208355.30880681792</v>
      </c>
      <c r="J76" s="90">
        <f>ROUND(((References!$C$49*I76)*$G$101)+((References!$C$54*I76)*$G$100),2)</f>
        <v>363.06</v>
      </c>
      <c r="K76" s="90">
        <f>ROUND(J76/References!$G$53,2)</f>
        <v>373.36</v>
      </c>
      <c r="L76" s="90">
        <f t="shared" si="21"/>
        <v>1.1966666666666668</v>
      </c>
      <c r="M76" s="90">
        <v>79.99</v>
      </c>
      <c r="N76" s="114">
        <f t="shared" si="30"/>
        <v>81.18666666666667</v>
      </c>
      <c r="O76" s="126">
        <f t="shared" si="24"/>
        <v>24956.879999999997</v>
      </c>
      <c r="P76" s="126">
        <f t="shared" si="25"/>
        <v>25330.24</v>
      </c>
      <c r="Q76" s="48">
        <f t="shared" si="26"/>
        <v>81.18666666666667</v>
      </c>
      <c r="R76" s="121">
        <f t="shared" si="27"/>
        <v>25330.24</v>
      </c>
      <c r="S76" s="121">
        <f t="shared" si="28"/>
        <v>373.3600000000042</v>
      </c>
      <c r="T76" s="133">
        <f t="shared" si="22"/>
        <v>0.014960203358753255</v>
      </c>
      <c r="U76" s="131"/>
      <c r="V76" s="132"/>
      <c r="Z76" s="90"/>
    </row>
    <row r="77" spans="1:26" s="49" customFormat="1" ht="15">
      <c r="A77" s="139"/>
      <c r="B77" s="46"/>
      <c r="C77" s="2" t="s">
        <v>166</v>
      </c>
      <c r="D77" s="85">
        <v>1</v>
      </c>
      <c r="E77" s="50">
        <v>4</v>
      </c>
      <c r="F77" s="66">
        <f t="shared" si="29"/>
        <v>208</v>
      </c>
      <c r="G77" s="101">
        <f>References!$B$33</f>
        <v>980</v>
      </c>
      <c r="H77" s="54">
        <f t="shared" si="20"/>
        <v>203840</v>
      </c>
      <c r="I77" s="51">
        <f t="shared" si="23"/>
        <v>138903.53920454526</v>
      </c>
      <c r="J77" s="90">
        <f>ROUND(((References!$C$49*I77)*$G$101)+((References!$C$54*I77)*$G$100),2)</f>
        <v>242.04</v>
      </c>
      <c r="K77" s="90">
        <f>ROUND(J77/References!$G$53,2)</f>
        <v>248.91</v>
      </c>
      <c r="L77" s="90">
        <f t="shared" si="21"/>
        <v>1.1966826923076923</v>
      </c>
      <c r="M77" s="90">
        <v>79.99</v>
      </c>
      <c r="N77" s="114">
        <f t="shared" si="30"/>
        <v>81.18668269230768</v>
      </c>
      <c r="O77" s="126">
        <f t="shared" si="24"/>
        <v>16637.92</v>
      </c>
      <c r="P77" s="126">
        <f t="shared" si="25"/>
        <v>16886.829999999998</v>
      </c>
      <c r="Q77" s="48">
        <f t="shared" si="26"/>
        <v>81.18668269230768</v>
      </c>
      <c r="R77" s="121">
        <f t="shared" si="27"/>
        <v>16886.829999999998</v>
      </c>
      <c r="S77" s="121">
        <f t="shared" si="28"/>
        <v>248.90999999999985</v>
      </c>
      <c r="T77" s="133">
        <f t="shared" si="22"/>
        <v>0.014960403704309178</v>
      </c>
      <c r="U77" s="131"/>
      <c r="V77" s="132"/>
      <c r="Z77" s="90"/>
    </row>
    <row r="78" spans="1:26" s="49" customFormat="1" ht="15">
      <c r="A78" s="139"/>
      <c r="B78" s="46"/>
      <c r="C78" s="2" t="s">
        <v>167</v>
      </c>
      <c r="D78" s="85">
        <v>1</v>
      </c>
      <c r="E78" s="50">
        <v>5</v>
      </c>
      <c r="F78" s="66">
        <f t="shared" si="29"/>
        <v>260</v>
      </c>
      <c r="G78" s="101">
        <f>References!$B$33</f>
        <v>980</v>
      </c>
      <c r="H78" s="54">
        <f t="shared" si="20"/>
        <v>254800</v>
      </c>
      <c r="I78" s="51">
        <f t="shared" si="23"/>
        <v>173629.4240056816</v>
      </c>
      <c r="J78" s="90">
        <f>ROUND(((References!$C$49*I78)*$G$101)+((References!$C$54*I78)*$G$100),2)</f>
        <v>302.55</v>
      </c>
      <c r="K78" s="90">
        <f>ROUND(J78/References!$G$53,2)</f>
        <v>311.14</v>
      </c>
      <c r="L78" s="90">
        <f t="shared" si="21"/>
        <v>1.1966923076923077</v>
      </c>
      <c r="M78" s="90">
        <v>79.99</v>
      </c>
      <c r="N78" s="114">
        <f t="shared" si="30"/>
        <v>81.1866923076923</v>
      </c>
      <c r="O78" s="126">
        <f t="shared" si="24"/>
        <v>20797.399999999998</v>
      </c>
      <c r="P78" s="126">
        <f t="shared" si="25"/>
        <v>21108.539999999997</v>
      </c>
      <c r="Q78" s="48">
        <f t="shared" si="26"/>
        <v>81.1866923076923</v>
      </c>
      <c r="R78" s="121">
        <f t="shared" si="27"/>
        <v>21108.539999999997</v>
      </c>
      <c r="S78" s="121">
        <f t="shared" si="28"/>
        <v>311.1399999999994</v>
      </c>
      <c r="T78" s="133">
        <f t="shared" si="22"/>
        <v>0.01496052391164282</v>
      </c>
      <c r="U78" s="131"/>
      <c r="V78" s="132"/>
      <c r="Z78" s="90"/>
    </row>
    <row r="79" spans="1:26" s="49" customFormat="1" ht="15">
      <c r="A79" s="139"/>
      <c r="B79" s="46"/>
      <c r="C79" s="2" t="s">
        <v>168</v>
      </c>
      <c r="D79" s="85">
        <v>1</v>
      </c>
      <c r="E79" s="50">
        <v>1</v>
      </c>
      <c r="F79" s="66">
        <f t="shared" si="29"/>
        <v>52</v>
      </c>
      <c r="G79" s="101">
        <f>References!$B$36</f>
        <v>892</v>
      </c>
      <c r="H79" s="54">
        <f t="shared" si="20"/>
        <v>46384</v>
      </c>
      <c r="I79" s="51">
        <f t="shared" si="23"/>
        <v>31607.642084299587</v>
      </c>
      <c r="J79" s="90">
        <f>ROUND(((References!$C$49*I79)*$G$101)+((References!$C$54*I79)*$G$100),2)</f>
        <v>55.08</v>
      </c>
      <c r="K79" s="90">
        <f>ROUND(J79/References!$G$53,2)</f>
        <v>56.64</v>
      </c>
      <c r="L79" s="90">
        <f t="shared" si="21"/>
        <v>1.0892307692307692</v>
      </c>
      <c r="M79" s="90">
        <v>83.39</v>
      </c>
      <c r="N79" s="114">
        <f t="shared" si="30"/>
        <v>84.47923076923077</v>
      </c>
      <c r="O79" s="126">
        <f t="shared" si="24"/>
        <v>4336.28</v>
      </c>
      <c r="P79" s="126">
        <f t="shared" si="25"/>
        <v>4392.92</v>
      </c>
      <c r="Q79" s="48">
        <f t="shared" si="26"/>
        <v>84.47923076923077</v>
      </c>
      <c r="R79" s="121">
        <f t="shared" si="27"/>
        <v>4392.92</v>
      </c>
      <c r="S79" s="121">
        <f t="shared" si="28"/>
        <v>56.64000000000033</v>
      </c>
      <c r="T79" s="133">
        <f t="shared" si="22"/>
        <v>0.013061887147509</v>
      </c>
      <c r="U79" s="131"/>
      <c r="V79" s="132"/>
      <c r="Z79" s="90"/>
    </row>
    <row r="80" spans="1:26" s="49" customFormat="1" ht="15">
      <c r="A80" s="139"/>
      <c r="B80" s="46"/>
      <c r="C80" s="2" t="s">
        <v>169</v>
      </c>
      <c r="D80" s="85">
        <v>1</v>
      </c>
      <c r="E80" s="50">
        <v>2</v>
      </c>
      <c r="F80" s="66">
        <f t="shared" si="29"/>
        <v>104</v>
      </c>
      <c r="G80" s="101">
        <f>References!$B$36</f>
        <v>892</v>
      </c>
      <c r="H80" s="54">
        <f t="shared" si="20"/>
        <v>92768</v>
      </c>
      <c r="I80" s="51">
        <f t="shared" si="23"/>
        <v>63215.28416859917</v>
      </c>
      <c r="J80" s="90">
        <f>ROUND(((References!$C$49*I80)*$G$101)+((References!$C$54*I80)*$G$100),2)</f>
        <v>110.15</v>
      </c>
      <c r="K80" s="90">
        <f>ROUND(J80/References!$G$53,2)</f>
        <v>113.28</v>
      </c>
      <c r="L80" s="90">
        <f t="shared" si="21"/>
        <v>1.0892307692307692</v>
      </c>
      <c r="M80" s="90">
        <v>83.39</v>
      </c>
      <c r="N80" s="114">
        <f t="shared" si="30"/>
        <v>84.47923076923077</v>
      </c>
      <c r="O80" s="126">
        <f t="shared" si="24"/>
        <v>8672.56</v>
      </c>
      <c r="P80" s="126">
        <f t="shared" si="25"/>
        <v>8785.84</v>
      </c>
      <c r="Q80" s="48">
        <f t="shared" si="26"/>
        <v>84.47923076923077</v>
      </c>
      <c r="R80" s="121">
        <f t="shared" si="27"/>
        <v>8785.84</v>
      </c>
      <c r="S80" s="121">
        <f t="shared" si="28"/>
        <v>113.28000000000065</v>
      </c>
      <c r="T80" s="133">
        <f t="shared" si="22"/>
        <v>0.013061887147509</v>
      </c>
      <c r="U80" s="131"/>
      <c r="V80" s="132"/>
      <c r="Z80" s="90"/>
    </row>
    <row r="81" spans="1:26" s="49" customFormat="1" ht="15">
      <c r="A81" s="139"/>
      <c r="B81" s="46"/>
      <c r="C81" s="2" t="s">
        <v>170</v>
      </c>
      <c r="D81" s="85">
        <v>4</v>
      </c>
      <c r="E81" s="50">
        <v>1</v>
      </c>
      <c r="F81" s="66">
        <f t="shared" si="29"/>
        <v>208</v>
      </c>
      <c r="G81" s="101">
        <f>References!$B$37</f>
        <v>1301</v>
      </c>
      <c r="H81" s="54">
        <f t="shared" si="20"/>
        <v>270608</v>
      </c>
      <c r="I81" s="51">
        <f t="shared" si="23"/>
        <v>184401.53520929939</v>
      </c>
      <c r="J81" s="90">
        <f>ROUND(((References!$C$49*I81)*$G$101)+((References!$C$54*I81)*$G$100),2)</f>
        <v>321.32</v>
      </c>
      <c r="K81" s="90">
        <f>ROUND(J81/References!$G$53,2)</f>
        <v>330.44</v>
      </c>
      <c r="L81" s="90">
        <f t="shared" si="21"/>
        <v>1.5886538461538462</v>
      </c>
      <c r="M81" s="90">
        <v>120.63</v>
      </c>
      <c r="N81" s="114">
        <f t="shared" si="30"/>
        <v>122.21865384615384</v>
      </c>
      <c r="O81" s="126">
        <f t="shared" si="24"/>
        <v>25091.04</v>
      </c>
      <c r="P81" s="126">
        <f t="shared" si="25"/>
        <v>25421.48</v>
      </c>
      <c r="Q81" s="48">
        <f t="shared" si="26"/>
        <v>122.21865384615384</v>
      </c>
      <c r="R81" s="121">
        <f t="shared" si="27"/>
        <v>25421.48</v>
      </c>
      <c r="S81" s="121">
        <f t="shared" si="28"/>
        <v>330.4399999999987</v>
      </c>
      <c r="T81" s="133">
        <f t="shared" si="22"/>
        <v>0.013169641433754764</v>
      </c>
      <c r="U81" s="131"/>
      <c r="V81" s="132"/>
      <c r="Z81" s="90"/>
    </row>
    <row r="82" spans="1:26" s="49" customFormat="1" ht="15">
      <c r="A82" s="139"/>
      <c r="B82" s="46"/>
      <c r="C82" s="2" t="s">
        <v>171</v>
      </c>
      <c r="D82" s="85">
        <v>1</v>
      </c>
      <c r="E82" s="50">
        <v>0.5</v>
      </c>
      <c r="F82" s="66">
        <f t="shared" si="29"/>
        <v>26</v>
      </c>
      <c r="G82" s="101">
        <f>References!$B$38</f>
        <v>1686</v>
      </c>
      <c r="H82" s="54">
        <f t="shared" si="20"/>
        <v>43836</v>
      </c>
      <c r="I82" s="51">
        <f t="shared" si="23"/>
        <v>29871.347844242773</v>
      </c>
      <c r="J82" s="90">
        <f>ROUND(((References!$C$49*I82)*$G$101)+((References!$C$54*I82)*$G$100),2)</f>
        <v>52.05</v>
      </c>
      <c r="K82" s="90">
        <f>ROUND(J82/References!$G$53,2)</f>
        <v>53.53</v>
      </c>
      <c r="L82" s="90">
        <f t="shared" si="21"/>
        <v>2.058846153846154</v>
      </c>
      <c r="M82" s="90">
        <v>156.02</v>
      </c>
      <c r="N82" s="114">
        <f t="shared" si="30"/>
        <v>158.07884615384617</v>
      </c>
      <c r="O82" s="126">
        <f t="shared" si="24"/>
        <v>4056.5200000000004</v>
      </c>
      <c r="P82" s="126">
        <f t="shared" si="25"/>
        <v>4110.05</v>
      </c>
      <c r="Q82" s="48">
        <f t="shared" si="26"/>
        <v>158.07884615384617</v>
      </c>
      <c r="R82" s="121">
        <f t="shared" si="27"/>
        <v>4110.05</v>
      </c>
      <c r="S82" s="121">
        <f t="shared" si="28"/>
        <v>53.529999999999745</v>
      </c>
      <c r="T82" s="133">
        <f t="shared" si="22"/>
        <v>0.013196039955429839</v>
      </c>
      <c r="U82" s="131"/>
      <c r="V82" s="132"/>
      <c r="Z82" s="90"/>
    </row>
    <row r="83" spans="1:26" s="49" customFormat="1" ht="15">
      <c r="A83" s="139"/>
      <c r="B83" s="46"/>
      <c r="C83" s="2" t="s">
        <v>172</v>
      </c>
      <c r="D83" s="85">
        <v>1</v>
      </c>
      <c r="E83" s="50">
        <v>1</v>
      </c>
      <c r="F83" s="66">
        <f t="shared" si="29"/>
        <v>52</v>
      </c>
      <c r="G83" s="101">
        <f>References!$B$38</f>
        <v>1686</v>
      </c>
      <c r="H83" s="54">
        <f t="shared" si="20"/>
        <v>87672</v>
      </c>
      <c r="I83" s="51">
        <f t="shared" si="23"/>
        <v>59742.695688485546</v>
      </c>
      <c r="J83" s="90">
        <f>ROUND(((References!$C$49*I83)*$G$101)+((References!$C$54*I83)*$G$100),2)</f>
        <v>104.1</v>
      </c>
      <c r="K83" s="90">
        <f>ROUND(J83/References!$G$53,2)</f>
        <v>107.05</v>
      </c>
      <c r="L83" s="90">
        <f t="shared" si="21"/>
        <v>2.058653846153846</v>
      </c>
      <c r="M83" s="90">
        <v>156.02</v>
      </c>
      <c r="N83" s="114">
        <f t="shared" si="30"/>
        <v>158.07865384615386</v>
      </c>
      <c r="O83" s="126">
        <f t="shared" si="24"/>
        <v>8113.040000000001</v>
      </c>
      <c r="P83" s="126">
        <f t="shared" si="25"/>
        <v>8220.09</v>
      </c>
      <c r="Q83" s="48">
        <f t="shared" si="26"/>
        <v>158.07865384615386</v>
      </c>
      <c r="R83" s="121">
        <f t="shared" si="27"/>
        <v>8220.09</v>
      </c>
      <c r="S83" s="121">
        <f t="shared" si="28"/>
        <v>107.04999999999927</v>
      </c>
      <c r="T83" s="133">
        <f t="shared" si="22"/>
        <v>0.013194807371835982</v>
      </c>
      <c r="U83" s="131"/>
      <c r="V83" s="132"/>
      <c r="Z83" s="90"/>
    </row>
    <row r="84" spans="1:26" s="49" customFormat="1" ht="15">
      <c r="A84" s="139"/>
      <c r="B84" s="46"/>
      <c r="C84" s="2" t="s">
        <v>173</v>
      </c>
      <c r="D84" s="85">
        <v>1</v>
      </c>
      <c r="E84" s="50">
        <v>2</v>
      </c>
      <c r="F84" s="66">
        <f t="shared" si="29"/>
        <v>104</v>
      </c>
      <c r="G84" s="101">
        <f>References!$B$38</f>
        <v>1686</v>
      </c>
      <c r="H84" s="54">
        <f t="shared" si="20"/>
        <v>175344</v>
      </c>
      <c r="I84" s="51">
        <f t="shared" si="23"/>
        <v>119485.39137697109</v>
      </c>
      <c r="J84" s="90">
        <f>ROUND(((References!$C$49*I84)*$G$101)+((References!$C$54*I84)*$G$100),2)</f>
        <v>208.2</v>
      </c>
      <c r="K84" s="90">
        <f>ROUND(J84/References!$G$53,2)</f>
        <v>214.11</v>
      </c>
      <c r="L84" s="90">
        <f t="shared" si="21"/>
        <v>2.0587500000000003</v>
      </c>
      <c r="M84" s="90">
        <v>156.02</v>
      </c>
      <c r="N84" s="114">
        <f t="shared" si="30"/>
        <v>158.07875</v>
      </c>
      <c r="O84" s="126">
        <f t="shared" si="24"/>
        <v>16226.080000000002</v>
      </c>
      <c r="P84" s="126">
        <f t="shared" si="25"/>
        <v>16440.190000000002</v>
      </c>
      <c r="Q84" s="48">
        <f t="shared" si="26"/>
        <v>158.07875</v>
      </c>
      <c r="R84" s="121">
        <f t="shared" si="27"/>
        <v>16440.190000000002</v>
      </c>
      <c r="S84" s="121">
        <f t="shared" si="28"/>
        <v>214.11000000000058</v>
      </c>
      <c r="T84" s="133">
        <f t="shared" si="22"/>
        <v>0.01319542366363291</v>
      </c>
      <c r="U84" s="131"/>
      <c r="V84" s="132"/>
      <c r="Z84" s="90"/>
    </row>
    <row r="85" spans="1:26" s="49" customFormat="1" ht="15">
      <c r="A85" s="139"/>
      <c r="B85" s="46"/>
      <c r="C85" s="2" t="s">
        <v>174</v>
      </c>
      <c r="D85" s="85">
        <v>191</v>
      </c>
      <c r="E85" s="50">
        <v>0.23078698361412414</v>
      </c>
      <c r="F85" s="66">
        <f t="shared" si="29"/>
        <v>2292.1763212554806</v>
      </c>
      <c r="G85" s="101">
        <f>References!B42</f>
        <v>125</v>
      </c>
      <c r="H85" s="54">
        <f t="shared" si="20"/>
        <v>286522.04015693505</v>
      </c>
      <c r="I85" s="51">
        <f t="shared" si="23"/>
        <v>195245.90579820017</v>
      </c>
      <c r="J85" s="90">
        <f>ROUND(((References!$C$49*I85)*$G$101)+((References!$C$54*I85)*$G$100),2)</f>
        <v>340.22</v>
      </c>
      <c r="K85" s="90">
        <f>ROUND(J85/References!$G$53,2)</f>
        <v>349.88</v>
      </c>
      <c r="L85" s="90">
        <f t="shared" si="21"/>
        <v>0.15264096254530812</v>
      </c>
      <c r="M85" s="90">
        <v>16.05</v>
      </c>
      <c r="N85" s="114">
        <f t="shared" si="30"/>
        <v>16.20264096254531</v>
      </c>
      <c r="O85" s="126">
        <f t="shared" si="24"/>
        <v>36789.42995615047</v>
      </c>
      <c r="P85" s="126">
        <f t="shared" si="25"/>
        <v>37139.30995615047</v>
      </c>
      <c r="Q85" s="48">
        <f t="shared" si="26"/>
        <v>16.20264096254531</v>
      </c>
      <c r="R85" s="121">
        <f t="shared" si="27"/>
        <v>37139.30995615047</v>
      </c>
      <c r="S85" s="121">
        <f t="shared" si="28"/>
        <v>349.88000000000466</v>
      </c>
      <c r="T85" s="133">
        <f t="shared" si="22"/>
        <v>0.009510340345502133</v>
      </c>
      <c r="U85" s="131"/>
      <c r="V85" s="132"/>
      <c r="Z85" s="90"/>
    </row>
    <row r="86" spans="1:26" s="49" customFormat="1" ht="15">
      <c r="A86" s="139"/>
      <c r="B86" s="46"/>
      <c r="C86" s="2" t="s">
        <v>175</v>
      </c>
      <c r="D86" s="85">
        <v>27</v>
      </c>
      <c r="E86" s="50">
        <v>0.23078698361412414</v>
      </c>
      <c r="F86" s="66">
        <f t="shared" si="29"/>
        <v>324.0249249942303</v>
      </c>
      <c r="G86" s="101">
        <f>References!B42</f>
        <v>125</v>
      </c>
      <c r="H86" s="54">
        <f t="shared" si="20"/>
        <v>40503.115624278784</v>
      </c>
      <c r="I86" s="51">
        <f t="shared" si="23"/>
        <v>27600.20657880317</v>
      </c>
      <c r="J86" s="90">
        <f>ROUND(((References!$C$49*I86)*$G$101)+((References!$C$54*I86)*$G$100),2)</f>
        <v>48.09</v>
      </c>
      <c r="K86" s="90">
        <f>ROUND(J86/References!$G$53,2)</f>
        <v>49.45</v>
      </c>
      <c r="L86" s="90">
        <f t="shared" si="21"/>
        <v>0.15261171652421657</v>
      </c>
      <c r="M86" s="90">
        <v>16.05</v>
      </c>
      <c r="N86" s="114">
        <f t="shared" si="30"/>
        <v>16.202611716524217</v>
      </c>
      <c r="O86" s="126">
        <f t="shared" si="24"/>
        <v>5200.600046157396</v>
      </c>
      <c r="P86" s="126">
        <f t="shared" si="25"/>
        <v>5250.050046157396</v>
      </c>
      <c r="Q86" s="48">
        <f t="shared" si="26"/>
        <v>16.202611716524217</v>
      </c>
      <c r="R86" s="121">
        <f t="shared" si="27"/>
        <v>5250.050046157396</v>
      </c>
      <c r="S86" s="121">
        <f t="shared" si="28"/>
        <v>49.44999999999982</v>
      </c>
      <c r="T86" s="133">
        <f t="shared" si="22"/>
        <v>0.009508518163502622</v>
      </c>
      <c r="U86" s="131"/>
      <c r="V86" s="132"/>
      <c r="Z86" s="90"/>
    </row>
    <row r="87" spans="1:22" s="49" customFormat="1" ht="15">
      <c r="A87" s="86"/>
      <c r="B87" s="46"/>
      <c r="C87" s="2"/>
      <c r="D87" s="85"/>
      <c r="E87" s="50"/>
      <c r="F87" s="96"/>
      <c r="G87" s="101"/>
      <c r="H87" s="54"/>
      <c r="I87" s="51"/>
      <c r="J87" s="47"/>
      <c r="K87" s="47"/>
      <c r="L87" s="47"/>
      <c r="M87" s="90"/>
      <c r="N87" s="90"/>
      <c r="O87" s="126"/>
      <c r="P87" s="126"/>
      <c r="Q87" s="48"/>
      <c r="R87" s="121"/>
      <c r="S87" s="121"/>
      <c r="U87" s="131"/>
      <c r="V87" s="132"/>
    </row>
    <row r="88" spans="1:22" s="49" customFormat="1" ht="15">
      <c r="A88" s="55"/>
      <c r="B88" s="19"/>
      <c r="C88" s="57" t="s">
        <v>0</v>
      </c>
      <c r="D88" s="58">
        <f>SUM(D23:D87)</f>
        <v>1413</v>
      </c>
      <c r="E88" s="58"/>
      <c r="F88" s="58">
        <f>SUM(F23:F87)</f>
        <v>63716.20124624971</v>
      </c>
      <c r="G88" s="103"/>
      <c r="H88" s="58">
        <f>SUM(H23:H87)</f>
        <v>32409491.155781213</v>
      </c>
      <c r="I88" s="62">
        <f>SUM(I23:I87)</f>
        <v>22084934.386560135</v>
      </c>
      <c r="J88" s="64"/>
      <c r="K88" s="64"/>
      <c r="L88" s="64"/>
      <c r="M88" s="64"/>
      <c r="N88" s="64"/>
      <c r="O88" s="122">
        <f>SUM(O23:O87)</f>
        <v>2702108.0100023067</v>
      </c>
      <c r="P88" s="122">
        <f>SUM(P23:P87)</f>
        <v>2741683.5008085608</v>
      </c>
      <c r="Q88" s="64"/>
      <c r="R88" s="122">
        <f>SUM(R23:R87)</f>
        <v>2741683.5008085608</v>
      </c>
      <c r="S88" s="122">
        <f>SUM(S23:S87)</f>
        <v>39575.49080625267</v>
      </c>
      <c r="U88" s="131"/>
      <c r="V88" s="132"/>
    </row>
    <row r="89" spans="3:22" ht="15">
      <c r="C89" s="68" t="s">
        <v>88</v>
      </c>
      <c r="D89" s="69">
        <f>D22+D88</f>
        <v>26529</v>
      </c>
      <c r="E89" s="69"/>
      <c r="F89" s="69">
        <f>F22+F88</f>
        <v>1440082.688338641</v>
      </c>
      <c r="G89" s="69"/>
      <c r="H89" s="69">
        <f>H22+H88</f>
        <v>88829711.71692252</v>
      </c>
      <c r="I89" s="69">
        <f>I22+I88</f>
        <v>60531599.99999999</v>
      </c>
      <c r="J89" s="47"/>
      <c r="K89" s="70"/>
      <c r="L89" s="70"/>
      <c r="M89" s="70"/>
      <c r="N89" s="118"/>
      <c r="O89" s="123">
        <f>O22+O88</f>
        <v>8985184.87504986</v>
      </c>
      <c r="P89" s="123">
        <f>P22+P88</f>
        <v>9098396.737747192</v>
      </c>
      <c r="Q89" s="70"/>
      <c r="R89" s="123">
        <f>R22+R88</f>
        <v>9098396.737747192</v>
      </c>
      <c r="S89" s="123">
        <f>S22+S88</f>
        <v>113211.86269733022</v>
      </c>
      <c r="T89" s="130">
        <f>+S89/O89</f>
        <v>0.012599836761478099</v>
      </c>
      <c r="U89" s="131"/>
      <c r="V89" s="132"/>
    </row>
    <row r="90" spans="7:16" ht="15">
      <c r="G90" s="104"/>
      <c r="J90" s="72"/>
      <c r="P90" s="129"/>
    </row>
    <row r="91" spans="1:3" ht="15">
      <c r="A91" s="53"/>
      <c r="C91" s="74"/>
    </row>
    <row r="92" spans="1:3" ht="15">
      <c r="A92" s="53"/>
      <c r="C92" s="74"/>
    </row>
    <row r="93" spans="1:8" ht="15">
      <c r="A93" s="53"/>
      <c r="B93" s="141" t="s">
        <v>89</v>
      </c>
      <c r="C93" s="141"/>
      <c r="D93" s="45"/>
      <c r="E93" s="75"/>
      <c r="F93" s="75"/>
      <c r="H93" s="97"/>
    </row>
    <row r="94" spans="1:15" ht="15">
      <c r="A94" s="53"/>
      <c r="B94" s="45"/>
      <c r="C94" s="76" t="s">
        <v>0</v>
      </c>
      <c r="D94" s="45"/>
      <c r="E94" s="4"/>
      <c r="F94" s="4"/>
      <c r="H94" s="97"/>
      <c r="I94" s="88"/>
      <c r="J94" s="77"/>
      <c r="O94" s="127"/>
    </row>
    <row r="95" spans="1:15" ht="15">
      <c r="A95" s="53"/>
      <c r="B95" s="45" t="s">
        <v>90</v>
      </c>
      <c r="C95" s="98">
        <f>F102</f>
        <v>30265.800000000003</v>
      </c>
      <c r="D95" s="45"/>
      <c r="E95" s="65"/>
      <c r="F95" s="65"/>
      <c r="G95" s="78"/>
      <c r="H95" s="115"/>
      <c r="I95" s="88"/>
      <c r="J95" s="77"/>
      <c r="O95" s="127"/>
    </row>
    <row r="96" spans="1:10" ht="15">
      <c r="A96" s="53"/>
      <c r="B96" s="45" t="s">
        <v>91</v>
      </c>
      <c r="C96" s="79">
        <f>C95*2000</f>
        <v>60531600.00000001</v>
      </c>
      <c r="D96" s="45"/>
      <c r="E96" s="79"/>
      <c r="F96" s="79"/>
      <c r="G96" s="79"/>
      <c r="H96" s="116"/>
      <c r="I96" s="88"/>
      <c r="J96" s="77"/>
    </row>
    <row r="97" spans="1:15" ht="15">
      <c r="A97" s="53"/>
      <c r="B97" s="45" t="s">
        <v>92</v>
      </c>
      <c r="C97" s="79">
        <f>+F89</f>
        <v>1440082.688338641</v>
      </c>
      <c r="D97" s="45"/>
      <c r="E97" s="65"/>
      <c r="F97" s="65"/>
      <c r="G97" s="65"/>
      <c r="I97" s="88"/>
      <c r="J97" s="77"/>
      <c r="O97" s="127"/>
    </row>
    <row r="98" spans="2:15" ht="15">
      <c r="B98" s="80" t="s">
        <v>93</v>
      </c>
      <c r="C98" s="81">
        <f>C96/$H$89</f>
        <v>0.6814341601478869</v>
      </c>
      <c r="D98" s="45"/>
      <c r="E98" s="81"/>
      <c r="F98" s="81"/>
      <c r="G98" s="81"/>
      <c r="H98" s="82"/>
      <c r="J98" s="77"/>
      <c r="O98" s="128"/>
    </row>
    <row r="99" spans="5:10" ht="15">
      <c r="E99" s="77"/>
      <c r="G99" s="83"/>
      <c r="H99" s="84"/>
      <c r="J99" s="77"/>
    </row>
    <row r="100" spans="3:10" ht="15">
      <c r="C100" s="143" t="s">
        <v>188</v>
      </c>
      <c r="F100" s="110">
        <v>29072.72</v>
      </c>
      <c r="G100" s="113">
        <f>F100/F102</f>
        <v>0.9605799285001553</v>
      </c>
      <c r="H100" s="84"/>
      <c r="J100" s="77"/>
    </row>
    <row r="101" spans="2:10" ht="17.25">
      <c r="B101" s="112" t="s">
        <v>36</v>
      </c>
      <c r="C101" s="143" t="s">
        <v>189</v>
      </c>
      <c r="F101" s="142">
        <v>1193.08</v>
      </c>
      <c r="G101" s="113">
        <f>F101/F102</f>
        <v>0.0394200714998447</v>
      </c>
      <c r="H101" s="84"/>
      <c r="J101" s="77"/>
    </row>
    <row r="102" spans="2:9" ht="15">
      <c r="B102" s="80" t="s">
        <v>176</v>
      </c>
      <c r="C102" s="110"/>
      <c r="F102" s="110">
        <f>SUM(F100:F101)</f>
        <v>30265.800000000003</v>
      </c>
      <c r="I102" s="45"/>
    </row>
    <row r="103" spans="2:9" ht="15">
      <c r="B103" s="67" t="s">
        <v>177</v>
      </c>
      <c r="D103" s="110"/>
      <c r="E103" s="77"/>
      <c r="I103" s="45"/>
    </row>
    <row r="104" spans="2:9" ht="15">
      <c r="B104" s="67" t="s">
        <v>178</v>
      </c>
      <c r="D104" s="110"/>
      <c r="I104" s="45"/>
    </row>
    <row r="105" spans="4:9" ht="15">
      <c r="D105" s="110"/>
      <c r="I105" s="45"/>
    </row>
    <row r="106" spans="2:4" ht="15">
      <c r="B106" s="80" t="s">
        <v>179</v>
      </c>
      <c r="D106" s="110"/>
    </row>
    <row r="107" spans="2:7" ht="15">
      <c r="B107" s="67" t="s">
        <v>177</v>
      </c>
      <c r="D107" s="111"/>
      <c r="E107" s="110"/>
      <c r="F107" s="110"/>
      <c r="G107" s="110"/>
    </row>
    <row r="108" spans="2:7" ht="15">
      <c r="B108" s="67" t="s">
        <v>178</v>
      </c>
      <c r="D108" s="111"/>
      <c r="E108" s="110"/>
      <c r="F108" s="110"/>
      <c r="G108" s="110"/>
    </row>
    <row r="109" spans="4:7" ht="15">
      <c r="D109" s="111"/>
      <c r="E109" s="110"/>
      <c r="F109" s="113"/>
      <c r="G109" s="110"/>
    </row>
    <row r="110" spans="2:7" ht="15">
      <c r="B110" s="80" t="s">
        <v>180</v>
      </c>
      <c r="D110" s="111"/>
      <c r="E110" s="110"/>
      <c r="F110" s="113"/>
      <c r="G110" s="110"/>
    </row>
    <row r="111" spans="2:7" ht="15">
      <c r="B111" s="67" t="s">
        <v>177</v>
      </c>
      <c r="D111" s="111"/>
      <c r="E111" s="110"/>
      <c r="F111" s="113"/>
      <c r="G111" s="110"/>
    </row>
    <row r="112" spans="2:7" ht="15">
      <c r="B112" s="67" t="s">
        <v>178</v>
      </c>
      <c r="D112" s="111"/>
      <c r="E112" s="110"/>
      <c r="F112" s="113"/>
      <c r="G112" s="110"/>
    </row>
    <row r="113" spans="4:7" ht="15">
      <c r="D113" s="111"/>
      <c r="E113" s="110"/>
      <c r="F113" s="113"/>
      <c r="G113" s="110"/>
    </row>
    <row r="114" spans="2:7" ht="15">
      <c r="B114" s="112" t="s">
        <v>18</v>
      </c>
      <c r="D114" s="111"/>
      <c r="E114" s="110"/>
      <c r="F114" s="113"/>
      <c r="G114" s="110"/>
    </row>
    <row r="115" spans="2:9" ht="15">
      <c r="B115" s="80" t="s">
        <v>176</v>
      </c>
      <c r="D115" s="111"/>
      <c r="E115" s="110"/>
      <c r="F115" s="113"/>
      <c r="G115" s="110"/>
      <c r="I115" s="45"/>
    </row>
    <row r="116" spans="2:9" ht="15">
      <c r="B116" s="67" t="s">
        <v>177</v>
      </c>
      <c r="D116" s="110"/>
      <c r="E116" s="110"/>
      <c r="F116" s="113"/>
      <c r="G116" s="110"/>
      <c r="I116" s="45"/>
    </row>
    <row r="117" spans="2:7" ht="15">
      <c r="B117" s="67" t="s">
        <v>178</v>
      </c>
      <c r="D117" s="110"/>
      <c r="E117" s="110"/>
      <c r="F117" s="117"/>
      <c r="G117" s="110"/>
    </row>
    <row r="118" spans="4:7" ht="15">
      <c r="D118" s="110"/>
      <c r="E118" s="110"/>
      <c r="F118" s="117"/>
      <c r="G118" s="110"/>
    </row>
    <row r="119" spans="2:7" ht="15">
      <c r="B119" s="80" t="s">
        <v>179</v>
      </c>
      <c r="D119" s="110"/>
      <c r="E119" s="110"/>
      <c r="F119" s="117"/>
      <c r="G119" s="110"/>
    </row>
    <row r="120" spans="2:7" ht="15">
      <c r="B120" s="67" t="s">
        <v>177</v>
      </c>
      <c r="D120" s="111"/>
      <c r="E120" s="110"/>
      <c r="F120" s="113"/>
      <c r="G120" s="110"/>
    </row>
    <row r="121" spans="2:7" ht="15">
      <c r="B121" s="67" t="s">
        <v>178</v>
      </c>
      <c r="D121" s="111"/>
      <c r="E121" s="110"/>
      <c r="F121" s="113"/>
      <c r="G121" s="110"/>
    </row>
    <row r="122" spans="4:7" ht="15">
      <c r="D122" s="111"/>
      <c r="E122" s="110"/>
      <c r="F122" s="113"/>
      <c r="G122" s="110"/>
    </row>
    <row r="123" spans="2:7" ht="15">
      <c r="B123" s="80" t="s">
        <v>180</v>
      </c>
      <c r="D123" s="111"/>
      <c r="E123" s="110"/>
      <c r="F123" s="113"/>
      <c r="G123" s="110"/>
    </row>
    <row r="124" spans="2:7" ht="15">
      <c r="B124" s="67" t="s">
        <v>177</v>
      </c>
      <c r="D124" s="111"/>
      <c r="E124" s="110"/>
      <c r="F124" s="113"/>
      <c r="G124" s="110"/>
    </row>
    <row r="125" spans="2:7" ht="15">
      <c r="B125" s="67" t="s">
        <v>178</v>
      </c>
      <c r="D125" s="111"/>
      <c r="E125" s="110"/>
      <c r="F125" s="113"/>
      <c r="G125" s="110"/>
    </row>
    <row r="126" spans="4:7" ht="15">
      <c r="D126" s="111"/>
      <c r="E126" s="110"/>
      <c r="F126" s="113"/>
      <c r="G126" s="110"/>
    </row>
  </sheetData>
  <sheetProtection/>
  <mergeCells count="3">
    <mergeCell ref="A2:A21"/>
    <mergeCell ref="A23:A86"/>
    <mergeCell ref="B93:C93"/>
  </mergeCells>
  <printOptions/>
  <pageMargins left="0.2" right="0.2" top="0.75" bottom="0.75" header="0.3" footer="0.3"/>
  <pageSetup fitToHeight="0" fitToWidth="1" horizontalDpi="600" verticalDpi="600" orientation="landscape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LaRue</dc:creator>
  <cp:keywords/>
  <dc:description/>
  <cp:lastModifiedBy>Weinstein, Mike</cp:lastModifiedBy>
  <cp:lastPrinted>2019-10-21T18:50:07Z</cp:lastPrinted>
  <dcterms:created xsi:type="dcterms:W3CDTF">2013-04-10T21:01:30Z</dcterms:created>
  <dcterms:modified xsi:type="dcterms:W3CDTF">2019-10-22T16:56:22Z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fidentiality">
    <vt:lpwstr>None</vt:lpwstr>
  </property>
  <property fmtid="{D5CDD505-2E9C-101B-9397-08002B2CF9AE}" pid="5" name="DocumentDescription">
    <vt:lpwstr>Accounting workpapers</vt:lpwstr>
  </property>
  <property fmtid="{D5CDD505-2E9C-101B-9397-08002B2CF9AE}" pid="6" name="EFilingId">
    <vt:lpwstr>15752.0000000000</vt:lpwstr>
  </property>
  <property fmtid="{D5CDD505-2E9C-101B-9397-08002B2CF9AE}" pid="7" name="DocumentSetType">
    <vt:lpwstr>Workpapers</vt:lpwstr>
  </property>
  <property fmtid="{D5CDD505-2E9C-101B-9397-08002B2CF9AE}" pid="8" name="IsDocumentOrder">
    <vt:lpwstr>0</vt:lpwstr>
  </property>
  <property fmtid="{D5CDD505-2E9C-101B-9397-08002B2CF9AE}" pid="9" name="IsHighlyConfidential">
    <vt:lpwstr>0</vt:lpwstr>
  </property>
  <property fmtid="{D5CDD505-2E9C-101B-9397-08002B2CF9AE}" pid="10" name="CaseCompanyNames">
    <vt:lpwstr>Waste Management of Washington, Inc.</vt:lpwstr>
  </property>
  <property fmtid="{D5CDD505-2E9C-101B-9397-08002B2CF9AE}" pid="11" name="IsConfidential">
    <vt:lpwstr>0</vt:lpwstr>
  </property>
  <property fmtid="{D5CDD505-2E9C-101B-9397-08002B2CF9AE}" pid="12" name="IsEFSEC">
    <vt:lpwstr>0</vt:lpwstr>
  </property>
  <property fmtid="{D5CDD505-2E9C-101B-9397-08002B2CF9AE}" pid="13" name="DocketNumber">
    <vt:lpwstr>190883</vt:lpwstr>
  </property>
  <property fmtid="{D5CDD505-2E9C-101B-9397-08002B2CF9AE}" pid="14" name="Date1">
    <vt:lpwstr>2019-10-22T00:00:00Z</vt:lpwstr>
  </property>
  <property fmtid="{D5CDD505-2E9C-101B-9397-08002B2CF9AE}" pid="15" name="Nickname">
    <vt:lpwstr/>
  </property>
  <property fmtid="{D5CDD505-2E9C-101B-9397-08002B2CF9AE}" pid="16" name="CaseType">
    <vt:lpwstr>Tariff Revision</vt:lpwstr>
  </property>
  <property fmtid="{D5CDD505-2E9C-101B-9397-08002B2CF9AE}" pid="17" name="OpenedDate">
    <vt:lpwstr>2019-10-22T00:00:00Z</vt:lpwstr>
  </property>
  <property fmtid="{D5CDD505-2E9C-101B-9397-08002B2CF9AE}" pid="18" name="Prefix">
    <vt:lpwstr>TG</vt:lpwstr>
  </property>
  <property fmtid="{D5CDD505-2E9C-101B-9397-08002B2CF9AE}" pid="19" name="IndustryCode">
    <vt:lpwstr>227</vt:lpwstr>
  </property>
  <property fmtid="{D5CDD505-2E9C-101B-9397-08002B2CF9AE}" pid="20" name="CaseStatus">
    <vt:lpwstr>Closed</vt:lpwstr>
  </property>
  <property fmtid="{D5CDD505-2E9C-101B-9397-08002B2CF9AE}" pid="21" name="_docset_NoMedatataSyncRequired">
    <vt:lpwstr>False</vt:lpwstr>
  </property>
</Properties>
</file>