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gulatory_Affairs\PGA - WASHINGTON\2019\1 - September Filing\UG-XXXXX_19-04_Low Income\"/>
    </mc:Choice>
  </mc:AlternateContent>
  <bookViews>
    <workbookView xWindow="0" yWindow="0" windowWidth="28800" windowHeight="11835" activeTab="4"/>
  </bookViews>
  <sheets>
    <sheet name="Calc of Increments" sheetId="1" r:id="rId1"/>
    <sheet name="Effects on Avg. Bill" sheetId="2" r:id="rId2"/>
    <sheet name="Summary of Def. Accts." sheetId="7" r:id="rId3"/>
    <sheet name="186314" sheetId="3" r:id="rId4"/>
    <sheet name="186315" sheetId="4" r:id="rId5"/>
    <sheet name="186234" sheetId="6" r:id="rId6"/>
    <sheet name="186235" sheetId="5" r:id="rId7"/>
    <sheet name="Effects on Revenue" sheetId="8" r:id="rId8"/>
  </sheets>
  <externalReferences>
    <externalReference r:id="rId9"/>
    <externalReference r:id="rId10"/>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8" l="1"/>
  <c r="B22" i="8"/>
  <c r="F15" i="8"/>
  <c r="F18" i="8" s="1"/>
  <c r="F24" i="8" s="1"/>
  <c r="A8" i="8"/>
  <c r="A9" i="8" s="1"/>
  <c r="A10" i="8" s="1"/>
  <c r="A11" i="8" s="1"/>
  <c r="A12" i="8" s="1"/>
  <c r="A13" i="8" s="1"/>
  <c r="A14" i="8" s="1"/>
  <c r="A15" i="8" s="1"/>
  <c r="A16" i="8" s="1"/>
  <c r="A17" i="8" s="1"/>
  <c r="A18" i="8" s="1"/>
  <c r="A19" i="8" s="1"/>
  <c r="A20" i="8" s="1"/>
  <c r="A21" i="8" s="1"/>
  <c r="A22" i="8" s="1"/>
  <c r="A23" i="8" s="1"/>
  <c r="A24" i="8" s="1"/>
  <c r="K24" i="5" l="1"/>
  <c r="K25" i="5" s="1"/>
  <c r="K26" i="5" s="1"/>
  <c r="G105" i="4"/>
  <c r="H105" i="4" s="1"/>
  <c r="G92" i="4"/>
  <c r="H92" i="4" s="1"/>
  <c r="G79" i="4"/>
  <c r="H79" i="4" s="1"/>
  <c r="E66" i="4"/>
  <c r="G66" i="4" s="1"/>
  <c r="H66" i="4" s="1"/>
  <c r="H53" i="4"/>
  <c r="G53" i="4"/>
  <c r="E40" i="4"/>
  <c r="H39" i="4"/>
  <c r="H38" i="4"/>
  <c r="H37" i="4"/>
  <c r="H36" i="4"/>
  <c r="H35" i="4"/>
  <c r="H34" i="4"/>
  <c r="H33" i="4"/>
  <c r="H32" i="4"/>
  <c r="H31" i="4"/>
  <c r="H30" i="4"/>
  <c r="H29" i="4"/>
  <c r="D18" i="4"/>
  <c r="G16" i="4"/>
  <c r="E16" i="4"/>
  <c r="H16" i="4" s="1"/>
  <c r="I16" i="4" s="1"/>
  <c r="B16" i="4"/>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9" i="4"/>
  <c r="A10" i="4" s="1"/>
  <c r="A11" i="4" s="1"/>
  <c r="A12" i="4" s="1"/>
  <c r="A13" i="4" s="1"/>
  <c r="B140" i="3"/>
  <c r="B141" i="3" s="1"/>
  <c r="B142" i="3" s="1"/>
  <c r="B143" i="3" s="1"/>
  <c r="B144" i="3" s="1"/>
  <c r="B145" i="3" s="1"/>
  <c r="B146" i="3" s="1"/>
  <c r="B147" i="3" s="1"/>
  <c r="B148" i="3" s="1"/>
  <c r="B149" i="3" s="1"/>
  <c r="B150" i="3" s="1"/>
  <c r="B139" i="3"/>
  <c r="B138" i="3"/>
  <c r="F134" i="3"/>
  <c r="D82" i="3"/>
  <c r="D73" i="3"/>
  <c r="Q57" i="3"/>
  <c r="Q56" i="3"/>
  <c r="G48" i="3"/>
  <c r="Q48" i="3" s="1"/>
  <c r="R48" i="3" s="1"/>
  <c r="Q23" i="3"/>
  <c r="Q22" i="3"/>
  <c r="Q21" i="3"/>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Q20" i="3"/>
  <c r="Q19" i="3"/>
  <c r="B19" i="3"/>
  <c r="B20" i="3" s="1"/>
  <c r="Q18" i="3"/>
  <c r="Q17" i="3"/>
  <c r="B17" i="3"/>
  <c r="B18" i="3" s="1"/>
  <c r="Q16" i="3"/>
  <c r="R16" i="3" s="1"/>
  <c r="R17" i="3" s="1"/>
  <c r="R18" i="3" s="1"/>
  <c r="R19" i="3" s="1"/>
  <c r="R20" i="3" s="1"/>
  <c r="R21" i="3" s="1"/>
  <c r="R22" i="3" s="1"/>
  <c r="R23" i="3" s="1"/>
  <c r="B16" i="3"/>
  <c r="A11" i="3"/>
  <c r="A12" i="3" s="1"/>
  <c r="A13" i="3" s="1"/>
  <c r="A14" i="3" s="1"/>
  <c r="A10" i="3"/>
  <c r="A9" i="3"/>
  <c r="B53" i="4" l="1"/>
  <c r="B54" i="4"/>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G17" i="4"/>
  <c r="H17" i="4" s="1"/>
  <c r="I17" i="4" s="1"/>
  <c r="G40" i="4"/>
  <c r="H40" i="4" s="1"/>
  <c r="B54" i="3"/>
  <c r="B55" i="3"/>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G49" i="3"/>
  <c r="Q49" i="3" s="1"/>
  <c r="R49" i="3"/>
  <c r="A47" i="3"/>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5" i="3"/>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G24" i="3"/>
  <c r="Q24" i="3" s="1"/>
  <c r="R24" i="3" s="1"/>
  <c r="F135" i="3"/>
  <c r="G18" i="4" l="1"/>
  <c r="H18" i="4" s="1"/>
  <c r="I18" i="4" s="1"/>
  <c r="B80" i="4"/>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6" i="4" s="1"/>
  <c r="B79" i="4"/>
  <c r="R25" i="3"/>
  <c r="G25" i="3"/>
  <c r="Q25" i="3" s="1"/>
  <c r="G50" i="3"/>
  <c r="Q50" i="3" s="1"/>
  <c r="R50" i="3" s="1"/>
  <c r="F136" i="3"/>
  <c r="G19" i="4" l="1"/>
  <c r="H19" i="4" s="1"/>
  <c r="I19" i="4" s="1"/>
  <c r="R51" i="3"/>
  <c r="G51" i="3"/>
  <c r="Q51" i="3" s="1"/>
  <c r="F137" i="3"/>
  <c r="F138" i="3" s="1"/>
  <c r="G26" i="3"/>
  <c r="Q26" i="3" s="1"/>
  <c r="R26" i="3" s="1"/>
  <c r="G20" i="4" l="1"/>
  <c r="H20" i="4" s="1"/>
  <c r="I20" i="4" s="1"/>
  <c r="G27" i="3"/>
  <c r="Q27" i="3" s="1"/>
  <c r="R27" i="3" s="1"/>
  <c r="G52" i="3"/>
  <c r="Q52" i="3" s="1"/>
  <c r="R52" i="3" s="1"/>
  <c r="G21" i="4" l="1"/>
  <c r="H21" i="4" s="1"/>
  <c r="I21" i="4" s="1"/>
  <c r="G53" i="3"/>
  <c r="Q53" i="3" s="1"/>
  <c r="R53" i="3" s="1"/>
  <c r="E28" i="3"/>
  <c r="G22" i="4" l="1"/>
  <c r="H22" i="4" s="1"/>
  <c r="I22" i="4" s="1"/>
  <c r="G55" i="3"/>
  <c r="Q55" i="3" s="1"/>
  <c r="R55" i="3" s="1"/>
  <c r="G28" i="3"/>
  <c r="Q28" i="3" s="1"/>
  <c r="R28" i="3" s="1"/>
  <c r="G23" i="4" l="1"/>
  <c r="H23" i="4" s="1"/>
  <c r="I23" i="4" s="1"/>
  <c r="G29" i="3"/>
  <c r="Q29" i="3" s="1"/>
  <c r="R29" i="3" s="1"/>
  <c r="R56" i="3"/>
  <c r="S55" i="3"/>
  <c r="G24" i="4" l="1"/>
  <c r="H24" i="4" s="1"/>
  <c r="I24" i="4" s="1"/>
  <c r="G30" i="3"/>
  <c r="Q30" i="3" s="1"/>
  <c r="R30" i="3"/>
  <c r="R57" i="3"/>
  <c r="S56" i="3"/>
  <c r="G25" i="4" l="1"/>
  <c r="H25" i="4" s="1"/>
  <c r="I25" i="4" s="1"/>
  <c r="G31" i="3"/>
  <c r="Q31" i="3" s="1"/>
  <c r="R31" i="3" s="1"/>
  <c r="S57" i="3"/>
  <c r="G58" i="3"/>
  <c r="Q58" i="3" s="1"/>
  <c r="R58" i="3" s="1"/>
  <c r="G26" i="4" l="1"/>
  <c r="H26" i="4" s="1"/>
  <c r="I26" i="4" s="1"/>
  <c r="G59" i="3"/>
  <c r="Q59" i="3" s="1"/>
  <c r="R59" i="3"/>
  <c r="S58" i="3"/>
  <c r="G32" i="3"/>
  <c r="Q32" i="3" s="1"/>
  <c r="R32" i="3" s="1"/>
  <c r="G27" i="4" l="1"/>
  <c r="H27" i="4" s="1"/>
  <c r="I27" i="4" s="1"/>
  <c r="G33" i="3"/>
  <c r="Q33" i="3" s="1"/>
  <c r="R33" i="3"/>
  <c r="S59" i="3"/>
  <c r="G60" i="3"/>
  <c r="Q60" i="3" s="1"/>
  <c r="R60" i="3" s="1"/>
  <c r="G28" i="4" l="1"/>
  <c r="H28" i="4" s="1"/>
  <c r="I28" i="4" s="1"/>
  <c r="I29" i="4" s="1"/>
  <c r="I30" i="4" s="1"/>
  <c r="I31" i="4" s="1"/>
  <c r="I32" i="4" s="1"/>
  <c r="I33" i="4" s="1"/>
  <c r="I34" i="4" s="1"/>
  <c r="I35" i="4" s="1"/>
  <c r="I36" i="4" s="1"/>
  <c r="I37" i="4" s="1"/>
  <c r="I38" i="4" s="1"/>
  <c r="I39" i="4" s="1"/>
  <c r="I40" i="4" s="1"/>
  <c r="G61" i="3"/>
  <c r="Q61" i="3" s="1"/>
  <c r="R61" i="3"/>
  <c r="G34" i="3"/>
  <c r="Q34" i="3" s="1"/>
  <c r="R34" i="3" s="1"/>
  <c r="G41" i="4" l="1"/>
  <c r="H41" i="4" s="1"/>
  <c r="I41" i="4" s="1"/>
  <c r="G35" i="3"/>
  <c r="Q35" i="3" s="1"/>
  <c r="R35" i="3" s="1"/>
  <c r="G62" i="3"/>
  <c r="Q62" i="3" s="1"/>
  <c r="R62" i="3" s="1"/>
  <c r="G42" i="4" l="1"/>
  <c r="H42" i="4" s="1"/>
  <c r="I42" i="4" s="1"/>
  <c r="G63" i="3"/>
  <c r="Q63" i="3" s="1"/>
  <c r="R63" i="3" s="1"/>
  <c r="G36" i="3"/>
  <c r="Q36" i="3" s="1"/>
  <c r="R36" i="3" s="1"/>
  <c r="G43" i="4" l="1"/>
  <c r="H43" i="4" s="1"/>
  <c r="I43" i="4" s="1"/>
  <c r="G37" i="3"/>
  <c r="Q37" i="3" s="1"/>
  <c r="R37" i="3"/>
  <c r="G64" i="3"/>
  <c r="Q64" i="3" s="1"/>
  <c r="R64" i="3" s="1"/>
  <c r="G44" i="4" l="1"/>
  <c r="H44" i="4" s="1"/>
  <c r="I44" i="4" s="1"/>
  <c r="E65" i="3"/>
  <c r="G38" i="3"/>
  <c r="Q38" i="3" s="1"/>
  <c r="R38" i="3" s="1"/>
  <c r="G45" i="4" l="1"/>
  <c r="H45" i="4" s="1"/>
  <c r="I45" i="4" s="1"/>
  <c r="G39" i="3"/>
  <c r="Q39" i="3" s="1"/>
  <c r="R39" i="3" s="1"/>
  <c r="G65" i="3"/>
  <c r="Q65" i="3" s="1"/>
  <c r="R65" i="3" s="1"/>
  <c r="G46" i="4" l="1"/>
  <c r="H46" i="4" s="1"/>
  <c r="I46" i="4" s="1"/>
  <c r="G66" i="3"/>
  <c r="Q66" i="3" s="1"/>
  <c r="R66" i="3" s="1"/>
  <c r="G40" i="3"/>
  <c r="Q40" i="3" s="1"/>
  <c r="R40" i="3" s="1"/>
  <c r="G47" i="4" l="1"/>
  <c r="H47" i="4" s="1"/>
  <c r="I47" i="4" s="1"/>
  <c r="G41" i="3"/>
  <c r="Q41" i="3" s="1"/>
  <c r="R41" i="3" s="1"/>
  <c r="G67" i="3"/>
  <c r="G48" i="4" l="1"/>
  <c r="H48" i="4" s="1"/>
  <c r="I48" i="4" s="1"/>
  <c r="G42" i="3"/>
  <c r="Q42" i="3" s="1"/>
  <c r="R42" i="3"/>
  <c r="H67" i="3"/>
  <c r="Q67" i="3"/>
  <c r="R67" i="3" s="1"/>
  <c r="G49" i="4" l="1"/>
  <c r="H49" i="4" s="1"/>
  <c r="I49" i="4" s="1"/>
  <c r="G43" i="3"/>
  <c r="Q43" i="3" s="1"/>
  <c r="R43" i="3" s="1"/>
  <c r="S67" i="3"/>
  <c r="G68" i="3"/>
  <c r="G50" i="4" l="1"/>
  <c r="H50" i="4" s="1"/>
  <c r="I50" i="4" s="1"/>
  <c r="G44" i="3"/>
  <c r="Q44" i="3" s="1"/>
  <c r="R44" i="3" s="1"/>
  <c r="Q68" i="3"/>
  <c r="R68" i="3" s="1"/>
  <c r="H68" i="3"/>
  <c r="G51" i="4" l="1"/>
  <c r="H51" i="4" s="1"/>
  <c r="I51" i="4" s="1"/>
  <c r="G45" i="3"/>
  <c r="Q45" i="3" s="1"/>
  <c r="R45" i="3" s="1"/>
  <c r="G69" i="3"/>
  <c r="S68" i="3"/>
  <c r="G52" i="4" l="1"/>
  <c r="H52" i="4" s="1"/>
  <c r="I52" i="4" s="1"/>
  <c r="I53" i="4" s="1"/>
  <c r="G46" i="3"/>
  <c r="Q46" i="3" s="1"/>
  <c r="R46" i="3" s="1"/>
  <c r="Q69" i="3"/>
  <c r="R69" i="3" s="1"/>
  <c r="H69" i="3"/>
  <c r="G54" i="4" l="1"/>
  <c r="H54" i="4" s="1"/>
  <c r="I54" i="4" s="1"/>
  <c r="G70" i="3"/>
  <c r="S69" i="3"/>
  <c r="G55" i="4" l="1"/>
  <c r="H55" i="4" s="1"/>
  <c r="I55" i="4" s="1"/>
  <c r="H70" i="3"/>
  <c r="Q70" i="3"/>
  <c r="R70" i="3" s="1"/>
  <c r="G56" i="4" l="1"/>
  <c r="H56" i="4" s="1"/>
  <c r="I56" i="4" s="1"/>
  <c r="S70" i="3"/>
  <c r="G71" i="3"/>
  <c r="G57" i="4" l="1"/>
  <c r="H57" i="4" s="1"/>
  <c r="I57" i="4" s="1"/>
  <c r="Q71" i="3"/>
  <c r="R71" i="3" s="1"/>
  <c r="H71" i="3"/>
  <c r="G58" i="4" l="1"/>
  <c r="H58" i="4" s="1"/>
  <c r="I58" i="4" s="1"/>
  <c r="G72" i="3"/>
  <c r="S71" i="3"/>
  <c r="G59" i="4" l="1"/>
  <c r="H59" i="4" s="1"/>
  <c r="I59" i="4" s="1"/>
  <c r="Q72" i="3"/>
  <c r="R72" i="3" s="1"/>
  <c r="H72" i="3"/>
  <c r="G60" i="4" l="1"/>
  <c r="H60" i="4" s="1"/>
  <c r="I60" i="4" s="1"/>
  <c r="G73" i="3"/>
  <c r="S72" i="3"/>
  <c r="G61" i="4" l="1"/>
  <c r="H61" i="4" s="1"/>
  <c r="I61" i="4" s="1"/>
  <c r="H73" i="3"/>
  <c r="Q73" i="3"/>
  <c r="R73" i="3" s="1"/>
  <c r="G62" i="4" l="1"/>
  <c r="H62" i="4" s="1"/>
  <c r="I62" i="4" s="1"/>
  <c r="G74" i="3"/>
  <c r="S73" i="3"/>
  <c r="G63" i="4" l="1"/>
  <c r="H63" i="4" s="1"/>
  <c r="I63" i="4" s="1"/>
  <c r="H74" i="3"/>
  <c r="Q74" i="3"/>
  <c r="R74" i="3" s="1"/>
  <c r="G64" i="4" l="1"/>
  <c r="H64" i="4" s="1"/>
  <c r="I64" i="4" s="1"/>
  <c r="G75" i="3"/>
  <c r="S74" i="3"/>
  <c r="G65" i="4" l="1"/>
  <c r="H65" i="4" s="1"/>
  <c r="I65" i="4" s="1"/>
  <c r="I66" i="4" s="1"/>
  <c r="Q75" i="3"/>
  <c r="R75" i="3" s="1"/>
  <c r="H75" i="3"/>
  <c r="G67" i="4" l="1"/>
  <c r="H67" i="4" s="1"/>
  <c r="I67" i="4" s="1"/>
  <c r="S75" i="3"/>
  <c r="G76" i="3"/>
  <c r="G68" i="4" l="1"/>
  <c r="H68" i="4" s="1"/>
  <c r="I68" i="4" s="1"/>
  <c r="H76" i="3"/>
  <c r="Q76" i="3"/>
  <c r="R76" i="3" s="1"/>
  <c r="G69" i="4" l="1"/>
  <c r="H69" i="4" s="1"/>
  <c r="I69" i="4" s="1"/>
  <c r="S76" i="3"/>
  <c r="G77" i="3"/>
  <c r="G70" i="4" l="1"/>
  <c r="H70" i="4" s="1"/>
  <c r="I70" i="4" s="1"/>
  <c r="Q77" i="3"/>
  <c r="R77" i="3" s="1"/>
  <c r="H77" i="3"/>
  <c r="G71" i="4" l="1"/>
  <c r="H71" i="4" s="1"/>
  <c r="I71" i="4" s="1"/>
  <c r="G78" i="3"/>
  <c r="S77" i="3"/>
  <c r="G72" i="4" l="1"/>
  <c r="H72" i="4" s="1"/>
  <c r="I72" i="4" s="1"/>
  <c r="Q78" i="3"/>
  <c r="R78" i="3" s="1"/>
  <c r="H78" i="3"/>
  <c r="G73" i="4" l="1"/>
  <c r="H73" i="4" s="1"/>
  <c r="I73" i="4" s="1"/>
  <c r="G79" i="3"/>
  <c r="S78" i="3"/>
  <c r="G74" i="4" l="1"/>
  <c r="H74" i="4" s="1"/>
  <c r="I74" i="4" s="1"/>
  <c r="H79" i="3"/>
  <c r="S79" i="3"/>
  <c r="Q79" i="3"/>
  <c r="R79" i="3" s="1"/>
  <c r="I79" i="3"/>
  <c r="G75" i="4" l="1"/>
  <c r="H75" i="4" s="1"/>
  <c r="I75" i="4" s="1"/>
  <c r="G80" i="3"/>
  <c r="T79" i="3"/>
  <c r="H80" i="3"/>
  <c r="S80" i="3" s="1"/>
  <c r="G76" i="4" l="1"/>
  <c r="H76" i="4" s="1"/>
  <c r="I76" i="4" s="1"/>
  <c r="H81" i="3"/>
  <c r="S81" i="3" s="1"/>
  <c r="Q80" i="3"/>
  <c r="R80" i="3" s="1"/>
  <c r="I80" i="3"/>
  <c r="G77" i="4" l="1"/>
  <c r="H77" i="4" s="1"/>
  <c r="I77" i="4" s="1"/>
  <c r="H82" i="3"/>
  <c r="S82" i="3" s="1"/>
  <c r="T80" i="3"/>
  <c r="G81" i="3"/>
  <c r="G78" i="4" l="1"/>
  <c r="H78" i="4" s="1"/>
  <c r="I78" i="4" s="1"/>
  <c r="I79" i="4" s="1"/>
  <c r="H83" i="3"/>
  <c r="S83" i="3" s="1"/>
  <c r="I81" i="3"/>
  <c r="Q81" i="3"/>
  <c r="R81" i="3" s="1"/>
  <c r="G80" i="4" l="1"/>
  <c r="H80" i="4" s="1"/>
  <c r="I80" i="4" s="1"/>
  <c r="H84" i="3"/>
  <c r="S84" i="3" s="1"/>
  <c r="G82" i="3"/>
  <c r="T81" i="3"/>
  <c r="G81" i="4" l="1"/>
  <c r="H81" i="4" s="1"/>
  <c r="I81" i="4" s="1"/>
  <c r="H85" i="3"/>
  <c r="S85" i="3" s="1"/>
  <c r="I82" i="3"/>
  <c r="Q82" i="3"/>
  <c r="R82" i="3" s="1"/>
  <c r="G82" i="4" l="1"/>
  <c r="H82" i="4" s="1"/>
  <c r="I82" i="4" s="1"/>
  <c r="H86" i="3"/>
  <c r="S86" i="3"/>
  <c r="T82" i="3"/>
  <c r="G83" i="3"/>
  <c r="G83" i="4" l="1"/>
  <c r="H83" i="4" s="1"/>
  <c r="I83" i="4" s="1"/>
  <c r="Q83" i="3"/>
  <c r="R83" i="3" s="1"/>
  <c r="I83" i="3"/>
  <c r="H87" i="3"/>
  <c r="S87" i="3" s="1"/>
  <c r="G84" i="4" l="1"/>
  <c r="H84" i="4" s="1"/>
  <c r="I84" i="4" s="1"/>
  <c r="H88" i="3"/>
  <c r="S88" i="3" s="1"/>
  <c r="E89" i="3" s="1"/>
  <c r="G84" i="3"/>
  <c r="T83" i="3"/>
  <c r="G85" i="4" l="1"/>
  <c r="H85" i="4" s="1"/>
  <c r="I85" i="4" s="1"/>
  <c r="Q84" i="3"/>
  <c r="R84" i="3" s="1"/>
  <c r="I84" i="3"/>
  <c r="G86" i="4" l="1"/>
  <c r="H86" i="4" s="1"/>
  <c r="I86" i="4" s="1"/>
  <c r="T84" i="3"/>
  <c r="G85" i="3"/>
  <c r="G87" i="4" l="1"/>
  <c r="H87" i="4" s="1"/>
  <c r="I87" i="4" s="1"/>
  <c r="I85" i="3"/>
  <c r="Q85" i="3"/>
  <c r="R85" i="3" s="1"/>
  <c r="G88" i="4" l="1"/>
  <c r="H88" i="4" s="1"/>
  <c r="I88" i="4" s="1"/>
  <c r="G86" i="3"/>
  <c r="T85" i="3"/>
  <c r="G89" i="4" l="1"/>
  <c r="H89" i="4" s="1"/>
  <c r="I89" i="4" s="1"/>
  <c r="Q86" i="3"/>
  <c r="R86" i="3" s="1"/>
  <c r="I86" i="3"/>
  <c r="G90" i="4" l="1"/>
  <c r="H90" i="4" s="1"/>
  <c r="I90" i="4" s="1"/>
  <c r="G87" i="3"/>
  <c r="T86" i="3"/>
  <c r="G91" i="4" l="1"/>
  <c r="H91" i="4" s="1"/>
  <c r="I91" i="4" s="1"/>
  <c r="I92" i="4" s="1"/>
  <c r="Q87" i="3"/>
  <c r="R87" i="3" s="1"/>
  <c r="I87" i="3"/>
  <c r="G93" i="4" l="1"/>
  <c r="H93" i="4" s="1"/>
  <c r="I93" i="4" s="1"/>
  <c r="T87" i="3"/>
  <c r="G88" i="3"/>
  <c r="G94" i="4" l="1"/>
  <c r="H94" i="4" s="1"/>
  <c r="I94" i="4" s="1"/>
  <c r="I88" i="3"/>
  <c r="Q88" i="3"/>
  <c r="R88" i="3" s="1"/>
  <c r="G95" i="4" l="1"/>
  <c r="H95" i="4" s="1"/>
  <c r="I95" i="4" s="1"/>
  <c r="G89" i="3"/>
  <c r="T88" i="3"/>
  <c r="G96" i="4" l="1"/>
  <c r="H96" i="4" s="1"/>
  <c r="I96" i="4" s="1"/>
  <c r="I89" i="3"/>
  <c r="Q89" i="3"/>
  <c r="R89" i="3" s="1"/>
  <c r="G97" i="4" l="1"/>
  <c r="H97" i="4" s="1"/>
  <c r="I97" i="4" s="1"/>
  <c r="T89" i="3"/>
  <c r="G90" i="3"/>
  <c r="G98" i="4" l="1"/>
  <c r="H98" i="4" s="1"/>
  <c r="I98" i="4" s="1"/>
  <c r="I90" i="3"/>
  <c r="Q90" i="3"/>
  <c r="R90" i="3" s="1"/>
  <c r="G99" i="4" l="1"/>
  <c r="H99" i="4" s="1"/>
  <c r="I99" i="4" s="1"/>
  <c r="G91" i="3"/>
  <c r="T90" i="3"/>
  <c r="G100" i="4" l="1"/>
  <c r="H100" i="4" s="1"/>
  <c r="I100" i="4" s="1"/>
  <c r="I91" i="3"/>
  <c r="T91" i="3"/>
  <c r="J91" i="3"/>
  <c r="Q91" i="3"/>
  <c r="R91" i="3" s="1"/>
  <c r="G101" i="4" l="1"/>
  <c r="H101" i="4" s="1"/>
  <c r="I101" i="4" s="1"/>
  <c r="U91" i="3"/>
  <c r="G92" i="3"/>
  <c r="I92" i="3"/>
  <c r="T92" i="3" s="1"/>
  <c r="G102" i="4" l="1"/>
  <c r="H102" i="4" s="1"/>
  <c r="I102" i="4" s="1"/>
  <c r="I93" i="3"/>
  <c r="T93" i="3" s="1"/>
  <c r="Q92" i="3"/>
  <c r="R92" i="3" s="1"/>
  <c r="J92" i="3"/>
  <c r="G103" i="4" l="1"/>
  <c r="H103" i="4" s="1"/>
  <c r="I103" i="4" s="1"/>
  <c r="I94" i="3"/>
  <c r="T94" i="3"/>
  <c r="G93" i="3"/>
  <c r="U92" i="3"/>
  <c r="G104" i="4" l="1"/>
  <c r="H104" i="4" s="1"/>
  <c r="I104" i="4" s="1"/>
  <c r="I105" i="4" s="1"/>
  <c r="Q93" i="3"/>
  <c r="R93" i="3" s="1"/>
  <c r="J93" i="3"/>
  <c r="I95" i="3"/>
  <c r="T95" i="3"/>
  <c r="G106" i="4" l="1"/>
  <c r="H106" i="4" s="1"/>
  <c r="I106" i="4" s="1"/>
  <c r="I96" i="3"/>
  <c r="T96" i="3"/>
  <c r="G94" i="3"/>
  <c r="U93" i="3"/>
  <c r="G107" i="4" l="1"/>
  <c r="H107" i="4" s="1"/>
  <c r="I107" i="4" s="1"/>
  <c r="Q94" i="3"/>
  <c r="R94" i="3" s="1"/>
  <c r="J94" i="3"/>
  <c r="I97" i="3"/>
  <c r="T97" i="3" s="1"/>
  <c r="G108" i="4" l="1"/>
  <c r="H108" i="4" s="1"/>
  <c r="I108" i="4" s="1"/>
  <c r="I98" i="3"/>
  <c r="T98" i="3" s="1"/>
  <c r="G95" i="3"/>
  <c r="U94" i="3"/>
  <c r="G109" i="4" l="1"/>
  <c r="H109" i="4" s="1"/>
  <c r="I109" i="4" s="1"/>
  <c r="I99" i="3"/>
  <c r="T99" i="3" s="1"/>
  <c r="J95" i="3"/>
  <c r="Q95" i="3"/>
  <c r="R95" i="3" s="1"/>
  <c r="G110" i="4" l="1"/>
  <c r="H110" i="4" s="1"/>
  <c r="I110" i="4" s="1"/>
  <c r="I100" i="3"/>
  <c r="T100" i="3" s="1"/>
  <c r="E101" i="3" s="1"/>
  <c r="G96" i="3"/>
  <c r="U95" i="3"/>
  <c r="G111" i="4" l="1"/>
  <c r="H111" i="4" s="1"/>
  <c r="I111" i="4" s="1"/>
  <c r="Q96" i="3"/>
  <c r="R96" i="3" s="1"/>
  <c r="J96" i="3"/>
  <c r="G112" i="4" l="1"/>
  <c r="H112" i="4" s="1"/>
  <c r="I112" i="4" s="1"/>
  <c r="G97" i="3"/>
  <c r="U96" i="3"/>
  <c r="G113" i="4" l="1"/>
  <c r="H113" i="4" s="1"/>
  <c r="I113" i="4" s="1"/>
  <c r="Q97" i="3"/>
  <c r="R97" i="3" s="1"/>
  <c r="J97" i="3"/>
  <c r="G114" i="4" l="1"/>
  <c r="H114" i="4" s="1"/>
  <c r="I114" i="4" s="1"/>
  <c r="U97" i="3"/>
  <c r="G98" i="3"/>
  <c r="G115" i="4" l="1"/>
  <c r="H115" i="4" s="1"/>
  <c r="I115" i="4" s="1"/>
  <c r="Q98" i="3"/>
  <c r="R98" i="3" s="1"/>
  <c r="J98" i="3"/>
  <c r="G116" i="4" l="1"/>
  <c r="H116" i="4" s="1"/>
  <c r="I116" i="4" s="1"/>
  <c r="U98" i="3"/>
  <c r="G99" i="3"/>
  <c r="G117" i="4" l="1"/>
  <c r="H117" i="4" s="1"/>
  <c r="I117" i="4" s="1"/>
  <c r="J99" i="3"/>
  <c r="Q99" i="3"/>
  <c r="R99" i="3" s="1"/>
  <c r="U99" i="3" l="1"/>
  <c r="G100" i="3"/>
  <c r="Q100" i="3" l="1"/>
  <c r="R100" i="3" s="1"/>
  <c r="J100" i="3"/>
  <c r="G101" i="3" l="1"/>
  <c r="U100" i="3"/>
  <c r="J101" i="3" l="1"/>
  <c r="Q101" i="3"/>
  <c r="R101" i="3" s="1"/>
  <c r="G102" i="3" l="1"/>
  <c r="U101" i="3"/>
  <c r="Q102" i="3" l="1"/>
  <c r="R102" i="3" s="1"/>
  <c r="J102" i="3"/>
  <c r="U102" i="3" l="1"/>
  <c r="G103" i="3"/>
  <c r="Q103" i="3" l="1"/>
  <c r="R103" i="3" s="1"/>
  <c r="J103" i="3"/>
  <c r="U103" i="3" s="1"/>
  <c r="J104" i="3" l="1"/>
  <c r="U104" i="3" s="1"/>
  <c r="K103" i="3"/>
  <c r="G104" i="3"/>
  <c r="V103" i="3"/>
  <c r="J105" i="3" l="1"/>
  <c r="U105" i="3" s="1"/>
  <c r="Q104" i="3"/>
  <c r="R104" i="3" s="1"/>
  <c r="K104" i="3"/>
  <c r="J106" i="3" l="1"/>
  <c r="U106" i="3"/>
  <c r="G105" i="3"/>
  <c r="V104" i="3"/>
  <c r="J107" i="3" l="1"/>
  <c r="U107" i="3" s="1"/>
  <c r="Q105" i="3"/>
  <c r="R105" i="3" s="1"/>
  <c r="K105" i="3"/>
  <c r="J108" i="3" l="1"/>
  <c r="U108" i="3" s="1"/>
  <c r="G106" i="3"/>
  <c r="V105" i="3"/>
  <c r="U109" i="3" l="1"/>
  <c r="J109" i="3"/>
  <c r="K106" i="3"/>
  <c r="Q106" i="3"/>
  <c r="R106" i="3" s="1"/>
  <c r="G107" i="3" l="1"/>
  <c r="V106" i="3"/>
  <c r="J110" i="3"/>
  <c r="U110" i="3" s="1"/>
  <c r="J111" i="3" l="1"/>
  <c r="U111" i="3" s="1"/>
  <c r="Q107" i="3"/>
  <c r="R107" i="3" s="1"/>
  <c r="K107" i="3"/>
  <c r="J112" i="3" l="1"/>
  <c r="U112" i="3"/>
  <c r="E113" i="3" s="1"/>
  <c r="G108" i="3"/>
  <c r="V107" i="3"/>
  <c r="Q108" i="3" l="1"/>
  <c r="R108" i="3" s="1"/>
  <c r="K108" i="3"/>
  <c r="V108" i="3" l="1"/>
  <c r="G109" i="3"/>
  <c r="Q109" i="3" l="1"/>
  <c r="R109" i="3" s="1"/>
  <c r="K109" i="3"/>
  <c r="V109" i="3" l="1"/>
  <c r="G110" i="3"/>
  <c r="K110" i="3" l="1"/>
  <c r="Q110" i="3"/>
  <c r="R110" i="3" s="1"/>
  <c r="V110" i="3" l="1"/>
  <c r="G111" i="3"/>
  <c r="Q111" i="3" l="1"/>
  <c r="R111" i="3" s="1"/>
  <c r="K111" i="3"/>
  <c r="G112" i="3" l="1"/>
  <c r="V111" i="3"/>
  <c r="Q112" i="3" l="1"/>
  <c r="R112" i="3" s="1"/>
  <c r="K112" i="3"/>
  <c r="G113" i="3" l="1"/>
  <c r="V112" i="3"/>
  <c r="K113" i="3" l="1"/>
  <c r="Q113" i="3"/>
  <c r="R113" i="3" s="1"/>
  <c r="G114" i="3" l="1"/>
  <c r="V113" i="3"/>
  <c r="Q114" i="3" l="1"/>
  <c r="R114" i="3" s="1"/>
  <c r="K114" i="3"/>
  <c r="G115" i="3" l="1"/>
  <c r="V114" i="3"/>
  <c r="K115" i="3" l="1"/>
  <c r="V115" i="3" s="1"/>
  <c r="Q115" i="3"/>
  <c r="R115" i="3" s="1"/>
  <c r="L115" i="3"/>
  <c r="K116" i="3" l="1"/>
  <c r="V116" i="3"/>
  <c r="G116" i="3"/>
  <c r="W115" i="3"/>
  <c r="Q116" i="3" l="1"/>
  <c r="R116" i="3" s="1"/>
  <c r="L116" i="3"/>
  <c r="K117" i="3"/>
  <c r="V117" i="3" s="1"/>
  <c r="K118" i="3" l="1"/>
  <c r="V118" i="3"/>
  <c r="G117" i="3"/>
  <c r="W116" i="3"/>
  <c r="L117" i="3" l="1"/>
  <c r="Q117" i="3"/>
  <c r="R117" i="3" s="1"/>
  <c r="K119" i="3"/>
  <c r="V119" i="3" s="1"/>
  <c r="K120" i="3" l="1"/>
  <c r="V120" i="3" s="1"/>
  <c r="G118" i="3"/>
  <c r="W117" i="3"/>
  <c r="K121" i="3" l="1"/>
  <c r="V121" i="3" s="1"/>
  <c r="Q118" i="3"/>
  <c r="R118" i="3" s="1"/>
  <c r="L118" i="3"/>
  <c r="K122" i="3" l="1"/>
  <c r="V122" i="3" s="1"/>
  <c r="G119" i="3"/>
  <c r="W118" i="3"/>
  <c r="K123" i="3" l="1"/>
  <c r="V123" i="3"/>
  <c r="Q119" i="3"/>
  <c r="R119" i="3" s="1"/>
  <c r="L119" i="3"/>
  <c r="W119" i="3" l="1"/>
  <c r="G120" i="3"/>
  <c r="K124" i="3"/>
  <c r="V124" i="3"/>
  <c r="K125" i="3" s="1"/>
  <c r="Q120" i="3" l="1"/>
  <c r="R120" i="3" s="1"/>
  <c r="L120" i="3"/>
  <c r="W120" i="3" l="1"/>
  <c r="G121" i="3"/>
  <c r="L121" i="3" l="1"/>
  <c r="Q121" i="3"/>
  <c r="R121" i="3" s="1"/>
  <c r="W121" i="3" l="1"/>
  <c r="G122" i="3"/>
  <c r="Q122" i="3" l="1"/>
  <c r="R122" i="3" s="1"/>
  <c r="L122" i="3"/>
  <c r="G123" i="3" l="1"/>
  <c r="W122" i="3"/>
  <c r="Q123" i="3" l="1"/>
  <c r="R123" i="3" s="1"/>
  <c r="L123" i="3"/>
  <c r="G124" i="3" l="1"/>
  <c r="W123" i="3"/>
  <c r="Q124" i="3" l="1"/>
  <c r="R124" i="3" s="1"/>
  <c r="L124" i="3"/>
  <c r="G125" i="3" l="1"/>
  <c r="W124" i="3"/>
  <c r="L125" i="3" l="1"/>
  <c r="Q125" i="3"/>
  <c r="R125" i="3" s="1"/>
  <c r="G126" i="3" l="1"/>
  <c r="W125" i="3"/>
  <c r="Q126" i="3" l="1"/>
  <c r="R126" i="3" s="1"/>
  <c r="L126" i="3"/>
  <c r="G127" i="3" l="1"/>
  <c r="W126" i="3"/>
  <c r="L127" i="3" l="1"/>
  <c r="W127" i="3" s="1"/>
  <c r="Q127" i="3"/>
  <c r="R127" i="3" s="1"/>
  <c r="M127" i="3"/>
  <c r="L128" i="3" l="1"/>
  <c r="W128" i="3" s="1"/>
  <c r="G128" i="3"/>
  <c r="X127" i="3"/>
  <c r="L129" i="3" l="1"/>
  <c r="W129" i="3" s="1"/>
  <c r="M128" i="3"/>
  <c r="Q128" i="3"/>
  <c r="R128" i="3" s="1"/>
  <c r="L130" i="3" l="1"/>
  <c r="W130" i="3" s="1"/>
  <c r="G129" i="3"/>
  <c r="X128" i="3"/>
  <c r="L131" i="3" l="1"/>
  <c r="W131" i="3" s="1"/>
  <c r="M129" i="3"/>
  <c r="Q129" i="3"/>
  <c r="R129" i="3" s="1"/>
  <c r="L132" i="3" l="1"/>
  <c r="W132" i="3" s="1"/>
  <c r="G130" i="3"/>
  <c r="X129" i="3"/>
  <c r="L133" i="3" l="1"/>
  <c r="W133" i="3" s="1"/>
  <c r="M130" i="3"/>
  <c r="Q130" i="3"/>
  <c r="R130" i="3" s="1"/>
  <c r="L134" i="3" l="1"/>
  <c r="W134" i="3"/>
  <c r="X130" i="3"/>
  <c r="G131" i="3"/>
  <c r="L135" i="3" l="1"/>
  <c r="W135" i="3"/>
  <c r="Q131" i="3"/>
  <c r="R131" i="3" s="1"/>
  <c r="M131" i="3"/>
  <c r="X131" i="3" l="1"/>
  <c r="G132" i="3"/>
  <c r="L136" i="3"/>
  <c r="W136" i="3" s="1"/>
  <c r="E137" i="3" s="1"/>
  <c r="M132" i="3" l="1"/>
  <c r="Q132" i="3"/>
  <c r="R132" i="3" s="1"/>
  <c r="X132" i="3" l="1"/>
  <c r="G133" i="3"/>
  <c r="Q133" i="3" l="1"/>
  <c r="R133" i="3" s="1"/>
  <c r="M133" i="3"/>
  <c r="X133" i="3" l="1"/>
  <c r="G134" i="3"/>
  <c r="M134" i="3" l="1"/>
  <c r="Q134" i="3"/>
  <c r="R134" i="3" s="1"/>
  <c r="G135" i="3" l="1"/>
  <c r="X134" i="3"/>
  <c r="M135" i="3" l="1"/>
  <c r="Q135" i="3"/>
  <c r="R135" i="3" s="1"/>
  <c r="G136" i="3" l="1"/>
  <c r="X135" i="3"/>
  <c r="M136" i="3" l="1"/>
  <c r="Q136" i="3"/>
  <c r="R136" i="3" s="1"/>
  <c r="X136" i="3" l="1"/>
  <c r="G137" i="3"/>
  <c r="M137" i="3" l="1"/>
  <c r="Q137" i="3"/>
  <c r="R137" i="3" s="1"/>
  <c r="X137" i="3" l="1"/>
  <c r="G138" i="3"/>
  <c r="M138" i="3" l="1"/>
  <c r="Q138" i="3"/>
  <c r="R138" i="3" s="1"/>
  <c r="X138" i="3" l="1"/>
  <c r="G139" i="3"/>
  <c r="Q139" i="3" l="1"/>
  <c r="R139" i="3" s="1"/>
  <c r="M139" i="3"/>
  <c r="N139" i="3" s="1"/>
  <c r="X139" i="3" l="1"/>
  <c r="Y139" i="3"/>
  <c r="G140" i="3"/>
  <c r="Q140" i="3" l="1"/>
  <c r="R140" i="3" s="1"/>
  <c r="M140" i="3"/>
  <c r="X140" i="3" s="1"/>
  <c r="M141" i="3" l="1"/>
  <c r="X141" i="3" s="1"/>
  <c r="N140" i="3"/>
  <c r="G141" i="3"/>
  <c r="Y140" i="3"/>
  <c r="M142" i="3" l="1"/>
  <c r="X142" i="3"/>
  <c r="Q141" i="3"/>
  <c r="R141" i="3" s="1"/>
  <c r="N141" i="3"/>
  <c r="M143" i="3" l="1"/>
  <c r="X143" i="3"/>
  <c r="G142" i="3"/>
  <c r="Y141" i="3"/>
  <c r="M144" i="3" l="1"/>
  <c r="X144" i="3"/>
  <c r="Q142" i="3"/>
  <c r="R142" i="3" s="1"/>
  <c r="N142" i="3"/>
  <c r="M145" i="3" l="1"/>
  <c r="X145" i="3" s="1"/>
  <c r="G143" i="3"/>
  <c r="Y142" i="3"/>
  <c r="M146" i="3" l="1"/>
  <c r="X146" i="3" s="1"/>
  <c r="N143" i="3"/>
  <c r="Q143" i="3"/>
  <c r="R143" i="3" s="1"/>
  <c r="M147" i="3" l="1"/>
  <c r="X147" i="3" s="1"/>
  <c r="G144" i="3"/>
  <c r="Y143" i="3"/>
  <c r="M148" i="3" l="1"/>
  <c r="X148" i="3" s="1"/>
  <c r="Q144" i="3"/>
  <c r="R144" i="3" s="1"/>
  <c r="N144" i="3"/>
  <c r="G145" i="3" l="1"/>
  <c r="Y144" i="3"/>
  <c r="Q145" i="3" l="1"/>
  <c r="R145" i="3" s="1"/>
  <c r="N145" i="3"/>
  <c r="Y145" i="3" l="1"/>
  <c r="G146" i="3"/>
  <c r="Q146" i="3" l="1"/>
  <c r="R146" i="3" s="1"/>
  <c r="N146" i="3"/>
  <c r="Y146" i="3" l="1"/>
  <c r="G147" i="3"/>
  <c r="N147" i="3" l="1"/>
  <c r="Q147" i="3"/>
  <c r="R147" i="3" s="1"/>
  <c r="Y147" i="3" l="1"/>
  <c r="G148" i="3"/>
  <c r="Q148" i="3" l="1"/>
  <c r="R148" i="3" s="1"/>
  <c r="N148" i="3"/>
  <c r="G149" i="3" l="1"/>
  <c r="Y148" i="3"/>
  <c r="Q149" i="3" l="1"/>
  <c r="R149" i="3" s="1"/>
  <c r="N149" i="3"/>
  <c r="Y149" i="3" l="1"/>
  <c r="G150" i="3"/>
  <c r="N150" i="3" l="1"/>
  <c r="Q150" i="3"/>
  <c r="R150" i="3" s="1"/>
  <c r="Y150" i="3" l="1"/>
</calcChain>
</file>

<file path=xl/sharedStrings.xml><?xml version="1.0" encoding="utf-8"?>
<sst xmlns="http://schemas.openxmlformats.org/spreadsheetml/2006/main" count="566" uniqueCount="210">
  <si>
    <t>NW Natural</t>
  </si>
  <si>
    <t>Rates &amp; Regulatory Affairs</t>
  </si>
  <si>
    <t>2019-2020 PGA Filing - Washington: September Filing</t>
  </si>
  <si>
    <t>Calculation of Increments Allocated on the EQUAL PERCENTAGE OF MARGIN BASIS</t>
  </si>
  <si>
    <t>Billing</t>
  </si>
  <si>
    <t>WACOG &amp;</t>
  </si>
  <si>
    <t>Temps from</t>
  </si>
  <si>
    <t>Low Income Bill Pay Assistance (GREAT)</t>
  </si>
  <si>
    <t>WA-LIEE</t>
  </si>
  <si>
    <t>PGA</t>
  </si>
  <si>
    <t>Rate from</t>
  </si>
  <si>
    <t>Demand from</t>
  </si>
  <si>
    <t>Temporary</t>
  </si>
  <si>
    <t>Proposed Amount:</t>
  </si>
  <si>
    <t>Temporary Increments</t>
  </si>
  <si>
    <t>Volumes page,</t>
  </si>
  <si>
    <t>Rates page,</t>
  </si>
  <si>
    <t>Increment  page,</t>
  </si>
  <si>
    <t>MARGIN</t>
  </si>
  <si>
    <t>Volumetric</t>
  </si>
  <si>
    <t>Customer</t>
  </si>
  <si>
    <t>Total</t>
  </si>
  <si>
    <t>Revenue Sensitive Multiplier:</t>
  </si>
  <si>
    <t>add revenue sensitive factor</t>
  </si>
  <si>
    <t>Column D</t>
  </si>
  <si>
    <t>Column A</t>
  </si>
  <si>
    <t>Column B+C+D</t>
  </si>
  <si>
    <t>Rate</t>
  </si>
  <si>
    <t>Margin</t>
  </si>
  <si>
    <t>Charge</t>
  </si>
  <si>
    <t>Customers</t>
  </si>
  <si>
    <t>Amount to Amortize:</t>
  </si>
  <si>
    <t>All sales</t>
  </si>
  <si>
    <t>E=B-C-D</t>
  </si>
  <si>
    <t>I = (G*H*12)+F</t>
  </si>
  <si>
    <t>Multiplier</t>
  </si>
  <si>
    <t>Allocation to RS</t>
  </si>
  <si>
    <t>Increment</t>
  </si>
  <si>
    <t>Schedule</t>
  </si>
  <si>
    <t>Block</t>
  </si>
  <si>
    <t>A</t>
  </si>
  <si>
    <t>B</t>
  </si>
  <si>
    <t>C</t>
  </si>
  <si>
    <t>D</t>
  </si>
  <si>
    <t>E</t>
  </si>
  <si>
    <t>F = E * A</t>
  </si>
  <si>
    <t>G</t>
  </si>
  <si>
    <t>H</t>
  </si>
  <si>
    <t>M</t>
  </si>
  <si>
    <t>N</t>
  </si>
  <si>
    <t>O</t>
  </si>
  <si>
    <t>P</t>
  </si>
  <si>
    <t>Q</t>
  </si>
  <si>
    <t>R</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</si>
  <si>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</si>
  <si>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</si>
  <si>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</si>
  <si>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</si>
  <si>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</si>
  <si>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</si>
  <si>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</si>
  <si>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</si>
  <si>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</si>
  <si>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</si>
  <si>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</si>
  <si>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</si>
  <si>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</si>
  <si>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</si>
  <si>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</si>
  <si>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</si>
  <si>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</si>
  <si>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</si>
  <si>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 Firm Trans</t>
  </si>
  <si>
    <t>42C Interr Sales</t>
  </si>
  <si>
    <t>42I Interr Sales</t>
  </si>
  <si>
    <t>42 Inter Trans</t>
  </si>
  <si>
    <t>43 Firm Trans</t>
  </si>
  <si>
    <t>43 Interr Trans</t>
  </si>
  <si>
    <t>Intentionally blank</t>
  </si>
  <si>
    <t>Totals</t>
  </si>
  <si>
    <t>Sources for line 2 above:</t>
  </si>
  <si>
    <t>Inputs page</t>
  </si>
  <si>
    <t>Column G</t>
  </si>
  <si>
    <t>Line 41</t>
  </si>
  <si>
    <t>Line 39</t>
  </si>
  <si>
    <t>Tariff Schedules:</t>
  </si>
  <si>
    <t>Schedule #</t>
  </si>
  <si>
    <t>Sched 230, Prg J</t>
  </si>
  <si>
    <t>Sched 230, Prg I</t>
  </si>
  <si>
    <t>Note: Allocation to rate schedules or blocks with zero volumes is calculated on an overall margin percentage change basis.</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</si>
  <si>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</si>
  <si>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</si>
  <si>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</si>
  <si>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</si>
  <si>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</si>
  <si>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</si>
  <si>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</si>
  <si>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</si>
  <si>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</si>
  <si>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</si>
  <si>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</si>
  <si>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GREAT &amp; LIEE</t>
  </si>
  <si>
    <t>Average use</t>
  </si>
  <si>
    <t>Rates</t>
  </si>
  <si>
    <t>Average Bill</t>
  </si>
  <si>
    <t>% Bill Change</t>
  </si>
  <si>
    <t>F=D+(C * E)</t>
  </si>
  <si>
    <t>K= D+(C*J)</t>
  </si>
  <si>
    <t>F</t>
  </si>
  <si>
    <t>J</t>
  </si>
  <si>
    <t>K</t>
  </si>
  <si>
    <t>L</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</si>
  <si>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</si>
  <si>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</si>
  <si>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</si>
  <si>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</si>
  <si>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</si>
  <si>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Rates in summary</t>
  </si>
  <si>
    <t>Sources:</t>
  </si>
  <si>
    <t>Direct Inputs</t>
  </si>
  <si>
    <t>per Tariff</t>
  </si>
  <si>
    <t>Summary of Deferred Accounts</t>
  </si>
  <si>
    <t>Estimated</t>
  </si>
  <si>
    <t>Sep-Oct</t>
  </si>
  <si>
    <t>Interest</t>
  </si>
  <si>
    <t>Amount for</t>
  </si>
  <si>
    <t>Amounts</t>
  </si>
  <si>
    <t>Balance</t>
  </si>
  <si>
    <t>During</t>
  </si>
  <si>
    <t>(Refund) or</t>
  </si>
  <si>
    <t>Excluded from</t>
  </si>
  <si>
    <t>Included in</t>
  </si>
  <si>
    <t>Account</t>
  </si>
  <si>
    <t>Activity</t>
  </si>
  <si>
    <t>Amortization</t>
  </si>
  <si>
    <t>Collection</t>
  </si>
  <si>
    <t>PGA Filing</t>
  </si>
  <si>
    <t>I</t>
  </si>
  <si>
    <t>E = sum B thru D</t>
  </si>
  <si>
    <t>G = E + F</t>
  </si>
  <si>
    <t>Excl. Rev Sens</t>
  </si>
  <si>
    <t>DSM &amp; LOW INCOME PROGRAMS</t>
  </si>
  <si>
    <t>186234  WA LOW INCOME BILL PAY ASSIST (GREAT)</t>
  </si>
  <si>
    <t>186235 WA GREAT AMORTIZATION</t>
  </si>
  <si>
    <t>186314 WA WA-LIEE PROGRAM (2018 calendar year only)</t>
  </si>
  <si>
    <t>186315 AMORT WA-LIEE PROGRAM</t>
  </si>
  <si>
    <t>Notes</t>
  </si>
  <si>
    <t>Please refer to NWN workpapers or electronic file "NWN 2019-20 Washington PGA rate development file September filing.xls" for application of revenue sensitive effect and calculation of rate increments.</t>
  </si>
  <si>
    <t>Company:</t>
  </si>
  <si>
    <t>Northwest Natural Gas Company</t>
  </si>
  <si>
    <t>State:</t>
  </si>
  <si>
    <t>Description:</t>
  </si>
  <si>
    <t>Washington WA-LIEE</t>
  </si>
  <si>
    <t>Account Number:</t>
  </si>
  <si>
    <t>Program under Schedule I</t>
  </si>
  <si>
    <t>Temp Increment under Schedule 230</t>
  </si>
  <si>
    <t>Debit    (Credit)</t>
  </si>
  <si>
    <t>Calendar</t>
  </si>
  <si>
    <t xml:space="preserve">Month/Year </t>
  </si>
  <si>
    <t>Note</t>
  </si>
  <si>
    <t>Accumulation</t>
  </si>
  <si>
    <t>Transfers</t>
  </si>
  <si>
    <t>(a)</t>
  </si>
  <si>
    <t>(b)</t>
  </si>
  <si>
    <t>(c)</t>
  </si>
  <si>
    <t>(d)</t>
  </si>
  <si>
    <t>(e1)</t>
  </si>
  <si>
    <t>(e2)</t>
  </si>
  <si>
    <t>(e3)</t>
  </si>
  <si>
    <t>(e4)</t>
  </si>
  <si>
    <t>(e5)</t>
  </si>
  <si>
    <t>(e6)</t>
  </si>
  <si>
    <t>(e7)</t>
  </si>
  <si>
    <t>(f)</t>
  </si>
  <si>
    <t>(g1)</t>
  </si>
  <si>
    <t>(g2)</t>
  </si>
  <si>
    <t>(g3)</t>
  </si>
  <si>
    <t>(g4)</t>
  </si>
  <si>
    <t>(g5)</t>
  </si>
  <si>
    <t>(g6)</t>
  </si>
  <si>
    <t>Beginning Balance</t>
  </si>
  <si>
    <t>\a</t>
  </si>
  <si>
    <t>1</t>
  </si>
  <si>
    <t>2</t>
  </si>
  <si>
    <t>History truncated for ease of viewing</t>
  </si>
  <si>
    <r>
      <rPr>
        <b/>
        <sz val="10"/>
        <rFont val="Tahoma"/>
        <family val="2"/>
      </rPr>
      <t xml:space="preserve">1 - </t>
    </r>
    <r>
      <rPr>
        <sz val="10"/>
        <rFont val="Tahoma"/>
        <family val="2"/>
      </rPr>
      <t>Transferred Dec 2017 deferral balance plus 2018 interest on the balance to account 186315 for amortization.</t>
    </r>
  </si>
  <si>
    <r>
      <rPr>
        <b/>
        <sz val="10"/>
        <rFont val="Tahoma"/>
        <family val="2"/>
      </rPr>
      <t>2</t>
    </r>
    <r>
      <rPr>
        <sz val="10"/>
        <rFont val="Tahoma"/>
        <family val="2"/>
      </rPr>
      <t xml:space="preserve"> - Transfer amount is for true-up to GL.</t>
    </r>
  </si>
  <si>
    <t>Washington WA-LIEE Amortization</t>
  </si>
  <si>
    <t>(g)</t>
  </si>
  <si>
    <t>old</t>
  </si>
  <si>
    <r>
      <t xml:space="preserve">new </t>
    </r>
    <r>
      <rPr>
        <b/>
        <sz val="10"/>
        <rFont val="Tahoma"/>
        <family val="2"/>
      </rPr>
      <t>(1)</t>
    </r>
  </si>
  <si>
    <t>Forecasted</t>
  </si>
  <si>
    <r>
      <rPr>
        <b/>
        <sz val="10"/>
        <rFont val="Tahoma"/>
        <family val="2"/>
      </rPr>
      <t>1</t>
    </r>
    <r>
      <rPr>
        <sz val="10"/>
        <rFont val="Tahoma"/>
        <family val="2"/>
      </rPr>
      <t xml:space="preserve"> - Transfer in amounts from account 186314 approved for amortization.</t>
    </r>
  </si>
  <si>
    <t>Washington Low Income Bill Pay Assistance (GREAT)</t>
  </si>
  <si>
    <t>Program under Schedule J</t>
  </si>
  <si>
    <t>Deferral</t>
  </si>
  <si>
    <r>
      <rPr>
        <b/>
        <sz val="10"/>
        <rFont val="Tahoma"/>
        <family val="2"/>
      </rPr>
      <t>1</t>
    </r>
    <r>
      <rPr>
        <sz val="10"/>
        <rFont val="Tahoma"/>
        <family val="2"/>
      </rPr>
      <t xml:space="preserve"> - Transferred authorized balance to account 186235 for amortization.</t>
    </r>
  </si>
  <si>
    <t>Amortize Washington Low Income Bill Pay Assistance (GREAT)</t>
  </si>
  <si>
    <t>Interest Rate</t>
  </si>
  <si>
    <t>hook up to amort tab</t>
  </si>
  <si>
    <t>new</t>
  </si>
  <si>
    <r>
      <rPr>
        <b/>
        <sz val="10"/>
        <rFont val="Tahoma"/>
        <family val="2"/>
      </rPr>
      <t>1</t>
    </r>
    <r>
      <rPr>
        <sz val="10"/>
        <rFont val="Tahoma"/>
        <family val="2"/>
      </rPr>
      <t xml:space="preserve"> - Transfer in amounts from account 186234 approved for amortization.</t>
    </r>
  </si>
  <si>
    <t>2019-20 Washington: September Filing Updating Energy Efficiency Schedule 230</t>
  </si>
  <si>
    <t>Tariff Advice 19-04: Schedule 230 Effects on Revenue</t>
  </si>
  <si>
    <t>Amount</t>
  </si>
  <si>
    <t>Removal of Current Temporary Increments</t>
  </si>
  <si>
    <t>Amortization of WA Low Income Programs</t>
  </si>
  <si>
    <t>Addition of Proposed Temporary Increments</t>
  </si>
  <si>
    <t>TOTAL OF ALL COMPONENTS OF RATE CHANGES</t>
  </si>
  <si>
    <t xml:space="preserve">Effect of this filing, as a percentage change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</si>
</sst>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0%"/>
    <numFmt numFmtId="166" formatCode="&quot;$&quot;#,##0.00000"/>
    <numFmt numFmtId="167" formatCode="&quot;$&quot;#,##0"/>
    <numFmt numFmtId="168" formatCode="#,##0.0_);\(#,##0.0\)"/>
    <numFmt numFmtId="169" formatCode="&quot;$&quot;#,##0.00000_);\(&quot;$&quot;#,##0.00000\)"/>
    <numFmt numFmtId="170" formatCode="0.00_);\(0.00\)"/>
    <numFmt numFmtId="171" formatCode="&quot;$&quot;#,##0.00"/>
    <numFmt numFmtId="172" formatCode="_(* #,##0_);_(* \(#,##0\);_(* &quot;-&quot;??_);_(@_)"/>
    <numFmt numFmtId="173" formatCode="0.0%"/>
    <numFmt numFmtId="174" formatCode="[$-409]mmm\-yy;@"/>
    <numFmt numFmtId="175" formatCode="0_);\(0\)"/>
  </numFmts>
  <fonts count="23" x14ac:knownFonts="1">
    <font>
      <sz val="11"/>
      <color theme="1"/>
      <name val="Calibri"/>
      <family val="2"/>
      <scheme val="minor"/>
    </font>
    <font>
      <sz val="11"/>
      <color theme="1"/>
      <name val="Calibri"/>
      <family val="2"/>
      <scheme val="minor"/>
    </font>
    <font>
      <b/>
      <sz val="11"/>
      <name val="Tahoma"/>
      <family val="2"/>
    </font>
    <font>
      <sz val="10"/>
      <name val="Tahoma"/>
      <family val="2"/>
    </font>
    <font>
      <sz val="10"/>
      <color indexed="12"/>
      <name val="Tahoma"/>
      <family val="2"/>
    </font>
    <font>
      <b/>
      <sz val="10"/>
      <color indexed="48"/>
      <name val="Tahoma"/>
      <family val="2"/>
    </font>
    <font>
      <b/>
      <sz val="10"/>
      <name val="Tahoma"/>
      <family val="2"/>
    </font>
    <font>
      <sz val="10"/>
      <name val="Times New Roman"/>
      <family val="1"/>
    </font>
    <font>
      <sz val="9"/>
      <name val="Tahoma"/>
      <family val="2"/>
    </font>
    <font>
      <sz val="8"/>
      <name val="Tahoma"/>
      <family val="2"/>
    </font>
    <font>
      <b/>
      <u/>
      <sz val="10"/>
      <name val="Tahoma"/>
      <family val="2"/>
    </font>
    <font>
      <sz val="11"/>
      <name val="Tahoma"/>
      <family val="2"/>
    </font>
    <font>
      <sz val="10"/>
      <color rgb="FF0000FF"/>
      <name val="Tahoma"/>
      <family val="2"/>
    </font>
    <font>
      <b/>
      <sz val="9"/>
      <name val="Tahoma"/>
      <family val="2"/>
    </font>
    <font>
      <b/>
      <sz val="8"/>
      <name val="Tahoma"/>
      <family val="2"/>
    </font>
    <font>
      <sz val="8"/>
      <name val="Times New Roman"/>
      <family val="1"/>
    </font>
    <font>
      <sz val="11"/>
      <name val="Calibri"/>
      <family val="2"/>
      <scheme val="minor"/>
    </font>
    <font>
      <sz val="10"/>
      <name val="Arial"/>
      <family val="2"/>
    </font>
    <font>
      <u/>
      <sz val="10"/>
      <name val="Tahoma"/>
      <family val="2"/>
    </font>
    <font>
      <sz val="10"/>
      <name val="MS Sans Serif"/>
      <family val="2"/>
    </font>
    <font>
      <sz val="10"/>
      <color rgb="FFFF0000"/>
      <name val="Tahoma"/>
      <family val="2"/>
    </font>
    <font>
      <i/>
      <sz val="10"/>
      <name val="Tahoma"/>
      <family val="2"/>
    </font>
    <font>
      <sz val="10"/>
      <color rgb="FF3333FF"/>
      <name val="Tahoma"/>
      <family val="2"/>
    </font>
  </fonts>
  <fills count="3">
    <fill>
      <patternFill patternType="none"/>
    </fill>
    <fill>
      <patternFill patternType="gray125"/>
    </fill>
    <fill>
      <patternFill patternType="solid">
        <fgColor indexed="22"/>
        <bgColor indexed="64"/>
      </patternFill>
    </fill>
  </fills>
  <borders count="36">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double">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174" fontId="17" fillId="0" borderId="0"/>
    <xf numFmtId="174" fontId="17" fillId="0" borderId="0">
      <alignment vertical="top"/>
    </xf>
    <xf numFmtId="174" fontId="19" fillId="0" borderId="0"/>
    <xf numFmtId="0" fontId="19" fillId="0" borderId="0"/>
    <xf numFmtId="0" fontId="19" fillId="0" borderId="0"/>
    <xf numFmtId="43" fontId="17" fillId="0" borderId="0" applyFont="0" applyFill="0" applyBorder="0" applyAlignment="0" applyProtection="0"/>
    <xf numFmtId="174" fontId="17" fillId="0" borderId="0"/>
    <xf numFmtId="174" fontId="17" fillId="0" borderId="0"/>
    <xf numFmtId="0" fontId="17" fillId="0" borderId="0"/>
    <xf numFmtId="9" fontId="7" fillId="0" borderId="0" applyFont="0" applyFill="0" applyBorder="0" applyAlignment="0" applyProtection="0"/>
    <xf numFmtId="44" fontId="1" fillId="0" borderId="0" applyFont="0" applyFill="0" applyBorder="0" applyAlignment="0" applyProtection="0"/>
  </cellStyleXfs>
  <cellXfs count="361">
    <xf numFmtId="0" fontId="0" fillId="0" borderId="0" xfId="0"/>
    <xf numFmtId="0" fontId="2" fillId="0" borderId="0" xfId="0" applyFont="1" applyBorder="1"/>
    <xf numFmtId="0" fontId="3" fillId="0" borderId="0" xfId="0" applyFont="1"/>
    <xf numFmtId="0" fontId="4" fillId="0" borderId="0" xfId="0" applyFont="1"/>
    <xf numFmtId="164" fontId="3" fillId="0" borderId="0" xfId="0" applyNumberFormat="1" applyFont="1"/>
    <xf numFmtId="0" fontId="3" fillId="0" borderId="0" xfId="0" applyFont="1" applyBorder="1"/>
    <xf numFmtId="37" fontId="4" fillId="0" borderId="0" xfId="0" applyNumberFormat="1" applyFont="1"/>
    <xf numFmtId="0" fontId="5" fillId="0" borderId="0" xfId="0" applyFont="1" applyFill="1" applyBorder="1"/>
    <xf numFmtId="0" fontId="5" fillId="0" borderId="0" xfId="0" applyFont="1" applyFill="1"/>
    <xf numFmtId="0" fontId="3" fillId="0" borderId="0" xfId="0" applyFont="1" applyFill="1"/>
    <xf numFmtId="0" fontId="6" fillId="0" borderId="0" xfId="0" quotePrefix="1"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37" fontId="6" fillId="0" borderId="1" xfId="0" applyNumberFormat="1" applyFont="1" applyBorder="1" applyAlignment="1">
      <alignment horizontal="centerContinuous"/>
    </xf>
    <xf numFmtId="0" fontId="6" fillId="0" borderId="2" xfId="0" applyNumberFormat="1" applyFont="1" applyBorder="1" applyAlignment="1">
      <alignment horizontal="centerContinuous"/>
    </xf>
    <xf numFmtId="164" fontId="6" fillId="0" borderId="2" xfId="0" applyNumberFormat="1" applyFont="1" applyBorder="1" applyAlignment="1">
      <alignment horizontal="centerContinuous"/>
    </xf>
    <xf numFmtId="0" fontId="3" fillId="0" borderId="7" xfId="0" applyFont="1" applyBorder="1"/>
    <xf numFmtId="37" fontId="3" fillId="0" borderId="8" xfId="0" applyNumberFormat="1" applyFont="1" applyBorder="1"/>
    <xf numFmtId="0" fontId="3" fillId="0" borderId="9" xfId="0" applyFont="1" applyBorder="1"/>
    <xf numFmtId="164" fontId="3" fillId="0" borderId="10" xfId="0" applyNumberFormat="1" applyFont="1" applyBorder="1"/>
    <xf numFmtId="164" fontId="3" fillId="0" borderId="9" xfId="0" applyNumberFormat="1" applyFont="1" applyBorder="1"/>
    <xf numFmtId="0" fontId="6" fillId="0" borderId="0" xfId="0" applyFont="1" applyBorder="1" applyAlignment="1">
      <alignment horizontal="center"/>
    </xf>
    <xf numFmtId="165" fontId="3" fillId="0" borderId="8" xfId="2" applyNumberFormat="1" applyFont="1" applyBorder="1" applyAlignment="1">
      <alignment horizontal="right"/>
    </xf>
    <xf numFmtId="0" fontId="3" fillId="0" borderId="9" xfId="0" applyFont="1" applyBorder="1" applyAlignment="1">
      <alignment horizontal="left"/>
    </xf>
    <xf numFmtId="164" fontId="3" fillId="0" borderId="10" xfId="0" applyNumberFormat="1" applyFont="1" applyBorder="1" applyAlignment="1">
      <alignment horizontal="left"/>
    </xf>
    <xf numFmtId="164" fontId="3" fillId="0" borderId="9" xfId="0" applyNumberFormat="1" applyFont="1" applyBorder="1" applyAlignment="1">
      <alignment horizontal="left"/>
    </xf>
    <xf numFmtId="0" fontId="3" fillId="0" borderId="11" xfId="0" applyFont="1" applyBorder="1" applyAlignment="1">
      <alignment horizontal="center"/>
    </xf>
    <xf numFmtId="0" fontId="6" fillId="0" borderId="11" xfId="0" applyFont="1" applyBorder="1" applyAlignment="1">
      <alignment horizontal="center"/>
    </xf>
    <xf numFmtId="0" fontId="3" fillId="0" borderId="12" xfId="0" applyFont="1" applyBorder="1"/>
    <xf numFmtId="37" fontId="6" fillId="0" borderId="13" xfId="0" applyNumberFormat="1" applyFont="1" applyBorder="1"/>
    <xf numFmtId="164" fontId="3" fillId="0" borderId="15" xfId="0" applyNumberFormat="1" applyFont="1" applyBorder="1"/>
    <xf numFmtId="37" fontId="3" fillId="0" borderId="14" xfId="0" applyNumberFormat="1" applyFont="1" applyBorder="1"/>
    <xf numFmtId="164" fontId="3" fillId="0" borderId="14" xfId="0" applyNumberFormat="1" applyFont="1" applyBorder="1"/>
    <xf numFmtId="0" fontId="6" fillId="0" borderId="0" xfId="0" applyFont="1" applyBorder="1" applyAlignment="1">
      <alignment horizontal="right"/>
    </xf>
    <xf numFmtId="0" fontId="6" fillId="0" borderId="0" xfId="0" applyFont="1" applyAlignment="1">
      <alignment horizontal="right"/>
    </xf>
    <xf numFmtId="0" fontId="6" fillId="2" borderId="17" xfId="0" applyFont="1" applyFill="1" applyBorder="1" applyAlignment="1">
      <alignment horizontal="right"/>
    </xf>
    <xf numFmtId="0" fontId="6" fillId="0" borderId="18" xfId="0" applyFont="1" applyBorder="1" applyAlignment="1">
      <alignment horizontal="center"/>
    </xf>
    <xf numFmtId="164" fontId="3" fillId="0" borderId="0" xfId="0" applyNumberFormat="1" applyFont="1" applyBorder="1" applyAlignment="1">
      <alignment horizontal="center"/>
    </xf>
    <xf numFmtId="0" fontId="6" fillId="0" borderId="4" xfId="0" applyFont="1" applyBorder="1" applyAlignment="1">
      <alignment horizontal="center"/>
    </xf>
    <xf numFmtId="0" fontId="3" fillId="0" borderId="5" xfId="0" applyFont="1" applyBorder="1" applyAlignment="1">
      <alignment horizontal="center"/>
    </xf>
    <xf numFmtId="164" fontId="3" fillId="0" borderId="6" xfId="0" applyNumberFormat="1" applyFont="1" applyBorder="1" applyAlignment="1">
      <alignment horizontal="center"/>
    </xf>
    <xf numFmtId="0" fontId="3" fillId="0" borderId="5" xfId="0" applyFont="1" applyFill="1" applyBorder="1" applyAlignment="1">
      <alignment horizontal="center"/>
    </xf>
    <xf numFmtId="0" fontId="8" fillId="0" borderId="5" xfId="0" applyFont="1" applyFill="1" applyBorder="1" applyAlignment="1">
      <alignment horizontal="center"/>
    </xf>
    <xf numFmtId="0" fontId="6" fillId="0" borderId="20" xfId="0" applyFont="1" applyBorder="1" applyAlignment="1">
      <alignment horizontal="center"/>
    </xf>
    <xf numFmtId="0" fontId="6" fillId="0" borderId="20" xfId="0" applyFont="1" applyFill="1" applyBorder="1" applyAlignment="1">
      <alignment horizontal="center"/>
    </xf>
    <xf numFmtId="0" fontId="6" fillId="2" borderId="21" xfId="0" applyFont="1" applyFill="1" applyBorder="1" applyAlignment="1">
      <alignment horizontal="center"/>
    </xf>
    <xf numFmtId="0" fontId="6" fillId="0" borderId="22" xfId="0" applyFont="1" applyBorder="1" applyAlignment="1">
      <alignment horizontal="center"/>
    </xf>
    <xf numFmtId="164" fontId="6" fillId="0" borderId="23" xfId="0" applyNumberFormat="1" applyFont="1" applyBorder="1" applyAlignment="1">
      <alignment horizontal="center"/>
    </xf>
    <xf numFmtId="164" fontId="6" fillId="0" borderId="20" xfId="0" applyNumberFormat="1" applyFont="1" applyBorder="1" applyAlignment="1">
      <alignment horizontal="center"/>
    </xf>
    <xf numFmtId="0" fontId="3" fillId="0" borderId="24" xfId="0" applyFont="1" applyFill="1" applyBorder="1" applyAlignment="1">
      <alignment horizontal="center"/>
    </xf>
    <xf numFmtId="0" fontId="8" fillId="0" borderId="24" xfId="0" applyFont="1" applyFill="1" applyBorder="1" applyAlignment="1">
      <alignment horizontal="center"/>
    </xf>
    <xf numFmtId="37" fontId="3" fillId="0" borderId="20" xfId="0" applyNumberFormat="1" applyFont="1" applyBorder="1"/>
    <xf numFmtId="166" fontId="3" fillId="0" borderId="20" xfId="0" applyNumberFormat="1" applyFont="1" applyFill="1" applyBorder="1"/>
    <xf numFmtId="167" fontId="3" fillId="0" borderId="20" xfId="0" applyNumberFormat="1" applyFont="1" applyFill="1" applyBorder="1"/>
    <xf numFmtId="7" fontId="3" fillId="0" borderId="20" xfId="0" applyNumberFormat="1" applyFont="1" applyFill="1" applyBorder="1"/>
    <xf numFmtId="167" fontId="3" fillId="0" borderId="20" xfId="0" applyNumberFormat="1" applyFont="1" applyBorder="1"/>
    <xf numFmtId="164" fontId="3" fillId="2" borderId="21" xfId="0" applyNumberFormat="1" applyFont="1" applyFill="1" applyBorder="1"/>
    <xf numFmtId="5" fontId="3" fillId="0" borderId="20" xfId="0" applyNumberFormat="1" applyFont="1" applyBorder="1"/>
    <xf numFmtId="169" fontId="3" fillId="0" borderId="23" xfId="0" applyNumberFormat="1" applyFont="1" applyBorder="1"/>
    <xf numFmtId="169" fontId="3" fillId="0" borderId="20" xfId="0" applyNumberFormat="1" applyFont="1" applyBorder="1"/>
    <xf numFmtId="169" fontId="3" fillId="0" borderId="0" xfId="0" applyNumberFormat="1" applyFont="1" applyBorder="1"/>
    <xf numFmtId="166" fontId="3" fillId="0" borderId="20" xfId="0" applyNumberFormat="1" applyFont="1" applyBorder="1"/>
    <xf numFmtId="7" fontId="3" fillId="0" borderId="20" xfId="0" applyNumberFormat="1" applyFont="1" applyBorder="1"/>
    <xf numFmtId="0" fontId="3" fillId="0" borderId="20" xfId="0" applyFont="1" applyFill="1" applyBorder="1" applyAlignment="1">
      <alignment horizontal="center"/>
    </xf>
    <xf numFmtId="0" fontId="8" fillId="0" borderId="20" xfId="0" applyFont="1" applyFill="1" applyBorder="1" applyAlignment="1">
      <alignment horizontal="center"/>
    </xf>
    <xf numFmtId="0" fontId="3" fillId="0" borderId="0" xfId="0" applyFont="1" applyFill="1" applyBorder="1" applyAlignment="1">
      <alignment horizontal="center"/>
    </xf>
    <xf numFmtId="170" fontId="8" fillId="0" borderId="0" xfId="0" applyNumberFormat="1" applyFont="1" applyFill="1" applyBorder="1" applyAlignment="1">
      <alignment horizontal="center"/>
    </xf>
    <xf numFmtId="37" fontId="3" fillId="0" borderId="0" xfId="0" applyNumberFormat="1" applyFont="1" applyBorder="1"/>
    <xf numFmtId="166" fontId="3" fillId="0" borderId="0" xfId="0" applyNumberFormat="1" applyFont="1" applyBorder="1"/>
    <xf numFmtId="167" fontId="3" fillId="0" borderId="0" xfId="3" quotePrefix="1" applyNumberFormat="1" applyFont="1" applyBorder="1"/>
    <xf numFmtId="7" fontId="3" fillId="0" borderId="0" xfId="0" applyNumberFormat="1" applyFont="1" applyBorder="1"/>
    <xf numFmtId="164" fontId="3" fillId="2" borderId="25" xfId="0" applyNumberFormat="1" applyFont="1" applyFill="1" applyBorder="1"/>
    <xf numFmtId="5" fontId="3" fillId="0" borderId="0" xfId="3" applyNumberFormat="1" applyFont="1" applyBorder="1"/>
    <xf numFmtId="169" fontId="3" fillId="0" borderId="19" xfId="3" applyNumberFormat="1" applyFont="1" applyBorder="1"/>
    <xf numFmtId="169" fontId="3" fillId="0" borderId="0" xfId="3" applyNumberFormat="1" applyFont="1" applyBorder="1"/>
    <xf numFmtId="170" fontId="8" fillId="0" borderId="20" xfId="0" applyNumberFormat="1" applyFont="1" applyFill="1" applyBorder="1" applyAlignment="1">
      <alignment horizontal="center"/>
    </xf>
    <xf numFmtId="167" fontId="3" fillId="0" borderId="0" xfId="3" applyNumberFormat="1" applyFont="1" applyBorder="1"/>
    <xf numFmtId="5" fontId="3" fillId="0" borderId="0" xfId="3" quotePrefix="1" applyNumberFormat="1" applyFont="1" applyBorder="1"/>
    <xf numFmtId="169" fontId="3" fillId="0" borderId="19" xfId="3" quotePrefix="1" applyNumberFormat="1" applyFont="1" applyBorder="1"/>
    <xf numFmtId="169" fontId="3" fillId="0" borderId="0" xfId="3" quotePrefix="1" applyNumberFormat="1" applyFont="1" applyBorder="1"/>
    <xf numFmtId="167" fontId="3" fillId="0" borderId="0" xfId="0" applyNumberFormat="1" applyFont="1" applyBorder="1"/>
    <xf numFmtId="5" fontId="3" fillId="0" borderId="0" xfId="0" applyNumberFormat="1" applyFont="1" applyBorder="1"/>
    <xf numFmtId="169" fontId="3" fillId="0" borderId="19" xfId="0" applyNumberFormat="1" applyFont="1" applyBorder="1"/>
    <xf numFmtId="166" fontId="3" fillId="0" borderId="0" xfId="0" applyNumberFormat="1" applyFont="1" applyBorder="1" applyAlignment="1"/>
    <xf numFmtId="7" fontId="3" fillId="0" borderId="0" xfId="0" applyNumberFormat="1" applyFont="1" applyBorder="1" applyAlignment="1"/>
    <xf numFmtId="164" fontId="3" fillId="2" borderId="25" xfId="0" applyNumberFormat="1" applyFont="1" applyFill="1" applyBorder="1" applyAlignment="1"/>
    <xf numFmtId="166" fontId="3" fillId="0" borderId="0" xfId="0" applyNumberFormat="1" applyFont="1" applyFill="1" applyBorder="1" applyAlignment="1"/>
    <xf numFmtId="7" fontId="3" fillId="0" borderId="0" xfId="0" applyNumberFormat="1" applyFont="1" applyFill="1" applyBorder="1" applyAlignment="1"/>
    <xf numFmtId="166" fontId="3" fillId="0" borderId="20" xfId="0" applyNumberFormat="1" applyFont="1" applyFill="1" applyBorder="1" applyAlignment="1"/>
    <xf numFmtId="7" fontId="3" fillId="0" borderId="20" xfId="0" applyNumberFormat="1" applyFont="1" applyFill="1" applyBorder="1" applyAlignment="1"/>
    <xf numFmtId="164" fontId="3" fillId="2" borderId="21" xfId="0" applyNumberFormat="1" applyFont="1" applyFill="1" applyBorder="1" applyAlignment="1"/>
    <xf numFmtId="166" fontId="3" fillId="0" borderId="24" xfId="0" applyNumberFormat="1" applyFont="1" applyFill="1" applyBorder="1" applyAlignment="1"/>
    <xf numFmtId="7" fontId="3" fillId="0" borderId="24" xfId="0" applyNumberFormat="1" applyFont="1" applyFill="1" applyBorder="1" applyAlignment="1"/>
    <xf numFmtId="164" fontId="3" fillId="2" borderId="26" xfId="0" applyNumberFormat="1" applyFont="1" applyFill="1" applyBorder="1" applyAlignment="1"/>
    <xf numFmtId="169" fontId="3" fillId="0" borderId="28" xfId="0" applyNumberFormat="1" applyFont="1" applyBorder="1"/>
    <xf numFmtId="0" fontId="9" fillId="0" borderId="24" xfId="0" applyFont="1" applyFill="1" applyBorder="1" applyAlignment="1">
      <alignment horizontal="center"/>
    </xf>
    <xf numFmtId="166" fontId="3" fillId="0" borderId="20" xfId="0" applyNumberFormat="1" applyFont="1" applyBorder="1" applyAlignment="1"/>
    <xf numFmtId="7" fontId="3" fillId="0" borderId="20" xfId="0" applyNumberFormat="1" applyFont="1" applyBorder="1" applyAlignment="1"/>
    <xf numFmtId="171" fontId="3" fillId="0" borderId="20" xfId="0" applyNumberFormat="1" applyFont="1" applyBorder="1"/>
    <xf numFmtId="166" fontId="4" fillId="0" borderId="0" xfId="0" applyNumberFormat="1" applyFont="1"/>
    <xf numFmtId="171" fontId="4" fillId="0" borderId="0" xfId="0" applyNumberFormat="1" applyFont="1"/>
    <xf numFmtId="37" fontId="3" fillId="0" borderId="0" xfId="0" applyNumberFormat="1" applyFont="1"/>
    <xf numFmtId="167" fontId="3" fillId="0" borderId="0" xfId="0" applyNumberFormat="1" applyFont="1"/>
    <xf numFmtId="5" fontId="3" fillId="0" borderId="0" xfId="0" applyNumberFormat="1" applyFont="1"/>
    <xf numFmtId="0" fontId="10" fillId="0" borderId="0" xfId="0" applyFont="1"/>
    <xf numFmtId="0" fontId="6" fillId="0" borderId="29" xfId="0" applyFont="1" applyBorder="1"/>
    <xf numFmtId="0" fontId="3" fillId="2" borderId="9" xfId="0" applyFont="1" applyFill="1" applyBorder="1"/>
    <xf numFmtId="0" fontId="3" fillId="0" borderId="9" xfId="0" applyFont="1" applyFill="1" applyBorder="1" applyAlignment="1">
      <alignment horizontal="center"/>
    </xf>
    <xf numFmtId="164" fontId="3" fillId="2" borderId="9" xfId="0" applyNumberFormat="1" applyFont="1" applyFill="1" applyBorder="1"/>
    <xf numFmtId="0" fontId="9" fillId="0" borderId="9" xfId="0" applyFont="1" applyFill="1" applyBorder="1" applyAlignment="1">
      <alignment horizontal="center"/>
    </xf>
    <xf numFmtId="0" fontId="9" fillId="0" borderId="0" xfId="0" applyFont="1"/>
    <xf numFmtId="168" fontId="3" fillId="0" borderId="0" xfId="0" applyNumberFormat="1" applyFont="1"/>
    <xf numFmtId="168" fontId="3" fillId="0" borderId="0" xfId="0" applyNumberFormat="1" applyFont="1" applyBorder="1"/>
    <xf numFmtId="168" fontId="3" fillId="0" borderId="22" xfId="0" applyNumberFormat="1" applyFont="1" applyBorder="1" applyAlignment="1">
      <alignment horizontal="center"/>
    </xf>
    <xf numFmtId="168" fontId="3" fillId="0" borderId="18" xfId="0" applyNumberFormat="1" applyFont="1" applyBorder="1" applyAlignment="1">
      <alignment horizontal="center"/>
    </xf>
    <xf numFmtId="168" fontId="3" fillId="0" borderId="0" xfId="0" applyNumberFormat="1" applyFont="1" applyAlignment="1">
      <alignment horizontal="center"/>
    </xf>
    <xf numFmtId="172" fontId="3" fillId="0" borderId="0" xfId="1" applyNumberFormat="1" applyFont="1" applyAlignment="1">
      <alignment horizontal="center"/>
    </xf>
    <xf numFmtId="10" fontId="3" fillId="0" borderId="0" xfId="2" applyNumberFormat="1" applyFont="1" applyAlignment="1">
      <alignment horizontal="center"/>
    </xf>
    <xf numFmtId="168" fontId="3" fillId="0" borderId="27" xfId="0" applyNumberFormat="1" applyFont="1" applyBorder="1" applyAlignment="1">
      <alignment horizontal="center"/>
    </xf>
    <xf numFmtId="39" fontId="3" fillId="0" borderId="0" xfId="0" applyNumberFormat="1" applyFont="1"/>
    <xf numFmtId="7" fontId="3" fillId="0" borderId="0" xfId="0" applyNumberFormat="1" applyFont="1" applyFill="1"/>
    <xf numFmtId="0" fontId="2" fillId="0" borderId="0" xfId="0" applyFont="1" applyBorder="1" applyAlignment="1">
      <alignment horizontal="left"/>
    </xf>
    <xf numFmtId="0" fontId="2" fillId="0" borderId="0" xfId="0" applyFont="1" applyBorder="1" applyAlignment="1">
      <alignment horizontal="centerContinuous"/>
    </xf>
    <xf numFmtId="7" fontId="2" fillId="0" borderId="0" xfId="0" applyNumberFormat="1" applyFont="1" applyBorder="1" applyAlignment="1">
      <alignment horizontal="center"/>
    </xf>
    <xf numFmtId="0" fontId="11" fillId="0" borderId="0" xfId="0" applyFont="1" applyBorder="1"/>
    <xf numFmtId="0" fontId="11" fillId="0" borderId="0" xfId="0" applyFont="1"/>
    <xf numFmtId="14" fontId="3" fillId="0" borderId="0" xfId="0" applyNumberFormat="1" applyFont="1" applyAlignment="1">
      <alignment horizontal="center"/>
    </xf>
    <xf numFmtId="14" fontId="3" fillId="0" borderId="30" xfId="0" applyNumberFormat="1" applyFont="1" applyBorder="1" applyAlignment="1">
      <alignment horizontal="center"/>
    </xf>
    <xf numFmtId="14" fontId="3" fillId="0" borderId="31" xfId="0" applyNumberFormat="1"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0" xfId="0" applyFont="1" applyFill="1" applyAlignment="1">
      <alignment horizontal="center"/>
    </xf>
    <xf numFmtId="0" fontId="6" fillId="0" borderId="30" xfId="0" applyFont="1" applyFill="1" applyBorder="1" applyAlignment="1">
      <alignment horizontal="center"/>
    </xf>
    <xf numFmtId="0" fontId="6" fillId="0" borderId="33" xfId="0" applyFont="1" applyFill="1" applyBorder="1" applyAlignment="1">
      <alignment horizontal="center"/>
    </xf>
    <xf numFmtId="164" fontId="3" fillId="0" borderId="20" xfId="0" applyNumberFormat="1" applyFont="1" applyBorder="1" applyAlignment="1">
      <alignment horizontal="center"/>
    </xf>
    <xf numFmtId="168" fontId="3" fillId="0" borderId="20" xfId="0" applyNumberFormat="1" applyFont="1" applyBorder="1"/>
    <xf numFmtId="173" fontId="3" fillId="0" borderId="33" xfId="2" applyNumberFormat="1" applyFont="1" applyBorder="1"/>
    <xf numFmtId="39" fontId="3" fillId="0" borderId="20" xfId="0" applyNumberFormat="1" applyFont="1" applyBorder="1"/>
    <xf numFmtId="37" fontId="3" fillId="0" borderId="0" xfId="0" applyNumberFormat="1" applyFont="1" applyBorder="1" applyAlignment="1">
      <alignment horizontal="center"/>
    </xf>
    <xf numFmtId="173" fontId="3" fillId="0" borderId="31" xfId="2" applyNumberFormat="1" applyFont="1" applyBorder="1"/>
    <xf numFmtId="170" fontId="13" fillId="0" borderId="20" xfId="0" applyNumberFormat="1" applyFont="1" applyFill="1" applyBorder="1" applyAlignment="1">
      <alignment horizontal="center"/>
    </xf>
    <xf numFmtId="37" fontId="6" fillId="0" borderId="20" xfId="0" applyNumberFormat="1" applyFont="1" applyBorder="1"/>
    <xf numFmtId="37" fontId="6" fillId="0" borderId="20" xfId="0" applyNumberFormat="1" applyFont="1" applyBorder="1" applyAlignment="1">
      <alignment horizontal="center"/>
    </xf>
    <xf numFmtId="168" fontId="6" fillId="0" borderId="20" xfId="0" applyNumberFormat="1" applyFont="1" applyBorder="1"/>
    <xf numFmtId="169" fontId="6" fillId="0" borderId="20" xfId="0" applyNumberFormat="1" applyFont="1" applyBorder="1"/>
    <xf numFmtId="7" fontId="6" fillId="0" borderId="20" xfId="0" applyNumberFormat="1" applyFont="1" applyBorder="1"/>
    <xf numFmtId="173" fontId="6" fillId="0" borderId="33" xfId="2" applyNumberFormat="1" applyFont="1" applyBorder="1"/>
    <xf numFmtId="173" fontId="6" fillId="0" borderId="31" xfId="2" applyNumberFormat="1" applyFont="1" applyBorder="1"/>
    <xf numFmtId="168" fontId="6" fillId="0" borderId="0" xfId="0" applyNumberFormat="1" applyFont="1" applyBorder="1"/>
    <xf numFmtId="37" fontId="3" fillId="0" borderId="0" xfId="0" applyNumberFormat="1" applyFont="1" applyBorder="1" applyAlignment="1"/>
    <xf numFmtId="168" fontId="3" fillId="0" borderId="0" xfId="0" applyNumberFormat="1" applyFont="1" applyBorder="1" applyAlignment="1"/>
    <xf numFmtId="169" fontId="3" fillId="0" borderId="0" xfId="0" applyNumberFormat="1" applyFont="1" applyBorder="1" applyAlignment="1"/>
    <xf numFmtId="37" fontId="3" fillId="0" borderId="0" xfId="0" applyNumberFormat="1" applyFont="1" applyFill="1" applyBorder="1" applyAlignment="1"/>
    <xf numFmtId="168" fontId="3" fillId="0" borderId="0" xfId="0" applyNumberFormat="1" applyFont="1" applyFill="1" applyBorder="1" applyAlignment="1"/>
    <xf numFmtId="169" fontId="3" fillId="0" borderId="0" xfId="0" applyNumberFormat="1" applyFont="1" applyFill="1" applyBorder="1" applyAlignment="1"/>
    <xf numFmtId="169" fontId="6" fillId="0" borderId="0" xfId="0" applyNumberFormat="1" applyFont="1" applyBorder="1"/>
    <xf numFmtId="37" fontId="3" fillId="0" borderId="24" xfId="0" applyNumberFormat="1" applyFont="1" applyFill="1" applyBorder="1" applyAlignment="1"/>
    <xf numFmtId="164" fontId="3" fillId="0" borderId="24" xfId="0" applyNumberFormat="1" applyFont="1" applyFill="1" applyBorder="1" applyAlignment="1">
      <alignment horizontal="center"/>
    </xf>
    <xf numFmtId="168" fontId="3" fillId="0" borderId="24" xfId="0" applyNumberFormat="1" applyFont="1" applyFill="1" applyBorder="1" applyAlignment="1"/>
    <xf numFmtId="169" fontId="3" fillId="0" borderId="24" xfId="0" applyNumberFormat="1" applyFont="1" applyFill="1" applyBorder="1" applyAlignment="1"/>
    <xf numFmtId="169" fontId="3" fillId="0" borderId="24" xfId="0" applyNumberFormat="1" applyFont="1" applyBorder="1"/>
    <xf numFmtId="173" fontId="3" fillId="0" borderId="34" xfId="2" applyNumberFormat="1" applyFont="1" applyBorder="1"/>
    <xf numFmtId="37" fontId="3" fillId="0" borderId="20" xfId="0" applyNumberFormat="1" applyFont="1" applyFill="1" applyBorder="1" applyAlignment="1"/>
    <xf numFmtId="168" fontId="3" fillId="0" borderId="20" xfId="0" applyNumberFormat="1" applyFont="1" applyFill="1" applyBorder="1" applyAlignment="1"/>
    <xf numFmtId="169" fontId="3" fillId="0" borderId="20" xfId="0" applyNumberFormat="1" applyFont="1" applyFill="1" applyBorder="1" applyAlignment="1"/>
    <xf numFmtId="37" fontId="3" fillId="0" borderId="20" xfId="0" applyNumberFormat="1" applyFont="1" applyBorder="1" applyAlignment="1"/>
    <xf numFmtId="168" fontId="3" fillId="0" borderId="20" xfId="0" applyNumberFormat="1" applyFont="1" applyBorder="1" applyAlignment="1"/>
    <xf numFmtId="164" fontId="3" fillId="0" borderId="20" xfId="0" applyNumberFormat="1" applyFont="1" applyBorder="1" applyAlignment="1"/>
    <xf numFmtId="39" fontId="3" fillId="0" borderId="32" xfId="0" applyNumberFormat="1" applyFont="1" applyBorder="1"/>
    <xf numFmtId="0" fontId="3" fillId="0" borderId="29" xfId="0" applyFont="1" applyBorder="1"/>
    <xf numFmtId="0" fontId="3" fillId="2" borderId="9" xfId="0" applyFont="1" applyFill="1" applyBorder="1" applyAlignment="1">
      <alignment horizontal="center"/>
    </xf>
    <xf numFmtId="14" fontId="3" fillId="0" borderId="0" xfId="0" applyNumberFormat="1" applyFont="1" applyFill="1" applyAlignment="1">
      <alignment horizontal="center"/>
    </xf>
    <xf numFmtId="7" fontId="3" fillId="0" borderId="0" xfId="0" applyNumberFormat="1" applyFont="1" applyFill="1" applyBorder="1"/>
    <xf numFmtId="7" fontId="6" fillId="0" borderId="20" xfId="0" applyNumberFormat="1" applyFont="1" applyFill="1" applyBorder="1"/>
    <xf numFmtId="7" fontId="6" fillId="0" borderId="0" xfId="0" applyNumberFormat="1" applyFont="1" applyFill="1" applyBorder="1"/>
    <xf numFmtId="39" fontId="3" fillId="0" borderId="20" xfId="0" applyNumberFormat="1" applyFont="1" applyBorder="1" applyAlignment="1"/>
    <xf numFmtId="0" fontId="9" fillId="2" borderId="9" xfId="0" applyFont="1" applyFill="1" applyBorder="1" applyAlignment="1">
      <alignment horizontal="center"/>
    </xf>
    <xf numFmtId="174" fontId="6" fillId="0" borderId="0" xfId="4" applyFont="1"/>
    <xf numFmtId="174" fontId="3" fillId="0" borderId="0" xfId="4" applyFont="1"/>
    <xf numFmtId="174" fontId="6" fillId="0" borderId="0" xfId="4" applyFont="1" applyFill="1"/>
    <xf numFmtId="174" fontId="3" fillId="0" borderId="0" xfId="4" applyFont="1" applyBorder="1"/>
    <xf numFmtId="15" fontId="6" fillId="0" borderId="0" xfId="4" applyNumberFormat="1" applyFont="1"/>
    <xf numFmtId="174" fontId="3" fillId="0" borderId="0" xfId="4" applyFont="1" applyFill="1"/>
    <xf numFmtId="10" fontId="3" fillId="0" borderId="0" xfId="4" applyNumberFormat="1" applyFont="1" applyFill="1" applyAlignment="1">
      <alignment horizontal="center"/>
    </xf>
    <xf numFmtId="174" fontId="6" fillId="0" borderId="0" xfId="4" applyFont="1" applyFill="1" applyAlignment="1">
      <alignment horizontal="center"/>
    </xf>
    <xf numFmtId="15" fontId="6" fillId="0" borderId="0" xfId="4" quotePrefix="1" applyNumberFormat="1" applyFont="1"/>
    <xf numFmtId="174" fontId="6" fillId="0" borderId="0" xfId="4" applyFont="1" applyFill="1" applyBorder="1"/>
    <xf numFmtId="174" fontId="6" fillId="0" borderId="0" xfId="4" applyFont="1" applyFill="1" applyBorder="1" applyAlignment="1">
      <alignment horizontal="center"/>
    </xf>
    <xf numFmtId="174" fontId="6" fillId="0" borderId="0" xfId="4" quotePrefix="1" applyFont="1" applyFill="1" applyBorder="1" applyAlignment="1">
      <alignment horizontal="center"/>
    </xf>
    <xf numFmtId="174" fontId="6" fillId="0" borderId="0" xfId="4" applyNumberFormat="1" applyFont="1" applyFill="1" applyAlignment="1">
      <alignment horizontal="center"/>
    </xf>
    <xf numFmtId="174" fontId="6" fillId="0" borderId="0" xfId="4" applyFont="1" applyBorder="1"/>
    <xf numFmtId="14" fontId="6" fillId="0" borderId="20" xfId="4" quotePrefix="1" applyNumberFormat="1" applyFont="1" applyFill="1" applyBorder="1" applyAlignment="1">
      <alignment horizontal="center"/>
    </xf>
    <xf numFmtId="174" fontId="6" fillId="0" borderId="20" xfId="4" applyFont="1" applyFill="1" applyBorder="1" applyAlignment="1">
      <alignment horizontal="center"/>
    </xf>
    <xf numFmtId="14" fontId="6" fillId="0" borderId="20" xfId="4" applyNumberFormat="1" applyFont="1" applyFill="1" applyBorder="1" applyAlignment="1">
      <alignment horizontal="center"/>
    </xf>
    <xf numFmtId="174" fontId="6" fillId="0" borderId="20" xfId="4" applyNumberFormat="1" applyFont="1" applyFill="1" applyBorder="1" applyAlignment="1">
      <alignment horizontal="center"/>
    </xf>
    <xf numFmtId="37" fontId="3" fillId="0" borderId="0" xfId="4" applyNumberFormat="1" applyFont="1" applyBorder="1"/>
    <xf numFmtId="14" fontId="6" fillId="0" borderId="0" xfId="4" applyNumberFormat="1" applyFont="1" applyFill="1" applyBorder="1" applyAlignment="1">
      <alignment horizontal="center"/>
    </xf>
    <xf numFmtId="174" fontId="3" fillId="0" borderId="0" xfId="4" applyFont="1" applyFill="1" applyBorder="1"/>
    <xf numFmtId="174" fontId="9" fillId="0" borderId="0" xfId="4" applyFont="1" applyFill="1" applyAlignment="1">
      <alignment horizontal="center"/>
    </xf>
    <xf numFmtId="37" fontId="9" fillId="0" borderId="0" xfId="4" applyNumberFormat="1" applyFont="1" applyBorder="1" applyAlignment="1">
      <alignment horizontal="center"/>
    </xf>
    <xf numFmtId="37" fontId="3" fillId="0" borderId="0" xfId="4" applyNumberFormat="1" applyFont="1" applyFill="1" applyBorder="1"/>
    <xf numFmtId="37" fontId="3" fillId="0" borderId="0" xfId="4" applyNumberFormat="1" applyFont="1"/>
    <xf numFmtId="37" fontId="3" fillId="0" borderId="0" xfId="4" applyNumberFormat="1" applyFont="1" applyFill="1"/>
    <xf numFmtId="37" fontId="3" fillId="0" borderId="20" xfId="4" applyNumberFormat="1" applyFont="1" applyFill="1" applyBorder="1"/>
    <xf numFmtId="37" fontId="3" fillId="0" borderId="0" xfId="4" quotePrefix="1" applyNumberFormat="1" applyFont="1" applyFill="1" applyBorder="1"/>
    <xf numFmtId="37" fontId="3" fillId="0" borderId="0" xfId="5" applyNumberFormat="1" applyFont="1" applyFill="1" applyBorder="1">
      <alignment vertical="top"/>
    </xf>
    <xf numFmtId="37" fontId="3" fillId="0" borderId="20" xfId="5" applyNumberFormat="1" applyFont="1" applyFill="1" applyBorder="1">
      <alignment vertical="top"/>
    </xf>
    <xf numFmtId="174" fontId="3" fillId="0" borderId="0" xfId="4" applyFont="1" applyBorder="1" applyAlignment="1">
      <alignment horizontal="left" indent="1"/>
    </xf>
    <xf numFmtId="37" fontId="6" fillId="0" borderId="0" xfId="4" applyNumberFormat="1" applyFont="1" applyBorder="1"/>
    <xf numFmtId="174" fontId="18" fillId="0" borderId="0" xfId="4" applyFont="1"/>
    <xf numFmtId="39" fontId="3" fillId="0" borderId="0" xfId="4" applyNumberFormat="1" applyFont="1"/>
    <xf numFmtId="174" fontId="8" fillId="0" borderId="0" xfId="4" applyFont="1" applyFill="1"/>
    <xf numFmtId="4" fontId="6" fillId="0" borderId="0" xfId="4" applyNumberFormat="1" applyFont="1" applyBorder="1"/>
    <xf numFmtId="0" fontId="6" fillId="0" borderId="0" xfId="4" applyNumberFormat="1" applyFont="1" applyBorder="1"/>
    <xf numFmtId="174" fontId="9" fillId="0" borderId="0" xfId="4" applyFont="1" applyBorder="1" applyAlignment="1">
      <alignment horizontal="center"/>
    </xf>
    <xf numFmtId="0" fontId="3" fillId="0" borderId="0" xfId="4" applyNumberFormat="1" applyFont="1" applyFill="1"/>
    <xf numFmtId="0" fontId="3" fillId="0" borderId="0" xfId="4" applyNumberFormat="1" applyFont="1"/>
    <xf numFmtId="0" fontId="3" fillId="0" borderId="0" xfId="4" applyNumberFormat="1" applyFont="1" applyBorder="1" applyAlignment="1">
      <alignment horizontal="left" indent="1"/>
    </xf>
    <xf numFmtId="0" fontId="3" fillId="0" borderId="0" xfId="4" applyNumberFormat="1" applyFont="1" applyBorder="1"/>
    <xf numFmtId="174" fontId="2" fillId="0" borderId="0" xfId="4" applyFont="1" applyBorder="1"/>
    <xf numFmtId="174" fontId="2" fillId="0" borderId="0" xfId="4" applyFont="1" applyFill="1" applyBorder="1"/>
    <xf numFmtId="15" fontId="6" fillId="0" borderId="0" xfId="4" quotePrefix="1" applyNumberFormat="1" applyFont="1" applyFill="1" applyBorder="1"/>
    <xf numFmtId="10" fontId="14" fillId="0" borderId="26" xfId="2" applyNumberFormat="1" applyFont="1" applyFill="1" applyBorder="1" applyAlignment="1">
      <alignment horizontal="center"/>
    </xf>
    <xf numFmtId="174" fontId="6" fillId="0" borderId="24" xfId="4" applyFont="1" applyFill="1" applyBorder="1" applyAlignment="1">
      <alignment horizontal="left" indent="1"/>
    </xf>
    <xf numFmtId="37" fontId="9" fillId="0" borderId="0" xfId="6" applyNumberFormat="1" applyFont="1"/>
    <xf numFmtId="174" fontId="3" fillId="0" borderId="0" xfId="6" applyFont="1"/>
    <xf numFmtId="174" fontId="3" fillId="0" borderId="0" xfId="6" applyFont="1" applyFill="1" applyAlignment="1">
      <alignment horizontal="left"/>
    </xf>
    <xf numFmtId="43" fontId="3" fillId="0" borderId="0" xfId="1" applyFont="1"/>
    <xf numFmtId="0" fontId="3" fillId="0" borderId="0" xfId="6" applyNumberFormat="1" applyFont="1" applyFill="1" applyAlignment="1">
      <alignment horizontal="left"/>
    </xf>
    <xf numFmtId="174" fontId="3" fillId="0" borderId="0" xfId="6" applyFont="1" applyFill="1"/>
    <xf numFmtId="37" fontId="9" fillId="0" borderId="0" xfId="6" applyNumberFormat="1" applyFont="1" applyAlignment="1">
      <alignment horizontal="center"/>
    </xf>
    <xf numFmtId="174" fontId="3" fillId="0" borderId="0" xfId="6" applyFont="1" applyAlignment="1">
      <alignment horizontal="center"/>
    </xf>
    <xf numFmtId="175" fontId="3" fillId="0" borderId="0" xfId="6" applyNumberFormat="1" applyFont="1" applyAlignment="1">
      <alignment horizontal="center"/>
    </xf>
    <xf numFmtId="39" fontId="3" fillId="0" borderId="0" xfId="6" applyNumberFormat="1" applyFont="1"/>
    <xf numFmtId="39" fontId="3" fillId="0" borderId="0" xfId="6" applyNumberFormat="1" applyFont="1" applyAlignment="1">
      <alignment horizontal="center"/>
    </xf>
    <xf numFmtId="174" fontId="3" fillId="0" borderId="20" xfId="6" applyFont="1" applyBorder="1" applyAlignment="1">
      <alignment horizontal="center"/>
    </xf>
    <xf numFmtId="39" fontId="3" fillId="0" borderId="20" xfId="6" applyNumberFormat="1" applyFont="1" applyBorder="1" applyAlignment="1">
      <alignment horizontal="center"/>
    </xf>
    <xf numFmtId="174" fontId="3" fillId="0" borderId="0" xfId="6" applyFont="1" applyAlignment="1">
      <alignment horizontal="left"/>
    </xf>
    <xf numFmtId="174" fontId="3" fillId="0" borderId="0" xfId="6" applyNumberFormat="1" applyFont="1"/>
    <xf numFmtId="39" fontId="4" fillId="0" borderId="0" xfId="6" applyNumberFormat="1" applyFont="1"/>
    <xf numFmtId="39" fontId="3" fillId="0" borderId="0" xfId="1" applyNumberFormat="1" applyFont="1"/>
    <xf numFmtId="39" fontId="4" fillId="0" borderId="0" xfId="1" applyNumberFormat="1" applyFont="1"/>
    <xf numFmtId="174" fontId="4" fillId="0" borderId="0" xfId="6" applyFont="1"/>
    <xf numFmtId="39" fontId="4" fillId="0" borderId="0" xfId="6" applyNumberFormat="1" applyFont="1" applyBorder="1"/>
    <xf numFmtId="39" fontId="3" fillId="0" borderId="0" xfId="6" applyNumberFormat="1" applyFont="1" applyBorder="1"/>
    <xf numFmtId="39" fontId="3" fillId="0" borderId="0" xfId="1" applyNumberFormat="1" applyFont="1" applyBorder="1"/>
    <xf numFmtId="174" fontId="3" fillId="0" borderId="0" xfId="6" applyFont="1" applyBorder="1"/>
    <xf numFmtId="10" fontId="4" fillId="0" borderId="0" xfId="2" applyNumberFormat="1" applyFont="1" applyBorder="1"/>
    <xf numFmtId="39" fontId="4" fillId="0" borderId="0" xfId="2" applyNumberFormat="1" applyFont="1" applyBorder="1"/>
    <xf numFmtId="39" fontId="4" fillId="0" borderId="0" xfId="1" applyNumberFormat="1" applyFont="1" applyBorder="1"/>
    <xf numFmtId="174" fontId="3" fillId="0" borderId="11" xfId="6" applyNumberFormat="1" applyFont="1" applyBorder="1"/>
    <xf numFmtId="174" fontId="3" fillId="0" borderId="11" xfId="6" applyFont="1" applyBorder="1"/>
    <xf numFmtId="39" fontId="4" fillId="0" borderId="11" xfId="6" applyNumberFormat="1" applyFont="1" applyBorder="1"/>
    <xf numFmtId="39" fontId="3" fillId="0" borderId="11" xfId="6" applyNumberFormat="1" applyFont="1" applyBorder="1"/>
    <xf numFmtId="10" fontId="4" fillId="0" borderId="11" xfId="2" applyNumberFormat="1" applyFont="1" applyBorder="1"/>
    <xf numFmtId="39" fontId="3" fillId="0" borderId="11" xfId="1" applyNumberFormat="1" applyFont="1" applyBorder="1"/>
    <xf numFmtId="39" fontId="4" fillId="0" borderId="11" xfId="2" applyNumberFormat="1" applyFont="1" applyBorder="1"/>
    <xf numFmtId="3" fontId="6" fillId="0" borderId="0" xfId="6" applyNumberFormat="1" applyFont="1" applyAlignment="1">
      <alignment horizontal="center"/>
    </xf>
    <xf numFmtId="3" fontId="6" fillId="0" borderId="11" xfId="6" applyNumberFormat="1" applyFont="1" applyBorder="1" applyAlignment="1">
      <alignment horizontal="center"/>
    </xf>
    <xf numFmtId="39" fontId="4" fillId="0" borderId="0" xfId="6" applyNumberFormat="1" applyFont="1" applyFill="1"/>
    <xf numFmtId="39" fontId="20" fillId="0" borderId="0" xfId="6" applyNumberFormat="1" applyFont="1"/>
    <xf numFmtId="39" fontId="4" fillId="0" borderId="0" xfId="7" applyNumberFormat="1" applyFont="1" applyFill="1"/>
    <xf numFmtId="39" fontId="3" fillId="0" borderId="0" xfId="1" applyNumberFormat="1" applyFont="1" applyFill="1"/>
    <xf numFmtId="37" fontId="9" fillId="0" borderId="11" xfId="6" applyNumberFormat="1" applyFont="1" applyBorder="1" applyAlignment="1">
      <alignment horizontal="center"/>
    </xf>
    <xf numFmtId="39" fontId="4" fillId="0" borderId="11" xfId="6" applyNumberFormat="1" applyFont="1" applyFill="1" applyBorder="1"/>
    <xf numFmtId="43" fontId="3" fillId="0" borderId="11" xfId="1" applyFont="1" applyBorder="1"/>
    <xf numFmtId="3" fontId="6" fillId="0" borderId="0" xfId="6" applyNumberFormat="1" applyFont="1" applyBorder="1" applyAlignment="1">
      <alignment horizontal="center"/>
    </xf>
    <xf numFmtId="39" fontId="12" fillId="0" borderId="11" xfId="8" applyNumberFormat="1" applyFont="1" applyFill="1" applyBorder="1"/>
    <xf numFmtId="39" fontId="3" fillId="0" borderId="11" xfId="1" applyNumberFormat="1" applyFont="1" applyFill="1" applyBorder="1"/>
    <xf numFmtId="174" fontId="3" fillId="0" borderId="0" xfId="6" applyFont="1" applyFill="1" applyBorder="1"/>
    <xf numFmtId="39" fontId="12" fillId="0" borderId="0" xfId="8" applyNumberFormat="1" applyFont="1" applyFill="1"/>
    <xf numFmtId="10" fontId="3" fillId="0" borderId="0" xfId="2" applyNumberFormat="1" applyFont="1" applyFill="1" applyBorder="1"/>
    <xf numFmtId="39" fontId="3" fillId="0" borderId="0" xfId="1" applyNumberFormat="1" applyFont="1" applyFill="1" applyBorder="1"/>
    <xf numFmtId="39" fontId="3" fillId="0" borderId="0" xfId="6" applyNumberFormat="1" applyFont="1" applyFill="1" applyBorder="1"/>
    <xf numFmtId="43" fontId="3" fillId="0" borderId="0" xfId="1" applyFont="1" applyFill="1"/>
    <xf numFmtId="10" fontId="3" fillId="0" borderId="0" xfId="2" applyNumberFormat="1" applyFont="1" applyBorder="1"/>
    <xf numFmtId="172" fontId="3" fillId="0" borderId="0" xfId="1" applyNumberFormat="1" applyFont="1" applyBorder="1"/>
    <xf numFmtId="0" fontId="21" fillId="0" borderId="0" xfId="8" applyFont="1"/>
    <xf numFmtId="174" fontId="6" fillId="0" borderId="0" xfId="6" quotePrefix="1" applyFont="1" applyAlignment="1">
      <alignment horizontal="center"/>
    </xf>
    <xf numFmtId="10" fontId="3" fillId="0" borderId="11" xfId="2" applyNumberFormat="1" applyFont="1" applyBorder="1"/>
    <xf numFmtId="37" fontId="9" fillId="0" borderId="0" xfId="6" applyNumberFormat="1" applyFont="1" applyFill="1" applyAlignment="1">
      <alignment horizontal="center"/>
    </xf>
    <xf numFmtId="43" fontId="3" fillId="0" borderId="0" xfId="9" applyFont="1" applyFill="1"/>
    <xf numFmtId="174" fontId="6" fillId="0" borderId="0" xfId="6" quotePrefix="1" applyFont="1" applyBorder="1" applyAlignment="1">
      <alignment horizontal="center"/>
    </xf>
    <xf numFmtId="43" fontId="3" fillId="0" borderId="0" xfId="1" applyFont="1" applyBorder="1"/>
    <xf numFmtId="174" fontId="3" fillId="0" borderId="20" xfId="6" applyFont="1" applyBorder="1"/>
    <xf numFmtId="39" fontId="4" fillId="0" borderId="20" xfId="6" applyNumberFormat="1" applyFont="1" applyFill="1" applyBorder="1"/>
    <xf numFmtId="10" fontId="3" fillId="0" borderId="20" xfId="2" applyNumberFormat="1" applyFont="1" applyBorder="1"/>
    <xf numFmtId="39" fontId="3" fillId="0" borderId="20" xfId="1" applyNumberFormat="1" applyFont="1" applyBorder="1"/>
    <xf numFmtId="39" fontId="3" fillId="0" borderId="20" xfId="1" applyNumberFormat="1" applyFont="1" applyFill="1" applyBorder="1"/>
    <xf numFmtId="43" fontId="3" fillId="0" borderId="20" xfId="1" applyFont="1" applyBorder="1"/>
    <xf numFmtId="174" fontId="3" fillId="0" borderId="0" xfId="8" applyNumberFormat="1" applyFont="1" applyFill="1"/>
    <xf numFmtId="10" fontId="3" fillId="0" borderId="0" xfId="1" applyNumberFormat="1" applyFont="1" applyBorder="1"/>
    <xf numFmtId="174" fontId="3" fillId="0" borderId="20" xfId="8" applyNumberFormat="1" applyFont="1" applyFill="1" applyBorder="1"/>
    <xf numFmtId="10" fontId="3" fillId="0" borderId="20" xfId="1" applyNumberFormat="1" applyFont="1" applyBorder="1"/>
    <xf numFmtId="39" fontId="3" fillId="0" borderId="20" xfId="6" applyNumberFormat="1" applyFont="1" applyBorder="1"/>
    <xf numFmtId="10" fontId="3" fillId="0" borderId="0" xfId="1" applyNumberFormat="1" applyFont="1" applyFill="1" applyBorder="1"/>
    <xf numFmtId="174" fontId="6" fillId="0" borderId="0" xfId="6" applyNumberFormat="1" applyFont="1"/>
    <xf numFmtId="4" fontId="3" fillId="0" borderId="0" xfId="6" applyNumberFormat="1" applyFont="1"/>
    <xf numFmtId="174" fontId="10" fillId="0" borderId="0" xfId="6" applyFont="1"/>
    <xf numFmtId="174" fontId="3" fillId="0" borderId="0" xfId="6" quotePrefix="1" applyFont="1"/>
    <xf numFmtId="39" fontId="20" fillId="0" borderId="0" xfId="0" applyNumberFormat="1" applyFont="1"/>
    <xf numFmtId="39" fontId="3" fillId="0" borderId="0" xfId="6" applyNumberFormat="1" applyFont="1" applyFill="1"/>
    <xf numFmtId="39" fontId="3" fillId="0" borderId="20" xfId="6" applyNumberFormat="1" applyFont="1" applyFill="1" applyBorder="1"/>
    <xf numFmtId="37" fontId="3" fillId="0" borderId="0" xfId="6" applyNumberFormat="1" applyFont="1"/>
    <xf numFmtId="10" fontId="4" fillId="0" borderId="0" xfId="2" applyNumberFormat="1" applyFont="1"/>
    <xf numFmtId="174" fontId="12" fillId="0" borderId="0" xfId="6" applyFont="1"/>
    <xf numFmtId="39" fontId="22" fillId="0" borderId="0" xfId="1" applyNumberFormat="1" applyFont="1"/>
    <xf numFmtId="10" fontId="3" fillId="0" borderId="0" xfId="2" applyNumberFormat="1" applyFont="1"/>
    <xf numFmtId="10" fontId="3" fillId="0" borderId="0" xfId="2" applyNumberFormat="1" applyFont="1" applyFill="1"/>
    <xf numFmtId="0" fontId="3" fillId="0" borderId="0" xfId="8" applyFont="1" applyFill="1"/>
    <xf numFmtId="43" fontId="3" fillId="0" borderId="0" xfId="8" applyNumberFormat="1" applyFont="1" applyFill="1"/>
    <xf numFmtId="39" fontId="3" fillId="0" borderId="0" xfId="8" applyNumberFormat="1" applyFont="1" applyFill="1"/>
    <xf numFmtId="39" fontId="3" fillId="0" borderId="0" xfId="8" applyNumberFormat="1" applyFont="1" applyFill="1" applyBorder="1"/>
    <xf numFmtId="39" fontId="3" fillId="0" borderId="0" xfId="9" applyNumberFormat="1" applyFont="1" applyFill="1"/>
    <xf numFmtId="1" fontId="6" fillId="0" borderId="0" xfId="6" quotePrefix="1" applyNumberFormat="1" applyFont="1" applyBorder="1" applyAlignment="1">
      <alignment horizontal="center"/>
    </xf>
    <xf numFmtId="0" fontId="21" fillId="0" borderId="0" xfId="8" applyFont="1" applyFill="1"/>
    <xf numFmtId="174" fontId="18" fillId="0" borderId="0" xfId="6" applyFont="1"/>
    <xf numFmtId="39" fontId="3" fillId="0" borderId="0" xfId="7" applyNumberFormat="1" applyFont="1" applyFill="1"/>
    <xf numFmtId="10" fontId="3" fillId="0" borderId="0" xfId="6" applyNumberFormat="1" applyFont="1"/>
    <xf numFmtId="39" fontId="3" fillId="0" borderId="0" xfId="6" applyNumberFormat="1" applyFont="1" applyAlignment="1">
      <alignment horizontal="left"/>
    </xf>
    <xf numFmtId="10" fontId="3" fillId="0" borderId="0" xfId="6" applyNumberFormat="1" applyFont="1" applyAlignment="1">
      <alignment horizontal="center"/>
    </xf>
    <xf numFmtId="10" fontId="3" fillId="0" borderId="20" xfId="6" applyNumberFormat="1" applyFont="1" applyBorder="1" applyAlignment="1">
      <alignment horizontal="center"/>
    </xf>
    <xf numFmtId="10" fontId="3" fillId="0" borderId="0" xfId="1" applyNumberFormat="1" applyFont="1"/>
    <xf numFmtId="39" fontId="3" fillId="0" borderId="0" xfId="0" applyNumberFormat="1" applyFont="1" applyFill="1"/>
    <xf numFmtId="10" fontId="3" fillId="0" borderId="0" xfId="0" applyNumberFormat="1" applyFont="1"/>
    <xf numFmtId="39" fontId="3" fillId="0" borderId="0" xfId="10" applyNumberFormat="1" applyFont="1"/>
    <xf numFmtId="39" fontId="3" fillId="0" borderId="0" xfId="11" applyNumberFormat="1" applyFont="1"/>
    <xf numFmtId="39" fontId="3" fillId="0" borderId="0" xfId="7" applyNumberFormat="1" applyFont="1" applyFill="1" applyBorder="1"/>
    <xf numFmtId="37" fontId="3" fillId="0" borderId="0" xfId="6" applyNumberFormat="1" applyFont="1" applyAlignment="1">
      <alignment horizontal="center"/>
    </xf>
    <xf numFmtId="10" fontId="3" fillId="0" borderId="0" xfId="6" applyNumberFormat="1" applyFont="1" applyFill="1"/>
    <xf numFmtId="37" fontId="3" fillId="0" borderId="0" xfId="0" applyNumberFormat="1" applyFont="1" applyFill="1"/>
    <xf numFmtId="37" fontId="3" fillId="0" borderId="0" xfId="6" applyNumberFormat="1" applyFont="1" applyFill="1"/>
    <xf numFmtId="10" fontId="3" fillId="0" borderId="0" xfId="13" applyNumberFormat="1" applyFont="1" applyFill="1" applyBorder="1"/>
    <xf numFmtId="39" fontId="3" fillId="0" borderId="0" xfId="9" applyNumberFormat="1" applyFont="1" applyFill="1" applyBorder="1"/>
    <xf numFmtId="0" fontId="6" fillId="0" borderId="0" xfId="8" quotePrefix="1" applyFont="1" applyFill="1" applyAlignment="1">
      <alignment horizontal="center"/>
    </xf>
    <xf numFmtId="2" fontId="3" fillId="0" borderId="0" xfId="6" applyNumberFormat="1" applyFont="1"/>
    <xf numFmtId="39" fontId="3" fillId="0" borderId="0" xfId="11" applyNumberFormat="1" applyFont="1" applyAlignment="1">
      <alignment horizontal="right"/>
    </xf>
    <xf numFmtId="39" fontId="3" fillId="0" borderId="0" xfId="12" applyNumberFormat="1" applyFont="1" applyFill="1"/>
    <xf numFmtId="0" fontId="6" fillId="0" borderId="0" xfId="0" applyFont="1"/>
    <xf numFmtId="0" fontId="10" fillId="0" borderId="0" xfId="0" applyFont="1" applyAlignment="1">
      <alignment horizontal="center"/>
    </xf>
    <xf numFmtId="0" fontId="18" fillId="0" borderId="0" xfId="0" applyFont="1"/>
    <xf numFmtId="37" fontId="3" fillId="0" borderId="20" xfId="0" applyNumberFormat="1" applyFont="1" applyFill="1" applyBorder="1"/>
    <xf numFmtId="0" fontId="9" fillId="0" borderId="0" xfId="0" applyFont="1" applyFill="1"/>
    <xf numFmtId="5" fontId="6" fillId="0" borderId="35" xfId="0" applyNumberFormat="1" applyFont="1" applyBorder="1"/>
    <xf numFmtId="0" fontId="6" fillId="0" borderId="0" xfId="0" quotePrefix="1" applyFont="1"/>
    <xf numFmtId="0" fontId="3" fillId="0" borderId="0" xfId="0" quotePrefix="1" applyFont="1"/>
    <xf numFmtId="5" fontId="6" fillId="0" borderId="0" xfId="14" applyNumberFormat="1" applyFont="1"/>
    <xf numFmtId="37" fontId="6" fillId="0" borderId="0" xfId="0" applyNumberFormat="1" applyFont="1"/>
    <xf numFmtId="10" fontId="6" fillId="0" borderId="0" xfId="13" applyNumberFormat="1" applyFont="1"/>
    <xf numFmtId="0" fontId="16" fillId="0" borderId="0" xfId="0" applyFont="1"/>
    <xf numFmtId="0" fontId="2" fillId="0" borderId="0" xfId="0" applyFont="1" applyFill="1" applyBorder="1"/>
    <xf numFmtId="37" fontId="6" fillId="0" borderId="1" xfId="0" applyNumberFormat="1" applyFont="1" applyBorder="1" applyAlignment="1">
      <alignment horizontal="center"/>
    </xf>
    <xf numFmtId="37" fontId="6" fillId="0" borderId="2" xfId="0" applyNumberFormat="1" applyFont="1" applyBorder="1" applyAlignment="1">
      <alignment horizontal="center"/>
    </xf>
    <xf numFmtId="37" fontId="6" fillId="0" borderId="3" xfId="0" applyNumberFormat="1" applyFont="1" applyBorder="1" applyAlignment="1">
      <alignment horizontal="center"/>
    </xf>
    <xf numFmtId="0" fontId="6" fillId="0" borderId="16" xfId="0" applyFont="1" applyBorder="1" applyAlignment="1">
      <alignment horizontal="center" wrapText="1"/>
    </xf>
    <xf numFmtId="0" fontId="0" fillId="0" borderId="19" xfId="0" applyBorder="1" applyAlignment="1">
      <alignment horizontal="center" wrapText="1"/>
    </xf>
    <xf numFmtId="37" fontId="14" fillId="0" borderId="0" xfId="0" applyNumberFormat="1" applyFont="1" applyAlignment="1" applyProtection="1">
      <alignment horizontal="left" wrapText="1"/>
    </xf>
    <xf numFmtId="0" fontId="16" fillId="0" borderId="0" xfId="0" applyFont="1" applyAlignment="1">
      <alignment wrapText="1"/>
    </xf>
    <xf numFmtId="0" fontId="14" fillId="0" borderId="0" xfId="0" applyFont="1" applyBorder="1" applyAlignment="1">
      <alignment wrapText="1"/>
    </xf>
    <xf numFmtId="0" fontId="15" fillId="0" borderId="0" xfId="0" applyFont="1" applyAlignment="1">
      <alignment wrapText="1"/>
    </xf>
  </cellXfs>
  <cellStyles count="15">
    <cellStyle name="Comma" xfId="1" builtinId="3"/>
    <cellStyle name="Comma 10 2" xfId="9"/>
    <cellStyle name="Currency" xfId="14" builtinId="4"/>
    <cellStyle name="Normal" xfId="0" builtinId="0"/>
    <cellStyle name="Normal 48" xfId="12"/>
    <cellStyle name="Normal_186365" xfId="10"/>
    <cellStyle name="Normal_191432" xfId="11"/>
    <cellStyle name="Normal_4th quarter corrections with staff expanded" xfId="6"/>
    <cellStyle name="Normal_4th quarter corrections with staff expanded 2 3" xfId="8"/>
    <cellStyle name="Normal_4th quarter corrections with staff expanded 3" xfId="7"/>
    <cellStyle name="Normal_Book3" xfId="3"/>
    <cellStyle name="Normal_Deferred Accounts Summary 02qtr06" xfId="4"/>
    <cellStyle name="Normal_oregon technical incr for August 2002 filing" xfId="5"/>
    <cellStyle name="Percent" xfId="2" builtinId="5"/>
    <cellStyle name="Percent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19/5%20-%20Rate%20Development/Proposed_Temps_2019-2020_Washington_Sept_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19/5%20-%20Rate%20Development/NWN%202019-20%20Washington%20PGA%20summary%20effects%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A Summary"/>
      <sheetName val="WA Amort Rates  1819"/>
      <sheetName val="PGA Summary by Month"/>
      <sheetName val="186234 GREAT"/>
      <sheetName val="186235 GREAT AMORT"/>
      <sheetName val="186314 WA-LIEE"/>
      <sheetName val="186315 WA-LIEE  AMORT"/>
      <sheetName val="186310 Energy Eff General"/>
      <sheetName val="186312 Energy Eff Res &amp; Comm"/>
      <sheetName val="186311 Furnace Program"/>
      <sheetName val="186316 DSM Amort"/>
      <sheetName val="254307 PROP SALES"/>
      <sheetName val="254317 PROP SLS AMORT"/>
      <sheetName val="191420 Defer WACOG"/>
      <sheetName val="191421 Amort WACOG"/>
      <sheetName val="191430 Defer Demand"/>
      <sheetName val="191431 Amort Demand"/>
      <sheetName val="191432"/>
      <sheetName val="254302 Storage Sharing"/>
    </sheetNames>
    <sheetDataSet>
      <sheetData sheetId="0"/>
      <sheetData sheetId="1"/>
      <sheetData sheetId="2"/>
      <sheetData sheetId="3"/>
      <sheetData sheetId="4"/>
      <sheetData sheetId="5">
        <row r="65">
          <cell r="E65">
            <v>-61351.825000000004</v>
          </cell>
        </row>
        <row r="89">
          <cell r="E89">
            <v>-82736.765000000014</v>
          </cell>
        </row>
        <row r="113">
          <cell r="E113">
            <v>-74066.500000000015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4A PGA"/>
      <sheetName val="19-03 R&amp;C Eng. Effic."/>
      <sheetName val="19-04 GREAT &amp; WA-LIEE"/>
      <sheetName val="19-06 Sch. 201 &amp; 203"/>
      <sheetName val="19-05 HoldCo Credit"/>
      <sheetName val="19-07 Combined"/>
      <sheetName val="Revenue Senstive"/>
    </sheetNames>
    <sheetDataSet>
      <sheetData sheetId="0"/>
      <sheetData sheetId="1"/>
      <sheetData sheetId="2"/>
      <sheetData sheetId="3"/>
      <sheetData sheetId="4"/>
      <sheetData sheetId="5">
        <row r="32">
          <cell r="B32" t="str">
            <v>2018 Washington CBR Normalized Total Revenues</v>
          </cell>
          <cell r="F32">
            <v>66182522</v>
          </cell>
        </row>
      </sheetData>
      <sheetData sheetId="6">
        <row r="6">
          <cell r="C6">
            <v>380297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0"/>
  <sheetViews>
    <sheetView showGridLines="0" view="pageLayout" topLeftCell="D1" zoomScaleNormal="100" workbookViewId="0">
      <selection activeCell="M4" sqref="M4"/>
    </sheetView>
  </sheetViews>
  <sheetFormatPr defaultColWidth="8" defaultRowHeight="12.75" x14ac:dyDescent="0.2"/>
  <cols>
    <col min="1" max="1" width="4.85546875" style="5" customWidth="1"/>
    <col min="2" max="2" width="12.7109375" style="2" customWidth="1"/>
    <col min="3" max="3" width="7.140625" style="2" customWidth="1"/>
    <col min="4" max="4" width="14.140625" style="3" bestFit="1" customWidth="1"/>
    <col min="5" max="5" width="11.42578125" style="3" bestFit="1" customWidth="1"/>
    <col min="6" max="6" width="14.28515625" style="3" bestFit="1" customWidth="1"/>
    <col min="7" max="7" width="16.7109375" style="3" bestFit="1" customWidth="1"/>
    <col min="8" max="8" width="9.5703125" style="3" bestFit="1" customWidth="1"/>
    <col min="9" max="9" width="12.42578125" style="3" bestFit="1" customWidth="1"/>
    <col min="10" max="10" width="12" style="3" bestFit="1" customWidth="1"/>
    <col min="11" max="11" width="9.85546875" style="3" customWidth="1"/>
    <col min="12" max="12" width="17" style="3" bestFit="1" customWidth="1"/>
    <col min="13" max="13" width="25.28515625" style="3" customWidth="1"/>
    <col min="14" max="14" width="13.85546875" style="12" customWidth="1"/>
    <col min="15" max="15" width="12" style="2" customWidth="1"/>
    <col min="16" max="16" width="13" style="4" customWidth="1"/>
    <col min="17" max="17" width="14.42578125" style="12" customWidth="1"/>
    <col min="18" max="18" width="14.42578125" style="2" customWidth="1"/>
    <col min="19" max="19" width="14.42578125" style="4" customWidth="1"/>
    <col min="20" max="20" width="13.42578125" style="5" bestFit="1" customWidth="1"/>
    <col min="21" max="16384" width="8" style="5"/>
  </cols>
  <sheetData>
    <row r="1" spans="1:20" ht="14.25" x14ac:dyDescent="0.2">
      <c r="A1" s="1" t="s">
        <v>0</v>
      </c>
      <c r="N1" s="2"/>
      <c r="Q1" s="2"/>
    </row>
    <row r="2" spans="1:20" ht="14.25" x14ac:dyDescent="0.2">
      <c r="A2" s="1" t="s">
        <v>1</v>
      </c>
      <c r="N2" s="2"/>
      <c r="Q2" s="2"/>
    </row>
    <row r="3" spans="1:20" ht="14.25" x14ac:dyDescent="0.2">
      <c r="A3" s="1" t="s">
        <v>2</v>
      </c>
      <c r="N3" s="2"/>
      <c r="Q3" s="2"/>
    </row>
    <row r="4" spans="1:20" ht="14.25" x14ac:dyDescent="0.2">
      <c r="A4" s="1" t="s">
        <v>3</v>
      </c>
      <c r="N4" s="2"/>
      <c r="Q4" s="2"/>
    </row>
    <row r="5" spans="1:20" x14ac:dyDescent="0.2">
      <c r="D5" s="2"/>
      <c r="E5" s="2"/>
      <c r="F5" s="2"/>
      <c r="G5" s="2"/>
      <c r="H5" s="2"/>
      <c r="I5" s="2"/>
      <c r="J5" s="2"/>
      <c r="K5" s="2"/>
      <c r="L5" s="2"/>
      <c r="M5" s="2"/>
      <c r="N5" s="2"/>
      <c r="Q5" s="2"/>
    </row>
    <row r="6" spans="1:20" x14ac:dyDescent="0.2">
      <c r="A6" s="7"/>
      <c r="B6" s="8"/>
      <c r="C6" s="8"/>
      <c r="D6" s="8"/>
      <c r="E6" s="9"/>
      <c r="F6" s="2"/>
      <c r="G6" s="2"/>
      <c r="H6" s="10"/>
      <c r="I6" s="2"/>
      <c r="J6" s="10"/>
      <c r="K6" s="2"/>
      <c r="L6" s="2"/>
    </row>
    <row r="7" spans="1:20" ht="15" customHeight="1" thickBot="1" x14ac:dyDescent="0.25">
      <c r="A7" s="11">
        <v>1</v>
      </c>
      <c r="D7" s="12"/>
      <c r="E7" s="12" t="s">
        <v>4</v>
      </c>
      <c r="F7" s="12" t="s">
        <v>5</v>
      </c>
      <c r="G7" s="12" t="s">
        <v>6</v>
      </c>
      <c r="H7" s="13"/>
      <c r="I7" s="12"/>
      <c r="J7" s="13"/>
      <c r="K7" s="12"/>
      <c r="L7" s="12"/>
      <c r="M7" s="2"/>
      <c r="N7" s="14" t="s">
        <v>7</v>
      </c>
      <c r="O7" s="15"/>
      <c r="P7" s="16"/>
      <c r="Q7" s="352" t="s">
        <v>8</v>
      </c>
      <c r="R7" s="353"/>
      <c r="S7" s="354"/>
    </row>
    <row r="8" spans="1:20" ht="15" customHeight="1" thickBot="1" x14ac:dyDescent="0.25">
      <c r="A8" s="11">
        <v>2</v>
      </c>
      <c r="D8" s="12" t="s">
        <v>9</v>
      </c>
      <c r="E8" s="12" t="s">
        <v>10</v>
      </c>
      <c r="F8" s="12" t="s">
        <v>11</v>
      </c>
      <c r="G8" s="12" t="s">
        <v>12</v>
      </c>
      <c r="H8" s="13"/>
      <c r="I8" s="12"/>
      <c r="J8" s="13"/>
      <c r="K8" s="12"/>
      <c r="L8" s="12"/>
      <c r="M8" s="17" t="s">
        <v>13</v>
      </c>
      <c r="N8" s="18">
        <v>277036</v>
      </c>
      <c r="O8" s="19" t="s">
        <v>14</v>
      </c>
      <c r="P8" s="21"/>
      <c r="Q8" s="18">
        <v>103261</v>
      </c>
      <c r="R8" s="19" t="s">
        <v>14</v>
      </c>
      <c r="S8" s="20"/>
    </row>
    <row r="9" spans="1:20" ht="15" customHeight="1" thickBot="1" x14ac:dyDescent="0.25">
      <c r="A9" s="11">
        <v>3</v>
      </c>
      <c r="D9" s="12" t="s">
        <v>15</v>
      </c>
      <c r="E9" s="12" t="s">
        <v>16</v>
      </c>
      <c r="F9" s="12" t="s">
        <v>16</v>
      </c>
      <c r="G9" s="12" t="s">
        <v>17</v>
      </c>
      <c r="H9" s="13" t="s">
        <v>18</v>
      </c>
      <c r="I9" s="12" t="s">
        <v>19</v>
      </c>
      <c r="J9" s="22" t="s">
        <v>20</v>
      </c>
      <c r="K9" s="12"/>
      <c r="L9" s="13" t="s">
        <v>21</v>
      </c>
      <c r="M9" s="17" t="s">
        <v>22</v>
      </c>
      <c r="N9" s="23">
        <v>4.1579999999999999E-2</v>
      </c>
      <c r="O9" s="24" t="s">
        <v>23</v>
      </c>
      <c r="P9" s="26"/>
      <c r="Q9" s="23">
        <v>4.1579999999999999E-2</v>
      </c>
      <c r="R9" s="24" t="s">
        <v>23</v>
      </c>
      <c r="S9" s="25"/>
    </row>
    <row r="10" spans="1:20" s="34" customFormat="1" ht="15" customHeight="1" thickBot="1" x14ac:dyDescent="0.25">
      <c r="A10" s="11">
        <v>4</v>
      </c>
      <c r="B10" s="2"/>
      <c r="C10" s="2"/>
      <c r="D10" s="27" t="s">
        <v>24</v>
      </c>
      <c r="E10" s="27" t="s">
        <v>25</v>
      </c>
      <c r="F10" s="27" t="s">
        <v>26</v>
      </c>
      <c r="G10" s="27" t="s">
        <v>25</v>
      </c>
      <c r="H10" s="28" t="s">
        <v>27</v>
      </c>
      <c r="I10" s="27" t="s">
        <v>28</v>
      </c>
      <c r="J10" s="28" t="s">
        <v>29</v>
      </c>
      <c r="K10" s="27" t="s">
        <v>30</v>
      </c>
      <c r="L10" s="28" t="s">
        <v>28</v>
      </c>
      <c r="M10" s="29" t="s">
        <v>31</v>
      </c>
      <c r="N10" s="30">
        <v>289055</v>
      </c>
      <c r="O10" s="32" t="s">
        <v>32</v>
      </c>
      <c r="P10" s="33"/>
      <c r="Q10" s="30">
        <v>107741</v>
      </c>
      <c r="R10" s="32" t="s">
        <v>32</v>
      </c>
      <c r="S10" s="31"/>
    </row>
    <row r="11" spans="1:20" s="34" customFormat="1" x14ac:dyDescent="0.2">
      <c r="A11" s="11">
        <v>5</v>
      </c>
      <c r="B11" s="2"/>
      <c r="C11" s="2"/>
      <c r="D11" s="35"/>
      <c r="E11" s="35"/>
      <c r="F11" s="35"/>
      <c r="G11" s="35"/>
      <c r="H11" s="13" t="s">
        <v>33</v>
      </c>
      <c r="I11" s="35"/>
      <c r="J11" s="13"/>
      <c r="K11" s="35"/>
      <c r="L11" s="355" t="s">
        <v>34</v>
      </c>
      <c r="M11" s="36"/>
      <c r="N11" s="37" t="s">
        <v>35</v>
      </c>
      <c r="O11" s="11" t="s">
        <v>36</v>
      </c>
      <c r="P11" s="38" t="s">
        <v>37</v>
      </c>
      <c r="Q11" s="39" t="s">
        <v>35</v>
      </c>
      <c r="R11" s="40" t="s">
        <v>36</v>
      </c>
      <c r="S11" s="41" t="s">
        <v>37</v>
      </c>
    </row>
    <row r="12" spans="1:20" s="34" customFormat="1" x14ac:dyDescent="0.2">
      <c r="A12" s="11">
        <v>6</v>
      </c>
      <c r="B12" s="42" t="s">
        <v>38</v>
      </c>
      <c r="C12" s="43" t="s">
        <v>39</v>
      </c>
      <c r="D12" s="44" t="s">
        <v>40</v>
      </c>
      <c r="E12" s="45" t="s">
        <v>41</v>
      </c>
      <c r="F12" s="45" t="s">
        <v>42</v>
      </c>
      <c r="G12" s="45" t="s">
        <v>43</v>
      </c>
      <c r="H12" s="45" t="s">
        <v>44</v>
      </c>
      <c r="I12" s="45" t="s">
        <v>45</v>
      </c>
      <c r="J12" s="45" t="s">
        <v>46</v>
      </c>
      <c r="K12" s="44" t="s">
        <v>47</v>
      </c>
      <c r="L12" s="356"/>
      <c r="M12" s="46"/>
      <c r="N12" s="47" t="s">
        <v>48</v>
      </c>
      <c r="O12" s="44" t="s">
        <v>49</v>
      </c>
      <c r="P12" s="49" t="s">
        <v>50</v>
      </c>
      <c r="Q12" s="47" t="s">
        <v>51</v>
      </c>
      <c r="R12" s="44" t="s">
        <v>52</v>
      </c>
      <c r="S12" s="48" t="s">
        <v>53</v>
      </c>
    </row>
    <row r="13" spans="1:20" x14ac:dyDescent="0.2">
      <c r="A13" s="11">
        <v>7</v>
      </c>
      <c r="B13" s="50" t="s">
        <v>54</v>
      </c>
      <c r="C13" s="51"/>
      <c r="D13" s="52">
        <v>196915.9</v>
      </c>
      <c r="E13" s="53">
        <v>1.0291799999999995</v>
      </c>
      <c r="F13" s="53">
        <v>0.33485999999999999</v>
      </c>
      <c r="G13" s="53">
        <v>9.8399999999999876E-3</v>
      </c>
      <c r="H13" s="53">
        <v>0.68447999999999964</v>
      </c>
      <c r="I13" s="54">
        <v>134785</v>
      </c>
      <c r="J13" s="55">
        <v>3.47</v>
      </c>
      <c r="K13" s="52">
        <v>885</v>
      </c>
      <c r="L13" s="56">
        <v>171636</v>
      </c>
      <c r="M13" s="57"/>
      <c r="N13" s="114">
        <v>1</v>
      </c>
      <c r="O13" s="58">
        <v>1221</v>
      </c>
      <c r="P13" s="60">
        <v>6.1999999999999998E-3</v>
      </c>
      <c r="Q13" s="114">
        <v>1</v>
      </c>
      <c r="R13" s="58">
        <v>455</v>
      </c>
      <c r="S13" s="59">
        <v>2.31E-3</v>
      </c>
      <c r="T13" s="61"/>
    </row>
    <row r="14" spans="1:20" x14ac:dyDescent="0.2">
      <c r="A14" s="11">
        <v>8</v>
      </c>
      <c r="B14" s="50" t="s">
        <v>55</v>
      </c>
      <c r="C14" s="51"/>
      <c r="D14" s="52">
        <v>41008.9</v>
      </c>
      <c r="E14" s="62">
        <v>1.0187299999999995</v>
      </c>
      <c r="F14" s="62">
        <v>0.33485999999999999</v>
      </c>
      <c r="G14" s="62">
        <v>-1.9999999999999879E-4</v>
      </c>
      <c r="H14" s="62">
        <v>0.68406999999999951</v>
      </c>
      <c r="I14" s="56">
        <v>28053</v>
      </c>
      <c r="J14" s="63">
        <v>3.47</v>
      </c>
      <c r="K14" s="52">
        <v>36</v>
      </c>
      <c r="L14" s="56">
        <v>29552</v>
      </c>
      <c r="M14" s="57"/>
      <c r="N14" s="114">
        <v>1</v>
      </c>
      <c r="O14" s="58">
        <v>210</v>
      </c>
      <c r="P14" s="60">
        <v>5.1200000000000004E-3</v>
      </c>
      <c r="Q14" s="114">
        <v>1</v>
      </c>
      <c r="R14" s="58">
        <v>78</v>
      </c>
      <c r="S14" s="59">
        <v>1.9E-3</v>
      </c>
      <c r="T14" s="61"/>
    </row>
    <row r="15" spans="1:20" x14ac:dyDescent="0.2">
      <c r="A15" s="11">
        <v>9</v>
      </c>
      <c r="B15" s="50" t="s">
        <v>56</v>
      </c>
      <c r="C15" s="51"/>
      <c r="D15" s="52">
        <v>53306699.299999997</v>
      </c>
      <c r="E15" s="62">
        <v>0.73545999999999978</v>
      </c>
      <c r="F15" s="62">
        <v>0.33485999999999999</v>
      </c>
      <c r="G15" s="62">
        <v>-1.3939999999999994E-2</v>
      </c>
      <c r="H15" s="62">
        <v>0.4145399999999998</v>
      </c>
      <c r="I15" s="56">
        <v>22097759</v>
      </c>
      <c r="J15" s="63">
        <v>7</v>
      </c>
      <c r="K15" s="52">
        <v>77694</v>
      </c>
      <c r="L15" s="56">
        <v>28624055</v>
      </c>
      <c r="M15" s="57"/>
      <c r="N15" s="114">
        <v>1</v>
      </c>
      <c r="O15" s="58">
        <v>203556</v>
      </c>
      <c r="P15" s="60">
        <v>3.82E-3</v>
      </c>
      <c r="Q15" s="114">
        <v>1</v>
      </c>
      <c r="R15" s="58">
        <v>75872</v>
      </c>
      <c r="S15" s="59">
        <v>1.42E-3</v>
      </c>
      <c r="T15" s="61"/>
    </row>
    <row r="16" spans="1:20" x14ac:dyDescent="0.2">
      <c r="A16" s="11">
        <v>10</v>
      </c>
      <c r="B16" s="50" t="s">
        <v>57</v>
      </c>
      <c r="C16" s="51"/>
      <c r="D16" s="52">
        <v>18528180.699999999</v>
      </c>
      <c r="E16" s="62">
        <v>0.73534000000000033</v>
      </c>
      <c r="F16" s="62">
        <v>0.33485999999999999</v>
      </c>
      <c r="G16" s="62">
        <v>-1.8099999999999991E-2</v>
      </c>
      <c r="H16" s="62">
        <v>0.41858000000000034</v>
      </c>
      <c r="I16" s="56">
        <v>7755526</v>
      </c>
      <c r="J16" s="63">
        <v>15</v>
      </c>
      <c r="K16" s="52">
        <v>6219</v>
      </c>
      <c r="L16" s="56">
        <v>8874946</v>
      </c>
      <c r="M16" s="57"/>
      <c r="N16" s="114">
        <v>1</v>
      </c>
      <c r="O16" s="58">
        <v>63113</v>
      </c>
      <c r="P16" s="60">
        <v>3.4099999999999998E-3</v>
      </c>
      <c r="Q16" s="114">
        <v>1</v>
      </c>
      <c r="R16" s="58">
        <v>23524</v>
      </c>
      <c r="S16" s="59">
        <v>1.2700000000000001E-3</v>
      </c>
      <c r="T16" s="61"/>
    </row>
    <row r="17" spans="1:20" x14ac:dyDescent="0.2">
      <c r="A17" s="11">
        <v>11</v>
      </c>
      <c r="B17" s="50" t="s">
        <v>58</v>
      </c>
      <c r="C17" s="51"/>
      <c r="D17" s="52">
        <v>363801</v>
      </c>
      <c r="E17" s="62">
        <v>0.70457999999999954</v>
      </c>
      <c r="F17" s="62">
        <v>0.33485999999999999</v>
      </c>
      <c r="G17" s="62">
        <v>-4.8729999999999996E-2</v>
      </c>
      <c r="H17" s="62">
        <v>0.41844999999999954</v>
      </c>
      <c r="I17" s="56">
        <v>152233</v>
      </c>
      <c r="J17" s="63">
        <v>15</v>
      </c>
      <c r="K17" s="52">
        <v>25</v>
      </c>
      <c r="L17" s="56">
        <v>156733</v>
      </c>
      <c r="M17" s="57"/>
      <c r="N17" s="114">
        <v>1</v>
      </c>
      <c r="O17" s="58">
        <v>1115</v>
      </c>
      <c r="P17" s="60">
        <v>3.0599999999999998E-3</v>
      </c>
      <c r="Q17" s="114">
        <v>1</v>
      </c>
      <c r="R17" s="58">
        <v>415</v>
      </c>
      <c r="S17" s="59">
        <v>1.14E-3</v>
      </c>
      <c r="T17" s="61"/>
    </row>
    <row r="18" spans="1:20" x14ac:dyDescent="0.2">
      <c r="A18" s="11">
        <v>12</v>
      </c>
      <c r="B18" s="64">
        <v>27</v>
      </c>
      <c r="C18" s="65"/>
      <c r="D18" s="52">
        <v>575777.19999999995</v>
      </c>
      <c r="E18" s="62">
        <v>0.56221999999999994</v>
      </c>
      <c r="F18" s="62">
        <v>0.33485999999999999</v>
      </c>
      <c r="G18" s="62">
        <v>-2.6839999999999999E-2</v>
      </c>
      <c r="H18" s="62">
        <v>0.25419999999999993</v>
      </c>
      <c r="I18" s="56">
        <v>146363</v>
      </c>
      <c r="J18" s="63">
        <v>6</v>
      </c>
      <c r="K18" s="52">
        <v>889</v>
      </c>
      <c r="L18" s="56">
        <v>210371</v>
      </c>
      <c r="M18" s="57"/>
      <c r="N18" s="114">
        <v>1</v>
      </c>
      <c r="O18" s="58">
        <v>1496</v>
      </c>
      <c r="P18" s="60">
        <v>2.5999999999999999E-3</v>
      </c>
      <c r="Q18" s="114">
        <v>1</v>
      </c>
      <c r="R18" s="58">
        <v>558</v>
      </c>
      <c r="S18" s="59">
        <v>9.7000000000000005E-4</v>
      </c>
      <c r="T18" s="61"/>
    </row>
    <row r="19" spans="1:20" x14ac:dyDescent="0.2">
      <c r="A19" s="11">
        <v>13</v>
      </c>
      <c r="B19" s="66" t="s">
        <v>59</v>
      </c>
      <c r="C19" s="67" t="s">
        <v>60</v>
      </c>
      <c r="D19" s="68">
        <v>1970232.1</v>
      </c>
      <c r="E19" s="69">
        <v>0.49926000000000026</v>
      </c>
      <c r="F19" s="69">
        <v>0.22356000000000001</v>
      </c>
      <c r="G19" s="69">
        <v>-2.5939999999999998E-2</v>
      </c>
      <c r="H19" s="69">
        <v>0.3016400000000003</v>
      </c>
      <c r="I19" s="70">
        <v>1158804</v>
      </c>
      <c r="J19" s="71">
        <v>250</v>
      </c>
      <c r="K19" s="68">
        <v>96</v>
      </c>
      <c r="L19" s="70">
        <v>1446804</v>
      </c>
      <c r="M19" s="72"/>
      <c r="N19" s="115">
        <v>1</v>
      </c>
      <c r="O19" s="73">
        <v>10289</v>
      </c>
      <c r="P19" s="75">
        <v>2.6800000000000001E-3</v>
      </c>
      <c r="Q19" s="115">
        <v>1</v>
      </c>
      <c r="R19" s="73">
        <v>3835</v>
      </c>
      <c r="S19" s="74">
        <v>1E-3</v>
      </c>
      <c r="T19" s="61"/>
    </row>
    <row r="20" spans="1:20" x14ac:dyDescent="0.2">
      <c r="A20" s="11">
        <v>14</v>
      </c>
      <c r="B20" s="64"/>
      <c r="C20" s="76" t="s">
        <v>61</v>
      </c>
      <c r="D20" s="52">
        <v>2123869.7999999998</v>
      </c>
      <c r="E20" s="62">
        <v>0.46017999999999998</v>
      </c>
      <c r="F20" s="62">
        <v>0.22356000000000001</v>
      </c>
      <c r="G20" s="62">
        <v>-2.9169999999999995E-2</v>
      </c>
      <c r="H20" s="62">
        <v>0.26578999999999997</v>
      </c>
      <c r="I20" s="56"/>
      <c r="J20" s="63"/>
      <c r="K20" s="52"/>
      <c r="L20" s="56"/>
      <c r="M20" s="57"/>
      <c r="N20" s="114">
        <v>1</v>
      </c>
      <c r="O20" s="58"/>
      <c r="P20" s="60">
        <v>2.3600000000000001E-3</v>
      </c>
      <c r="Q20" s="114">
        <v>1</v>
      </c>
      <c r="R20" s="58"/>
      <c r="S20" s="59">
        <v>8.8000000000000003E-4</v>
      </c>
      <c r="T20" s="61"/>
    </row>
    <row r="21" spans="1:20" x14ac:dyDescent="0.2">
      <c r="A21" s="11">
        <v>15</v>
      </c>
      <c r="B21" s="66" t="s">
        <v>62</v>
      </c>
      <c r="C21" s="67" t="s">
        <v>60</v>
      </c>
      <c r="D21" s="68">
        <v>0</v>
      </c>
      <c r="E21" s="69">
        <v>0.51518999999999993</v>
      </c>
      <c r="F21" s="69">
        <v>0.22356000000000001</v>
      </c>
      <c r="G21" s="69">
        <v>-9.779999999999997E-3</v>
      </c>
      <c r="H21" s="69">
        <v>0.30140999999999996</v>
      </c>
      <c r="I21" s="70">
        <v>0</v>
      </c>
      <c r="J21" s="71">
        <v>250</v>
      </c>
      <c r="K21" s="68">
        <v>0</v>
      </c>
      <c r="L21" s="70">
        <v>0</v>
      </c>
      <c r="M21" s="72"/>
      <c r="N21" s="115">
        <v>1</v>
      </c>
      <c r="O21" s="73">
        <v>0</v>
      </c>
      <c r="P21" s="75">
        <v>2.5799999999999998E-3</v>
      </c>
      <c r="Q21" s="115">
        <v>1</v>
      </c>
      <c r="R21" s="73">
        <v>0</v>
      </c>
      <c r="S21" s="74">
        <v>9.6000000000000002E-4</v>
      </c>
      <c r="T21" s="61"/>
    </row>
    <row r="22" spans="1:20" x14ac:dyDescent="0.2">
      <c r="A22" s="11">
        <v>16</v>
      </c>
      <c r="B22" s="64"/>
      <c r="C22" s="76" t="s">
        <v>61</v>
      </c>
      <c r="D22" s="52">
        <v>0</v>
      </c>
      <c r="E22" s="62">
        <v>0.47625999999999991</v>
      </c>
      <c r="F22" s="62">
        <v>0.22356000000000001</v>
      </c>
      <c r="G22" s="62">
        <v>-1.286E-2</v>
      </c>
      <c r="H22" s="62">
        <v>0.26555999999999991</v>
      </c>
      <c r="I22" s="56"/>
      <c r="J22" s="63"/>
      <c r="K22" s="52"/>
      <c r="L22" s="56"/>
      <c r="M22" s="57"/>
      <c r="N22" s="114">
        <v>1</v>
      </c>
      <c r="O22" s="58"/>
      <c r="P22" s="60">
        <v>2.2699999999999999E-3</v>
      </c>
      <c r="Q22" s="114">
        <v>1</v>
      </c>
      <c r="R22" s="58"/>
      <c r="S22" s="59">
        <v>8.4999999999999995E-4</v>
      </c>
      <c r="T22" s="61"/>
    </row>
    <row r="23" spans="1:20" x14ac:dyDescent="0.2">
      <c r="A23" s="11">
        <v>17</v>
      </c>
      <c r="B23" s="66" t="s">
        <v>63</v>
      </c>
      <c r="C23" s="67" t="s">
        <v>60</v>
      </c>
      <c r="D23" s="68">
        <v>303749</v>
      </c>
      <c r="E23" s="69">
        <v>0.30018999999999996</v>
      </c>
      <c r="F23" s="69">
        <v>0</v>
      </c>
      <c r="G23" s="69">
        <v>-5.8E-4</v>
      </c>
      <c r="H23" s="69">
        <v>0.30076999999999998</v>
      </c>
      <c r="I23" s="70">
        <v>219718</v>
      </c>
      <c r="J23" s="71">
        <v>500</v>
      </c>
      <c r="K23" s="68">
        <v>8</v>
      </c>
      <c r="L23" s="77">
        <v>267718</v>
      </c>
      <c r="M23" s="72"/>
      <c r="N23" s="115">
        <v>0</v>
      </c>
      <c r="O23" s="73">
        <v>0</v>
      </c>
      <c r="P23" s="75">
        <v>0</v>
      </c>
      <c r="Q23" s="115">
        <v>0</v>
      </c>
      <c r="R23" s="73">
        <v>0</v>
      </c>
      <c r="S23" s="74">
        <v>0</v>
      </c>
      <c r="T23" s="61"/>
    </row>
    <row r="24" spans="1:20" x14ac:dyDescent="0.2">
      <c r="A24" s="11">
        <v>18</v>
      </c>
      <c r="B24" s="64"/>
      <c r="C24" s="76" t="s">
        <v>61</v>
      </c>
      <c r="D24" s="52">
        <v>484375</v>
      </c>
      <c r="E24" s="62">
        <v>0.26449</v>
      </c>
      <c r="F24" s="62">
        <v>0</v>
      </c>
      <c r="G24" s="62">
        <v>-5.1000000000000004E-4</v>
      </c>
      <c r="H24" s="62">
        <v>0.26500000000000001</v>
      </c>
      <c r="I24" s="56"/>
      <c r="J24" s="63"/>
      <c r="K24" s="52"/>
      <c r="L24" s="56"/>
      <c r="M24" s="57"/>
      <c r="N24" s="114">
        <v>0</v>
      </c>
      <c r="O24" s="58"/>
      <c r="P24" s="60">
        <v>0</v>
      </c>
      <c r="Q24" s="114">
        <v>0</v>
      </c>
      <c r="R24" s="58"/>
      <c r="S24" s="59">
        <v>0</v>
      </c>
      <c r="T24" s="61"/>
    </row>
    <row r="25" spans="1:20" x14ac:dyDescent="0.2">
      <c r="A25" s="11">
        <v>19</v>
      </c>
      <c r="B25" s="66" t="s">
        <v>64</v>
      </c>
      <c r="C25" s="67" t="s">
        <v>60</v>
      </c>
      <c r="D25" s="68">
        <v>360236</v>
      </c>
      <c r="E25" s="69">
        <v>0.47592000000000023</v>
      </c>
      <c r="F25" s="69">
        <v>0.22356000000000001</v>
      </c>
      <c r="G25" s="69">
        <v>-4.9319999999999996E-2</v>
      </c>
      <c r="H25" s="69">
        <v>0.30168000000000023</v>
      </c>
      <c r="I25" s="70">
        <v>252761</v>
      </c>
      <c r="J25" s="71">
        <v>250</v>
      </c>
      <c r="K25" s="68">
        <v>18</v>
      </c>
      <c r="L25" s="70">
        <v>306761</v>
      </c>
      <c r="M25" s="72"/>
      <c r="N25" s="115">
        <v>1</v>
      </c>
      <c r="O25" s="73">
        <v>2181</v>
      </c>
      <c r="P25" s="75">
        <v>2.5999999999999999E-3</v>
      </c>
      <c r="Q25" s="115">
        <v>1</v>
      </c>
      <c r="R25" s="73">
        <v>813</v>
      </c>
      <c r="S25" s="74">
        <v>9.7000000000000005E-4</v>
      </c>
      <c r="T25" s="61"/>
    </row>
    <row r="26" spans="1:20" x14ac:dyDescent="0.2">
      <c r="A26" s="11">
        <v>20</v>
      </c>
      <c r="B26" s="64"/>
      <c r="C26" s="76" t="s">
        <v>61</v>
      </c>
      <c r="D26" s="52">
        <v>542040</v>
      </c>
      <c r="E26" s="62">
        <v>0.43959999999999988</v>
      </c>
      <c r="F26" s="62">
        <v>0.22356000000000001</v>
      </c>
      <c r="G26" s="62">
        <v>-4.9779999999999998E-2</v>
      </c>
      <c r="H26" s="62">
        <v>0.26581999999999989</v>
      </c>
      <c r="I26" s="56"/>
      <c r="J26" s="63"/>
      <c r="K26" s="52"/>
      <c r="L26" s="56"/>
      <c r="M26" s="57"/>
      <c r="N26" s="114">
        <v>1</v>
      </c>
      <c r="O26" s="58"/>
      <c r="P26" s="60">
        <v>2.2899999999999999E-3</v>
      </c>
      <c r="Q26" s="114">
        <v>1</v>
      </c>
      <c r="R26" s="58"/>
      <c r="S26" s="59">
        <v>8.5999999999999998E-4</v>
      </c>
      <c r="T26" s="61"/>
    </row>
    <row r="27" spans="1:20" x14ac:dyDescent="0.2">
      <c r="A27" s="11">
        <v>21</v>
      </c>
      <c r="B27" s="66" t="s">
        <v>65</v>
      </c>
      <c r="C27" s="67" t="s">
        <v>60</v>
      </c>
      <c r="D27" s="68">
        <v>0</v>
      </c>
      <c r="E27" s="69">
        <v>0.4930000000000001</v>
      </c>
      <c r="F27" s="69">
        <v>0.22356000000000001</v>
      </c>
      <c r="G27" s="69">
        <v>-3.1969999999999998E-2</v>
      </c>
      <c r="H27" s="69">
        <v>0.30141000000000012</v>
      </c>
      <c r="I27" s="70">
        <v>0</v>
      </c>
      <c r="J27" s="71">
        <v>250</v>
      </c>
      <c r="K27" s="68">
        <v>0</v>
      </c>
      <c r="L27" s="77">
        <v>0</v>
      </c>
      <c r="M27" s="72"/>
      <c r="N27" s="115">
        <v>1</v>
      </c>
      <c r="O27" s="73">
        <v>0</v>
      </c>
      <c r="P27" s="75">
        <v>2.5799999999999998E-3</v>
      </c>
      <c r="Q27" s="115">
        <v>1</v>
      </c>
      <c r="R27" s="73">
        <v>0</v>
      </c>
      <c r="S27" s="74">
        <v>9.6000000000000002E-4</v>
      </c>
      <c r="T27" s="61"/>
    </row>
    <row r="28" spans="1:20" x14ac:dyDescent="0.2">
      <c r="A28" s="11">
        <v>22</v>
      </c>
      <c r="B28" s="64"/>
      <c r="C28" s="76" t="s">
        <v>61</v>
      </c>
      <c r="D28" s="52">
        <v>0</v>
      </c>
      <c r="E28" s="62">
        <v>0.45670999999999995</v>
      </c>
      <c r="F28" s="62">
        <v>0.22356000000000001</v>
      </c>
      <c r="G28" s="62">
        <v>-3.2409999999999994E-2</v>
      </c>
      <c r="H28" s="62">
        <v>0.26555999999999991</v>
      </c>
      <c r="I28" s="56"/>
      <c r="J28" s="63"/>
      <c r="K28" s="52"/>
      <c r="L28" s="56"/>
      <c r="M28" s="57"/>
      <c r="N28" s="114">
        <v>1</v>
      </c>
      <c r="O28" s="58"/>
      <c r="P28" s="60">
        <v>2.2699999999999999E-3</v>
      </c>
      <c r="Q28" s="114">
        <v>1</v>
      </c>
      <c r="R28" s="58"/>
      <c r="S28" s="59">
        <v>8.4999999999999995E-4</v>
      </c>
      <c r="T28" s="61"/>
    </row>
    <row r="29" spans="1:20" x14ac:dyDescent="0.2">
      <c r="A29" s="11">
        <v>23</v>
      </c>
      <c r="B29" s="66" t="s">
        <v>66</v>
      </c>
      <c r="C29" s="67" t="s">
        <v>60</v>
      </c>
      <c r="D29" s="68">
        <v>561182.4</v>
      </c>
      <c r="E29" s="69">
        <v>0.30433999999999994</v>
      </c>
      <c r="F29" s="69">
        <v>0.22356000000000001</v>
      </c>
      <c r="G29" s="69">
        <v>-3.7989999999999996E-2</v>
      </c>
      <c r="H29" s="69">
        <v>0.11876999999999993</v>
      </c>
      <c r="I29" s="70">
        <v>129963</v>
      </c>
      <c r="J29" s="71">
        <v>1300</v>
      </c>
      <c r="K29" s="68">
        <v>6</v>
      </c>
      <c r="L29" s="70">
        <v>223563</v>
      </c>
      <c r="M29" s="72"/>
      <c r="N29" s="115">
        <v>1</v>
      </c>
      <c r="O29" s="78">
        <v>1590</v>
      </c>
      <c r="P29" s="80">
        <v>1.4499999999999999E-3</v>
      </c>
      <c r="Q29" s="115">
        <v>1</v>
      </c>
      <c r="R29" s="78">
        <v>593</v>
      </c>
      <c r="S29" s="79">
        <v>5.4000000000000001E-4</v>
      </c>
      <c r="T29" s="61"/>
    </row>
    <row r="30" spans="1:20" x14ac:dyDescent="0.2">
      <c r="A30" s="11">
        <v>24</v>
      </c>
      <c r="B30" s="66"/>
      <c r="C30" s="67" t="s">
        <v>61</v>
      </c>
      <c r="D30" s="68">
        <v>481861</v>
      </c>
      <c r="E30" s="69">
        <v>0.29029999999999978</v>
      </c>
      <c r="F30" s="69">
        <v>0.22356000000000001</v>
      </c>
      <c r="G30" s="69">
        <v>-3.9579999999999997E-2</v>
      </c>
      <c r="H30" s="69">
        <v>0.10631999999999978</v>
      </c>
      <c r="I30" s="81"/>
      <c r="J30" s="71"/>
      <c r="K30" s="68"/>
      <c r="L30" s="81"/>
      <c r="M30" s="72"/>
      <c r="N30" s="115">
        <v>1</v>
      </c>
      <c r="O30" s="82"/>
      <c r="P30" s="61">
        <v>1.2999999999999999E-3</v>
      </c>
      <c r="Q30" s="115">
        <v>1</v>
      </c>
      <c r="R30" s="82"/>
      <c r="S30" s="83">
        <v>4.8999999999999998E-4</v>
      </c>
      <c r="T30" s="61"/>
    </row>
    <row r="31" spans="1:20" x14ac:dyDescent="0.2">
      <c r="A31" s="11">
        <v>25</v>
      </c>
      <c r="B31" s="66"/>
      <c r="C31" s="67" t="s">
        <v>67</v>
      </c>
      <c r="D31" s="68">
        <v>131374.9</v>
      </c>
      <c r="E31" s="69">
        <v>0.26236999999999994</v>
      </c>
      <c r="F31" s="69">
        <v>0.22356000000000001</v>
      </c>
      <c r="G31" s="69">
        <v>-4.2729999999999997E-2</v>
      </c>
      <c r="H31" s="69">
        <v>8.1539999999999918E-2</v>
      </c>
      <c r="I31" s="81"/>
      <c r="J31" s="71"/>
      <c r="K31" s="68"/>
      <c r="L31" s="81"/>
      <c r="M31" s="72"/>
      <c r="N31" s="115">
        <v>1</v>
      </c>
      <c r="O31" s="82"/>
      <c r="P31" s="61">
        <v>1E-3</v>
      </c>
      <c r="Q31" s="115">
        <v>1</v>
      </c>
      <c r="R31" s="82"/>
      <c r="S31" s="83">
        <v>3.6999999999999999E-4</v>
      </c>
      <c r="T31" s="61"/>
    </row>
    <row r="32" spans="1:20" x14ac:dyDescent="0.2">
      <c r="A32" s="11">
        <v>26</v>
      </c>
      <c r="B32" s="66"/>
      <c r="C32" s="67" t="s">
        <v>68</v>
      </c>
      <c r="D32" s="68">
        <v>20968.900000000001</v>
      </c>
      <c r="E32" s="69">
        <v>0.2439800000000002</v>
      </c>
      <c r="F32" s="69">
        <v>0.22356000000000001</v>
      </c>
      <c r="G32" s="69">
        <v>-4.4809999999999996E-2</v>
      </c>
      <c r="H32" s="69">
        <v>6.5230000000000177E-2</v>
      </c>
      <c r="I32" s="81"/>
      <c r="J32" s="71"/>
      <c r="K32" s="68"/>
      <c r="L32" s="81"/>
      <c r="M32" s="72"/>
      <c r="N32" s="115">
        <v>1</v>
      </c>
      <c r="O32" s="82"/>
      <c r="P32" s="61">
        <v>8.0000000000000004E-4</v>
      </c>
      <c r="Q32" s="115">
        <v>1</v>
      </c>
      <c r="R32" s="82"/>
      <c r="S32" s="83">
        <v>2.9999999999999997E-4</v>
      </c>
      <c r="T32" s="61"/>
    </row>
    <row r="33" spans="1:20" x14ac:dyDescent="0.2">
      <c r="A33" s="11">
        <v>27</v>
      </c>
      <c r="B33" s="66"/>
      <c r="C33" s="67" t="s">
        <v>69</v>
      </c>
      <c r="D33" s="68">
        <v>0</v>
      </c>
      <c r="E33" s="69">
        <v>0.21944999999999995</v>
      </c>
      <c r="F33" s="69">
        <v>0.22356000000000001</v>
      </c>
      <c r="G33" s="69">
        <v>-4.7589999999999993E-2</v>
      </c>
      <c r="H33" s="69">
        <v>4.3479999999999935E-2</v>
      </c>
      <c r="I33" s="81"/>
      <c r="J33" s="71"/>
      <c r="K33" s="68"/>
      <c r="L33" s="81"/>
      <c r="M33" s="72"/>
      <c r="N33" s="115">
        <v>1</v>
      </c>
      <c r="O33" s="82"/>
      <c r="P33" s="61">
        <v>5.2999999999999998E-4</v>
      </c>
      <c r="Q33" s="115">
        <v>1</v>
      </c>
      <c r="R33" s="82"/>
      <c r="S33" s="83">
        <v>2.0000000000000001E-4</v>
      </c>
      <c r="T33" s="61"/>
    </row>
    <row r="34" spans="1:20" x14ac:dyDescent="0.2">
      <c r="A34" s="11">
        <v>28</v>
      </c>
      <c r="B34" s="64"/>
      <c r="C34" s="76" t="s">
        <v>70</v>
      </c>
      <c r="D34" s="52">
        <v>0</v>
      </c>
      <c r="E34" s="62">
        <v>0.18881000000000006</v>
      </c>
      <c r="F34" s="62">
        <v>0.22356000000000001</v>
      </c>
      <c r="G34" s="62">
        <v>-5.1049999999999998E-2</v>
      </c>
      <c r="H34" s="62">
        <v>1.6300000000000051E-2</v>
      </c>
      <c r="I34" s="56"/>
      <c r="J34" s="63"/>
      <c r="K34" s="52"/>
      <c r="L34" s="56"/>
      <c r="M34" s="57"/>
      <c r="N34" s="114">
        <v>1</v>
      </c>
      <c r="O34" s="58"/>
      <c r="P34" s="60">
        <v>2.0000000000000001E-4</v>
      </c>
      <c r="Q34" s="114">
        <v>1</v>
      </c>
      <c r="R34" s="58"/>
      <c r="S34" s="59">
        <v>6.9999999999999994E-5</v>
      </c>
      <c r="T34" s="61"/>
    </row>
    <row r="35" spans="1:20" x14ac:dyDescent="0.2">
      <c r="A35" s="11">
        <v>29</v>
      </c>
      <c r="B35" s="66" t="s">
        <v>71</v>
      </c>
      <c r="C35" s="67" t="s">
        <v>60</v>
      </c>
      <c r="D35" s="68">
        <v>1060773</v>
      </c>
      <c r="E35" s="69">
        <v>0.29139999999999999</v>
      </c>
      <c r="F35" s="69">
        <v>0.22356000000000001</v>
      </c>
      <c r="G35" s="69">
        <v>-5.0869999999999999E-2</v>
      </c>
      <c r="H35" s="69">
        <v>0.11870999999999998</v>
      </c>
      <c r="I35" s="70">
        <v>204764</v>
      </c>
      <c r="J35" s="71">
        <v>1300</v>
      </c>
      <c r="K35" s="68">
        <v>12</v>
      </c>
      <c r="L35" s="70">
        <v>391964</v>
      </c>
      <c r="M35" s="72"/>
      <c r="N35" s="115">
        <v>1</v>
      </c>
      <c r="O35" s="78">
        <v>2787</v>
      </c>
      <c r="P35" s="80">
        <v>1.6199999999999999E-3</v>
      </c>
      <c r="Q35" s="115">
        <v>1</v>
      </c>
      <c r="R35" s="78">
        <v>1039</v>
      </c>
      <c r="S35" s="79">
        <v>5.9999999999999995E-4</v>
      </c>
      <c r="T35" s="61"/>
    </row>
    <row r="36" spans="1:20" x14ac:dyDescent="0.2">
      <c r="A36" s="11">
        <v>30</v>
      </c>
      <c r="B36" s="66"/>
      <c r="C36" s="67" t="s">
        <v>61</v>
      </c>
      <c r="D36" s="68">
        <v>650234</v>
      </c>
      <c r="E36" s="69">
        <v>0.27872000000000008</v>
      </c>
      <c r="F36" s="69">
        <v>0.22356000000000001</v>
      </c>
      <c r="G36" s="69">
        <v>-5.11E-2</v>
      </c>
      <c r="H36" s="69">
        <v>0.10626000000000008</v>
      </c>
      <c r="I36" s="81"/>
      <c r="J36" s="71"/>
      <c r="K36" s="68"/>
      <c r="L36" s="81"/>
      <c r="M36" s="72"/>
      <c r="N36" s="115">
        <v>1</v>
      </c>
      <c r="O36" s="82"/>
      <c r="P36" s="61">
        <v>1.4499999999999999E-3</v>
      </c>
      <c r="Q36" s="115">
        <v>1</v>
      </c>
      <c r="R36" s="82"/>
      <c r="S36" s="83">
        <v>5.4000000000000001E-4</v>
      </c>
      <c r="T36" s="61"/>
    </row>
    <row r="37" spans="1:20" x14ac:dyDescent="0.2">
      <c r="A37" s="11">
        <v>31</v>
      </c>
      <c r="B37" s="66"/>
      <c r="C37" s="67" t="s">
        <v>67</v>
      </c>
      <c r="D37" s="68">
        <v>112053</v>
      </c>
      <c r="E37" s="69">
        <v>0.25346999999999992</v>
      </c>
      <c r="F37" s="69">
        <v>0.22356000000000001</v>
      </c>
      <c r="G37" s="69">
        <v>-5.1579999999999994E-2</v>
      </c>
      <c r="H37" s="69">
        <v>8.1489999999999896E-2</v>
      </c>
      <c r="I37" s="81"/>
      <c r="J37" s="71"/>
      <c r="K37" s="68"/>
      <c r="L37" s="81"/>
      <c r="M37" s="72"/>
      <c r="N37" s="115">
        <v>1</v>
      </c>
      <c r="O37" s="82"/>
      <c r="P37" s="61">
        <v>1.1100000000000001E-3</v>
      </c>
      <c r="Q37" s="115">
        <v>1</v>
      </c>
      <c r="R37" s="82"/>
      <c r="S37" s="83">
        <v>4.0999999999999999E-4</v>
      </c>
      <c r="T37" s="61"/>
    </row>
    <row r="38" spans="1:20" x14ac:dyDescent="0.2">
      <c r="A38" s="11">
        <v>32</v>
      </c>
      <c r="B38" s="66"/>
      <c r="C38" s="67" t="s">
        <v>68</v>
      </c>
      <c r="D38" s="68">
        <v>9427</v>
      </c>
      <c r="E38" s="69">
        <v>0.23686000000000015</v>
      </c>
      <c r="F38" s="69">
        <v>0.22356000000000001</v>
      </c>
      <c r="G38" s="69">
        <v>-5.1889999999999999E-2</v>
      </c>
      <c r="H38" s="69">
        <v>6.5190000000000137E-2</v>
      </c>
      <c r="I38" s="81"/>
      <c r="J38" s="71"/>
      <c r="K38" s="68"/>
      <c r="L38" s="81"/>
      <c r="M38" s="72"/>
      <c r="N38" s="115">
        <v>1</v>
      </c>
      <c r="O38" s="82"/>
      <c r="P38" s="61">
        <v>8.8999999999999995E-4</v>
      </c>
      <c r="Q38" s="115">
        <v>1</v>
      </c>
      <c r="R38" s="82"/>
      <c r="S38" s="83">
        <v>3.3E-4</v>
      </c>
      <c r="T38" s="61"/>
    </row>
    <row r="39" spans="1:20" x14ac:dyDescent="0.2">
      <c r="A39" s="11">
        <v>33</v>
      </c>
      <c r="B39" s="66"/>
      <c r="C39" s="67" t="s">
        <v>69</v>
      </c>
      <c r="D39" s="68">
        <v>0</v>
      </c>
      <c r="E39" s="69">
        <v>0.2147300000000002</v>
      </c>
      <c r="F39" s="69">
        <v>0.22356000000000001</v>
      </c>
      <c r="G39" s="69">
        <v>-5.2299999999999999E-2</v>
      </c>
      <c r="H39" s="69">
        <v>4.3470000000000189E-2</v>
      </c>
      <c r="I39" s="81"/>
      <c r="J39" s="71"/>
      <c r="K39" s="68"/>
      <c r="L39" s="81"/>
      <c r="M39" s="72"/>
      <c r="N39" s="115">
        <v>1</v>
      </c>
      <c r="O39" s="82"/>
      <c r="P39" s="61">
        <v>5.9000000000000003E-4</v>
      </c>
      <c r="Q39" s="115">
        <v>1</v>
      </c>
      <c r="R39" s="82"/>
      <c r="S39" s="83">
        <v>2.2000000000000001E-4</v>
      </c>
      <c r="T39" s="61"/>
    </row>
    <row r="40" spans="1:20" x14ac:dyDescent="0.2">
      <c r="A40" s="11">
        <v>34</v>
      </c>
      <c r="B40" s="64"/>
      <c r="C40" s="76" t="s">
        <v>70</v>
      </c>
      <c r="D40" s="52">
        <v>0</v>
      </c>
      <c r="E40" s="62">
        <v>0.18703999999999993</v>
      </c>
      <c r="F40" s="62">
        <v>0.22356000000000001</v>
      </c>
      <c r="G40" s="62">
        <v>-5.2809999999999996E-2</v>
      </c>
      <c r="H40" s="62">
        <v>1.6289999999999916E-2</v>
      </c>
      <c r="I40" s="56"/>
      <c r="J40" s="63"/>
      <c r="K40" s="52"/>
      <c r="L40" s="56"/>
      <c r="M40" s="57"/>
      <c r="N40" s="114">
        <v>1</v>
      </c>
      <c r="O40" s="58"/>
      <c r="P40" s="60">
        <v>2.2000000000000001E-4</v>
      </c>
      <c r="Q40" s="114">
        <v>1</v>
      </c>
      <c r="R40" s="58"/>
      <c r="S40" s="59">
        <v>8.0000000000000007E-5</v>
      </c>
      <c r="T40" s="61"/>
    </row>
    <row r="41" spans="1:20" x14ac:dyDescent="0.2">
      <c r="A41" s="11">
        <v>35</v>
      </c>
      <c r="B41" s="66" t="s">
        <v>72</v>
      </c>
      <c r="C41" s="67" t="s">
        <v>60</v>
      </c>
      <c r="D41" s="68">
        <v>1336403</v>
      </c>
      <c r="E41" s="69">
        <v>0.11795</v>
      </c>
      <c r="F41" s="69">
        <v>0</v>
      </c>
      <c r="G41" s="69">
        <v>-2.3000000000000001E-4</v>
      </c>
      <c r="H41" s="69">
        <v>0.11817999999999999</v>
      </c>
      <c r="I41" s="70">
        <v>630065</v>
      </c>
      <c r="J41" s="71">
        <v>1550</v>
      </c>
      <c r="K41" s="68">
        <v>13</v>
      </c>
      <c r="L41" s="70">
        <v>871865</v>
      </c>
      <c r="M41" s="72"/>
      <c r="N41" s="115">
        <v>0</v>
      </c>
      <c r="O41" s="78">
        <v>0</v>
      </c>
      <c r="P41" s="80">
        <v>0</v>
      </c>
      <c r="Q41" s="115">
        <v>0</v>
      </c>
      <c r="R41" s="78">
        <v>0</v>
      </c>
      <c r="S41" s="79">
        <v>0</v>
      </c>
      <c r="T41" s="61"/>
    </row>
    <row r="42" spans="1:20" x14ac:dyDescent="0.2">
      <c r="A42" s="11">
        <v>36</v>
      </c>
      <c r="B42" s="66"/>
      <c r="C42" s="67" t="s">
        <v>61</v>
      </c>
      <c r="D42" s="68">
        <v>1682938</v>
      </c>
      <c r="E42" s="69">
        <v>0.10557999999999999</v>
      </c>
      <c r="F42" s="69">
        <v>0</v>
      </c>
      <c r="G42" s="69">
        <v>-2.1000000000000001E-4</v>
      </c>
      <c r="H42" s="69">
        <v>0.10579</v>
      </c>
      <c r="I42" s="81"/>
      <c r="J42" s="71"/>
      <c r="K42" s="68"/>
      <c r="L42" s="81"/>
      <c r="M42" s="72"/>
      <c r="N42" s="115">
        <v>0</v>
      </c>
      <c r="O42" s="82"/>
      <c r="P42" s="61">
        <v>0</v>
      </c>
      <c r="Q42" s="115">
        <v>0</v>
      </c>
      <c r="R42" s="82"/>
      <c r="S42" s="83">
        <v>0</v>
      </c>
      <c r="T42" s="61"/>
    </row>
    <row r="43" spans="1:20" x14ac:dyDescent="0.2">
      <c r="A43" s="11">
        <v>37</v>
      </c>
      <c r="B43" s="66"/>
      <c r="C43" s="67" t="s">
        <v>67</v>
      </c>
      <c r="D43" s="68">
        <v>1387648</v>
      </c>
      <c r="E43" s="69">
        <v>8.0960000000000004E-2</v>
      </c>
      <c r="F43" s="69">
        <v>0</v>
      </c>
      <c r="G43" s="69">
        <v>-1.6000000000000001E-4</v>
      </c>
      <c r="H43" s="69">
        <v>8.1119999999999998E-2</v>
      </c>
      <c r="I43" s="81"/>
      <c r="J43" s="71"/>
      <c r="K43" s="68"/>
      <c r="L43" s="81"/>
      <c r="M43" s="72"/>
      <c r="N43" s="115">
        <v>0</v>
      </c>
      <c r="O43" s="82"/>
      <c r="P43" s="61">
        <v>0</v>
      </c>
      <c r="Q43" s="115">
        <v>0</v>
      </c>
      <c r="R43" s="82"/>
      <c r="S43" s="83">
        <v>0</v>
      </c>
      <c r="T43" s="61"/>
    </row>
    <row r="44" spans="1:20" x14ac:dyDescent="0.2">
      <c r="A44" s="11">
        <v>38</v>
      </c>
      <c r="B44" s="66"/>
      <c r="C44" s="67" t="s">
        <v>68</v>
      </c>
      <c r="D44" s="68">
        <v>2195748</v>
      </c>
      <c r="E44" s="69">
        <v>6.4769999999999994E-2</v>
      </c>
      <c r="F44" s="69">
        <v>0</v>
      </c>
      <c r="G44" s="69">
        <v>-1.2999999999999999E-4</v>
      </c>
      <c r="H44" s="69">
        <v>6.4899999999999999E-2</v>
      </c>
      <c r="I44" s="81"/>
      <c r="J44" s="71"/>
      <c r="K44" s="68"/>
      <c r="L44" s="81"/>
      <c r="M44" s="72"/>
      <c r="N44" s="115">
        <v>0</v>
      </c>
      <c r="O44" s="82"/>
      <c r="P44" s="61">
        <v>0</v>
      </c>
      <c r="Q44" s="115">
        <v>0</v>
      </c>
      <c r="R44" s="82"/>
      <c r="S44" s="83">
        <v>0</v>
      </c>
      <c r="T44" s="61"/>
    </row>
    <row r="45" spans="1:20" x14ac:dyDescent="0.2">
      <c r="A45" s="11">
        <v>39</v>
      </c>
      <c r="B45" s="66"/>
      <c r="C45" s="67" t="s">
        <v>69</v>
      </c>
      <c r="D45" s="68">
        <v>901810</v>
      </c>
      <c r="E45" s="69">
        <v>4.3180000000000003E-2</v>
      </c>
      <c r="F45" s="69">
        <v>0</v>
      </c>
      <c r="G45" s="69">
        <v>-9.0000000000000006E-5</v>
      </c>
      <c r="H45" s="69">
        <v>4.3270000000000003E-2</v>
      </c>
      <c r="I45" s="81"/>
      <c r="J45" s="71"/>
      <c r="K45" s="68"/>
      <c r="L45" s="81"/>
      <c r="M45" s="72"/>
      <c r="N45" s="115">
        <v>0</v>
      </c>
      <c r="O45" s="82"/>
      <c r="P45" s="61">
        <v>0</v>
      </c>
      <c r="Q45" s="115">
        <v>0</v>
      </c>
      <c r="R45" s="82"/>
      <c r="S45" s="83">
        <v>0</v>
      </c>
      <c r="T45" s="61"/>
    </row>
    <row r="46" spans="1:20" x14ac:dyDescent="0.2">
      <c r="A46" s="11">
        <v>40</v>
      </c>
      <c r="B46" s="64"/>
      <c r="C46" s="76" t="s">
        <v>70</v>
      </c>
      <c r="D46" s="52">
        <v>0</v>
      </c>
      <c r="E46" s="62">
        <v>1.619E-2</v>
      </c>
      <c r="F46" s="62">
        <v>0</v>
      </c>
      <c r="G46" s="62">
        <v>-3.0000000000000001E-5</v>
      </c>
      <c r="H46" s="62">
        <v>1.6219999999999998E-2</v>
      </c>
      <c r="I46" s="56"/>
      <c r="J46" s="63"/>
      <c r="K46" s="52"/>
      <c r="L46" s="56"/>
      <c r="M46" s="57"/>
      <c r="N46" s="114">
        <v>0</v>
      </c>
      <c r="O46" s="58"/>
      <c r="P46" s="60">
        <v>0</v>
      </c>
      <c r="Q46" s="114">
        <v>0</v>
      </c>
      <c r="R46" s="58"/>
      <c r="S46" s="59">
        <v>0</v>
      </c>
      <c r="T46" s="61"/>
    </row>
    <row r="47" spans="1:20" x14ac:dyDescent="0.2">
      <c r="A47" s="11">
        <v>41</v>
      </c>
      <c r="B47" s="66" t="s">
        <v>73</v>
      </c>
      <c r="C47" s="67" t="s">
        <v>60</v>
      </c>
      <c r="D47" s="68">
        <v>237919</v>
      </c>
      <c r="E47" s="69">
        <v>0.31897999999999999</v>
      </c>
      <c r="F47" s="69">
        <v>0.22356000000000001</v>
      </c>
      <c r="G47" s="69">
        <v>-2.3139999999999997E-2</v>
      </c>
      <c r="H47" s="69">
        <v>0.11855999999999997</v>
      </c>
      <c r="I47" s="70">
        <v>97598</v>
      </c>
      <c r="J47" s="71">
        <v>1300</v>
      </c>
      <c r="K47" s="68">
        <v>2</v>
      </c>
      <c r="L47" s="70">
        <v>128798</v>
      </c>
      <c r="M47" s="72"/>
      <c r="N47" s="115">
        <v>1</v>
      </c>
      <c r="O47" s="78">
        <v>916</v>
      </c>
      <c r="P47" s="80">
        <v>1.1100000000000001E-3</v>
      </c>
      <c r="Q47" s="115">
        <v>1</v>
      </c>
      <c r="R47" s="78">
        <v>341</v>
      </c>
      <c r="S47" s="79">
        <v>4.0999999999999999E-4</v>
      </c>
      <c r="T47" s="61"/>
    </row>
    <row r="48" spans="1:20" x14ac:dyDescent="0.2">
      <c r="A48" s="11">
        <v>42</v>
      </c>
      <c r="B48" s="66"/>
      <c r="C48" s="67" t="s">
        <v>61</v>
      </c>
      <c r="D48" s="68">
        <v>464853</v>
      </c>
      <c r="E48" s="69">
        <v>0.30522999999999989</v>
      </c>
      <c r="F48" s="69">
        <v>0.22356000000000001</v>
      </c>
      <c r="G48" s="69">
        <v>-2.445E-2</v>
      </c>
      <c r="H48" s="69">
        <v>0.10611999999999988</v>
      </c>
      <c r="I48" s="81"/>
      <c r="J48" s="71"/>
      <c r="K48" s="68"/>
      <c r="L48" s="81"/>
      <c r="M48" s="72"/>
      <c r="N48" s="115">
        <v>1</v>
      </c>
      <c r="O48" s="82"/>
      <c r="P48" s="61">
        <v>1E-3</v>
      </c>
      <c r="Q48" s="115">
        <v>1</v>
      </c>
      <c r="R48" s="82"/>
      <c r="S48" s="83">
        <v>3.6999999999999999E-4</v>
      </c>
      <c r="T48" s="61"/>
    </row>
    <row r="49" spans="1:20" x14ac:dyDescent="0.2">
      <c r="A49" s="11">
        <v>43</v>
      </c>
      <c r="B49" s="66"/>
      <c r="C49" s="67" t="s">
        <v>67</v>
      </c>
      <c r="D49" s="68">
        <v>214908</v>
      </c>
      <c r="E49" s="69">
        <v>0.27787000000000012</v>
      </c>
      <c r="F49" s="69">
        <v>0.22356000000000001</v>
      </c>
      <c r="G49" s="69">
        <v>-2.7069999999999997E-2</v>
      </c>
      <c r="H49" s="69">
        <v>8.1380000000000105E-2</v>
      </c>
      <c r="I49" s="81"/>
      <c r="J49" s="71"/>
      <c r="K49" s="68"/>
      <c r="L49" s="81"/>
      <c r="M49" s="72"/>
      <c r="N49" s="115">
        <v>1</v>
      </c>
      <c r="O49" s="82"/>
      <c r="P49" s="61">
        <v>7.6000000000000004E-4</v>
      </c>
      <c r="Q49" s="115">
        <v>1</v>
      </c>
      <c r="R49" s="82"/>
      <c r="S49" s="83">
        <v>2.7999999999999998E-4</v>
      </c>
      <c r="T49" s="61"/>
    </row>
    <row r="50" spans="1:20" x14ac:dyDescent="0.2">
      <c r="A50" s="11">
        <v>44</v>
      </c>
      <c r="B50" s="66"/>
      <c r="C50" s="67" t="s">
        <v>68</v>
      </c>
      <c r="D50" s="68">
        <v>39494</v>
      </c>
      <c r="E50" s="69">
        <v>0.25987999999999994</v>
      </c>
      <c r="F50" s="69">
        <v>0.22356000000000001</v>
      </c>
      <c r="G50" s="69">
        <v>-2.8779999999999997E-2</v>
      </c>
      <c r="H50" s="69">
        <v>6.5099999999999936E-2</v>
      </c>
      <c r="I50" s="81"/>
      <c r="J50" s="71"/>
      <c r="K50" s="68"/>
      <c r="L50" s="81"/>
      <c r="M50" s="72"/>
      <c r="N50" s="115">
        <v>1</v>
      </c>
      <c r="O50" s="82"/>
      <c r="P50" s="61">
        <v>6.0999999999999997E-4</v>
      </c>
      <c r="Q50" s="115">
        <v>1</v>
      </c>
      <c r="R50" s="82"/>
      <c r="S50" s="83">
        <v>2.3000000000000001E-4</v>
      </c>
      <c r="T50" s="61"/>
    </row>
    <row r="51" spans="1:20" x14ac:dyDescent="0.2">
      <c r="A51" s="11">
        <v>45</v>
      </c>
      <c r="B51" s="66"/>
      <c r="C51" s="67" t="s">
        <v>69</v>
      </c>
      <c r="D51" s="68">
        <v>0</v>
      </c>
      <c r="E51" s="69">
        <v>0.23588000000000003</v>
      </c>
      <c r="F51" s="69">
        <v>0.22356000000000001</v>
      </c>
      <c r="G51" s="69">
        <v>-3.1079999999999997E-2</v>
      </c>
      <c r="H51" s="69">
        <v>4.3400000000000022E-2</v>
      </c>
      <c r="I51" s="81"/>
      <c r="J51" s="71"/>
      <c r="K51" s="68"/>
      <c r="L51" s="81"/>
      <c r="M51" s="72"/>
      <c r="N51" s="115">
        <v>1</v>
      </c>
      <c r="O51" s="82"/>
      <c r="P51" s="61">
        <v>4.0999999999999999E-4</v>
      </c>
      <c r="Q51" s="115">
        <v>1</v>
      </c>
      <c r="R51" s="82"/>
      <c r="S51" s="83">
        <v>1.4999999999999999E-4</v>
      </c>
      <c r="T51" s="61"/>
    </row>
    <row r="52" spans="1:20" x14ac:dyDescent="0.2">
      <c r="A52" s="11">
        <v>46</v>
      </c>
      <c r="B52" s="64"/>
      <c r="C52" s="76" t="s">
        <v>70</v>
      </c>
      <c r="D52" s="52">
        <v>0</v>
      </c>
      <c r="E52" s="62">
        <v>0.20589999999999992</v>
      </c>
      <c r="F52" s="62">
        <v>0.22356000000000001</v>
      </c>
      <c r="G52" s="62">
        <v>-3.3939999999999998E-2</v>
      </c>
      <c r="H52" s="62">
        <v>1.6279999999999906E-2</v>
      </c>
      <c r="I52" s="56"/>
      <c r="J52" s="63"/>
      <c r="K52" s="52"/>
      <c r="L52" s="56"/>
      <c r="M52" s="57"/>
      <c r="N52" s="114">
        <v>1</v>
      </c>
      <c r="O52" s="58"/>
      <c r="P52" s="60">
        <v>1.4999999999999999E-4</v>
      </c>
      <c r="Q52" s="114">
        <v>1</v>
      </c>
      <c r="R52" s="58"/>
      <c r="S52" s="59">
        <v>6.0000000000000002E-5</v>
      </c>
      <c r="T52" s="61"/>
    </row>
    <row r="53" spans="1:20" x14ac:dyDescent="0.2">
      <c r="A53" s="11">
        <v>47</v>
      </c>
      <c r="B53" s="66" t="s">
        <v>74</v>
      </c>
      <c r="C53" s="67" t="s">
        <v>60</v>
      </c>
      <c r="D53" s="68">
        <v>159428</v>
      </c>
      <c r="E53" s="69">
        <v>0.30886999999999998</v>
      </c>
      <c r="F53" s="69">
        <v>0.22356000000000001</v>
      </c>
      <c r="G53" s="69">
        <v>-3.3389999999999996E-2</v>
      </c>
      <c r="H53" s="69">
        <v>0.11869999999999997</v>
      </c>
      <c r="I53" s="70">
        <v>34979</v>
      </c>
      <c r="J53" s="71">
        <v>1300</v>
      </c>
      <c r="K53" s="68">
        <v>3</v>
      </c>
      <c r="L53" s="70">
        <v>81779</v>
      </c>
      <c r="M53" s="72"/>
      <c r="N53" s="115">
        <v>1</v>
      </c>
      <c r="O53" s="78">
        <v>582</v>
      </c>
      <c r="P53" s="80">
        <v>1.97E-3</v>
      </c>
      <c r="Q53" s="115">
        <v>1</v>
      </c>
      <c r="R53" s="78">
        <v>217</v>
      </c>
      <c r="S53" s="79">
        <v>7.3999999999999999E-4</v>
      </c>
      <c r="T53" s="61"/>
    </row>
    <row r="54" spans="1:20" x14ac:dyDescent="0.2">
      <c r="A54" s="11">
        <v>48</v>
      </c>
      <c r="B54" s="66"/>
      <c r="C54" s="67" t="s">
        <v>61</v>
      </c>
      <c r="D54" s="68">
        <v>151104</v>
      </c>
      <c r="E54" s="69">
        <v>0.29617999999999989</v>
      </c>
      <c r="F54" s="69">
        <v>0.22356000000000001</v>
      </c>
      <c r="G54" s="69">
        <v>-3.363E-2</v>
      </c>
      <c r="H54" s="69">
        <v>0.10624999999999987</v>
      </c>
      <c r="I54" s="81"/>
      <c r="J54" s="71"/>
      <c r="K54" s="68"/>
      <c r="L54" s="81"/>
      <c r="M54" s="72"/>
      <c r="N54" s="115">
        <v>1</v>
      </c>
      <c r="O54" s="82"/>
      <c r="P54" s="61">
        <v>1.7700000000000001E-3</v>
      </c>
      <c r="Q54" s="115">
        <v>1</v>
      </c>
      <c r="R54" s="82"/>
      <c r="S54" s="83">
        <v>6.6E-4</v>
      </c>
      <c r="T54" s="61"/>
    </row>
    <row r="55" spans="1:20" x14ac:dyDescent="0.2">
      <c r="A55" s="11">
        <v>49</v>
      </c>
      <c r="B55" s="66"/>
      <c r="C55" s="67" t="s">
        <v>67</v>
      </c>
      <c r="D55" s="68">
        <v>0</v>
      </c>
      <c r="E55" s="69">
        <v>0.27094000000000013</v>
      </c>
      <c r="F55" s="69">
        <v>0.22356000000000001</v>
      </c>
      <c r="G55" s="69">
        <v>-3.4099999999999998E-2</v>
      </c>
      <c r="H55" s="69">
        <v>8.1480000000000108E-2</v>
      </c>
      <c r="I55" s="81"/>
      <c r="J55" s="71"/>
      <c r="K55" s="68"/>
      <c r="L55" s="81"/>
      <c r="M55" s="72"/>
      <c r="N55" s="115">
        <v>1</v>
      </c>
      <c r="O55" s="82"/>
      <c r="P55" s="61">
        <v>1.3600000000000001E-3</v>
      </c>
      <c r="Q55" s="115">
        <v>1</v>
      </c>
      <c r="R55" s="82"/>
      <c r="S55" s="83">
        <v>5.1000000000000004E-4</v>
      </c>
      <c r="T55" s="61"/>
    </row>
    <row r="56" spans="1:20" x14ac:dyDescent="0.2">
      <c r="A56" s="11">
        <v>50</v>
      </c>
      <c r="B56" s="66"/>
      <c r="C56" s="67" t="s">
        <v>68</v>
      </c>
      <c r="D56" s="68">
        <v>0</v>
      </c>
      <c r="E56" s="69">
        <v>0.25432999999999983</v>
      </c>
      <c r="F56" s="69">
        <v>0.22356000000000001</v>
      </c>
      <c r="G56" s="69">
        <v>-3.4409999999999996E-2</v>
      </c>
      <c r="H56" s="69">
        <v>6.5179999999999821E-2</v>
      </c>
      <c r="I56" s="81"/>
      <c r="J56" s="71"/>
      <c r="K56" s="68"/>
      <c r="L56" s="81"/>
      <c r="M56" s="72"/>
      <c r="N56" s="115">
        <v>1</v>
      </c>
      <c r="O56" s="82"/>
      <c r="P56" s="61">
        <v>1.08E-3</v>
      </c>
      <c r="Q56" s="115">
        <v>1</v>
      </c>
      <c r="R56" s="82"/>
      <c r="S56" s="83">
        <v>4.0000000000000002E-4</v>
      </c>
      <c r="T56" s="61"/>
    </row>
    <row r="57" spans="1:20" x14ac:dyDescent="0.2">
      <c r="A57" s="11">
        <v>51</v>
      </c>
      <c r="B57" s="66"/>
      <c r="C57" s="67" t="s">
        <v>69</v>
      </c>
      <c r="D57" s="68">
        <v>0</v>
      </c>
      <c r="E57" s="69">
        <v>0.23218000000000003</v>
      </c>
      <c r="F57" s="69">
        <v>0.22356000000000001</v>
      </c>
      <c r="G57" s="69">
        <v>-3.483E-2</v>
      </c>
      <c r="H57" s="69">
        <v>4.3450000000000016E-2</v>
      </c>
      <c r="I57" s="81"/>
      <c r="J57" s="71"/>
      <c r="K57" s="68"/>
      <c r="L57" s="81"/>
      <c r="M57" s="72"/>
      <c r="N57" s="115">
        <v>1</v>
      </c>
      <c r="O57" s="82"/>
      <c r="P57" s="61">
        <v>7.2000000000000005E-4</v>
      </c>
      <c r="Q57" s="115">
        <v>1</v>
      </c>
      <c r="R57" s="82"/>
      <c r="S57" s="83">
        <v>2.7E-4</v>
      </c>
      <c r="T57" s="61"/>
    </row>
    <row r="58" spans="1:20" x14ac:dyDescent="0.2">
      <c r="A58" s="11">
        <v>52</v>
      </c>
      <c r="B58" s="64"/>
      <c r="C58" s="76" t="s">
        <v>70</v>
      </c>
      <c r="D58" s="52">
        <v>0</v>
      </c>
      <c r="E58" s="62">
        <v>0.20451999999999992</v>
      </c>
      <c r="F58" s="62">
        <v>0.22356000000000001</v>
      </c>
      <c r="G58" s="62">
        <v>-3.5339999999999996E-2</v>
      </c>
      <c r="H58" s="62">
        <v>1.6299999999999912E-2</v>
      </c>
      <c r="I58" s="56"/>
      <c r="J58" s="63"/>
      <c r="K58" s="52"/>
      <c r="L58" s="56"/>
      <c r="M58" s="57"/>
      <c r="N58" s="114">
        <v>1</v>
      </c>
      <c r="O58" s="58"/>
      <c r="P58" s="60">
        <v>2.7E-4</v>
      </c>
      <c r="Q58" s="114">
        <v>1</v>
      </c>
      <c r="R58" s="58"/>
      <c r="S58" s="59">
        <v>1E-4</v>
      </c>
      <c r="T58" s="61"/>
    </row>
    <row r="59" spans="1:20" x14ac:dyDescent="0.2">
      <c r="A59" s="11">
        <v>53</v>
      </c>
      <c r="B59" s="66" t="s">
        <v>75</v>
      </c>
      <c r="C59" s="67" t="s">
        <v>60</v>
      </c>
      <c r="D59" s="68">
        <v>881572</v>
      </c>
      <c r="E59" s="84">
        <v>0.11796999999999999</v>
      </c>
      <c r="F59" s="84">
        <v>0</v>
      </c>
      <c r="G59" s="84">
        <v>-2.1000000000000001E-4</v>
      </c>
      <c r="H59" s="84">
        <v>0.11817999999999999</v>
      </c>
      <c r="I59" s="70">
        <v>719983</v>
      </c>
      <c r="J59" s="85">
        <v>1550</v>
      </c>
      <c r="K59" s="68">
        <v>10</v>
      </c>
      <c r="L59" s="70">
        <v>905983</v>
      </c>
      <c r="M59" s="86"/>
      <c r="N59" s="115">
        <v>0</v>
      </c>
      <c r="O59" s="78">
        <v>0</v>
      </c>
      <c r="P59" s="80">
        <v>0</v>
      </c>
      <c r="Q59" s="115">
        <v>0</v>
      </c>
      <c r="R59" s="78">
        <v>0</v>
      </c>
      <c r="S59" s="79">
        <v>0</v>
      </c>
      <c r="T59" s="61"/>
    </row>
    <row r="60" spans="1:20" x14ac:dyDescent="0.2">
      <c r="A60" s="11">
        <v>54</v>
      </c>
      <c r="B60" s="66"/>
      <c r="C60" s="67" t="s">
        <v>61</v>
      </c>
      <c r="D60" s="68">
        <v>1495748</v>
      </c>
      <c r="E60" s="87">
        <v>0.1056</v>
      </c>
      <c r="F60" s="87">
        <v>0</v>
      </c>
      <c r="G60" s="87">
        <v>-1.9000000000000001E-4</v>
      </c>
      <c r="H60" s="87">
        <v>0.10579</v>
      </c>
      <c r="I60" s="81"/>
      <c r="J60" s="88"/>
      <c r="K60" s="68"/>
      <c r="L60" s="81"/>
      <c r="M60" s="86"/>
      <c r="N60" s="115">
        <v>0</v>
      </c>
      <c r="O60" s="82"/>
      <c r="P60" s="61">
        <v>0</v>
      </c>
      <c r="Q60" s="115">
        <v>0</v>
      </c>
      <c r="R60" s="82"/>
      <c r="S60" s="83">
        <v>0</v>
      </c>
      <c r="T60" s="61"/>
    </row>
    <row r="61" spans="1:20" x14ac:dyDescent="0.2">
      <c r="A61" s="11">
        <v>55</v>
      </c>
      <c r="B61" s="66"/>
      <c r="C61" s="67" t="s">
        <v>67</v>
      </c>
      <c r="D61" s="68">
        <v>1185204</v>
      </c>
      <c r="E61" s="87">
        <v>8.0979999999999996E-2</v>
      </c>
      <c r="F61" s="87">
        <v>0</v>
      </c>
      <c r="G61" s="87">
        <v>-1.3999999999999999E-4</v>
      </c>
      <c r="H61" s="87">
        <v>8.1119999999999998E-2</v>
      </c>
      <c r="I61" s="81"/>
      <c r="J61" s="88"/>
      <c r="K61" s="68"/>
      <c r="L61" s="81"/>
      <c r="M61" s="86"/>
      <c r="N61" s="115">
        <v>0</v>
      </c>
      <c r="O61" s="82"/>
      <c r="P61" s="61">
        <v>0</v>
      </c>
      <c r="Q61" s="115">
        <v>0</v>
      </c>
      <c r="R61" s="82"/>
      <c r="S61" s="83">
        <v>0</v>
      </c>
      <c r="T61" s="61"/>
    </row>
    <row r="62" spans="1:20" x14ac:dyDescent="0.2">
      <c r="A62" s="11">
        <v>56</v>
      </c>
      <c r="B62" s="66"/>
      <c r="C62" s="67" t="s">
        <v>68</v>
      </c>
      <c r="D62" s="68">
        <v>4013728</v>
      </c>
      <c r="E62" s="87">
        <v>6.479E-2</v>
      </c>
      <c r="F62" s="87">
        <v>0</v>
      </c>
      <c r="G62" s="87">
        <v>-1.1E-4</v>
      </c>
      <c r="H62" s="87">
        <v>6.4899999999999999E-2</v>
      </c>
      <c r="I62" s="81"/>
      <c r="J62" s="88"/>
      <c r="K62" s="68"/>
      <c r="L62" s="81"/>
      <c r="M62" s="86"/>
      <c r="N62" s="115">
        <v>0</v>
      </c>
      <c r="O62" s="82"/>
      <c r="P62" s="61">
        <v>0</v>
      </c>
      <c r="Q62" s="115">
        <v>0</v>
      </c>
      <c r="R62" s="82"/>
      <c r="S62" s="83">
        <v>0</v>
      </c>
      <c r="T62" s="61"/>
    </row>
    <row r="63" spans="1:20" x14ac:dyDescent="0.2">
      <c r="A63" s="11">
        <v>57</v>
      </c>
      <c r="B63" s="66"/>
      <c r="C63" s="67" t="s">
        <v>69</v>
      </c>
      <c r="D63" s="68">
        <v>2332547</v>
      </c>
      <c r="E63" s="87">
        <v>4.3190000000000006E-2</v>
      </c>
      <c r="F63" s="87">
        <v>0</v>
      </c>
      <c r="G63" s="87">
        <v>-8.0000000000000007E-5</v>
      </c>
      <c r="H63" s="87">
        <v>4.3270000000000003E-2</v>
      </c>
      <c r="I63" s="81"/>
      <c r="J63" s="88"/>
      <c r="K63" s="68"/>
      <c r="L63" s="81"/>
      <c r="M63" s="86"/>
      <c r="N63" s="115">
        <v>0</v>
      </c>
      <c r="O63" s="82"/>
      <c r="P63" s="61">
        <v>0</v>
      </c>
      <c r="Q63" s="115">
        <v>0</v>
      </c>
      <c r="R63" s="82"/>
      <c r="S63" s="83">
        <v>0</v>
      </c>
      <c r="T63" s="61"/>
    </row>
    <row r="64" spans="1:20" x14ac:dyDescent="0.2">
      <c r="A64" s="11">
        <v>58</v>
      </c>
      <c r="B64" s="64"/>
      <c r="C64" s="76" t="s">
        <v>70</v>
      </c>
      <c r="D64" s="52">
        <v>0</v>
      </c>
      <c r="E64" s="89">
        <v>1.619E-2</v>
      </c>
      <c r="F64" s="89">
        <v>0</v>
      </c>
      <c r="G64" s="89">
        <v>-3.0000000000000001E-5</v>
      </c>
      <c r="H64" s="89">
        <v>1.6219999999999998E-2</v>
      </c>
      <c r="I64" s="56"/>
      <c r="J64" s="90"/>
      <c r="K64" s="52"/>
      <c r="L64" s="56"/>
      <c r="M64" s="91"/>
      <c r="N64" s="114">
        <v>0</v>
      </c>
      <c r="O64" s="58"/>
      <c r="P64" s="60">
        <v>0</v>
      </c>
      <c r="Q64" s="114">
        <v>0</v>
      </c>
      <c r="R64" s="58"/>
      <c r="S64" s="59">
        <v>0</v>
      </c>
      <c r="T64" s="61"/>
    </row>
    <row r="65" spans="1:20" x14ac:dyDescent="0.2">
      <c r="A65" s="11">
        <v>59</v>
      </c>
      <c r="B65" s="64" t="s">
        <v>76</v>
      </c>
      <c r="C65" s="65"/>
      <c r="D65" s="52">
        <v>0</v>
      </c>
      <c r="E65" s="92">
        <v>4.9800000000000001E-3</v>
      </c>
      <c r="F65" s="92">
        <v>0</v>
      </c>
      <c r="G65" s="92">
        <v>-1.0000000000000001E-5</v>
      </c>
      <c r="H65" s="92">
        <v>4.9899999999999996E-3</v>
      </c>
      <c r="I65" s="56">
        <v>0</v>
      </c>
      <c r="J65" s="93">
        <v>38000</v>
      </c>
      <c r="K65" s="52">
        <v>0</v>
      </c>
      <c r="L65" s="56">
        <v>0</v>
      </c>
      <c r="M65" s="94"/>
      <c r="N65" s="114">
        <v>0</v>
      </c>
      <c r="O65" s="58">
        <v>0</v>
      </c>
      <c r="P65" s="60">
        <v>0</v>
      </c>
      <c r="Q65" s="119">
        <v>0</v>
      </c>
      <c r="R65" s="58">
        <v>0</v>
      </c>
      <c r="S65" s="95">
        <v>0</v>
      </c>
      <c r="T65" s="61"/>
    </row>
    <row r="66" spans="1:20" x14ac:dyDescent="0.2">
      <c r="A66" s="11">
        <v>60</v>
      </c>
      <c r="B66" s="50" t="s">
        <v>77</v>
      </c>
      <c r="C66" s="51"/>
      <c r="D66" s="52">
        <v>0</v>
      </c>
      <c r="E66" s="89">
        <v>4.9800000000000001E-3</v>
      </c>
      <c r="F66" s="89">
        <v>0</v>
      </c>
      <c r="G66" s="89">
        <v>-1.0000000000000001E-5</v>
      </c>
      <c r="H66" s="89">
        <v>4.9899999999999996E-3</v>
      </c>
      <c r="I66" s="56">
        <v>0</v>
      </c>
      <c r="J66" s="90">
        <v>38000</v>
      </c>
      <c r="K66" s="52">
        <v>0</v>
      </c>
      <c r="L66" s="56">
        <v>0</v>
      </c>
      <c r="M66" s="91"/>
      <c r="N66" s="114">
        <v>0</v>
      </c>
      <c r="O66" s="58">
        <v>0</v>
      </c>
      <c r="P66" s="60">
        <v>0</v>
      </c>
      <c r="Q66" s="114">
        <v>0</v>
      </c>
      <c r="R66" s="58">
        <v>0</v>
      </c>
      <c r="S66" s="59">
        <v>0</v>
      </c>
      <c r="T66" s="61"/>
    </row>
    <row r="67" spans="1:20" x14ac:dyDescent="0.2">
      <c r="A67" s="11">
        <v>61</v>
      </c>
      <c r="B67" s="96" t="s">
        <v>78</v>
      </c>
      <c r="C67" s="51"/>
      <c r="D67" s="52"/>
      <c r="E67" s="97"/>
      <c r="F67" s="97"/>
      <c r="G67" s="97"/>
      <c r="H67" s="97"/>
      <c r="I67" s="56"/>
      <c r="J67" s="98"/>
      <c r="K67" s="52"/>
      <c r="L67" s="99"/>
      <c r="M67" s="91"/>
      <c r="N67" s="114"/>
      <c r="O67" s="52"/>
      <c r="P67" s="60"/>
      <c r="Q67" s="114"/>
      <c r="R67" s="52"/>
      <c r="S67" s="59"/>
    </row>
    <row r="68" spans="1:20" x14ac:dyDescent="0.2">
      <c r="A68" s="11">
        <v>62</v>
      </c>
      <c r="E68" s="100"/>
      <c r="F68" s="100"/>
      <c r="G68" s="100"/>
      <c r="H68" s="100"/>
      <c r="I68" s="101"/>
      <c r="L68" s="101"/>
      <c r="N68" s="116"/>
      <c r="Q68" s="116"/>
    </row>
    <row r="69" spans="1:20" x14ac:dyDescent="0.2">
      <c r="A69" s="11">
        <v>63</v>
      </c>
      <c r="B69" s="2" t="s">
        <v>79</v>
      </c>
      <c r="D69" s="102">
        <v>100505811.10000001</v>
      </c>
      <c r="E69" s="100"/>
      <c r="F69" s="100"/>
      <c r="G69" s="100"/>
      <c r="H69" s="100"/>
      <c r="I69" s="103">
        <v>33763354</v>
      </c>
      <c r="J69" s="102"/>
      <c r="K69" s="102"/>
      <c r="L69" s="103">
        <v>42692528</v>
      </c>
      <c r="N69" s="117">
        <v>40646962</v>
      </c>
      <c r="O69" s="104">
        <v>289056</v>
      </c>
      <c r="Q69" s="117">
        <v>40646962</v>
      </c>
      <c r="R69" s="104">
        <v>107740</v>
      </c>
    </row>
    <row r="70" spans="1:20" x14ac:dyDescent="0.2">
      <c r="A70" s="11">
        <v>64</v>
      </c>
      <c r="M70" s="6"/>
      <c r="N70" s="118"/>
      <c r="Q70" s="118"/>
    </row>
    <row r="71" spans="1:20" ht="13.5" thickBot="1" x14ac:dyDescent="0.25">
      <c r="A71" s="11">
        <v>65</v>
      </c>
      <c r="B71" s="105" t="s">
        <v>80</v>
      </c>
      <c r="E71" s="2"/>
      <c r="F71" s="2"/>
      <c r="G71" s="2"/>
      <c r="H71" s="2"/>
      <c r="J71" s="2"/>
      <c r="M71" s="2"/>
      <c r="N71" s="2"/>
      <c r="Q71" s="2"/>
    </row>
    <row r="72" spans="1:20" ht="13.5" thickBot="1" x14ac:dyDescent="0.25">
      <c r="A72" s="11">
        <v>66</v>
      </c>
      <c r="B72" s="106" t="s">
        <v>81</v>
      </c>
      <c r="C72" s="107"/>
      <c r="D72" s="107"/>
      <c r="E72" s="107"/>
      <c r="F72" s="107"/>
      <c r="G72" s="107"/>
      <c r="H72" s="107"/>
      <c r="I72" s="107"/>
      <c r="J72" s="107"/>
      <c r="K72" s="108" t="s">
        <v>82</v>
      </c>
      <c r="L72" s="107"/>
      <c r="M72" s="107"/>
      <c r="N72" s="108" t="s">
        <v>83</v>
      </c>
      <c r="O72" s="107"/>
      <c r="P72" s="109"/>
      <c r="Q72" s="108" t="s">
        <v>84</v>
      </c>
      <c r="R72" s="107"/>
      <c r="S72" s="109"/>
    </row>
    <row r="73" spans="1:20" ht="13.5" thickBot="1" x14ac:dyDescent="0.25">
      <c r="A73" s="11">
        <v>67</v>
      </c>
      <c r="B73" s="105" t="s">
        <v>85</v>
      </c>
      <c r="E73" s="2"/>
      <c r="F73" s="2"/>
      <c r="G73" s="2"/>
      <c r="H73" s="2"/>
      <c r="J73" s="2"/>
      <c r="M73" s="2"/>
      <c r="N73" s="2"/>
      <c r="Q73" s="2"/>
    </row>
    <row r="74" spans="1:20" ht="13.5" thickBot="1" x14ac:dyDescent="0.25">
      <c r="A74" s="11">
        <v>68</v>
      </c>
      <c r="B74" s="106" t="s">
        <v>86</v>
      </c>
      <c r="C74" s="107"/>
      <c r="D74" s="107"/>
      <c r="E74" s="107"/>
      <c r="F74" s="107"/>
      <c r="G74" s="107"/>
      <c r="H74" s="107"/>
      <c r="I74" s="107"/>
      <c r="J74" s="107"/>
      <c r="K74" s="107"/>
      <c r="L74" s="107"/>
      <c r="M74" s="107"/>
      <c r="N74" s="110" t="s">
        <v>87</v>
      </c>
      <c r="O74" s="107"/>
      <c r="P74" s="109"/>
      <c r="Q74" s="110" t="s">
        <v>88</v>
      </c>
      <c r="R74" s="107"/>
      <c r="S74" s="109"/>
    </row>
    <row r="75" spans="1:20" x14ac:dyDescent="0.2">
      <c r="A75" s="11">
        <v>67</v>
      </c>
      <c r="N75" s="116"/>
      <c r="Q75" s="116"/>
    </row>
    <row r="76" spans="1:20" x14ac:dyDescent="0.2">
      <c r="A76" s="11">
        <v>68</v>
      </c>
      <c r="B76" s="111" t="s">
        <v>89</v>
      </c>
      <c r="N76" s="116"/>
      <c r="Q76" s="116"/>
    </row>
    <row r="80" spans="1:20" x14ac:dyDescent="0.2">
      <c r="O80" s="112"/>
      <c r="R80" s="112"/>
    </row>
    <row r="81" spans="14:19" s="5" customFormat="1" x14ac:dyDescent="0.2">
      <c r="N81" s="12"/>
      <c r="O81" s="112"/>
      <c r="P81" s="4"/>
      <c r="Q81" s="12"/>
      <c r="R81" s="112"/>
      <c r="S81" s="4"/>
    </row>
    <row r="82" spans="14:19" s="5" customFormat="1" x14ac:dyDescent="0.2">
      <c r="N82" s="12"/>
      <c r="O82" s="113"/>
      <c r="P82" s="4"/>
      <c r="Q82" s="12"/>
      <c r="R82" s="113"/>
      <c r="S82" s="4"/>
    </row>
    <row r="83" spans="14:19" s="5" customFormat="1" x14ac:dyDescent="0.2">
      <c r="N83" s="12"/>
      <c r="O83" s="113"/>
      <c r="P83" s="4"/>
      <c r="Q83" s="12"/>
      <c r="R83" s="113"/>
      <c r="S83" s="4"/>
    </row>
    <row r="84" spans="14:19" s="5" customFormat="1" x14ac:dyDescent="0.2">
      <c r="N84" s="12"/>
      <c r="O84" s="112"/>
      <c r="P84" s="4"/>
      <c r="Q84" s="12"/>
      <c r="R84" s="112"/>
      <c r="S84" s="4"/>
    </row>
    <row r="85" spans="14:19" s="5" customFormat="1" x14ac:dyDescent="0.2">
      <c r="N85" s="12"/>
      <c r="O85" s="102"/>
      <c r="P85" s="4"/>
      <c r="Q85" s="12"/>
      <c r="R85" s="102"/>
      <c r="S85" s="4"/>
    </row>
    <row r="87" spans="14:19" s="5" customFormat="1" x14ac:dyDescent="0.2">
      <c r="N87" s="12"/>
      <c r="O87" s="2"/>
      <c r="P87" s="4"/>
      <c r="Q87" s="12"/>
      <c r="R87" s="2"/>
      <c r="S87" s="4"/>
    </row>
    <row r="88" spans="14:19" s="5" customFormat="1" x14ac:dyDescent="0.2">
      <c r="N88" s="12"/>
      <c r="O88" s="2"/>
      <c r="P88" s="4"/>
      <c r="Q88" s="12"/>
      <c r="R88" s="2"/>
      <c r="S88" s="4"/>
    </row>
    <row r="89" spans="14:19" s="5" customFormat="1" x14ac:dyDescent="0.2">
      <c r="N89" s="12"/>
      <c r="O89" s="2"/>
      <c r="P89" s="4"/>
      <c r="Q89" s="12"/>
      <c r="R89" s="2"/>
      <c r="S89" s="4"/>
    </row>
    <row r="90" spans="14:19" s="5" customFormat="1" x14ac:dyDescent="0.2">
      <c r="N90" s="12"/>
      <c r="O90" s="2"/>
      <c r="P90" s="4"/>
      <c r="Q90" s="12"/>
      <c r="R90" s="2"/>
      <c r="S90" s="4"/>
    </row>
  </sheetData>
  <mergeCells count="2">
    <mergeCell ref="Q7:S7"/>
    <mergeCell ref="L11:L12"/>
  </mergeCells>
  <pageMargins left="0.7" right="0.7" top="0.75" bottom="0.75" header="0.3" footer="0.3"/>
  <pageSetup scale="50" orientation="landscape" horizontalDpi="300" verticalDpi="300" r:id="rId1"/>
  <headerFooter>
    <oddHeader>&amp;RNWN's Advice 19-04
Exhibit A - Supporting Materials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Layout" zoomScaleNormal="100" workbookViewId="0">
      <selection activeCell="M4" sqref="M4"/>
    </sheetView>
  </sheetViews>
  <sheetFormatPr defaultColWidth="8" defaultRowHeight="12.75" outlineLevelCol="1" x14ac:dyDescent="0.2"/>
  <cols>
    <col min="1" max="1" width="5.85546875" style="5" customWidth="1"/>
    <col min="2" max="2" width="15.28515625" style="2" customWidth="1"/>
    <col min="3" max="3" width="8" style="2"/>
    <col min="4" max="4" width="14.140625" style="2" bestFit="1" customWidth="1"/>
    <col min="5" max="5" width="11.42578125" style="2" customWidth="1"/>
    <col min="6" max="6" width="11.7109375" style="2" customWidth="1"/>
    <col min="7" max="7" width="11" style="2" customWidth="1"/>
    <col min="8" max="8" width="10.140625" style="2" customWidth="1"/>
    <col min="9" max="9" width="12.7109375" style="2" customWidth="1"/>
    <col min="10" max="11" width="12.7109375" style="2" customWidth="1" outlineLevel="1"/>
    <col min="12" max="12" width="13.28515625" style="2" customWidth="1" outlineLevel="1"/>
    <col min="13" max="16384" width="8" style="5"/>
  </cols>
  <sheetData>
    <row r="1" spans="1:12" ht="14.25" x14ac:dyDescent="0.2">
      <c r="A1" s="1" t="s">
        <v>0</v>
      </c>
    </row>
    <row r="2" spans="1:12" ht="14.25" x14ac:dyDescent="0.2">
      <c r="A2" s="1" t="s">
        <v>1</v>
      </c>
    </row>
    <row r="3" spans="1:12" ht="14.25" x14ac:dyDescent="0.2">
      <c r="A3" s="1" t="s">
        <v>2</v>
      </c>
      <c r="I3" s="120"/>
      <c r="J3" s="121"/>
      <c r="K3" s="121"/>
      <c r="L3" s="121"/>
    </row>
    <row r="4" spans="1:12" ht="14.25" x14ac:dyDescent="0.2">
      <c r="A4" s="1" t="s">
        <v>90</v>
      </c>
      <c r="J4" s="9"/>
      <c r="K4" s="121"/>
      <c r="L4" s="9"/>
    </row>
    <row r="5" spans="1:12" ht="14.25" x14ac:dyDescent="0.2">
      <c r="A5" s="122" t="s">
        <v>91</v>
      </c>
      <c r="G5" s="123"/>
      <c r="H5" s="123"/>
      <c r="I5" s="123"/>
      <c r="J5" s="124"/>
      <c r="K5" s="124"/>
      <c r="L5" s="124"/>
    </row>
    <row r="6" spans="1:12" s="125" customFormat="1" ht="15" thickBot="1" x14ac:dyDescent="0.25">
      <c r="B6" s="126"/>
      <c r="C6" s="126"/>
      <c r="D6" s="126"/>
      <c r="E6" s="126"/>
      <c r="F6" s="126"/>
      <c r="G6" s="126"/>
      <c r="H6" s="126"/>
      <c r="J6" s="124"/>
      <c r="K6" s="124"/>
      <c r="L6" s="124"/>
    </row>
    <row r="7" spans="1:12" x14ac:dyDescent="0.2">
      <c r="A7" s="11">
        <v>1</v>
      </c>
      <c r="D7" s="12" t="s">
        <v>92</v>
      </c>
      <c r="F7" s="127" t="s">
        <v>93</v>
      </c>
      <c r="H7" s="12" t="s">
        <v>94</v>
      </c>
      <c r="I7" s="127"/>
      <c r="J7" s="127" t="s">
        <v>95</v>
      </c>
      <c r="K7" s="127" t="s">
        <v>95</v>
      </c>
      <c r="L7" s="128" t="s">
        <v>95</v>
      </c>
    </row>
    <row r="8" spans="1:12" x14ac:dyDescent="0.2">
      <c r="A8" s="11">
        <v>2</v>
      </c>
      <c r="D8" s="12" t="s">
        <v>96</v>
      </c>
      <c r="E8" s="127"/>
      <c r="F8" s="127" t="s">
        <v>97</v>
      </c>
      <c r="G8" s="12" t="s">
        <v>98</v>
      </c>
      <c r="H8" s="172">
        <v>43405</v>
      </c>
      <c r="I8" s="127">
        <v>43405</v>
      </c>
      <c r="J8" s="127">
        <v>43770</v>
      </c>
      <c r="K8" s="127">
        <v>43770</v>
      </c>
      <c r="L8" s="129">
        <v>43770</v>
      </c>
    </row>
    <row r="9" spans="1:12" x14ac:dyDescent="0.2">
      <c r="A9" s="11">
        <v>3</v>
      </c>
      <c r="D9" s="12" t="s">
        <v>15</v>
      </c>
      <c r="E9" s="12" t="s">
        <v>99</v>
      </c>
      <c r="F9" s="12" t="s">
        <v>100</v>
      </c>
      <c r="G9" s="12" t="s">
        <v>100</v>
      </c>
      <c r="H9" s="12" t="s">
        <v>4</v>
      </c>
      <c r="I9" s="12" t="s">
        <v>94</v>
      </c>
      <c r="J9" s="12" t="s">
        <v>101</v>
      </c>
      <c r="K9" s="12" t="s">
        <v>101</v>
      </c>
      <c r="L9" s="130" t="s">
        <v>101</v>
      </c>
    </row>
    <row r="10" spans="1:12" s="34" customFormat="1" ht="13.5" thickBot="1" x14ac:dyDescent="0.25">
      <c r="A10" s="11">
        <v>4</v>
      </c>
      <c r="B10" s="2"/>
      <c r="C10" s="2"/>
      <c r="D10" s="27" t="s">
        <v>24</v>
      </c>
      <c r="E10" s="27" t="s">
        <v>39</v>
      </c>
      <c r="F10" s="27" t="s">
        <v>102</v>
      </c>
      <c r="G10" s="27" t="s">
        <v>29</v>
      </c>
      <c r="H10" s="27" t="s">
        <v>103</v>
      </c>
      <c r="I10" s="27" t="s">
        <v>104</v>
      </c>
      <c r="J10" s="28" t="s">
        <v>103</v>
      </c>
      <c r="K10" s="27" t="s">
        <v>104</v>
      </c>
      <c r="L10" s="131" t="s">
        <v>105</v>
      </c>
    </row>
    <row r="11" spans="1:12" s="34" customFormat="1" x14ac:dyDescent="0.2">
      <c r="A11" s="11">
        <v>5</v>
      </c>
      <c r="B11" s="2"/>
      <c r="C11" s="2"/>
      <c r="D11" s="35"/>
      <c r="E11" s="35"/>
      <c r="F11" s="35"/>
      <c r="G11" s="35"/>
      <c r="H11" s="35"/>
      <c r="I11" s="13" t="s">
        <v>106</v>
      </c>
      <c r="J11" s="132"/>
      <c r="K11" s="132" t="s">
        <v>107</v>
      </c>
      <c r="L11" s="133"/>
    </row>
    <row r="12" spans="1:12" s="34" customFormat="1" x14ac:dyDescent="0.2">
      <c r="A12" s="11">
        <v>6</v>
      </c>
      <c r="B12" s="42" t="s">
        <v>38</v>
      </c>
      <c r="C12" s="43" t="s">
        <v>39</v>
      </c>
      <c r="D12" s="44" t="s">
        <v>40</v>
      </c>
      <c r="E12" s="44" t="s">
        <v>41</v>
      </c>
      <c r="F12" s="44" t="s">
        <v>42</v>
      </c>
      <c r="G12" s="44" t="s">
        <v>43</v>
      </c>
      <c r="H12" s="44" t="s">
        <v>44</v>
      </c>
      <c r="I12" s="44" t="s">
        <v>108</v>
      </c>
      <c r="J12" s="45" t="s">
        <v>109</v>
      </c>
      <c r="K12" s="45" t="s">
        <v>110</v>
      </c>
      <c r="L12" s="134" t="s">
        <v>111</v>
      </c>
    </row>
    <row r="13" spans="1:12" x14ac:dyDescent="0.2">
      <c r="A13" s="11">
        <v>7</v>
      </c>
      <c r="B13" s="50" t="s">
        <v>54</v>
      </c>
      <c r="C13" s="51"/>
      <c r="D13" s="52">
        <v>196915.9</v>
      </c>
      <c r="E13" s="135" t="s">
        <v>112</v>
      </c>
      <c r="F13" s="136">
        <v>19</v>
      </c>
      <c r="G13" s="55">
        <v>3.47</v>
      </c>
      <c r="H13" s="60">
        <v>1.0291799999999995</v>
      </c>
      <c r="I13" s="63">
        <v>23.02</v>
      </c>
      <c r="J13" s="60">
        <v>1.0276299999999996</v>
      </c>
      <c r="K13" s="63">
        <v>22.99</v>
      </c>
      <c r="L13" s="137">
        <v>-1E-3</v>
      </c>
    </row>
    <row r="14" spans="1:12" x14ac:dyDescent="0.2">
      <c r="A14" s="11">
        <v>8</v>
      </c>
      <c r="B14" s="50" t="s">
        <v>55</v>
      </c>
      <c r="C14" s="51"/>
      <c r="D14" s="52">
        <v>41008.9</v>
      </c>
      <c r="E14" s="135" t="s">
        <v>112</v>
      </c>
      <c r="F14" s="136">
        <v>95</v>
      </c>
      <c r="G14" s="55">
        <v>3.47</v>
      </c>
      <c r="H14" s="60">
        <v>1.0187299999999995</v>
      </c>
      <c r="I14" s="63">
        <v>100.25</v>
      </c>
      <c r="J14" s="60">
        <v>1.0172899999999996</v>
      </c>
      <c r="K14" s="63">
        <v>100.11</v>
      </c>
      <c r="L14" s="137">
        <v>-1E-3</v>
      </c>
    </row>
    <row r="15" spans="1:12" x14ac:dyDescent="0.2">
      <c r="A15" s="11">
        <v>9</v>
      </c>
      <c r="B15" s="50" t="s">
        <v>56</v>
      </c>
      <c r="C15" s="51"/>
      <c r="D15" s="52">
        <v>53306699.299999997</v>
      </c>
      <c r="E15" s="135" t="s">
        <v>112</v>
      </c>
      <c r="F15" s="136">
        <v>57</v>
      </c>
      <c r="G15" s="55">
        <v>7</v>
      </c>
      <c r="H15" s="60">
        <v>0.73545999999999978</v>
      </c>
      <c r="I15" s="63">
        <v>48.92</v>
      </c>
      <c r="J15" s="60">
        <v>0.73443999999999976</v>
      </c>
      <c r="K15" s="63">
        <v>48.86</v>
      </c>
      <c r="L15" s="137">
        <v>-1E-3</v>
      </c>
    </row>
    <row r="16" spans="1:12" x14ac:dyDescent="0.2">
      <c r="A16" s="11">
        <v>10</v>
      </c>
      <c r="B16" s="50" t="s">
        <v>57</v>
      </c>
      <c r="C16" s="51"/>
      <c r="D16" s="52">
        <v>18528180.699999999</v>
      </c>
      <c r="E16" s="135" t="s">
        <v>112</v>
      </c>
      <c r="F16" s="136">
        <v>248</v>
      </c>
      <c r="G16" s="55">
        <v>15</v>
      </c>
      <c r="H16" s="60">
        <v>0.73534000000000033</v>
      </c>
      <c r="I16" s="63">
        <v>197.36</v>
      </c>
      <c r="J16" s="60">
        <v>0.73443000000000036</v>
      </c>
      <c r="K16" s="63">
        <v>197.14</v>
      </c>
      <c r="L16" s="137">
        <v>-1E-3</v>
      </c>
    </row>
    <row r="17" spans="1:12" x14ac:dyDescent="0.2">
      <c r="A17" s="11">
        <v>11</v>
      </c>
      <c r="B17" s="50" t="s">
        <v>58</v>
      </c>
      <c r="C17" s="51"/>
      <c r="D17" s="52">
        <v>363801</v>
      </c>
      <c r="E17" s="135" t="s">
        <v>112</v>
      </c>
      <c r="F17" s="136">
        <v>1213</v>
      </c>
      <c r="G17" s="55">
        <v>15</v>
      </c>
      <c r="H17" s="60">
        <v>0.70457999999999954</v>
      </c>
      <c r="I17" s="63">
        <v>869.66</v>
      </c>
      <c r="J17" s="60">
        <v>0.70377999999999952</v>
      </c>
      <c r="K17" s="63">
        <v>868.69</v>
      </c>
      <c r="L17" s="137">
        <v>-1E-3</v>
      </c>
    </row>
    <row r="18" spans="1:12" x14ac:dyDescent="0.2">
      <c r="A18" s="11">
        <v>12</v>
      </c>
      <c r="B18" s="64">
        <v>27</v>
      </c>
      <c r="C18" s="65"/>
      <c r="D18" s="52">
        <v>575777.19999999995</v>
      </c>
      <c r="E18" s="135" t="s">
        <v>112</v>
      </c>
      <c r="F18" s="136">
        <v>54</v>
      </c>
      <c r="G18" s="55">
        <v>6</v>
      </c>
      <c r="H18" s="60">
        <v>0.56221999999999994</v>
      </c>
      <c r="I18" s="63">
        <v>36.36</v>
      </c>
      <c r="J18" s="60">
        <v>0.56159000000000003</v>
      </c>
      <c r="K18" s="63">
        <v>36.33</v>
      </c>
      <c r="L18" s="137">
        <v>-1E-3</v>
      </c>
    </row>
    <row r="19" spans="1:12" x14ac:dyDescent="0.2">
      <c r="A19" s="11">
        <v>13</v>
      </c>
      <c r="B19" s="66" t="s">
        <v>59</v>
      </c>
      <c r="C19" s="67" t="s">
        <v>60</v>
      </c>
      <c r="D19" s="68">
        <v>1970232.1</v>
      </c>
      <c r="E19" s="139">
        <v>2000</v>
      </c>
      <c r="F19" s="113">
        <v>3554</v>
      </c>
      <c r="G19" s="173">
        <v>250</v>
      </c>
      <c r="H19" s="61">
        <v>0.49926000000000026</v>
      </c>
      <c r="I19" s="71"/>
      <c r="J19" s="61">
        <v>0.49860000000000027</v>
      </c>
      <c r="K19" s="71"/>
      <c r="L19" s="140"/>
    </row>
    <row r="20" spans="1:12" x14ac:dyDescent="0.2">
      <c r="A20" s="11">
        <v>14</v>
      </c>
      <c r="B20" s="66"/>
      <c r="C20" s="67" t="s">
        <v>61</v>
      </c>
      <c r="D20" s="68">
        <v>2123869.7999999998</v>
      </c>
      <c r="E20" s="139" t="s">
        <v>113</v>
      </c>
      <c r="F20" s="113"/>
      <c r="G20" s="173"/>
      <c r="H20" s="61">
        <v>0.46017999999999998</v>
      </c>
      <c r="I20" s="71"/>
      <c r="J20" s="61">
        <v>0.45958999999999994</v>
      </c>
      <c r="K20" s="71"/>
      <c r="L20" s="140"/>
    </row>
    <row r="21" spans="1:12" x14ac:dyDescent="0.2">
      <c r="A21" s="11">
        <v>15</v>
      </c>
      <c r="B21" s="64"/>
      <c r="C21" s="141" t="s">
        <v>114</v>
      </c>
      <c r="D21" s="142"/>
      <c r="E21" s="143"/>
      <c r="F21" s="144"/>
      <c r="G21" s="174"/>
      <c r="H21" s="145"/>
      <c r="I21" s="146">
        <v>1963.64</v>
      </c>
      <c r="J21" s="145"/>
      <c r="K21" s="146">
        <v>1961.4</v>
      </c>
      <c r="L21" s="147">
        <v>-1E-3</v>
      </c>
    </row>
    <row r="22" spans="1:12" x14ac:dyDescent="0.2">
      <c r="A22" s="11">
        <v>16</v>
      </c>
      <c r="B22" s="66" t="s">
        <v>62</v>
      </c>
      <c r="C22" s="67" t="s">
        <v>60</v>
      </c>
      <c r="D22" s="68">
        <v>0</v>
      </c>
      <c r="E22" s="139">
        <v>2000</v>
      </c>
      <c r="F22" s="113">
        <v>0</v>
      </c>
      <c r="G22" s="173">
        <v>250</v>
      </c>
      <c r="H22" s="61">
        <v>0.51518999999999993</v>
      </c>
      <c r="I22" s="71"/>
      <c r="J22" s="61">
        <v>0.51450999999999991</v>
      </c>
      <c r="K22" s="71"/>
      <c r="L22" s="140"/>
    </row>
    <row r="23" spans="1:12" x14ac:dyDescent="0.2">
      <c r="A23" s="11">
        <v>17</v>
      </c>
      <c r="B23" s="66"/>
      <c r="C23" s="67" t="s">
        <v>61</v>
      </c>
      <c r="D23" s="68">
        <v>0</v>
      </c>
      <c r="E23" s="139" t="s">
        <v>113</v>
      </c>
      <c r="F23" s="149"/>
      <c r="G23" s="175"/>
      <c r="H23" s="61">
        <v>0.47625999999999991</v>
      </c>
      <c r="I23" s="71"/>
      <c r="J23" s="61">
        <v>0.47565999999999992</v>
      </c>
      <c r="K23" s="71"/>
      <c r="L23" s="140"/>
    </row>
    <row r="24" spans="1:12" x14ac:dyDescent="0.2">
      <c r="A24" s="11">
        <v>18</v>
      </c>
      <c r="B24" s="64"/>
      <c r="C24" s="141" t="s">
        <v>114</v>
      </c>
      <c r="D24" s="142"/>
      <c r="E24" s="143"/>
      <c r="F24" s="144"/>
      <c r="G24" s="174"/>
      <c r="H24" s="145"/>
      <c r="I24" s="146">
        <v>250</v>
      </c>
      <c r="J24" s="145"/>
      <c r="K24" s="146">
        <v>250</v>
      </c>
      <c r="L24" s="147">
        <v>0</v>
      </c>
    </row>
    <row r="25" spans="1:12" x14ac:dyDescent="0.2">
      <c r="A25" s="11">
        <v>19</v>
      </c>
      <c r="B25" s="66" t="s">
        <v>63</v>
      </c>
      <c r="C25" s="67" t="s">
        <v>60</v>
      </c>
      <c r="D25" s="68">
        <v>303749</v>
      </c>
      <c r="E25" s="139">
        <v>2000</v>
      </c>
      <c r="F25" s="113">
        <v>8210</v>
      </c>
      <c r="G25" s="173">
        <v>500</v>
      </c>
      <c r="H25" s="61">
        <v>0.30018999999999996</v>
      </c>
      <c r="I25" s="71"/>
      <c r="J25" s="61">
        <v>0.30018999999999996</v>
      </c>
      <c r="K25" s="71"/>
      <c r="L25" s="140"/>
    </row>
    <row r="26" spans="1:12" x14ac:dyDescent="0.2">
      <c r="A26" s="11">
        <v>20</v>
      </c>
      <c r="B26" s="66"/>
      <c r="C26" s="67" t="s">
        <v>61</v>
      </c>
      <c r="D26" s="68">
        <v>484375</v>
      </c>
      <c r="E26" s="139" t="s">
        <v>113</v>
      </c>
      <c r="F26" s="113"/>
      <c r="G26" s="173"/>
      <c r="H26" s="61">
        <v>0.26449</v>
      </c>
      <c r="I26" s="71"/>
      <c r="J26" s="61">
        <v>0.26449</v>
      </c>
      <c r="K26" s="71"/>
      <c r="L26" s="140"/>
    </row>
    <row r="27" spans="1:12" x14ac:dyDescent="0.2">
      <c r="A27" s="11">
        <v>21</v>
      </c>
      <c r="B27" s="64"/>
      <c r="C27" s="141" t="s">
        <v>114</v>
      </c>
      <c r="D27" s="142"/>
      <c r="E27" s="143"/>
      <c r="F27" s="144"/>
      <c r="G27" s="174"/>
      <c r="H27" s="145"/>
      <c r="I27" s="146">
        <v>2742.86</v>
      </c>
      <c r="J27" s="145"/>
      <c r="K27" s="146">
        <v>2742.86</v>
      </c>
      <c r="L27" s="147">
        <v>0</v>
      </c>
    </row>
    <row r="28" spans="1:12" x14ac:dyDescent="0.2">
      <c r="A28" s="11">
        <v>22</v>
      </c>
      <c r="B28" s="66" t="s">
        <v>64</v>
      </c>
      <c r="C28" s="67" t="s">
        <v>60</v>
      </c>
      <c r="D28" s="68">
        <v>360236</v>
      </c>
      <c r="E28" s="139">
        <v>2000</v>
      </c>
      <c r="F28" s="113">
        <v>4177</v>
      </c>
      <c r="G28" s="173">
        <v>250</v>
      </c>
      <c r="H28" s="61">
        <v>0.47592000000000023</v>
      </c>
      <c r="I28" s="71"/>
      <c r="J28" s="61">
        <v>0.47516000000000025</v>
      </c>
      <c r="K28" s="71"/>
      <c r="L28" s="140"/>
    </row>
    <row r="29" spans="1:12" x14ac:dyDescent="0.2">
      <c r="A29" s="11">
        <v>23</v>
      </c>
      <c r="B29" s="66"/>
      <c r="C29" s="67" t="s">
        <v>61</v>
      </c>
      <c r="D29" s="68">
        <v>542040</v>
      </c>
      <c r="E29" s="139" t="s">
        <v>113</v>
      </c>
      <c r="F29" s="149"/>
      <c r="G29" s="175"/>
      <c r="H29" s="61">
        <v>0.43959999999999988</v>
      </c>
      <c r="I29" s="71"/>
      <c r="J29" s="61">
        <v>0.43893999999999994</v>
      </c>
      <c r="K29" s="71"/>
      <c r="L29" s="140"/>
    </row>
    <row r="30" spans="1:12" x14ac:dyDescent="0.2">
      <c r="A30" s="11">
        <v>24</v>
      </c>
      <c r="B30" s="64"/>
      <c r="C30" s="141" t="s">
        <v>114</v>
      </c>
      <c r="D30" s="142"/>
      <c r="E30" s="143"/>
      <c r="F30" s="144"/>
      <c r="G30" s="174"/>
      <c r="H30" s="145"/>
      <c r="I30" s="146">
        <v>2158.85</v>
      </c>
      <c r="J30" s="145"/>
      <c r="K30" s="146">
        <v>2155.8900000000003</v>
      </c>
      <c r="L30" s="147">
        <v>-1E-3</v>
      </c>
    </row>
    <row r="31" spans="1:12" x14ac:dyDescent="0.2">
      <c r="A31" s="11">
        <v>25</v>
      </c>
      <c r="B31" s="66" t="s">
        <v>65</v>
      </c>
      <c r="C31" s="67" t="s">
        <v>60</v>
      </c>
      <c r="D31" s="68">
        <v>0</v>
      </c>
      <c r="E31" s="139">
        <v>2000</v>
      </c>
      <c r="F31" s="113">
        <v>0</v>
      </c>
      <c r="G31" s="173">
        <v>250</v>
      </c>
      <c r="H31" s="61">
        <v>0.4930000000000001</v>
      </c>
      <c r="I31" s="71"/>
      <c r="J31" s="61">
        <v>0.49232000000000015</v>
      </c>
      <c r="K31" s="71"/>
      <c r="L31" s="140"/>
    </row>
    <row r="32" spans="1:12" x14ac:dyDescent="0.2">
      <c r="A32" s="11">
        <v>26</v>
      </c>
      <c r="B32" s="66"/>
      <c r="C32" s="67" t="s">
        <v>61</v>
      </c>
      <c r="D32" s="68">
        <v>0</v>
      </c>
      <c r="E32" s="139" t="s">
        <v>113</v>
      </c>
      <c r="F32" s="113"/>
      <c r="G32" s="173"/>
      <c r="H32" s="61">
        <v>0.45670999999999995</v>
      </c>
      <c r="I32" s="71"/>
      <c r="J32" s="61">
        <v>0.45610999999999996</v>
      </c>
      <c r="K32" s="71"/>
      <c r="L32" s="140"/>
    </row>
    <row r="33" spans="1:12" x14ac:dyDescent="0.2">
      <c r="A33" s="11">
        <v>27</v>
      </c>
      <c r="B33" s="64"/>
      <c r="C33" s="141" t="s">
        <v>114</v>
      </c>
      <c r="D33" s="142"/>
      <c r="E33" s="143"/>
      <c r="F33" s="144"/>
      <c r="G33" s="174"/>
      <c r="H33" s="145"/>
      <c r="I33" s="146">
        <v>250</v>
      </c>
      <c r="J33" s="145"/>
      <c r="K33" s="146">
        <v>250</v>
      </c>
      <c r="L33" s="147">
        <v>0</v>
      </c>
    </row>
    <row r="34" spans="1:12" x14ac:dyDescent="0.2">
      <c r="A34" s="11">
        <v>28</v>
      </c>
      <c r="B34" s="66" t="s">
        <v>66</v>
      </c>
      <c r="C34" s="67" t="s">
        <v>60</v>
      </c>
      <c r="D34" s="68">
        <v>561182.4</v>
      </c>
      <c r="E34" s="68">
        <v>10000</v>
      </c>
      <c r="F34" s="113">
        <v>16603</v>
      </c>
      <c r="G34" s="173">
        <v>1300</v>
      </c>
      <c r="H34" s="61">
        <v>0.30433999999999994</v>
      </c>
      <c r="I34" s="71"/>
      <c r="J34" s="61">
        <v>0.30390999999999996</v>
      </c>
      <c r="K34" s="71"/>
      <c r="L34" s="140"/>
    </row>
    <row r="35" spans="1:12" x14ac:dyDescent="0.2">
      <c r="A35" s="11">
        <v>29</v>
      </c>
      <c r="B35" s="66"/>
      <c r="C35" s="67" t="s">
        <v>61</v>
      </c>
      <c r="D35" s="68">
        <v>481861</v>
      </c>
      <c r="E35" s="68">
        <v>20000</v>
      </c>
      <c r="F35" s="113"/>
      <c r="G35" s="173"/>
      <c r="H35" s="61">
        <v>0.29029999999999978</v>
      </c>
      <c r="I35" s="71"/>
      <c r="J35" s="61">
        <v>0.2899299999999998</v>
      </c>
      <c r="K35" s="71"/>
      <c r="L35" s="140"/>
    </row>
    <row r="36" spans="1:12" x14ac:dyDescent="0.2">
      <c r="A36" s="11">
        <v>30</v>
      </c>
      <c r="B36" s="66"/>
      <c r="C36" s="67" t="s">
        <v>67</v>
      </c>
      <c r="D36" s="68">
        <v>131374.9</v>
      </c>
      <c r="E36" s="68">
        <v>20000</v>
      </c>
      <c r="F36" s="113"/>
      <c r="G36" s="173"/>
      <c r="H36" s="61">
        <v>0.26236999999999994</v>
      </c>
      <c r="I36" s="71"/>
      <c r="J36" s="61">
        <v>0.26206999999999991</v>
      </c>
      <c r="K36" s="71"/>
      <c r="L36" s="140"/>
    </row>
    <row r="37" spans="1:12" x14ac:dyDescent="0.2">
      <c r="A37" s="11">
        <v>31</v>
      </c>
      <c r="B37" s="66"/>
      <c r="C37" s="67" t="s">
        <v>68</v>
      </c>
      <c r="D37" s="68">
        <v>20968.900000000001</v>
      </c>
      <c r="E37" s="68">
        <v>100000</v>
      </c>
      <c r="F37" s="113"/>
      <c r="G37" s="173"/>
      <c r="H37" s="61">
        <v>0.2439800000000002</v>
      </c>
      <c r="I37" s="71"/>
      <c r="J37" s="61">
        <v>0.24375000000000019</v>
      </c>
      <c r="K37" s="71"/>
      <c r="L37" s="140"/>
    </row>
    <row r="38" spans="1:12" x14ac:dyDescent="0.2">
      <c r="A38" s="11">
        <v>32</v>
      </c>
      <c r="B38" s="66"/>
      <c r="C38" s="67" t="s">
        <v>69</v>
      </c>
      <c r="D38" s="68">
        <v>0</v>
      </c>
      <c r="E38" s="68">
        <v>600000</v>
      </c>
      <c r="F38" s="113"/>
      <c r="G38" s="173"/>
      <c r="H38" s="61">
        <v>0.21944999999999995</v>
      </c>
      <c r="I38" s="71"/>
      <c r="J38" s="61">
        <v>0.21928999999999996</v>
      </c>
      <c r="K38" s="71"/>
      <c r="L38" s="140"/>
    </row>
    <row r="39" spans="1:12" x14ac:dyDescent="0.2">
      <c r="A39" s="11">
        <v>33</v>
      </c>
      <c r="B39" s="66"/>
      <c r="C39" s="67" t="s">
        <v>70</v>
      </c>
      <c r="D39" s="68">
        <v>0</v>
      </c>
      <c r="E39" s="139" t="s">
        <v>113</v>
      </c>
      <c r="F39" s="113"/>
      <c r="G39" s="173"/>
      <c r="H39" s="61">
        <v>0.18881000000000006</v>
      </c>
      <c r="I39" s="71"/>
      <c r="J39" s="61">
        <v>0.18875000000000006</v>
      </c>
      <c r="K39" s="71"/>
      <c r="L39" s="140"/>
    </row>
    <row r="40" spans="1:12" x14ac:dyDescent="0.2">
      <c r="A40" s="11">
        <v>34</v>
      </c>
      <c r="B40" s="64"/>
      <c r="C40" s="141" t="s">
        <v>114</v>
      </c>
      <c r="D40" s="142"/>
      <c r="E40" s="143"/>
      <c r="F40" s="144"/>
      <c r="G40" s="174"/>
      <c r="H40" s="145"/>
      <c r="I40" s="146">
        <v>6260.25</v>
      </c>
      <c r="J40" s="145"/>
      <c r="K40" s="146">
        <v>6253.51</v>
      </c>
      <c r="L40" s="147">
        <v>-1E-3</v>
      </c>
    </row>
    <row r="41" spans="1:12" x14ac:dyDescent="0.2">
      <c r="A41" s="11">
        <v>35</v>
      </c>
      <c r="B41" s="66" t="s">
        <v>71</v>
      </c>
      <c r="C41" s="67" t="s">
        <v>60</v>
      </c>
      <c r="D41" s="68">
        <v>1060773</v>
      </c>
      <c r="E41" s="68">
        <v>10000</v>
      </c>
      <c r="F41" s="113">
        <v>12726</v>
      </c>
      <c r="G41" s="173">
        <v>1300</v>
      </c>
      <c r="H41" s="61">
        <v>0.29139999999999999</v>
      </c>
      <c r="I41" s="71"/>
      <c r="J41" s="61">
        <v>0.29104999999999998</v>
      </c>
      <c r="K41" s="71"/>
      <c r="L41" s="140"/>
    </row>
    <row r="42" spans="1:12" x14ac:dyDescent="0.2">
      <c r="A42" s="11">
        <v>36</v>
      </c>
      <c r="B42" s="66"/>
      <c r="C42" s="67" t="s">
        <v>61</v>
      </c>
      <c r="D42" s="68">
        <v>650234</v>
      </c>
      <c r="E42" s="68">
        <v>20000</v>
      </c>
      <c r="F42" s="113"/>
      <c r="G42" s="173"/>
      <c r="H42" s="61">
        <v>0.27872000000000008</v>
      </c>
      <c r="I42" s="71"/>
      <c r="J42" s="61">
        <v>0.27841000000000005</v>
      </c>
      <c r="K42" s="71"/>
      <c r="L42" s="140"/>
    </row>
    <row r="43" spans="1:12" x14ac:dyDescent="0.2">
      <c r="A43" s="11">
        <v>37</v>
      </c>
      <c r="B43" s="66"/>
      <c r="C43" s="67" t="s">
        <v>67</v>
      </c>
      <c r="D43" s="68">
        <v>112053</v>
      </c>
      <c r="E43" s="68">
        <v>20000</v>
      </c>
      <c r="F43" s="113"/>
      <c r="G43" s="173"/>
      <c r="H43" s="61">
        <v>0.25346999999999992</v>
      </c>
      <c r="I43" s="71"/>
      <c r="J43" s="61">
        <v>0.25322999999999996</v>
      </c>
      <c r="K43" s="71"/>
      <c r="L43" s="140"/>
    </row>
    <row r="44" spans="1:12" x14ac:dyDescent="0.2">
      <c r="A44" s="11">
        <v>38</v>
      </c>
      <c r="B44" s="66"/>
      <c r="C44" s="67" t="s">
        <v>68</v>
      </c>
      <c r="D44" s="68">
        <v>9427</v>
      </c>
      <c r="E44" s="68">
        <v>100000</v>
      </c>
      <c r="F44" s="113"/>
      <c r="G44" s="173"/>
      <c r="H44" s="61">
        <v>0.23686000000000015</v>
      </c>
      <c r="I44" s="71"/>
      <c r="J44" s="61">
        <v>0.23667000000000016</v>
      </c>
      <c r="K44" s="71"/>
      <c r="L44" s="140"/>
    </row>
    <row r="45" spans="1:12" x14ac:dyDescent="0.2">
      <c r="A45" s="11">
        <v>39</v>
      </c>
      <c r="B45" s="66"/>
      <c r="C45" s="67" t="s">
        <v>69</v>
      </c>
      <c r="D45" s="68">
        <v>0</v>
      </c>
      <c r="E45" s="68">
        <v>600000</v>
      </c>
      <c r="F45" s="113"/>
      <c r="G45" s="173"/>
      <c r="H45" s="61">
        <v>0.2147300000000002</v>
      </c>
      <c r="I45" s="71"/>
      <c r="J45" s="61">
        <v>0.21460000000000021</v>
      </c>
      <c r="K45" s="71"/>
      <c r="L45" s="140"/>
    </row>
    <row r="46" spans="1:12" x14ac:dyDescent="0.2">
      <c r="A46" s="11">
        <v>40</v>
      </c>
      <c r="B46" s="66"/>
      <c r="C46" s="67" t="s">
        <v>70</v>
      </c>
      <c r="D46" s="68">
        <v>0</v>
      </c>
      <c r="E46" s="139" t="s">
        <v>113</v>
      </c>
      <c r="F46" s="113"/>
      <c r="G46" s="173"/>
      <c r="H46" s="61">
        <v>0.18703999999999993</v>
      </c>
      <c r="I46" s="71"/>
      <c r="J46" s="61">
        <v>0.18697999999999992</v>
      </c>
      <c r="K46" s="71"/>
      <c r="L46" s="140"/>
    </row>
    <row r="47" spans="1:12" x14ac:dyDescent="0.2">
      <c r="A47" s="11">
        <v>41</v>
      </c>
      <c r="B47" s="64"/>
      <c r="C47" s="141" t="s">
        <v>114</v>
      </c>
      <c r="D47" s="142"/>
      <c r="E47" s="143"/>
      <c r="F47" s="144"/>
      <c r="G47" s="174"/>
      <c r="H47" s="145"/>
      <c r="I47" s="146">
        <v>4973.79</v>
      </c>
      <c r="J47" s="145"/>
      <c r="K47" s="146">
        <v>4969.45</v>
      </c>
      <c r="L47" s="147">
        <v>-1E-3</v>
      </c>
    </row>
    <row r="48" spans="1:12" x14ac:dyDescent="0.2">
      <c r="A48" s="11">
        <v>42</v>
      </c>
      <c r="B48" s="66" t="s">
        <v>72</v>
      </c>
      <c r="C48" s="67" t="s">
        <v>60</v>
      </c>
      <c r="D48" s="68">
        <v>1336403</v>
      </c>
      <c r="E48" s="68">
        <v>10000</v>
      </c>
      <c r="F48" s="113">
        <v>48106</v>
      </c>
      <c r="G48" s="173">
        <v>1550</v>
      </c>
      <c r="H48" s="61">
        <v>0.11795</v>
      </c>
      <c r="I48" s="71"/>
      <c r="J48" s="61">
        <v>0.11795</v>
      </c>
      <c r="K48" s="71"/>
      <c r="L48" s="140"/>
    </row>
    <row r="49" spans="1:12" x14ac:dyDescent="0.2">
      <c r="A49" s="11">
        <v>43</v>
      </c>
      <c r="B49" s="66"/>
      <c r="C49" s="67" t="s">
        <v>61</v>
      </c>
      <c r="D49" s="68">
        <v>1682938</v>
      </c>
      <c r="E49" s="68">
        <v>20000</v>
      </c>
      <c r="F49" s="113"/>
      <c r="G49" s="173"/>
      <c r="H49" s="61">
        <v>0.10557999999999999</v>
      </c>
      <c r="I49" s="71"/>
      <c r="J49" s="61">
        <v>0.10557999999999999</v>
      </c>
      <c r="K49" s="71"/>
      <c r="L49" s="140"/>
    </row>
    <row r="50" spans="1:12" x14ac:dyDescent="0.2">
      <c r="A50" s="11">
        <v>44</v>
      </c>
      <c r="B50" s="66"/>
      <c r="C50" s="67" t="s">
        <v>67</v>
      </c>
      <c r="D50" s="68">
        <v>1387648</v>
      </c>
      <c r="E50" s="68">
        <v>20000</v>
      </c>
      <c r="F50" s="113"/>
      <c r="G50" s="173"/>
      <c r="H50" s="61">
        <v>8.0960000000000004E-2</v>
      </c>
      <c r="I50" s="71"/>
      <c r="J50" s="61">
        <v>8.0960000000000004E-2</v>
      </c>
      <c r="K50" s="71"/>
      <c r="L50" s="140"/>
    </row>
    <row r="51" spans="1:12" x14ac:dyDescent="0.2">
      <c r="A51" s="11">
        <v>45</v>
      </c>
      <c r="B51" s="66"/>
      <c r="C51" s="67" t="s">
        <v>68</v>
      </c>
      <c r="D51" s="68">
        <v>2195748</v>
      </c>
      <c r="E51" s="68">
        <v>100000</v>
      </c>
      <c r="F51" s="113"/>
      <c r="G51" s="173"/>
      <c r="H51" s="61">
        <v>6.4769999999999994E-2</v>
      </c>
      <c r="I51" s="71"/>
      <c r="J51" s="61">
        <v>6.4769999999999994E-2</v>
      </c>
      <c r="K51" s="71"/>
      <c r="L51" s="140"/>
    </row>
    <row r="52" spans="1:12" x14ac:dyDescent="0.2">
      <c r="A52" s="11">
        <v>46</v>
      </c>
      <c r="B52" s="66"/>
      <c r="C52" s="67" t="s">
        <v>69</v>
      </c>
      <c r="D52" s="68">
        <v>901810</v>
      </c>
      <c r="E52" s="68">
        <v>600000</v>
      </c>
      <c r="F52" s="113"/>
      <c r="G52" s="173"/>
      <c r="H52" s="61">
        <v>4.3180000000000003E-2</v>
      </c>
      <c r="I52" s="71"/>
      <c r="J52" s="61">
        <v>4.3180000000000003E-2</v>
      </c>
      <c r="K52" s="71"/>
      <c r="L52" s="140"/>
    </row>
    <row r="53" spans="1:12" x14ac:dyDescent="0.2">
      <c r="A53" s="11">
        <v>47</v>
      </c>
      <c r="B53" s="66"/>
      <c r="C53" s="67" t="s">
        <v>70</v>
      </c>
      <c r="D53" s="68">
        <v>0</v>
      </c>
      <c r="E53" s="139" t="s">
        <v>113</v>
      </c>
      <c r="F53" s="113"/>
      <c r="G53" s="173"/>
      <c r="H53" s="61">
        <v>1.619E-2</v>
      </c>
      <c r="I53" s="71"/>
      <c r="J53" s="61">
        <v>1.619E-2</v>
      </c>
      <c r="K53" s="71"/>
      <c r="L53" s="140"/>
    </row>
    <row r="54" spans="1:12" x14ac:dyDescent="0.2">
      <c r="A54" s="11">
        <v>48</v>
      </c>
      <c r="B54" s="64"/>
      <c r="C54" s="141" t="s">
        <v>114</v>
      </c>
      <c r="D54" s="142"/>
      <c r="E54" s="143"/>
      <c r="F54" s="144"/>
      <c r="G54" s="174"/>
      <c r="H54" s="145"/>
      <c r="I54" s="146">
        <v>6306.96</v>
      </c>
      <c r="J54" s="145"/>
      <c r="K54" s="146">
        <v>6306.96</v>
      </c>
      <c r="L54" s="147">
        <v>0</v>
      </c>
    </row>
    <row r="55" spans="1:12" x14ac:dyDescent="0.2">
      <c r="A55" s="11">
        <v>49</v>
      </c>
      <c r="B55" s="66" t="s">
        <v>73</v>
      </c>
      <c r="C55" s="67" t="s">
        <v>60</v>
      </c>
      <c r="D55" s="68">
        <v>237919</v>
      </c>
      <c r="E55" s="68">
        <v>10000</v>
      </c>
      <c r="F55" s="113">
        <v>39882</v>
      </c>
      <c r="G55" s="173">
        <v>1300</v>
      </c>
      <c r="H55" s="61">
        <v>0.31897999999999999</v>
      </c>
      <c r="I55" s="71"/>
      <c r="J55" s="61">
        <v>0.31850000000000001</v>
      </c>
      <c r="K55" s="71"/>
      <c r="L55" s="140"/>
    </row>
    <row r="56" spans="1:12" x14ac:dyDescent="0.2">
      <c r="A56" s="11">
        <v>50</v>
      </c>
      <c r="B56" s="66"/>
      <c r="C56" s="67" t="s">
        <v>61</v>
      </c>
      <c r="D56" s="68">
        <v>464853</v>
      </c>
      <c r="E56" s="68">
        <v>20000</v>
      </c>
      <c r="F56" s="149"/>
      <c r="G56" s="175"/>
      <c r="H56" s="61">
        <v>0.30522999999999989</v>
      </c>
      <c r="I56" s="71"/>
      <c r="J56" s="61">
        <v>0.30480999999999986</v>
      </c>
      <c r="K56" s="71"/>
      <c r="L56" s="140"/>
    </row>
    <row r="57" spans="1:12" x14ac:dyDescent="0.2">
      <c r="A57" s="11">
        <v>51</v>
      </c>
      <c r="B57" s="66"/>
      <c r="C57" s="67" t="s">
        <v>67</v>
      </c>
      <c r="D57" s="68">
        <v>214908</v>
      </c>
      <c r="E57" s="68">
        <v>20000</v>
      </c>
      <c r="F57" s="149"/>
      <c r="G57" s="175"/>
      <c r="H57" s="61">
        <v>0.27787000000000012</v>
      </c>
      <c r="I57" s="71"/>
      <c r="J57" s="61">
        <v>0.27754000000000012</v>
      </c>
      <c r="K57" s="71"/>
      <c r="L57" s="140"/>
    </row>
    <row r="58" spans="1:12" x14ac:dyDescent="0.2">
      <c r="A58" s="11">
        <v>52</v>
      </c>
      <c r="B58" s="66"/>
      <c r="C58" s="67" t="s">
        <v>68</v>
      </c>
      <c r="D58" s="68">
        <v>39494</v>
      </c>
      <c r="E58" s="68">
        <v>100000</v>
      </c>
      <c r="F58" s="149"/>
      <c r="G58" s="175"/>
      <c r="H58" s="61">
        <v>0.25987999999999994</v>
      </c>
      <c r="I58" s="71"/>
      <c r="J58" s="61">
        <v>0.25961999999999996</v>
      </c>
      <c r="K58" s="71"/>
      <c r="L58" s="140"/>
    </row>
    <row r="59" spans="1:12" x14ac:dyDescent="0.2">
      <c r="A59" s="11">
        <v>53</v>
      </c>
      <c r="B59" s="66"/>
      <c r="C59" s="67" t="s">
        <v>69</v>
      </c>
      <c r="D59" s="68">
        <v>0</v>
      </c>
      <c r="E59" s="68">
        <v>600000</v>
      </c>
      <c r="F59" s="149"/>
      <c r="G59" s="175"/>
      <c r="H59" s="61">
        <v>0.23588000000000003</v>
      </c>
      <c r="I59" s="71"/>
      <c r="J59" s="61">
        <v>0.23571000000000003</v>
      </c>
      <c r="K59" s="71"/>
      <c r="L59" s="140"/>
    </row>
    <row r="60" spans="1:12" x14ac:dyDescent="0.2">
      <c r="A60" s="11">
        <v>54</v>
      </c>
      <c r="B60" s="66"/>
      <c r="C60" s="67" t="s">
        <v>70</v>
      </c>
      <c r="D60" s="68">
        <v>0</v>
      </c>
      <c r="E60" s="139" t="s">
        <v>113</v>
      </c>
      <c r="F60" s="149"/>
      <c r="G60" s="175"/>
      <c r="H60" s="61">
        <v>0.20589999999999992</v>
      </c>
      <c r="I60" s="71"/>
      <c r="J60" s="61">
        <v>0.20583999999999994</v>
      </c>
      <c r="K60" s="71"/>
      <c r="L60" s="140"/>
    </row>
    <row r="61" spans="1:12" x14ac:dyDescent="0.2">
      <c r="A61" s="11">
        <v>55</v>
      </c>
      <c r="B61" s="64"/>
      <c r="C61" s="141" t="s">
        <v>114</v>
      </c>
      <c r="D61" s="142"/>
      <c r="E61" s="143"/>
      <c r="F61" s="144"/>
      <c r="G61" s="174"/>
      <c r="H61" s="145"/>
      <c r="I61" s="146">
        <v>13340.31</v>
      </c>
      <c r="J61" s="145"/>
      <c r="K61" s="146">
        <v>13323.85</v>
      </c>
      <c r="L61" s="147">
        <v>-1E-3</v>
      </c>
    </row>
    <row r="62" spans="1:12" x14ac:dyDescent="0.2">
      <c r="A62" s="11">
        <v>56</v>
      </c>
      <c r="B62" s="66" t="s">
        <v>74</v>
      </c>
      <c r="C62" s="67" t="s">
        <v>60</v>
      </c>
      <c r="D62" s="68">
        <v>159428</v>
      </c>
      <c r="E62" s="68">
        <v>10000</v>
      </c>
      <c r="F62" s="113">
        <v>8626</v>
      </c>
      <c r="G62" s="173">
        <v>1300</v>
      </c>
      <c r="H62" s="61">
        <v>0.30886999999999998</v>
      </c>
      <c r="I62" s="71"/>
      <c r="J62" s="61">
        <v>0.309</v>
      </c>
      <c r="K62" s="71"/>
      <c r="L62" s="140"/>
    </row>
    <row r="63" spans="1:12" x14ac:dyDescent="0.2">
      <c r="A63" s="11">
        <v>57</v>
      </c>
      <c r="B63" s="66"/>
      <c r="C63" s="67" t="s">
        <v>61</v>
      </c>
      <c r="D63" s="68">
        <v>151104</v>
      </c>
      <c r="E63" s="68">
        <v>20000</v>
      </c>
      <c r="F63" s="113"/>
      <c r="G63" s="173"/>
      <c r="H63" s="61">
        <v>0.29617999999999989</v>
      </c>
      <c r="I63" s="71"/>
      <c r="J63" s="61">
        <v>0.2962999999999999</v>
      </c>
      <c r="K63" s="71"/>
      <c r="L63" s="140"/>
    </row>
    <row r="64" spans="1:12" x14ac:dyDescent="0.2">
      <c r="A64" s="11">
        <v>58</v>
      </c>
      <c r="B64" s="66"/>
      <c r="C64" s="67" t="s">
        <v>67</v>
      </c>
      <c r="D64" s="68">
        <v>0</v>
      </c>
      <c r="E64" s="68">
        <v>20000</v>
      </c>
      <c r="F64" s="113"/>
      <c r="G64" s="173"/>
      <c r="H64" s="61">
        <v>0.27094000000000013</v>
      </c>
      <c r="I64" s="71"/>
      <c r="J64" s="61">
        <v>0.27104000000000011</v>
      </c>
      <c r="K64" s="71"/>
      <c r="L64" s="140"/>
    </row>
    <row r="65" spans="1:12" x14ac:dyDescent="0.2">
      <c r="A65" s="11">
        <v>59</v>
      </c>
      <c r="B65" s="66"/>
      <c r="C65" s="67" t="s">
        <v>68</v>
      </c>
      <c r="D65" s="68">
        <v>0</v>
      </c>
      <c r="E65" s="68">
        <v>100000</v>
      </c>
      <c r="F65" s="113"/>
      <c r="G65" s="173"/>
      <c r="H65" s="61">
        <v>0.25432999999999983</v>
      </c>
      <c r="I65" s="71"/>
      <c r="J65" s="61">
        <v>0.25438999999999989</v>
      </c>
      <c r="K65" s="71"/>
      <c r="L65" s="140"/>
    </row>
    <row r="66" spans="1:12" x14ac:dyDescent="0.2">
      <c r="A66" s="11">
        <v>60</v>
      </c>
      <c r="B66" s="66"/>
      <c r="C66" s="67" t="s">
        <v>69</v>
      </c>
      <c r="D66" s="68">
        <v>0</v>
      </c>
      <c r="E66" s="68">
        <v>600000</v>
      </c>
      <c r="F66" s="113"/>
      <c r="G66" s="173"/>
      <c r="H66" s="61">
        <v>0.23218000000000003</v>
      </c>
      <c r="I66" s="71"/>
      <c r="J66" s="61">
        <v>0.23223000000000002</v>
      </c>
      <c r="K66" s="71"/>
      <c r="L66" s="140"/>
    </row>
    <row r="67" spans="1:12" x14ac:dyDescent="0.2">
      <c r="A67" s="11">
        <v>61</v>
      </c>
      <c r="B67" s="66"/>
      <c r="C67" s="67" t="s">
        <v>70</v>
      </c>
      <c r="D67" s="68">
        <v>0</v>
      </c>
      <c r="E67" s="139" t="s">
        <v>113</v>
      </c>
      <c r="F67" s="113"/>
      <c r="G67" s="173"/>
      <c r="H67" s="61">
        <v>0.20451999999999992</v>
      </c>
      <c r="I67" s="71"/>
      <c r="J67" s="61">
        <v>0.20452999999999991</v>
      </c>
      <c r="K67" s="71"/>
      <c r="L67" s="140"/>
    </row>
    <row r="68" spans="1:12" x14ac:dyDescent="0.2">
      <c r="A68" s="11">
        <v>62</v>
      </c>
      <c r="B68" s="64"/>
      <c r="C68" s="141" t="s">
        <v>114</v>
      </c>
      <c r="D68" s="142"/>
      <c r="E68" s="143"/>
      <c r="F68" s="144"/>
      <c r="G68" s="174"/>
      <c r="H68" s="145"/>
      <c r="I68" s="146">
        <v>3964.31</v>
      </c>
      <c r="J68" s="145"/>
      <c r="K68" s="146">
        <v>3965.43</v>
      </c>
      <c r="L68" s="147">
        <v>0</v>
      </c>
    </row>
    <row r="69" spans="1:12" x14ac:dyDescent="0.2">
      <c r="A69" s="11">
        <v>63</v>
      </c>
      <c r="B69" s="66" t="s">
        <v>75</v>
      </c>
      <c r="C69" s="67" t="s">
        <v>60</v>
      </c>
      <c r="D69" s="150">
        <v>881572</v>
      </c>
      <c r="E69" s="68">
        <v>10000</v>
      </c>
      <c r="F69" s="151">
        <v>82573</v>
      </c>
      <c r="G69" s="173">
        <v>1550</v>
      </c>
      <c r="H69" s="152">
        <v>0.11796999999999999</v>
      </c>
      <c r="I69" s="71"/>
      <c r="J69" s="61">
        <v>0.11796999999999999</v>
      </c>
      <c r="K69" s="71"/>
      <c r="L69" s="140"/>
    </row>
    <row r="70" spans="1:12" x14ac:dyDescent="0.2">
      <c r="A70" s="11">
        <v>64</v>
      </c>
      <c r="B70" s="66"/>
      <c r="C70" s="67" t="s">
        <v>61</v>
      </c>
      <c r="D70" s="153">
        <v>1495748</v>
      </c>
      <c r="E70" s="68">
        <v>20000</v>
      </c>
      <c r="F70" s="154"/>
      <c r="G70" s="88"/>
      <c r="H70" s="155">
        <v>0.1056</v>
      </c>
      <c r="I70" s="71"/>
      <c r="J70" s="61">
        <v>0.1056</v>
      </c>
      <c r="K70" s="71"/>
      <c r="L70" s="140"/>
    </row>
    <row r="71" spans="1:12" x14ac:dyDescent="0.2">
      <c r="A71" s="11">
        <v>65</v>
      </c>
      <c r="B71" s="66"/>
      <c r="C71" s="67" t="s">
        <v>67</v>
      </c>
      <c r="D71" s="153">
        <v>1185204</v>
      </c>
      <c r="E71" s="68">
        <v>20000</v>
      </c>
      <c r="F71" s="154"/>
      <c r="G71" s="88"/>
      <c r="H71" s="155">
        <v>8.0979999999999996E-2</v>
      </c>
      <c r="I71" s="71"/>
      <c r="J71" s="61">
        <v>8.0979999999999996E-2</v>
      </c>
      <c r="K71" s="71"/>
      <c r="L71" s="140"/>
    </row>
    <row r="72" spans="1:12" x14ac:dyDescent="0.2">
      <c r="A72" s="11">
        <v>66</v>
      </c>
      <c r="B72" s="66"/>
      <c r="C72" s="67" t="s">
        <v>68</v>
      </c>
      <c r="D72" s="153">
        <v>4013728</v>
      </c>
      <c r="E72" s="68">
        <v>100000</v>
      </c>
      <c r="F72" s="154"/>
      <c r="G72" s="88"/>
      <c r="H72" s="155">
        <v>6.479E-2</v>
      </c>
      <c r="I72" s="71"/>
      <c r="J72" s="61">
        <v>6.479E-2</v>
      </c>
      <c r="K72" s="71"/>
      <c r="L72" s="140"/>
    </row>
    <row r="73" spans="1:12" x14ac:dyDescent="0.2">
      <c r="A73" s="11">
        <v>67</v>
      </c>
      <c r="B73" s="66"/>
      <c r="C73" s="67" t="s">
        <v>69</v>
      </c>
      <c r="D73" s="153">
        <v>2332547</v>
      </c>
      <c r="E73" s="68">
        <v>600000</v>
      </c>
      <c r="F73" s="154"/>
      <c r="G73" s="88"/>
      <c r="H73" s="155">
        <v>4.3190000000000006E-2</v>
      </c>
      <c r="I73" s="71"/>
      <c r="J73" s="61">
        <v>4.3190000000000006E-2</v>
      </c>
      <c r="K73" s="71"/>
      <c r="L73" s="140"/>
    </row>
    <row r="74" spans="1:12" x14ac:dyDescent="0.2">
      <c r="A74" s="11">
        <v>68</v>
      </c>
      <c r="B74" s="66"/>
      <c r="C74" s="67" t="s">
        <v>70</v>
      </c>
      <c r="D74" s="153">
        <v>0</v>
      </c>
      <c r="E74" s="139" t="s">
        <v>113</v>
      </c>
      <c r="F74" s="154"/>
      <c r="G74" s="88"/>
      <c r="H74" s="155">
        <v>1.619E-2</v>
      </c>
      <c r="I74" s="71"/>
      <c r="J74" s="61">
        <v>1.619E-2</v>
      </c>
      <c r="K74" s="71"/>
      <c r="L74" s="140"/>
    </row>
    <row r="75" spans="1:12" x14ac:dyDescent="0.2">
      <c r="A75" s="11">
        <v>69</v>
      </c>
      <c r="B75" s="64"/>
      <c r="C75" s="141" t="s">
        <v>114</v>
      </c>
      <c r="D75" s="142"/>
      <c r="E75" s="143"/>
      <c r="F75" s="144"/>
      <c r="G75" s="174"/>
      <c r="H75" s="145"/>
      <c r="I75" s="146">
        <v>8571.7000000000007</v>
      </c>
      <c r="J75" s="156"/>
      <c r="K75" s="146">
        <v>8571.7000000000007</v>
      </c>
      <c r="L75" s="148">
        <v>0</v>
      </c>
    </row>
    <row r="76" spans="1:12" x14ac:dyDescent="0.2">
      <c r="A76" s="11">
        <v>70</v>
      </c>
      <c r="B76" s="64" t="s">
        <v>76</v>
      </c>
      <c r="C76" s="65"/>
      <c r="D76" s="157">
        <v>0</v>
      </c>
      <c r="E76" s="158" t="s">
        <v>112</v>
      </c>
      <c r="F76" s="159">
        <v>0</v>
      </c>
      <c r="G76" s="93">
        <v>38000</v>
      </c>
      <c r="H76" s="160">
        <v>4.9800000000000001E-3</v>
      </c>
      <c r="I76" s="63">
        <v>38000</v>
      </c>
      <c r="J76" s="161">
        <v>4.9800000000000001E-3</v>
      </c>
      <c r="K76" s="63">
        <v>38000</v>
      </c>
      <c r="L76" s="162">
        <v>0</v>
      </c>
    </row>
    <row r="77" spans="1:12" x14ac:dyDescent="0.2">
      <c r="A77" s="11">
        <v>71</v>
      </c>
      <c r="B77" s="50" t="s">
        <v>77</v>
      </c>
      <c r="C77" s="51"/>
      <c r="D77" s="163">
        <v>0</v>
      </c>
      <c r="E77" s="158" t="s">
        <v>112</v>
      </c>
      <c r="F77" s="164">
        <v>0</v>
      </c>
      <c r="G77" s="93">
        <v>38000</v>
      </c>
      <c r="H77" s="165">
        <v>4.9800000000000001E-3</v>
      </c>
      <c r="I77" s="63">
        <v>38000</v>
      </c>
      <c r="J77" s="60">
        <v>4.9800000000000001E-3</v>
      </c>
      <c r="K77" s="63">
        <v>38000</v>
      </c>
      <c r="L77" s="137">
        <v>0</v>
      </c>
    </row>
    <row r="78" spans="1:12" ht="13.5" thickBot="1" x14ac:dyDescent="0.25">
      <c r="A78" s="11">
        <v>72</v>
      </c>
      <c r="B78" s="96" t="s">
        <v>78</v>
      </c>
      <c r="C78" s="51"/>
      <c r="D78" s="166"/>
      <c r="E78" s="158"/>
      <c r="F78" s="167"/>
      <c r="G78" s="176"/>
      <c r="H78" s="168"/>
      <c r="I78" s="138"/>
      <c r="J78" s="138"/>
      <c r="K78" s="138"/>
      <c r="L78" s="169"/>
    </row>
    <row r="79" spans="1:12" x14ac:dyDescent="0.2">
      <c r="A79" s="11">
        <v>73</v>
      </c>
      <c r="B79" s="357" t="s">
        <v>115</v>
      </c>
      <c r="C79" s="358"/>
      <c r="D79" s="358"/>
      <c r="E79" s="358"/>
      <c r="F79" s="358"/>
      <c r="G79" s="358"/>
      <c r="H79" s="358"/>
      <c r="I79" s="358"/>
    </row>
    <row r="80" spans="1:12" x14ac:dyDescent="0.2">
      <c r="A80" s="11">
        <v>74</v>
      </c>
      <c r="B80" s="358"/>
      <c r="C80" s="358"/>
      <c r="D80" s="358"/>
      <c r="E80" s="358"/>
      <c r="F80" s="358"/>
      <c r="G80" s="358"/>
      <c r="H80" s="358"/>
      <c r="I80" s="358"/>
    </row>
    <row r="81" spans="1:12" x14ac:dyDescent="0.2">
      <c r="A81" s="11">
        <v>75</v>
      </c>
      <c r="B81" s="359" t="s">
        <v>116</v>
      </c>
      <c r="C81" s="360"/>
      <c r="D81" s="360"/>
      <c r="E81" s="360"/>
      <c r="F81" s="360"/>
      <c r="G81" s="360"/>
      <c r="H81" s="360"/>
      <c r="I81" s="360"/>
      <c r="J81" s="120"/>
      <c r="K81" s="120"/>
      <c r="L81" s="120"/>
    </row>
    <row r="82" spans="1:12" x14ac:dyDescent="0.2">
      <c r="A82" s="11">
        <v>76</v>
      </c>
      <c r="B82" s="360"/>
      <c r="C82" s="360"/>
      <c r="D82" s="360"/>
      <c r="E82" s="360"/>
      <c r="F82" s="360"/>
      <c r="G82" s="360"/>
      <c r="H82" s="360"/>
      <c r="I82" s="360"/>
    </row>
    <row r="83" spans="1:12" ht="19.5" customHeight="1" x14ac:dyDescent="0.2">
      <c r="A83" s="11">
        <v>77</v>
      </c>
      <c r="B83" s="358"/>
      <c r="C83" s="358"/>
      <c r="D83" s="358"/>
      <c r="E83" s="358"/>
      <c r="F83" s="358"/>
      <c r="G83" s="358"/>
      <c r="H83" s="358"/>
      <c r="I83" s="358"/>
    </row>
    <row r="84" spans="1:12" ht="13.5" thickBot="1" x14ac:dyDescent="0.25">
      <c r="A84" s="11">
        <v>78</v>
      </c>
      <c r="B84" s="105" t="s">
        <v>118</v>
      </c>
    </row>
    <row r="85" spans="1:12" ht="13.5" thickBot="1" x14ac:dyDescent="0.25">
      <c r="A85" s="11">
        <v>79</v>
      </c>
      <c r="B85" s="170" t="s">
        <v>119</v>
      </c>
      <c r="C85" s="19"/>
      <c r="D85" s="177"/>
      <c r="E85" s="108" t="s">
        <v>120</v>
      </c>
      <c r="F85" s="177"/>
      <c r="G85" s="108" t="s">
        <v>120</v>
      </c>
      <c r="H85" s="177"/>
      <c r="I85" s="171"/>
      <c r="J85" s="171"/>
      <c r="K85" s="171"/>
      <c r="L85" s="171"/>
    </row>
    <row r="86" spans="1:12" ht="13.5" thickBot="1" x14ac:dyDescent="0.25">
      <c r="A86" s="11">
        <v>80</v>
      </c>
    </row>
    <row r="87" spans="1:12" ht="13.5" thickBot="1" x14ac:dyDescent="0.25">
      <c r="A87" s="11">
        <v>81</v>
      </c>
      <c r="B87" s="170" t="s">
        <v>117</v>
      </c>
      <c r="C87" s="19"/>
      <c r="D87" s="107"/>
      <c r="E87" s="171"/>
      <c r="F87" s="171"/>
      <c r="G87" s="107"/>
      <c r="H87" s="108" t="s">
        <v>25</v>
      </c>
      <c r="I87" s="107"/>
      <c r="J87" s="107"/>
      <c r="K87" s="107"/>
      <c r="L87" s="107"/>
    </row>
    <row r="88" spans="1:12" x14ac:dyDescent="0.2">
      <c r="A88" s="11"/>
    </row>
    <row r="89" spans="1:12" x14ac:dyDescent="0.2">
      <c r="A89" s="11"/>
    </row>
  </sheetData>
  <mergeCells count="2">
    <mergeCell ref="B79:I80"/>
    <mergeCell ref="B81:I83"/>
  </mergeCells>
  <pageMargins left="0.7" right="0.7" top="0.75" bottom="0.75" header="0.3" footer="0.3"/>
  <pageSetup scale="50" orientation="portrait" horizontalDpi="300" verticalDpi="300" r:id="rId1"/>
  <headerFooter>
    <oddHeader>&amp;RNWN's Advice 19-04
Exhibit A - Supporting Materials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view="pageLayout" zoomScaleNormal="100" workbookViewId="0">
      <selection activeCell="M4" sqref="M4"/>
    </sheetView>
  </sheetViews>
  <sheetFormatPr defaultColWidth="7.85546875" defaultRowHeight="12.75" x14ac:dyDescent="0.2"/>
  <cols>
    <col min="1" max="1" width="3.140625" style="181" customWidth="1"/>
    <col min="2" max="2" width="54.7109375" style="179" customWidth="1"/>
    <col min="3" max="3" width="14.42578125" style="178" customWidth="1"/>
    <col min="4" max="10" width="14.42578125" style="179" customWidth="1"/>
    <col min="11" max="11" width="12.28515625" style="179" customWidth="1"/>
    <col min="12" max="16" width="7.85546875" style="179" customWidth="1"/>
    <col min="17" max="238" width="7.85546875" style="179"/>
    <col min="239" max="244" width="7.85546875" style="179" customWidth="1"/>
    <col min="245" max="16384" width="7.85546875" style="179"/>
  </cols>
  <sheetData>
    <row r="1" spans="1:10" ht="14.25" x14ac:dyDescent="0.2">
      <c r="A1" s="220" t="s">
        <v>0</v>
      </c>
      <c r="B1" s="178"/>
    </row>
    <row r="2" spans="1:10" ht="14.25" x14ac:dyDescent="0.2">
      <c r="A2" s="220" t="s">
        <v>1</v>
      </c>
      <c r="B2" s="178"/>
    </row>
    <row r="3" spans="1:10" ht="14.25" x14ac:dyDescent="0.2">
      <c r="A3" s="221" t="s">
        <v>2</v>
      </c>
      <c r="B3" s="180"/>
    </row>
    <row r="4" spans="1:10" ht="14.25" x14ac:dyDescent="0.2">
      <c r="A4" s="220" t="s">
        <v>121</v>
      </c>
      <c r="B4" s="178"/>
    </row>
    <row r="5" spans="1:10" x14ac:dyDescent="0.2">
      <c r="B5" s="182"/>
      <c r="C5" s="180"/>
      <c r="D5" s="183"/>
      <c r="E5" s="183"/>
      <c r="F5" s="183"/>
      <c r="G5" s="184"/>
      <c r="H5" s="185" t="s">
        <v>21</v>
      </c>
      <c r="I5" s="185"/>
      <c r="J5" s="185"/>
    </row>
    <row r="6" spans="1:10" x14ac:dyDescent="0.2">
      <c r="B6" s="186"/>
      <c r="C6" s="187"/>
      <c r="D6" s="188"/>
      <c r="E6" s="183"/>
      <c r="F6" s="183"/>
      <c r="G6" s="188" t="s">
        <v>122</v>
      </c>
      <c r="H6" s="188" t="s">
        <v>122</v>
      </c>
      <c r="I6" s="188"/>
      <c r="J6" s="188"/>
    </row>
    <row r="7" spans="1:10" x14ac:dyDescent="0.2">
      <c r="B7" s="222"/>
      <c r="C7" s="187"/>
      <c r="D7" s="189" t="s">
        <v>123</v>
      </c>
      <c r="E7" s="189"/>
      <c r="F7" s="188" t="s">
        <v>122</v>
      </c>
      <c r="G7" s="185" t="s">
        <v>124</v>
      </c>
      <c r="H7" s="185" t="s">
        <v>125</v>
      </c>
      <c r="I7" s="190" t="s">
        <v>126</v>
      </c>
      <c r="J7" s="190" t="s">
        <v>126</v>
      </c>
    </row>
    <row r="8" spans="1:10" x14ac:dyDescent="0.2">
      <c r="B8" s="187"/>
      <c r="C8" s="188" t="s">
        <v>127</v>
      </c>
      <c r="D8" s="188" t="s">
        <v>122</v>
      </c>
      <c r="E8" s="189" t="s">
        <v>123</v>
      </c>
      <c r="F8" s="185" t="s">
        <v>127</v>
      </c>
      <c r="G8" s="185" t="s">
        <v>128</v>
      </c>
      <c r="H8" s="185" t="s">
        <v>129</v>
      </c>
      <c r="I8" s="190" t="s">
        <v>130</v>
      </c>
      <c r="J8" s="190" t="s">
        <v>131</v>
      </c>
    </row>
    <row r="9" spans="1:10" x14ac:dyDescent="0.2">
      <c r="B9" s="193" t="s">
        <v>132</v>
      </c>
      <c r="C9" s="192">
        <v>43708</v>
      </c>
      <c r="D9" s="193" t="s">
        <v>133</v>
      </c>
      <c r="E9" s="193" t="s">
        <v>124</v>
      </c>
      <c r="F9" s="194">
        <v>43769</v>
      </c>
      <c r="G9" s="193" t="s">
        <v>134</v>
      </c>
      <c r="H9" s="193" t="s">
        <v>135</v>
      </c>
      <c r="I9" s="195" t="s">
        <v>136</v>
      </c>
      <c r="J9" s="195" t="s">
        <v>136</v>
      </c>
    </row>
    <row r="10" spans="1:10" x14ac:dyDescent="0.2">
      <c r="A10" s="196"/>
      <c r="B10" s="188" t="s">
        <v>40</v>
      </c>
      <c r="C10" s="197" t="s">
        <v>41</v>
      </c>
      <c r="D10" s="197" t="s">
        <v>42</v>
      </c>
      <c r="E10" s="197" t="s">
        <v>43</v>
      </c>
      <c r="F10" s="197" t="s">
        <v>44</v>
      </c>
      <c r="G10" s="197" t="s">
        <v>108</v>
      </c>
      <c r="H10" s="197" t="s">
        <v>46</v>
      </c>
      <c r="I10" s="197" t="s">
        <v>47</v>
      </c>
      <c r="J10" s="197" t="s">
        <v>137</v>
      </c>
    </row>
    <row r="11" spans="1:10" x14ac:dyDescent="0.2">
      <c r="A11" s="196"/>
      <c r="B11" s="188"/>
      <c r="C11" s="197"/>
      <c r="D11" s="198"/>
      <c r="E11" s="183"/>
      <c r="F11" s="199" t="s">
        <v>138</v>
      </c>
      <c r="G11" s="223">
        <v>5.4199999999999998E-2</v>
      </c>
      <c r="H11" s="199" t="s">
        <v>139</v>
      </c>
      <c r="I11" s="199"/>
      <c r="J11" s="199"/>
    </row>
    <row r="12" spans="1:10" x14ac:dyDescent="0.2">
      <c r="A12" s="200">
        <v>1</v>
      </c>
      <c r="B12" s="188"/>
      <c r="C12" s="201"/>
      <c r="D12" s="201"/>
      <c r="E12" s="201"/>
      <c r="F12" s="201"/>
      <c r="G12" s="201"/>
      <c r="H12" s="199" t="s">
        <v>140</v>
      </c>
      <c r="I12" s="199"/>
      <c r="J12" s="199"/>
    </row>
    <row r="13" spans="1:10" x14ac:dyDescent="0.2">
      <c r="A13" s="200">
        <v>2</v>
      </c>
      <c r="B13" s="224" t="s">
        <v>141</v>
      </c>
      <c r="C13" s="201"/>
      <c r="D13" s="201"/>
      <c r="E13" s="201"/>
      <c r="F13" s="201"/>
      <c r="G13" s="201"/>
      <c r="H13" s="203"/>
      <c r="I13" s="202"/>
      <c r="J13" s="202"/>
    </row>
    <row r="14" spans="1:10" x14ac:dyDescent="0.2">
      <c r="A14" s="200">
        <v>3</v>
      </c>
      <c r="B14" s="183" t="s">
        <v>142</v>
      </c>
      <c r="C14" s="201">
        <v>268370.14</v>
      </c>
      <c r="D14" s="205">
        <v>0</v>
      </c>
      <c r="E14" s="201">
        <v>2447.7200000000003</v>
      </c>
      <c r="F14" s="201">
        <v>270817.86</v>
      </c>
      <c r="G14" s="206"/>
      <c r="H14" s="201"/>
      <c r="I14" s="196"/>
      <c r="J14" s="196"/>
    </row>
    <row r="15" spans="1:10" x14ac:dyDescent="0.2">
      <c r="A15" s="200">
        <v>4</v>
      </c>
      <c r="B15" s="183" t="s">
        <v>143</v>
      </c>
      <c r="C15" s="204">
        <v>31995.006436035539</v>
      </c>
      <c r="D15" s="204">
        <v>-33907.040000000008</v>
      </c>
      <c r="E15" s="204">
        <v>164.83</v>
      </c>
      <c r="F15" s="204">
        <v>-1747.2035639644691</v>
      </c>
      <c r="G15" s="204"/>
      <c r="H15" s="204"/>
      <c r="I15" s="202"/>
      <c r="J15" s="202"/>
    </row>
    <row r="16" spans="1:10" x14ac:dyDescent="0.2">
      <c r="A16" s="200">
        <v>5</v>
      </c>
      <c r="B16" s="183"/>
      <c r="C16" s="201">
        <v>300365.14643603557</v>
      </c>
      <c r="D16" s="201">
        <v>-33907.040000000008</v>
      </c>
      <c r="E16" s="201">
        <v>2612.5500000000002</v>
      </c>
      <c r="F16" s="201">
        <v>269070.65643603553</v>
      </c>
      <c r="G16" s="206">
        <v>7965</v>
      </c>
      <c r="H16" s="201">
        <v>277036</v>
      </c>
      <c r="I16" s="202"/>
      <c r="J16" s="202">
        <v>277036</v>
      </c>
    </row>
    <row r="17" spans="1:10" x14ac:dyDescent="0.2">
      <c r="A17" s="200">
        <v>6</v>
      </c>
      <c r="B17" s="183"/>
      <c r="C17" s="201"/>
      <c r="D17" s="201"/>
      <c r="E17" s="201"/>
      <c r="F17" s="201"/>
      <c r="G17" s="201"/>
      <c r="H17" s="203"/>
      <c r="I17" s="202"/>
      <c r="J17" s="202"/>
    </row>
    <row r="18" spans="1:10" x14ac:dyDescent="0.2">
      <c r="A18" s="200">
        <v>7</v>
      </c>
      <c r="B18" s="183" t="s">
        <v>144</v>
      </c>
      <c r="C18" s="205">
        <v>100451.56000000003</v>
      </c>
      <c r="D18" s="205">
        <v>0</v>
      </c>
      <c r="E18" s="201">
        <v>916.19</v>
      </c>
      <c r="F18" s="201">
        <v>101367.75000000003</v>
      </c>
      <c r="G18" s="206"/>
      <c r="H18" s="201"/>
      <c r="I18" s="201"/>
    </row>
    <row r="19" spans="1:10" x14ac:dyDescent="0.2">
      <c r="A19" s="200">
        <v>8</v>
      </c>
      <c r="B19" s="183" t="s">
        <v>145</v>
      </c>
      <c r="C19" s="204">
        <v>6845.6501000000389</v>
      </c>
      <c r="D19" s="204">
        <v>-7953.61</v>
      </c>
      <c r="E19" s="204">
        <v>32.65</v>
      </c>
      <c r="F19" s="204">
        <v>-1075.3098999999606</v>
      </c>
      <c r="G19" s="207"/>
      <c r="H19" s="204"/>
      <c r="I19" s="201"/>
      <c r="J19" s="196"/>
    </row>
    <row r="20" spans="1:10" x14ac:dyDescent="0.2">
      <c r="A20" s="200">
        <v>9</v>
      </c>
      <c r="C20" s="201">
        <v>107297.21010000007</v>
      </c>
      <c r="D20" s="201">
        <v>-7953.61</v>
      </c>
      <c r="E20" s="201">
        <v>948.84</v>
      </c>
      <c r="F20" s="201">
        <v>100292.44010000007</v>
      </c>
      <c r="G20" s="206">
        <v>2969</v>
      </c>
      <c r="H20" s="201">
        <v>103261</v>
      </c>
      <c r="I20" s="201"/>
      <c r="J20" s="202">
        <v>103261</v>
      </c>
    </row>
    <row r="21" spans="1:10" x14ac:dyDescent="0.2">
      <c r="A21" s="200">
        <v>10</v>
      </c>
      <c r="C21" s="201"/>
      <c r="D21" s="201"/>
      <c r="E21" s="201"/>
      <c r="F21" s="201"/>
      <c r="G21" s="206"/>
      <c r="H21" s="201"/>
      <c r="I21" s="201"/>
      <c r="J21" s="196"/>
    </row>
    <row r="22" spans="1:10" x14ac:dyDescent="0.2">
      <c r="A22" s="200">
        <v>29</v>
      </c>
      <c r="B22" s="210" t="s">
        <v>146</v>
      </c>
      <c r="C22" s="209"/>
      <c r="D22" s="196"/>
      <c r="E22" s="196"/>
      <c r="F22" s="196"/>
      <c r="G22" s="196"/>
      <c r="H22" s="211"/>
      <c r="I22" s="202"/>
      <c r="J22" s="202"/>
    </row>
    <row r="23" spans="1:10" x14ac:dyDescent="0.2">
      <c r="A23" s="200">
        <v>30</v>
      </c>
      <c r="B23" s="212" t="s">
        <v>147</v>
      </c>
      <c r="C23" s="209"/>
      <c r="D23" s="196"/>
      <c r="E23" s="196"/>
      <c r="F23" s="196"/>
      <c r="G23" s="196"/>
      <c r="H23" s="202"/>
      <c r="I23" s="202"/>
      <c r="J23" s="202"/>
    </row>
    <row r="24" spans="1:10" x14ac:dyDescent="0.2">
      <c r="A24" s="200"/>
      <c r="C24" s="213"/>
      <c r="D24" s="196"/>
      <c r="E24" s="196"/>
      <c r="F24" s="196"/>
      <c r="G24" s="196"/>
      <c r="H24" s="202"/>
      <c r="I24" s="202"/>
      <c r="J24" s="202"/>
    </row>
    <row r="25" spans="1:10" x14ac:dyDescent="0.2">
      <c r="A25" s="200"/>
      <c r="C25" s="214"/>
      <c r="D25" s="196"/>
      <c r="E25" s="196"/>
      <c r="F25" s="196"/>
      <c r="G25" s="196"/>
      <c r="H25" s="202"/>
      <c r="I25" s="202"/>
      <c r="J25" s="202"/>
    </row>
    <row r="26" spans="1:10" x14ac:dyDescent="0.2">
      <c r="A26" s="215"/>
      <c r="C26" s="214"/>
      <c r="D26" s="196"/>
      <c r="E26" s="196"/>
      <c r="F26" s="196"/>
      <c r="G26" s="196"/>
      <c r="H26" s="202"/>
      <c r="I26" s="202"/>
      <c r="J26" s="202"/>
    </row>
    <row r="27" spans="1:10" x14ac:dyDescent="0.2">
      <c r="A27" s="215"/>
      <c r="C27" s="214"/>
      <c r="D27" s="196"/>
      <c r="E27" s="196"/>
      <c r="F27" s="196"/>
      <c r="G27" s="196"/>
      <c r="H27" s="202"/>
      <c r="I27" s="202"/>
      <c r="J27" s="202"/>
    </row>
    <row r="28" spans="1:10" x14ac:dyDescent="0.2">
      <c r="C28" s="214"/>
      <c r="D28" s="196"/>
      <c r="E28" s="196"/>
      <c r="F28" s="196"/>
      <c r="G28" s="196"/>
      <c r="H28" s="202"/>
      <c r="I28" s="202"/>
      <c r="J28" s="202"/>
    </row>
    <row r="29" spans="1:10" x14ac:dyDescent="0.2">
      <c r="B29" s="216"/>
      <c r="C29" s="214"/>
      <c r="D29" s="196"/>
      <c r="E29" s="196"/>
      <c r="F29" s="196"/>
      <c r="G29" s="196"/>
      <c r="H29" s="202"/>
      <c r="I29" s="202"/>
      <c r="J29" s="202"/>
    </row>
    <row r="30" spans="1:10" x14ac:dyDescent="0.2">
      <c r="B30" s="216"/>
      <c r="C30" s="214"/>
      <c r="D30" s="196"/>
      <c r="E30" s="196"/>
      <c r="F30" s="196"/>
      <c r="G30" s="196"/>
      <c r="H30" s="202"/>
      <c r="I30" s="202"/>
      <c r="J30" s="202"/>
    </row>
    <row r="31" spans="1:10" x14ac:dyDescent="0.2">
      <c r="B31" s="216"/>
      <c r="C31" s="214"/>
      <c r="D31" s="196"/>
      <c r="E31" s="196"/>
      <c r="F31" s="196"/>
      <c r="G31" s="196"/>
      <c r="H31" s="202"/>
      <c r="I31" s="202"/>
      <c r="J31" s="202"/>
    </row>
    <row r="32" spans="1:10" x14ac:dyDescent="0.2">
      <c r="B32" s="216"/>
      <c r="C32" s="214"/>
      <c r="D32" s="196"/>
      <c r="E32" s="196"/>
      <c r="F32" s="196"/>
      <c r="G32" s="196"/>
      <c r="H32" s="202"/>
      <c r="I32" s="202"/>
      <c r="J32" s="202"/>
    </row>
    <row r="33" spans="2:10" x14ac:dyDescent="0.2">
      <c r="B33" s="216"/>
      <c r="C33" s="214"/>
      <c r="D33" s="196"/>
      <c r="E33" s="196"/>
      <c r="F33" s="196"/>
      <c r="G33" s="196"/>
      <c r="H33" s="202"/>
      <c r="I33" s="202"/>
      <c r="J33" s="202"/>
    </row>
    <row r="34" spans="2:10" x14ac:dyDescent="0.2">
      <c r="B34" s="216"/>
      <c r="C34" s="214"/>
      <c r="D34" s="196"/>
      <c r="E34" s="196"/>
      <c r="F34" s="196"/>
      <c r="G34" s="196"/>
      <c r="H34" s="202"/>
      <c r="I34" s="202"/>
      <c r="J34" s="202"/>
    </row>
    <row r="35" spans="2:10" x14ac:dyDescent="0.2">
      <c r="B35" s="217"/>
      <c r="C35" s="214"/>
      <c r="D35" s="196"/>
      <c r="E35" s="196"/>
      <c r="F35" s="196"/>
      <c r="G35" s="196"/>
      <c r="H35" s="202"/>
      <c r="I35" s="202"/>
      <c r="J35" s="202"/>
    </row>
    <row r="36" spans="2:10" x14ac:dyDescent="0.2">
      <c r="B36" s="217"/>
      <c r="C36" s="191"/>
      <c r="D36" s="196"/>
      <c r="E36" s="196"/>
      <c r="F36" s="196"/>
      <c r="G36" s="196"/>
      <c r="H36" s="202"/>
      <c r="I36" s="202"/>
      <c r="J36" s="202"/>
    </row>
    <row r="37" spans="2:10" x14ac:dyDescent="0.2">
      <c r="B37" s="216"/>
      <c r="C37" s="191"/>
      <c r="D37" s="196"/>
      <c r="E37" s="196"/>
      <c r="F37" s="196"/>
      <c r="G37" s="196"/>
      <c r="H37" s="202"/>
      <c r="I37" s="202"/>
      <c r="J37" s="202"/>
    </row>
    <row r="38" spans="2:10" x14ac:dyDescent="0.2">
      <c r="B38" s="216"/>
      <c r="C38" s="191"/>
      <c r="D38" s="196"/>
      <c r="E38" s="196"/>
      <c r="F38" s="196"/>
      <c r="G38" s="196"/>
      <c r="H38" s="202"/>
      <c r="I38" s="202"/>
      <c r="J38" s="202"/>
    </row>
    <row r="39" spans="2:10" x14ac:dyDescent="0.2">
      <c r="B39" s="216"/>
      <c r="C39" s="191"/>
      <c r="D39" s="196"/>
      <c r="E39" s="196"/>
      <c r="F39" s="196"/>
      <c r="G39" s="196"/>
      <c r="H39" s="202"/>
      <c r="I39" s="202"/>
      <c r="J39" s="202"/>
    </row>
    <row r="40" spans="2:10" x14ac:dyDescent="0.2">
      <c r="B40" s="217"/>
      <c r="C40" s="191"/>
      <c r="D40" s="196"/>
      <c r="E40" s="196"/>
      <c r="F40" s="196"/>
      <c r="G40" s="196"/>
      <c r="H40" s="202"/>
      <c r="I40" s="202"/>
      <c r="J40" s="202"/>
    </row>
    <row r="41" spans="2:10" x14ac:dyDescent="0.2">
      <c r="B41" s="216"/>
    </row>
    <row r="42" spans="2:10" x14ac:dyDescent="0.2">
      <c r="B42" s="216"/>
    </row>
    <row r="43" spans="2:10" x14ac:dyDescent="0.2">
      <c r="B43" s="218"/>
    </row>
    <row r="44" spans="2:10" x14ac:dyDescent="0.2">
      <c r="B44" s="219"/>
    </row>
    <row r="45" spans="2:10" x14ac:dyDescent="0.2">
      <c r="B45" s="216"/>
    </row>
    <row r="46" spans="2:10" x14ac:dyDescent="0.2">
      <c r="B46" s="216"/>
    </row>
    <row r="47" spans="2:10" x14ac:dyDescent="0.2">
      <c r="B47" s="216"/>
    </row>
    <row r="48" spans="2:10" x14ac:dyDescent="0.2">
      <c r="B48" s="208"/>
    </row>
  </sheetData>
  <pageMargins left="0.7" right="0.7" top="0.75" bottom="0.75" header="0.3" footer="0.3"/>
  <pageSetup scale="50" orientation="landscape" horizontalDpi="300" verticalDpi="300" r:id="rId1"/>
  <headerFooter>
    <oddHeader>&amp;RNWN's Advice 19-04
Exhibit A - Supporting Materials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8"/>
  <sheetViews>
    <sheetView showGridLines="0" view="pageLayout" topLeftCell="B1" zoomScaleNormal="100" workbookViewId="0">
      <selection activeCell="M4" sqref="M4"/>
    </sheetView>
  </sheetViews>
  <sheetFormatPr defaultColWidth="7.85546875" defaultRowHeight="12.75" outlineLevelCol="1" x14ac:dyDescent="0.2"/>
  <cols>
    <col min="1" max="1" width="4" style="225" customWidth="1"/>
    <col min="2" max="2" width="13.42578125" style="226" customWidth="1"/>
    <col min="3" max="3" width="8.85546875" style="226" customWidth="1"/>
    <col min="4" max="4" width="13.42578125" style="226" customWidth="1"/>
    <col min="5" max="5" width="12.28515625" style="226" bestFit="1" customWidth="1"/>
    <col min="6" max="7" width="13.42578125" style="226" customWidth="1"/>
    <col min="8" max="10" width="13.42578125" style="226" hidden="1" customWidth="1" outlineLevel="1"/>
    <col min="11" max="12" width="13.42578125" style="226" hidden="1" customWidth="1" outlineLevel="1" collapsed="1"/>
    <col min="13" max="13" width="13.42578125" style="226" hidden="1" customWidth="1" outlineLevel="1"/>
    <col min="14" max="14" width="13.42578125" style="226" customWidth="1" collapsed="1"/>
    <col min="15" max="16" width="13.42578125" style="226" customWidth="1"/>
    <col min="17" max="17" width="11.7109375" style="226" bestFit="1" customWidth="1"/>
    <col min="18" max="18" width="13.42578125" style="226" customWidth="1"/>
    <col min="19" max="21" width="13.42578125" style="226" hidden="1" customWidth="1" outlineLevel="1"/>
    <col min="22" max="23" width="13.42578125" style="226" hidden="1" customWidth="1" outlineLevel="1" collapsed="1"/>
    <col min="24" max="24" width="13.42578125" style="226" hidden="1" customWidth="1" outlineLevel="1"/>
    <col min="25" max="25" width="13.42578125" style="226" customWidth="1" collapsed="1"/>
    <col min="26" max="29" width="13.42578125" style="226" customWidth="1"/>
    <col min="30" max="16384" width="7.85546875" style="226"/>
  </cols>
  <sheetData>
    <row r="1" spans="1:27" x14ac:dyDescent="0.2">
      <c r="B1" s="226" t="s">
        <v>148</v>
      </c>
      <c r="D1" s="226" t="s">
        <v>149</v>
      </c>
    </row>
    <row r="2" spans="1:27" x14ac:dyDescent="0.2">
      <c r="B2" s="226" t="s">
        <v>150</v>
      </c>
      <c r="D2" s="226" t="s">
        <v>92</v>
      </c>
    </row>
    <row r="3" spans="1:27" x14ac:dyDescent="0.2">
      <c r="B3" s="226" t="s">
        <v>151</v>
      </c>
      <c r="D3" s="227" t="s">
        <v>152</v>
      </c>
      <c r="Q3" s="228"/>
    </row>
    <row r="4" spans="1:27" x14ac:dyDescent="0.2">
      <c r="B4" s="226" t="s">
        <v>153</v>
      </c>
      <c r="D4" s="229">
        <v>186314</v>
      </c>
    </row>
    <row r="5" spans="1:27" x14ac:dyDescent="0.2">
      <c r="D5" s="230" t="s">
        <v>154</v>
      </c>
    </row>
    <row r="6" spans="1:27" x14ac:dyDescent="0.2">
      <c r="D6" s="230" t="s">
        <v>155</v>
      </c>
    </row>
    <row r="7" spans="1:27" x14ac:dyDescent="0.2">
      <c r="D7" s="230"/>
    </row>
    <row r="8" spans="1:27" x14ac:dyDescent="0.2">
      <c r="A8" s="231">
        <v>1</v>
      </c>
      <c r="B8" s="226" t="s">
        <v>156</v>
      </c>
      <c r="D8" s="230"/>
      <c r="F8" s="232"/>
      <c r="G8" s="232"/>
      <c r="H8" s="232"/>
      <c r="I8" s="232"/>
      <c r="J8" s="232"/>
      <c r="K8" s="232"/>
      <c r="L8" s="232"/>
      <c r="M8" s="232"/>
      <c r="N8" s="232"/>
      <c r="O8" s="232"/>
      <c r="P8" s="232"/>
    </row>
    <row r="9" spans="1:27" x14ac:dyDescent="0.2">
      <c r="A9" s="231">
        <f t="shared" ref="A9:A72" si="0">+A8+1</f>
        <v>2</v>
      </c>
      <c r="F9" s="232"/>
      <c r="G9" s="232"/>
      <c r="H9" s="233">
        <v>2011</v>
      </c>
      <c r="I9" s="233">
        <v>2012</v>
      </c>
      <c r="J9" s="233">
        <v>2013</v>
      </c>
      <c r="K9" s="233">
        <v>2014</v>
      </c>
      <c r="L9" s="233">
        <v>2015</v>
      </c>
      <c r="M9" s="233">
        <v>2016</v>
      </c>
      <c r="N9" s="233">
        <v>2017</v>
      </c>
      <c r="O9" s="233">
        <v>2018</v>
      </c>
      <c r="P9" s="233">
        <v>2019</v>
      </c>
      <c r="Q9" s="234"/>
      <c r="R9" s="234"/>
      <c r="S9" s="233">
        <v>2011</v>
      </c>
      <c r="T9" s="233">
        <v>2012</v>
      </c>
      <c r="U9" s="233">
        <v>2013</v>
      </c>
      <c r="V9" s="233">
        <v>2014</v>
      </c>
      <c r="W9" s="233">
        <v>2015</v>
      </c>
      <c r="X9" s="233">
        <v>2016</v>
      </c>
      <c r="Y9" s="233">
        <v>2017</v>
      </c>
      <c r="Z9" s="233">
        <v>2018</v>
      </c>
      <c r="AA9" s="233">
        <v>2019</v>
      </c>
    </row>
    <row r="10" spans="1:27" x14ac:dyDescent="0.2">
      <c r="A10" s="231">
        <f t="shared" si="0"/>
        <v>3</v>
      </c>
      <c r="B10" s="232"/>
      <c r="C10" s="232"/>
      <c r="D10" s="232"/>
      <c r="E10" s="232"/>
      <c r="F10" s="232" t="s">
        <v>124</v>
      </c>
      <c r="G10" s="232"/>
      <c r="H10" s="235" t="s">
        <v>157</v>
      </c>
      <c r="I10" s="235" t="s">
        <v>157</v>
      </c>
      <c r="J10" s="235" t="s">
        <v>157</v>
      </c>
      <c r="K10" s="235" t="s">
        <v>157</v>
      </c>
      <c r="L10" s="235" t="s">
        <v>157</v>
      </c>
      <c r="M10" s="235" t="s">
        <v>157</v>
      </c>
      <c r="N10" s="235" t="s">
        <v>157</v>
      </c>
      <c r="O10" s="235" t="s">
        <v>157</v>
      </c>
      <c r="P10" s="235" t="s">
        <v>157</v>
      </c>
      <c r="Q10" s="235" t="s">
        <v>21</v>
      </c>
      <c r="R10" s="235"/>
      <c r="S10" s="235" t="s">
        <v>157</v>
      </c>
      <c r="T10" s="235" t="s">
        <v>157</v>
      </c>
      <c r="U10" s="235" t="s">
        <v>157</v>
      </c>
      <c r="V10" s="235" t="s">
        <v>157</v>
      </c>
      <c r="W10" s="235" t="s">
        <v>157</v>
      </c>
      <c r="X10" s="235" t="s">
        <v>157</v>
      </c>
      <c r="Y10" s="235" t="s">
        <v>157</v>
      </c>
      <c r="Z10" s="235" t="s">
        <v>157</v>
      </c>
      <c r="AA10" s="235" t="s">
        <v>157</v>
      </c>
    </row>
    <row r="11" spans="1:27" x14ac:dyDescent="0.2">
      <c r="A11" s="231">
        <f t="shared" si="0"/>
        <v>4</v>
      </c>
      <c r="B11" s="236" t="s">
        <v>158</v>
      </c>
      <c r="C11" s="236" t="s">
        <v>159</v>
      </c>
      <c r="D11" s="236" t="s">
        <v>160</v>
      </c>
      <c r="E11" s="236" t="s">
        <v>161</v>
      </c>
      <c r="F11" s="236" t="s">
        <v>27</v>
      </c>
      <c r="G11" s="236" t="s">
        <v>124</v>
      </c>
      <c r="H11" s="237" t="s">
        <v>124</v>
      </c>
      <c r="I11" s="237" t="s">
        <v>124</v>
      </c>
      <c r="J11" s="237" t="s">
        <v>124</v>
      </c>
      <c r="K11" s="237" t="s">
        <v>124</v>
      </c>
      <c r="L11" s="237" t="s">
        <v>124</v>
      </c>
      <c r="M11" s="237" t="s">
        <v>124</v>
      </c>
      <c r="N11" s="237" t="s">
        <v>124</v>
      </c>
      <c r="O11" s="237" t="s">
        <v>124</v>
      </c>
      <c r="P11" s="237" t="s">
        <v>124</v>
      </c>
      <c r="Q11" s="237" t="s">
        <v>133</v>
      </c>
      <c r="R11" s="237" t="s">
        <v>127</v>
      </c>
      <c r="S11" s="237" t="s">
        <v>127</v>
      </c>
      <c r="T11" s="237" t="s">
        <v>127</v>
      </c>
      <c r="U11" s="237" t="s">
        <v>127</v>
      </c>
      <c r="V11" s="237" t="s">
        <v>127</v>
      </c>
      <c r="W11" s="237" t="s">
        <v>127</v>
      </c>
      <c r="X11" s="237" t="s">
        <v>127</v>
      </c>
      <c r="Y11" s="237" t="s">
        <v>127</v>
      </c>
      <c r="Z11" s="237" t="s">
        <v>127</v>
      </c>
      <c r="AA11" s="237" t="s">
        <v>127</v>
      </c>
    </row>
    <row r="12" spans="1:27" x14ac:dyDescent="0.2">
      <c r="A12" s="231">
        <f t="shared" si="0"/>
        <v>5</v>
      </c>
      <c r="B12" s="232" t="s">
        <v>162</v>
      </c>
      <c r="C12" s="232" t="s">
        <v>163</v>
      </c>
      <c r="D12" s="232" t="s">
        <v>164</v>
      </c>
      <c r="E12" s="232" t="s">
        <v>165</v>
      </c>
      <c r="F12" s="232" t="s">
        <v>166</v>
      </c>
      <c r="G12" s="232" t="s">
        <v>167</v>
      </c>
      <c r="H12" s="232" t="s">
        <v>167</v>
      </c>
      <c r="I12" s="232" t="s">
        <v>168</v>
      </c>
      <c r="J12" s="232" t="s">
        <v>169</v>
      </c>
      <c r="K12" s="232"/>
      <c r="L12" s="232" t="s">
        <v>168</v>
      </c>
      <c r="M12" s="232" t="s">
        <v>169</v>
      </c>
      <c r="N12" s="232" t="s">
        <v>170</v>
      </c>
      <c r="O12" s="232" t="s">
        <v>171</v>
      </c>
      <c r="P12" s="232" t="s">
        <v>172</v>
      </c>
      <c r="Q12" s="235" t="s">
        <v>173</v>
      </c>
      <c r="R12" s="235" t="s">
        <v>174</v>
      </c>
      <c r="S12" s="235" t="s">
        <v>174</v>
      </c>
      <c r="T12" s="235" t="s">
        <v>175</v>
      </c>
      <c r="U12" s="235" t="s">
        <v>176</v>
      </c>
      <c r="W12" s="235" t="s">
        <v>175</v>
      </c>
      <c r="X12" s="235" t="s">
        <v>176</v>
      </c>
      <c r="Y12" s="235" t="s">
        <v>177</v>
      </c>
      <c r="Z12" s="235" t="s">
        <v>178</v>
      </c>
      <c r="AA12" s="235" t="s">
        <v>179</v>
      </c>
    </row>
    <row r="13" spans="1:27" x14ac:dyDescent="0.2">
      <c r="A13" s="231">
        <f t="shared" si="0"/>
        <v>6</v>
      </c>
      <c r="F13" s="232"/>
      <c r="G13" s="232"/>
      <c r="H13" s="232"/>
      <c r="I13" s="232"/>
      <c r="J13" s="232"/>
      <c r="K13" s="232"/>
      <c r="L13" s="232"/>
      <c r="M13" s="232"/>
      <c r="N13" s="232"/>
      <c r="O13" s="232"/>
      <c r="P13" s="232"/>
    </row>
    <row r="14" spans="1:27" hidden="1" x14ac:dyDescent="0.2">
      <c r="A14" s="231">
        <f t="shared" si="0"/>
        <v>7</v>
      </c>
      <c r="B14" s="238" t="s">
        <v>180</v>
      </c>
      <c r="D14" s="234"/>
      <c r="E14" s="234"/>
      <c r="F14" s="234"/>
      <c r="G14" s="234"/>
      <c r="H14" s="234"/>
      <c r="I14" s="234"/>
      <c r="J14" s="234"/>
      <c r="K14" s="234"/>
      <c r="L14" s="234"/>
      <c r="M14" s="234"/>
      <c r="N14" s="234"/>
      <c r="O14" s="234"/>
      <c r="P14" s="234"/>
      <c r="Q14" s="234"/>
      <c r="R14" s="234"/>
    </row>
    <row r="15" spans="1:27" hidden="1" x14ac:dyDescent="0.2">
      <c r="A15" s="231">
        <f t="shared" si="0"/>
        <v>8</v>
      </c>
      <c r="B15" s="239">
        <v>39021</v>
      </c>
      <c r="D15" s="240"/>
      <c r="E15" s="234"/>
      <c r="F15" s="241"/>
      <c r="G15" s="241"/>
      <c r="H15" s="241"/>
      <c r="I15" s="241"/>
      <c r="J15" s="241"/>
      <c r="K15" s="241"/>
      <c r="L15" s="241"/>
      <c r="M15" s="241"/>
      <c r="N15" s="241"/>
      <c r="O15" s="241"/>
      <c r="P15" s="241"/>
      <c r="Q15" s="234"/>
      <c r="R15" s="240">
        <v>62622.13</v>
      </c>
    </row>
    <row r="16" spans="1:27" hidden="1" x14ac:dyDescent="0.2">
      <c r="A16" s="231">
        <f t="shared" si="0"/>
        <v>9</v>
      </c>
      <c r="B16" s="239">
        <f>+B15+30</f>
        <v>39051</v>
      </c>
      <c r="D16" s="240">
        <v>0</v>
      </c>
      <c r="E16" s="234"/>
      <c r="F16" s="242"/>
      <c r="G16" s="242">
        <v>403.91</v>
      </c>
      <c r="H16" s="242"/>
      <c r="I16" s="242"/>
      <c r="J16" s="242"/>
      <c r="K16" s="242"/>
      <c r="L16" s="242"/>
      <c r="M16" s="242"/>
      <c r="N16" s="242"/>
      <c r="O16" s="242"/>
      <c r="P16" s="242"/>
      <c r="Q16" s="234">
        <f t="shared" ref="Q16:Q46" si="1">SUM(D16:G16)</f>
        <v>403.91</v>
      </c>
      <c r="R16" s="241">
        <f t="shared" ref="R16:R46" si="2">+R15+Q16</f>
        <v>63026.04</v>
      </c>
    </row>
    <row r="17" spans="1:18" hidden="1" x14ac:dyDescent="0.2">
      <c r="A17" s="231">
        <f t="shared" si="0"/>
        <v>10</v>
      </c>
      <c r="B17" s="239">
        <f>+B16+31</f>
        <v>39082</v>
      </c>
      <c r="D17" s="240">
        <v>0</v>
      </c>
      <c r="E17" s="234"/>
      <c r="F17" s="242"/>
      <c r="G17" s="242">
        <v>406.52</v>
      </c>
      <c r="H17" s="242"/>
      <c r="I17" s="242"/>
      <c r="J17" s="242"/>
      <c r="K17" s="242"/>
      <c r="L17" s="242"/>
      <c r="M17" s="242"/>
      <c r="N17" s="242"/>
      <c r="O17" s="242"/>
      <c r="P17" s="242"/>
      <c r="Q17" s="234">
        <f t="shared" si="1"/>
        <v>406.52</v>
      </c>
      <c r="R17" s="241">
        <f t="shared" si="2"/>
        <v>63432.56</v>
      </c>
    </row>
    <row r="18" spans="1:18" hidden="1" x14ac:dyDescent="0.2">
      <c r="A18" s="231">
        <f t="shared" si="0"/>
        <v>11</v>
      </c>
      <c r="B18" s="239">
        <f>+B17+31</f>
        <v>39113</v>
      </c>
      <c r="D18" s="240">
        <v>0</v>
      </c>
      <c r="E18" s="234"/>
      <c r="F18" s="242"/>
      <c r="G18" s="242">
        <v>409.14</v>
      </c>
      <c r="H18" s="242"/>
      <c r="I18" s="242"/>
      <c r="J18" s="242"/>
      <c r="K18" s="242"/>
      <c r="L18" s="242"/>
      <c r="M18" s="242"/>
      <c r="N18" s="242"/>
      <c r="O18" s="242"/>
      <c r="P18" s="242"/>
      <c r="Q18" s="234">
        <f t="shared" si="1"/>
        <v>409.14</v>
      </c>
      <c r="R18" s="241">
        <f t="shared" si="2"/>
        <v>63841.7</v>
      </c>
    </row>
    <row r="19" spans="1:18" hidden="1" x14ac:dyDescent="0.2">
      <c r="A19" s="231">
        <f t="shared" si="0"/>
        <v>12</v>
      </c>
      <c r="B19" s="239">
        <f>+B18+28</f>
        <v>39141</v>
      </c>
      <c r="D19" s="240">
        <v>0</v>
      </c>
      <c r="E19" s="234"/>
      <c r="F19" s="242"/>
      <c r="G19" s="242">
        <v>434.66</v>
      </c>
      <c r="H19" s="242"/>
      <c r="I19" s="242"/>
      <c r="J19" s="242"/>
      <c r="K19" s="242"/>
      <c r="L19" s="242"/>
      <c r="M19" s="242"/>
      <c r="N19" s="242"/>
      <c r="O19" s="242"/>
      <c r="P19" s="242"/>
      <c r="Q19" s="234">
        <f t="shared" si="1"/>
        <v>434.66</v>
      </c>
      <c r="R19" s="241">
        <f t="shared" si="2"/>
        <v>64276.36</v>
      </c>
    </row>
    <row r="20" spans="1:18" hidden="1" x14ac:dyDescent="0.2">
      <c r="A20" s="231">
        <f t="shared" si="0"/>
        <v>13</v>
      </c>
      <c r="B20" s="239">
        <f>+B19+31</f>
        <v>39172</v>
      </c>
      <c r="D20" s="240">
        <v>0</v>
      </c>
      <c r="E20" s="234"/>
      <c r="F20" s="242"/>
      <c r="G20" s="242">
        <v>437.61</v>
      </c>
      <c r="H20" s="242"/>
      <c r="I20" s="242"/>
      <c r="J20" s="242"/>
      <c r="K20" s="242"/>
      <c r="L20" s="242"/>
      <c r="M20" s="242"/>
      <c r="N20" s="242"/>
      <c r="O20" s="242"/>
      <c r="P20" s="242"/>
      <c r="Q20" s="234">
        <f t="shared" si="1"/>
        <v>437.61</v>
      </c>
      <c r="R20" s="241">
        <f t="shared" si="2"/>
        <v>64713.97</v>
      </c>
    </row>
    <row r="21" spans="1:18" hidden="1" x14ac:dyDescent="0.2">
      <c r="A21" s="231">
        <f t="shared" si="0"/>
        <v>14</v>
      </c>
      <c r="B21" s="239">
        <f>+B20+30</f>
        <v>39202</v>
      </c>
      <c r="D21" s="240">
        <v>0</v>
      </c>
      <c r="E21" s="234"/>
      <c r="F21" s="242"/>
      <c r="G21" s="242">
        <v>440.59</v>
      </c>
      <c r="H21" s="242"/>
      <c r="I21" s="242"/>
      <c r="J21" s="242"/>
      <c r="K21" s="242"/>
      <c r="L21" s="242"/>
      <c r="M21" s="242"/>
      <c r="N21" s="242"/>
      <c r="O21" s="242"/>
      <c r="P21" s="242"/>
      <c r="Q21" s="234">
        <f t="shared" si="1"/>
        <v>440.59</v>
      </c>
      <c r="R21" s="241">
        <f t="shared" si="2"/>
        <v>65154.559999999998</v>
      </c>
    </row>
    <row r="22" spans="1:18" hidden="1" x14ac:dyDescent="0.2">
      <c r="A22" s="231">
        <f t="shared" si="0"/>
        <v>15</v>
      </c>
      <c r="B22" s="239">
        <f>+B21+31</f>
        <v>39233</v>
      </c>
      <c r="D22" s="240">
        <v>0</v>
      </c>
      <c r="E22" s="234"/>
      <c r="F22" s="242"/>
      <c r="G22" s="242">
        <v>443.59</v>
      </c>
      <c r="H22" s="242"/>
      <c r="I22" s="242"/>
      <c r="J22" s="242"/>
      <c r="K22" s="242"/>
      <c r="L22" s="242"/>
      <c r="M22" s="242"/>
      <c r="N22" s="242"/>
      <c r="O22" s="242"/>
      <c r="P22" s="242"/>
      <c r="Q22" s="234">
        <f t="shared" si="1"/>
        <v>443.59</v>
      </c>
      <c r="R22" s="241">
        <f t="shared" si="2"/>
        <v>65598.149999999994</v>
      </c>
    </row>
    <row r="23" spans="1:18" hidden="1" x14ac:dyDescent="0.2">
      <c r="A23" s="231">
        <f t="shared" si="0"/>
        <v>16</v>
      </c>
      <c r="B23" s="239">
        <f>+B22+30</f>
        <v>39263</v>
      </c>
      <c r="D23" s="240">
        <v>0</v>
      </c>
      <c r="E23" s="234"/>
      <c r="F23" s="242"/>
      <c r="G23" s="242">
        <v>459.65</v>
      </c>
      <c r="H23" s="242"/>
      <c r="I23" s="242"/>
      <c r="J23" s="242"/>
      <c r="K23" s="242"/>
      <c r="L23" s="242"/>
      <c r="M23" s="242"/>
      <c r="N23" s="242"/>
      <c r="O23" s="242"/>
      <c r="P23" s="242"/>
      <c r="Q23" s="234">
        <f t="shared" si="1"/>
        <v>459.65</v>
      </c>
      <c r="R23" s="241">
        <f t="shared" si="2"/>
        <v>66057.799999999988</v>
      </c>
    </row>
    <row r="24" spans="1:18" hidden="1" x14ac:dyDescent="0.2">
      <c r="A24" s="231">
        <f t="shared" si="0"/>
        <v>17</v>
      </c>
      <c r="B24" s="239">
        <f>+B23+31</f>
        <v>39294</v>
      </c>
      <c r="C24" s="243"/>
      <c r="D24" s="240">
        <v>0</v>
      </c>
      <c r="E24" s="234"/>
      <c r="F24" s="241"/>
      <c r="G24" s="241">
        <f t="shared" ref="G24:G29" si="3">ROUND((+R23+E24+(D24/2))*0.0825/12,2)</f>
        <v>454.15</v>
      </c>
      <c r="H24" s="241"/>
      <c r="I24" s="241"/>
      <c r="J24" s="241"/>
      <c r="K24" s="241"/>
      <c r="L24" s="241"/>
      <c r="M24" s="241"/>
      <c r="N24" s="241"/>
      <c r="O24" s="241"/>
      <c r="P24" s="241"/>
      <c r="Q24" s="234">
        <f t="shared" si="1"/>
        <v>454.15</v>
      </c>
      <c r="R24" s="241">
        <f t="shared" si="2"/>
        <v>66511.949999999983</v>
      </c>
    </row>
    <row r="25" spans="1:18" hidden="1" x14ac:dyDescent="0.2">
      <c r="A25" s="231">
        <f t="shared" si="0"/>
        <v>18</v>
      </c>
      <c r="B25" s="239">
        <f>+B24+30</f>
        <v>39324</v>
      </c>
      <c r="C25" s="243"/>
      <c r="D25" s="240">
        <v>0</v>
      </c>
      <c r="E25" s="234"/>
      <c r="F25" s="241"/>
      <c r="G25" s="241">
        <f t="shared" si="3"/>
        <v>457.27</v>
      </c>
      <c r="H25" s="241"/>
      <c r="I25" s="241"/>
      <c r="J25" s="241"/>
      <c r="K25" s="241"/>
      <c r="L25" s="241"/>
      <c r="M25" s="241"/>
      <c r="N25" s="241"/>
      <c r="O25" s="241"/>
      <c r="P25" s="241"/>
      <c r="Q25" s="234">
        <f t="shared" si="1"/>
        <v>457.27</v>
      </c>
      <c r="R25" s="241">
        <f t="shared" si="2"/>
        <v>66969.219999999987</v>
      </c>
    </row>
    <row r="26" spans="1:18" hidden="1" x14ac:dyDescent="0.2">
      <c r="A26" s="231">
        <f t="shared" si="0"/>
        <v>19</v>
      </c>
      <c r="B26" s="239">
        <f>+B25+30</f>
        <v>39354</v>
      </c>
      <c r="C26" s="243"/>
      <c r="D26" s="240">
        <v>0</v>
      </c>
      <c r="E26" s="234"/>
      <c r="F26" s="241"/>
      <c r="G26" s="241">
        <f t="shared" si="3"/>
        <v>460.41</v>
      </c>
      <c r="H26" s="241"/>
      <c r="I26" s="241"/>
      <c r="J26" s="241"/>
      <c r="K26" s="241"/>
      <c r="L26" s="241"/>
      <c r="M26" s="241"/>
      <c r="N26" s="241"/>
      <c r="O26" s="241"/>
      <c r="P26" s="241"/>
      <c r="Q26" s="234">
        <f t="shared" si="1"/>
        <v>460.41</v>
      </c>
      <c r="R26" s="241">
        <f t="shared" si="2"/>
        <v>67429.62999999999</v>
      </c>
    </row>
    <row r="27" spans="1:18" hidden="1" x14ac:dyDescent="0.2">
      <c r="A27" s="231">
        <f t="shared" si="0"/>
        <v>20</v>
      </c>
      <c r="B27" s="239">
        <f>+B26+31</f>
        <v>39385</v>
      </c>
      <c r="C27" s="243"/>
      <c r="D27" s="244">
        <v>0</v>
      </c>
      <c r="E27" s="245"/>
      <c r="F27" s="246"/>
      <c r="G27" s="246">
        <f t="shared" si="3"/>
        <v>463.58</v>
      </c>
      <c r="H27" s="246"/>
      <c r="I27" s="246"/>
      <c r="J27" s="246"/>
      <c r="K27" s="246"/>
      <c r="L27" s="246"/>
      <c r="M27" s="246"/>
      <c r="N27" s="246"/>
      <c r="O27" s="246"/>
      <c r="P27" s="246"/>
      <c r="Q27" s="245">
        <f t="shared" si="1"/>
        <v>463.58</v>
      </c>
      <c r="R27" s="241">
        <f t="shared" si="2"/>
        <v>67893.209999999992</v>
      </c>
    </row>
    <row r="28" spans="1:18" hidden="1" x14ac:dyDescent="0.2">
      <c r="A28" s="231">
        <f t="shared" si="0"/>
        <v>21</v>
      </c>
      <c r="B28" s="239">
        <f>+B27+30</f>
        <v>39415</v>
      </c>
      <c r="C28" s="226" t="s">
        <v>181</v>
      </c>
      <c r="D28" s="244">
        <v>0</v>
      </c>
      <c r="E28" s="245">
        <f>-R27</f>
        <v>-67893.209999999992</v>
      </c>
      <c r="F28" s="246"/>
      <c r="G28" s="246">
        <f t="shared" si="3"/>
        <v>0</v>
      </c>
      <c r="H28" s="246"/>
      <c r="I28" s="246"/>
      <c r="J28" s="246"/>
      <c r="K28" s="246"/>
      <c r="L28" s="246"/>
      <c r="M28" s="246"/>
      <c r="N28" s="246"/>
      <c r="O28" s="246"/>
      <c r="P28" s="246"/>
      <c r="Q28" s="245">
        <f t="shared" si="1"/>
        <v>-67893.209999999992</v>
      </c>
      <c r="R28" s="241">
        <f t="shared" si="2"/>
        <v>0</v>
      </c>
    </row>
    <row r="29" spans="1:18" hidden="1" x14ac:dyDescent="0.2">
      <c r="A29" s="231">
        <f t="shared" si="0"/>
        <v>22</v>
      </c>
      <c r="B29" s="239">
        <f>+B28+31</f>
        <v>39446</v>
      </c>
      <c r="D29" s="244">
        <v>0</v>
      </c>
      <c r="E29" s="245"/>
      <c r="F29" s="246"/>
      <c r="G29" s="246">
        <f t="shared" si="3"/>
        <v>0</v>
      </c>
      <c r="H29" s="246"/>
      <c r="I29" s="246"/>
      <c r="J29" s="246"/>
      <c r="K29" s="246"/>
      <c r="L29" s="246"/>
      <c r="M29" s="246"/>
      <c r="N29" s="246"/>
      <c r="O29" s="246"/>
      <c r="P29" s="246"/>
      <c r="Q29" s="245">
        <f t="shared" si="1"/>
        <v>0</v>
      </c>
      <c r="R29" s="241">
        <f t="shared" si="2"/>
        <v>0</v>
      </c>
    </row>
    <row r="30" spans="1:18" hidden="1" x14ac:dyDescent="0.2">
      <c r="A30" s="231">
        <f t="shared" si="0"/>
        <v>23</v>
      </c>
      <c r="B30" s="239">
        <f>+B29+31</f>
        <v>39477</v>
      </c>
      <c r="D30" s="244">
        <v>0</v>
      </c>
      <c r="E30" s="247"/>
      <c r="F30" s="246"/>
      <c r="G30" s="246">
        <f>ROUND((+R29+E30+(D30/2))*0.0776/12,2)</f>
        <v>0</v>
      </c>
      <c r="H30" s="246"/>
      <c r="I30" s="246"/>
      <c r="J30" s="246"/>
      <c r="K30" s="246"/>
      <c r="L30" s="246"/>
      <c r="M30" s="246"/>
      <c r="N30" s="246"/>
      <c r="O30" s="246"/>
      <c r="P30" s="246"/>
      <c r="Q30" s="245">
        <f t="shared" si="1"/>
        <v>0</v>
      </c>
      <c r="R30" s="241">
        <f t="shared" si="2"/>
        <v>0</v>
      </c>
    </row>
    <row r="31" spans="1:18" hidden="1" x14ac:dyDescent="0.2">
      <c r="A31" s="231">
        <f t="shared" si="0"/>
        <v>24</v>
      </c>
      <c r="B31" s="239">
        <f>+B30+29</f>
        <v>39506</v>
      </c>
      <c r="D31" s="244">
        <v>0</v>
      </c>
      <c r="F31" s="246"/>
      <c r="G31" s="246">
        <f>ROUND((+R30+E31+(D31/2))*0.0776/12,2)</f>
        <v>0</v>
      </c>
      <c r="H31" s="246"/>
      <c r="I31" s="246"/>
      <c r="J31" s="246"/>
      <c r="K31" s="246"/>
      <c r="L31" s="246"/>
      <c r="M31" s="246"/>
      <c r="N31" s="246"/>
      <c r="O31" s="246"/>
      <c r="P31" s="246"/>
      <c r="Q31" s="245">
        <f t="shared" si="1"/>
        <v>0</v>
      </c>
      <c r="R31" s="241">
        <f t="shared" si="2"/>
        <v>0</v>
      </c>
    </row>
    <row r="32" spans="1:18" hidden="1" x14ac:dyDescent="0.2">
      <c r="A32" s="231">
        <f t="shared" si="0"/>
        <v>25</v>
      </c>
      <c r="B32" s="239">
        <f>+B31+31</f>
        <v>39537</v>
      </c>
      <c r="D32" s="244">
        <v>0</v>
      </c>
      <c r="F32" s="246"/>
      <c r="G32" s="246">
        <f>ROUND((+R31+E32+(D32/2))*0.0776/12,2)</f>
        <v>0</v>
      </c>
      <c r="H32" s="246"/>
      <c r="I32" s="246"/>
      <c r="J32" s="246"/>
      <c r="K32" s="246"/>
      <c r="L32" s="246"/>
      <c r="M32" s="246"/>
      <c r="N32" s="246"/>
      <c r="O32" s="246"/>
      <c r="P32" s="246"/>
      <c r="Q32" s="245">
        <f t="shared" si="1"/>
        <v>0</v>
      </c>
      <c r="R32" s="241">
        <f t="shared" si="2"/>
        <v>0</v>
      </c>
    </row>
    <row r="33" spans="1:18" hidden="1" x14ac:dyDescent="0.2">
      <c r="A33" s="231">
        <f t="shared" si="0"/>
        <v>26</v>
      </c>
      <c r="B33" s="239">
        <f>+B32+30</f>
        <v>39567</v>
      </c>
      <c r="D33" s="244">
        <v>0</v>
      </c>
      <c r="F33" s="246"/>
      <c r="G33" s="246">
        <f>ROUND((+R32+E33+(D33/2))*0.0677/12,2)</f>
        <v>0</v>
      </c>
      <c r="H33" s="246"/>
      <c r="I33" s="246"/>
      <c r="J33" s="246"/>
      <c r="K33" s="246"/>
      <c r="L33" s="246"/>
      <c r="M33" s="246"/>
      <c r="N33" s="246"/>
      <c r="O33" s="246"/>
      <c r="P33" s="246"/>
      <c r="Q33" s="245">
        <f t="shared" si="1"/>
        <v>0</v>
      </c>
      <c r="R33" s="241">
        <f t="shared" si="2"/>
        <v>0</v>
      </c>
    </row>
    <row r="34" spans="1:18" hidden="1" x14ac:dyDescent="0.2">
      <c r="A34" s="231">
        <f t="shared" si="0"/>
        <v>27</v>
      </c>
      <c r="B34" s="239">
        <f>+B33+31</f>
        <v>39598</v>
      </c>
      <c r="D34" s="244">
        <v>0</v>
      </c>
      <c r="F34" s="246"/>
      <c r="G34" s="246">
        <f>ROUND((+R33+E34+(D34/2))*0.0677/12,2)</f>
        <v>0</v>
      </c>
      <c r="H34" s="246"/>
      <c r="I34" s="246"/>
      <c r="J34" s="246"/>
      <c r="K34" s="246"/>
      <c r="L34" s="246"/>
      <c r="M34" s="246"/>
      <c r="N34" s="246"/>
      <c r="O34" s="246"/>
      <c r="P34" s="246"/>
      <c r="Q34" s="245">
        <f t="shared" si="1"/>
        <v>0</v>
      </c>
      <c r="R34" s="241">
        <f t="shared" si="2"/>
        <v>0</v>
      </c>
    </row>
    <row r="35" spans="1:18" hidden="1" x14ac:dyDescent="0.2">
      <c r="A35" s="231">
        <f t="shared" si="0"/>
        <v>28</v>
      </c>
      <c r="B35" s="239">
        <f>+B34+30</f>
        <v>39628</v>
      </c>
      <c r="D35" s="244">
        <v>0</v>
      </c>
      <c r="F35" s="246"/>
      <c r="G35" s="246">
        <f>ROUND((+R34+E35+(D35/2))*0.0677/12,2)</f>
        <v>0</v>
      </c>
      <c r="H35" s="246"/>
      <c r="I35" s="246"/>
      <c r="J35" s="246"/>
      <c r="K35" s="246"/>
      <c r="L35" s="246"/>
      <c r="M35" s="246"/>
      <c r="N35" s="246"/>
      <c r="O35" s="246"/>
      <c r="P35" s="246"/>
      <c r="Q35" s="245">
        <f t="shared" si="1"/>
        <v>0</v>
      </c>
      <c r="R35" s="241">
        <f t="shared" si="2"/>
        <v>0</v>
      </c>
    </row>
    <row r="36" spans="1:18" hidden="1" x14ac:dyDescent="0.2">
      <c r="A36" s="231">
        <f t="shared" si="0"/>
        <v>29</v>
      </c>
      <c r="B36" s="239">
        <f>+B35+31</f>
        <v>39659</v>
      </c>
      <c r="D36" s="244">
        <v>0</v>
      </c>
      <c r="F36" s="246"/>
      <c r="G36" s="246">
        <f>ROUND((+R35+E36+(D36/2))*0.053/12,2)</f>
        <v>0</v>
      </c>
      <c r="H36" s="246"/>
      <c r="I36" s="246"/>
      <c r="J36" s="246"/>
      <c r="K36" s="246"/>
      <c r="L36" s="246"/>
      <c r="M36" s="246"/>
      <c r="N36" s="246"/>
      <c r="O36" s="246"/>
      <c r="P36" s="246"/>
      <c r="Q36" s="245">
        <f t="shared" si="1"/>
        <v>0</v>
      </c>
      <c r="R36" s="241">
        <f t="shared" si="2"/>
        <v>0</v>
      </c>
    </row>
    <row r="37" spans="1:18" hidden="1" x14ac:dyDescent="0.2">
      <c r="A37" s="231">
        <f t="shared" si="0"/>
        <v>30</v>
      </c>
      <c r="B37" s="239">
        <f>+B36+30</f>
        <v>39689</v>
      </c>
      <c r="D37" s="244">
        <v>0</v>
      </c>
      <c r="F37" s="246"/>
      <c r="G37" s="246">
        <f>ROUND((+R36+E37+(D37/2))*0.053/12,2)</f>
        <v>0</v>
      </c>
      <c r="H37" s="246"/>
      <c r="I37" s="246"/>
      <c r="J37" s="246"/>
      <c r="K37" s="246"/>
      <c r="L37" s="246"/>
      <c r="M37" s="246"/>
      <c r="N37" s="246"/>
      <c r="O37" s="246"/>
      <c r="P37" s="246"/>
      <c r="Q37" s="245">
        <f t="shared" si="1"/>
        <v>0</v>
      </c>
      <c r="R37" s="241">
        <f t="shared" si="2"/>
        <v>0</v>
      </c>
    </row>
    <row r="38" spans="1:18" hidden="1" x14ac:dyDescent="0.2">
      <c r="A38" s="231">
        <f t="shared" si="0"/>
        <v>31</v>
      </c>
      <c r="B38" s="239">
        <f>+B37+30</f>
        <v>39719</v>
      </c>
      <c r="D38" s="244">
        <v>0</v>
      </c>
      <c r="F38" s="246"/>
      <c r="G38" s="246">
        <f>ROUND((+R37+E38+(D38/2))*0.053/12,2)</f>
        <v>0</v>
      </c>
      <c r="H38" s="246"/>
      <c r="I38" s="246"/>
      <c r="J38" s="246"/>
      <c r="K38" s="246"/>
      <c r="L38" s="246"/>
      <c r="M38" s="246"/>
      <c r="N38" s="246"/>
      <c r="O38" s="246"/>
      <c r="P38" s="246"/>
      <c r="Q38" s="245">
        <f t="shared" si="1"/>
        <v>0</v>
      </c>
      <c r="R38" s="241">
        <f t="shared" si="2"/>
        <v>0</v>
      </c>
    </row>
    <row r="39" spans="1:18" hidden="1" x14ac:dyDescent="0.2">
      <c r="A39" s="231">
        <f t="shared" si="0"/>
        <v>32</v>
      </c>
      <c r="B39" s="239">
        <f>+B38+31</f>
        <v>39750</v>
      </c>
      <c r="D39" s="244">
        <v>0</v>
      </c>
      <c r="F39" s="246"/>
      <c r="G39" s="246">
        <f t="shared" ref="G39:G46" si="4">ROUND((+R38+E39+(D39/2))*0.05/12,2)</f>
        <v>0</v>
      </c>
      <c r="H39" s="246"/>
      <c r="I39" s="246"/>
      <c r="J39" s="246"/>
      <c r="K39" s="246"/>
      <c r="L39" s="246"/>
      <c r="M39" s="246"/>
      <c r="N39" s="246"/>
      <c r="O39" s="246"/>
      <c r="P39" s="246"/>
      <c r="Q39" s="245">
        <f t="shared" si="1"/>
        <v>0</v>
      </c>
      <c r="R39" s="241">
        <f t="shared" si="2"/>
        <v>0</v>
      </c>
    </row>
    <row r="40" spans="1:18" hidden="1" x14ac:dyDescent="0.2">
      <c r="A40" s="231">
        <f t="shared" si="0"/>
        <v>33</v>
      </c>
      <c r="B40" s="239">
        <f>+B39+30</f>
        <v>39780</v>
      </c>
      <c r="D40" s="244">
        <v>0</v>
      </c>
      <c r="F40" s="246"/>
      <c r="G40" s="246">
        <f t="shared" si="4"/>
        <v>0</v>
      </c>
      <c r="H40" s="246"/>
      <c r="I40" s="246"/>
      <c r="J40" s="246"/>
      <c r="K40" s="246"/>
      <c r="L40" s="246"/>
      <c r="M40" s="246"/>
      <c r="N40" s="246"/>
      <c r="O40" s="246"/>
      <c r="P40" s="246"/>
      <c r="Q40" s="245">
        <f t="shared" si="1"/>
        <v>0</v>
      </c>
      <c r="R40" s="241">
        <f t="shared" si="2"/>
        <v>0</v>
      </c>
    </row>
    <row r="41" spans="1:18" hidden="1" x14ac:dyDescent="0.2">
      <c r="A41" s="231">
        <f t="shared" si="0"/>
        <v>34</v>
      </c>
      <c r="B41" s="239">
        <f>+B40+31</f>
        <v>39811</v>
      </c>
      <c r="D41" s="244">
        <v>0</v>
      </c>
      <c r="F41" s="246"/>
      <c r="G41" s="246">
        <f t="shared" si="4"/>
        <v>0</v>
      </c>
      <c r="H41" s="246"/>
      <c r="I41" s="246"/>
      <c r="J41" s="246"/>
      <c r="K41" s="246"/>
      <c r="L41" s="246"/>
      <c r="M41" s="246"/>
      <c r="N41" s="246"/>
      <c r="O41" s="246"/>
      <c r="P41" s="246"/>
      <c r="Q41" s="245">
        <f t="shared" si="1"/>
        <v>0</v>
      </c>
      <c r="R41" s="241">
        <f t="shared" si="2"/>
        <v>0</v>
      </c>
    </row>
    <row r="42" spans="1:18" hidden="1" x14ac:dyDescent="0.2">
      <c r="A42" s="231">
        <f t="shared" si="0"/>
        <v>35</v>
      </c>
      <c r="B42" s="239">
        <f>+B41+31</f>
        <v>39842</v>
      </c>
      <c r="D42" s="244">
        <v>0</v>
      </c>
      <c r="F42" s="246"/>
      <c r="G42" s="246">
        <f t="shared" si="4"/>
        <v>0</v>
      </c>
      <c r="H42" s="246"/>
      <c r="I42" s="246"/>
      <c r="J42" s="246"/>
      <c r="K42" s="246"/>
      <c r="L42" s="246"/>
      <c r="M42" s="246"/>
      <c r="N42" s="246"/>
      <c r="O42" s="246"/>
      <c r="P42" s="246"/>
      <c r="Q42" s="245">
        <f t="shared" si="1"/>
        <v>0</v>
      </c>
      <c r="R42" s="241">
        <f t="shared" si="2"/>
        <v>0</v>
      </c>
    </row>
    <row r="43" spans="1:18" hidden="1" x14ac:dyDescent="0.2">
      <c r="A43" s="231">
        <f t="shared" si="0"/>
        <v>36</v>
      </c>
      <c r="B43" s="239">
        <f>+B42+28</f>
        <v>39870</v>
      </c>
      <c r="D43" s="244">
        <v>0</v>
      </c>
      <c r="F43" s="246"/>
      <c r="G43" s="246">
        <f t="shared" si="4"/>
        <v>0</v>
      </c>
      <c r="H43" s="246"/>
      <c r="I43" s="246"/>
      <c r="J43" s="246"/>
      <c r="K43" s="246"/>
      <c r="L43" s="246"/>
      <c r="M43" s="246"/>
      <c r="N43" s="246"/>
      <c r="O43" s="246"/>
      <c r="P43" s="246"/>
      <c r="Q43" s="245">
        <f t="shared" si="1"/>
        <v>0</v>
      </c>
      <c r="R43" s="241">
        <f t="shared" si="2"/>
        <v>0</v>
      </c>
    </row>
    <row r="44" spans="1:18" hidden="1" x14ac:dyDescent="0.2">
      <c r="A44" s="231">
        <f t="shared" si="0"/>
        <v>37</v>
      </c>
      <c r="B44" s="239">
        <f>+B43+31</f>
        <v>39901</v>
      </c>
      <c r="D44" s="244">
        <v>0</v>
      </c>
      <c r="F44" s="246"/>
      <c r="G44" s="246">
        <f t="shared" si="4"/>
        <v>0</v>
      </c>
      <c r="H44" s="246"/>
      <c r="I44" s="246"/>
      <c r="J44" s="246"/>
      <c r="K44" s="246"/>
      <c r="L44" s="246"/>
      <c r="M44" s="246"/>
      <c r="N44" s="246"/>
      <c r="O44" s="246"/>
      <c r="P44" s="246"/>
      <c r="Q44" s="245">
        <f t="shared" si="1"/>
        <v>0</v>
      </c>
      <c r="R44" s="241">
        <f t="shared" si="2"/>
        <v>0</v>
      </c>
    </row>
    <row r="45" spans="1:18" hidden="1" x14ac:dyDescent="0.2">
      <c r="A45" s="231">
        <f t="shared" si="0"/>
        <v>38</v>
      </c>
      <c r="B45" s="239">
        <f>+B44+30</f>
        <v>39931</v>
      </c>
      <c r="D45" s="244">
        <v>0</v>
      </c>
      <c r="F45" s="246"/>
      <c r="G45" s="246">
        <f t="shared" si="4"/>
        <v>0</v>
      </c>
      <c r="H45" s="246"/>
      <c r="I45" s="246"/>
      <c r="J45" s="246"/>
      <c r="K45" s="246"/>
      <c r="L45" s="246"/>
      <c r="M45" s="246"/>
      <c r="N45" s="246"/>
      <c r="O45" s="246"/>
      <c r="P45" s="246"/>
      <c r="Q45" s="245">
        <f t="shared" si="1"/>
        <v>0</v>
      </c>
      <c r="R45" s="241">
        <f t="shared" si="2"/>
        <v>0</v>
      </c>
    </row>
    <row r="46" spans="1:18" hidden="1" x14ac:dyDescent="0.2">
      <c r="A46" s="231">
        <f t="shared" si="0"/>
        <v>39</v>
      </c>
      <c r="B46" s="239">
        <f>+B45+31</f>
        <v>39962</v>
      </c>
      <c r="D46" s="244">
        <v>0</v>
      </c>
      <c r="F46" s="246"/>
      <c r="G46" s="246">
        <f t="shared" si="4"/>
        <v>0</v>
      </c>
      <c r="H46" s="246"/>
      <c r="I46" s="246"/>
      <c r="J46" s="246"/>
      <c r="K46" s="246"/>
      <c r="L46" s="246"/>
      <c r="M46" s="246"/>
      <c r="N46" s="246"/>
      <c r="O46" s="246"/>
      <c r="P46" s="246"/>
      <c r="Q46" s="245">
        <f t="shared" si="1"/>
        <v>0</v>
      </c>
      <c r="R46" s="241">
        <f t="shared" si="2"/>
        <v>0</v>
      </c>
    </row>
    <row r="47" spans="1:18" hidden="1" x14ac:dyDescent="0.2">
      <c r="A47" s="231">
        <f>+A14+1</f>
        <v>8</v>
      </c>
      <c r="B47" s="239">
        <f>+B46+30</f>
        <v>39992</v>
      </c>
      <c r="D47" s="244">
        <v>0</v>
      </c>
      <c r="F47" s="246"/>
      <c r="G47" s="246"/>
      <c r="H47" s="246"/>
      <c r="I47" s="246"/>
      <c r="J47" s="246"/>
      <c r="K47" s="246"/>
      <c r="L47" s="246"/>
      <c r="M47" s="246"/>
      <c r="N47" s="246"/>
      <c r="O47" s="246"/>
      <c r="P47" s="246"/>
      <c r="Q47" s="245"/>
      <c r="R47" s="244">
        <v>0</v>
      </c>
    </row>
    <row r="48" spans="1:18" hidden="1" x14ac:dyDescent="0.2">
      <c r="A48" s="231">
        <f t="shared" si="0"/>
        <v>9</v>
      </c>
      <c r="B48" s="239">
        <f>+B47+31</f>
        <v>40023</v>
      </c>
      <c r="D48" s="244">
        <v>0</v>
      </c>
      <c r="F48" s="246"/>
      <c r="G48" s="246">
        <f t="shared" ref="G48:G53" si="5">ROUND((+R47+E48+(D48/2))*0.05/12,2)</f>
        <v>0</v>
      </c>
      <c r="H48" s="246"/>
      <c r="I48" s="246"/>
      <c r="J48" s="246"/>
      <c r="K48" s="246"/>
      <c r="L48" s="246"/>
      <c r="M48" s="246"/>
      <c r="N48" s="246"/>
      <c r="O48" s="246"/>
      <c r="P48" s="246"/>
      <c r="Q48" s="245">
        <f t="shared" ref="Q48:Q53" si="6">SUM(D48:G48)</f>
        <v>0</v>
      </c>
      <c r="R48" s="241">
        <f t="shared" ref="R48:R53" si="7">+R47+Q48</f>
        <v>0</v>
      </c>
    </row>
    <row r="49" spans="1:20" hidden="1" x14ac:dyDescent="0.2">
      <c r="A49" s="231">
        <f t="shared" si="0"/>
        <v>10</v>
      </c>
      <c r="B49" s="239">
        <f>+B48+30</f>
        <v>40053</v>
      </c>
      <c r="D49" s="244">
        <v>0</v>
      </c>
      <c r="F49" s="246"/>
      <c r="G49" s="246">
        <f t="shared" si="5"/>
        <v>0</v>
      </c>
      <c r="H49" s="246"/>
      <c r="I49" s="246"/>
      <c r="J49" s="246"/>
      <c r="K49" s="246"/>
      <c r="L49" s="246"/>
      <c r="M49" s="246"/>
      <c r="N49" s="246"/>
      <c r="O49" s="246"/>
      <c r="P49" s="246"/>
      <c r="Q49" s="245">
        <f t="shared" si="6"/>
        <v>0</v>
      </c>
      <c r="R49" s="241">
        <f t="shared" si="7"/>
        <v>0</v>
      </c>
    </row>
    <row r="50" spans="1:20" hidden="1" x14ac:dyDescent="0.2">
      <c r="A50" s="231">
        <f t="shared" si="0"/>
        <v>11</v>
      </c>
      <c r="B50" s="239">
        <f>+B49+30</f>
        <v>40083</v>
      </c>
      <c r="D50" s="244">
        <v>0</v>
      </c>
      <c r="F50" s="246"/>
      <c r="G50" s="246">
        <f t="shared" si="5"/>
        <v>0</v>
      </c>
      <c r="H50" s="246"/>
      <c r="I50" s="246"/>
      <c r="J50" s="246"/>
      <c r="K50" s="246"/>
      <c r="L50" s="246"/>
      <c r="M50" s="246"/>
      <c r="N50" s="246"/>
      <c r="O50" s="246"/>
      <c r="P50" s="246"/>
      <c r="Q50" s="245">
        <f t="shared" si="6"/>
        <v>0</v>
      </c>
      <c r="R50" s="241">
        <f t="shared" si="7"/>
        <v>0</v>
      </c>
    </row>
    <row r="51" spans="1:20" hidden="1" x14ac:dyDescent="0.2">
      <c r="A51" s="231">
        <f t="shared" si="0"/>
        <v>12</v>
      </c>
      <c r="B51" s="239">
        <f>+B50+31</f>
        <v>40114</v>
      </c>
      <c r="D51" s="244">
        <v>0</v>
      </c>
      <c r="F51" s="246"/>
      <c r="G51" s="246">
        <f t="shared" si="5"/>
        <v>0</v>
      </c>
      <c r="H51" s="246"/>
      <c r="I51" s="246"/>
      <c r="J51" s="246"/>
      <c r="K51" s="246"/>
      <c r="L51" s="246"/>
      <c r="M51" s="246"/>
      <c r="N51" s="246"/>
      <c r="O51" s="246"/>
      <c r="P51" s="246"/>
      <c r="Q51" s="245">
        <f t="shared" si="6"/>
        <v>0</v>
      </c>
      <c r="R51" s="241">
        <f t="shared" si="7"/>
        <v>0</v>
      </c>
    </row>
    <row r="52" spans="1:20" hidden="1" x14ac:dyDescent="0.2">
      <c r="A52" s="231">
        <f t="shared" si="0"/>
        <v>13</v>
      </c>
      <c r="B52" s="239">
        <f>+B51+30</f>
        <v>40144</v>
      </c>
      <c r="D52" s="244">
        <v>0</v>
      </c>
      <c r="F52" s="246"/>
      <c r="G52" s="246">
        <f t="shared" si="5"/>
        <v>0</v>
      </c>
      <c r="H52" s="246"/>
      <c r="I52" s="246"/>
      <c r="J52" s="246"/>
      <c r="K52" s="246"/>
      <c r="L52" s="246"/>
      <c r="M52" s="246"/>
      <c r="N52" s="246"/>
      <c r="O52" s="246"/>
      <c r="P52" s="246"/>
      <c r="Q52" s="245">
        <f t="shared" si="6"/>
        <v>0</v>
      </c>
      <c r="R52" s="241">
        <f t="shared" si="7"/>
        <v>0</v>
      </c>
    </row>
    <row r="53" spans="1:20" hidden="1" x14ac:dyDescent="0.2">
      <c r="A53" s="231">
        <f t="shared" si="0"/>
        <v>14</v>
      </c>
      <c r="B53" s="239">
        <f>+B52+31</f>
        <v>40175</v>
      </c>
      <c r="D53" s="244">
        <v>0</v>
      </c>
      <c r="F53" s="246"/>
      <c r="G53" s="246">
        <f t="shared" si="5"/>
        <v>0</v>
      </c>
      <c r="H53" s="246"/>
      <c r="I53" s="246"/>
      <c r="J53" s="246"/>
      <c r="K53" s="246"/>
      <c r="L53" s="246"/>
      <c r="M53" s="246"/>
      <c r="N53" s="246"/>
      <c r="O53" s="246"/>
      <c r="P53" s="246"/>
      <c r="Q53" s="245">
        <f t="shared" si="6"/>
        <v>0</v>
      </c>
      <c r="R53" s="241">
        <f t="shared" si="7"/>
        <v>0</v>
      </c>
    </row>
    <row r="54" spans="1:20" hidden="1" x14ac:dyDescent="0.2">
      <c r="A54" s="231">
        <f>+A53+1</f>
        <v>15</v>
      </c>
      <c r="B54" s="239">
        <f>+B53+31</f>
        <v>40206</v>
      </c>
      <c r="D54" s="244"/>
      <c r="F54" s="246"/>
      <c r="G54" s="246"/>
      <c r="H54" s="246"/>
      <c r="I54" s="246"/>
      <c r="J54" s="246"/>
      <c r="K54" s="246"/>
      <c r="L54" s="246"/>
      <c r="M54" s="246"/>
      <c r="N54" s="246"/>
      <c r="O54" s="246"/>
      <c r="P54" s="246"/>
      <c r="Q54" s="245"/>
      <c r="R54" s="241"/>
    </row>
    <row r="55" spans="1:20" hidden="1" x14ac:dyDescent="0.2">
      <c r="A55" s="231">
        <f t="shared" si="0"/>
        <v>16</v>
      </c>
      <c r="B55" s="239">
        <f>+B53+31</f>
        <v>40206</v>
      </c>
      <c r="D55" s="244">
        <v>0</v>
      </c>
      <c r="F55" s="248">
        <v>3.2500000000000001E-2</v>
      </c>
      <c r="G55" s="246">
        <f>ROUND((+R53+E55+(D55/2))*F55/12,2)</f>
        <v>0</v>
      </c>
      <c r="H55" s="249"/>
      <c r="I55" s="248"/>
      <c r="J55" s="248"/>
      <c r="K55" s="248"/>
      <c r="L55" s="248"/>
      <c r="M55" s="248"/>
      <c r="N55" s="248"/>
      <c r="O55" s="248"/>
      <c r="P55" s="248"/>
      <c r="Q55" s="245">
        <f t="shared" ref="Q55:Q86" si="8">SUM(D55:G55)</f>
        <v>3.2500000000000001E-2</v>
      </c>
      <c r="R55" s="241">
        <f>+R53+Q55</f>
        <v>3.2500000000000001E-2</v>
      </c>
      <c r="S55" s="241">
        <f>+R55</f>
        <v>3.2500000000000001E-2</v>
      </c>
      <c r="T55" s="241"/>
    </row>
    <row r="56" spans="1:20" hidden="1" x14ac:dyDescent="0.2">
      <c r="A56" s="231">
        <f t="shared" si="0"/>
        <v>17</v>
      </c>
      <c r="B56" s="239">
        <f>+B55+28</f>
        <v>40234</v>
      </c>
      <c r="D56" s="244">
        <v>25084.31</v>
      </c>
      <c r="F56" s="248">
        <v>3.2500000000000001E-2</v>
      </c>
      <c r="G56" s="250">
        <v>33.97</v>
      </c>
      <c r="H56" s="249"/>
      <c r="I56" s="248"/>
      <c r="J56" s="248"/>
      <c r="K56" s="248"/>
      <c r="L56" s="248"/>
      <c r="M56" s="248"/>
      <c r="N56" s="248"/>
      <c r="O56" s="248"/>
      <c r="P56" s="248"/>
      <c r="Q56" s="245">
        <f t="shared" si="8"/>
        <v>25118.312500000004</v>
      </c>
      <c r="R56" s="241">
        <f t="shared" ref="R56:R119" si="9">+R55+Q56</f>
        <v>25118.345000000005</v>
      </c>
      <c r="S56" s="241">
        <f>+R56</f>
        <v>25118.345000000005</v>
      </c>
      <c r="T56" s="241"/>
    </row>
    <row r="57" spans="1:20" hidden="1" x14ac:dyDescent="0.2">
      <c r="A57" s="231">
        <f t="shared" si="0"/>
        <v>18</v>
      </c>
      <c r="B57" s="239">
        <f>+B56+31</f>
        <v>40265</v>
      </c>
      <c r="D57" s="244">
        <v>0</v>
      </c>
      <c r="F57" s="248">
        <v>3.2500000000000001E-2</v>
      </c>
      <c r="G57" s="250">
        <v>68.03</v>
      </c>
      <c r="H57" s="249"/>
      <c r="I57" s="248"/>
      <c r="J57" s="248"/>
      <c r="K57" s="248"/>
      <c r="L57" s="248"/>
      <c r="M57" s="248"/>
      <c r="N57" s="248"/>
      <c r="O57" s="248"/>
      <c r="P57" s="248"/>
      <c r="Q57" s="245">
        <f t="shared" si="8"/>
        <v>68.0625</v>
      </c>
      <c r="R57" s="241">
        <f t="shared" si="9"/>
        <v>25186.407500000005</v>
      </c>
      <c r="S57" s="241">
        <f>+R57</f>
        <v>25186.407500000005</v>
      </c>
      <c r="T57" s="241"/>
    </row>
    <row r="58" spans="1:20" hidden="1" x14ac:dyDescent="0.2">
      <c r="A58" s="231">
        <f t="shared" si="0"/>
        <v>19</v>
      </c>
      <c r="B58" s="239">
        <f>+B57+30</f>
        <v>40295</v>
      </c>
      <c r="D58" s="244">
        <v>0</v>
      </c>
      <c r="F58" s="248">
        <v>3.2500000000000001E-2</v>
      </c>
      <c r="G58" s="246">
        <f t="shared" ref="G58:G65" si="10">ROUND((+R57+E58+(D58/2))*F58/12,2)</f>
        <v>68.209999999999994</v>
      </c>
      <c r="H58" s="249"/>
      <c r="I58" s="248"/>
      <c r="J58" s="248"/>
      <c r="K58" s="248"/>
      <c r="L58" s="248"/>
      <c r="M58" s="248"/>
      <c r="N58" s="248"/>
      <c r="O58" s="248"/>
      <c r="P58" s="248"/>
      <c r="Q58" s="245">
        <f t="shared" si="8"/>
        <v>68.242499999999993</v>
      </c>
      <c r="R58" s="241">
        <f t="shared" si="9"/>
        <v>25254.650000000005</v>
      </c>
      <c r="S58" s="241">
        <f>+R58</f>
        <v>25254.650000000005</v>
      </c>
      <c r="T58" s="241"/>
    </row>
    <row r="59" spans="1:20" hidden="1" x14ac:dyDescent="0.2">
      <c r="A59" s="231">
        <f t="shared" si="0"/>
        <v>20</v>
      </c>
      <c r="B59" s="239">
        <f>+B58+31</f>
        <v>40326</v>
      </c>
      <c r="D59" s="244">
        <v>0</v>
      </c>
      <c r="F59" s="248">
        <v>3.2500000000000001E-2</v>
      </c>
      <c r="G59" s="246">
        <f t="shared" si="10"/>
        <v>68.400000000000006</v>
      </c>
      <c r="H59" s="249"/>
      <c r="I59" s="248"/>
      <c r="J59" s="248"/>
      <c r="K59" s="248"/>
      <c r="L59" s="248"/>
      <c r="M59" s="248"/>
      <c r="N59" s="248"/>
      <c r="O59" s="248"/>
      <c r="P59" s="248"/>
      <c r="Q59" s="245">
        <f t="shared" si="8"/>
        <v>68.432500000000005</v>
      </c>
      <c r="R59" s="241">
        <f t="shared" si="9"/>
        <v>25323.082500000004</v>
      </c>
      <c r="S59" s="241">
        <f>+R59</f>
        <v>25323.082500000004</v>
      </c>
      <c r="T59" s="241"/>
    </row>
    <row r="60" spans="1:20" hidden="1" x14ac:dyDescent="0.2">
      <c r="A60" s="231">
        <f t="shared" si="0"/>
        <v>21</v>
      </c>
      <c r="B60" s="239">
        <f>+B59+30</f>
        <v>40356</v>
      </c>
      <c r="D60" s="244">
        <v>0</v>
      </c>
      <c r="F60" s="248">
        <v>3.2500000000000001E-2</v>
      </c>
      <c r="G60" s="246">
        <f t="shared" si="10"/>
        <v>68.58</v>
      </c>
      <c r="H60" s="249"/>
      <c r="I60" s="248"/>
      <c r="J60" s="248"/>
      <c r="K60" s="248"/>
      <c r="L60" s="248"/>
      <c r="M60" s="248"/>
      <c r="N60" s="248"/>
      <c r="O60" s="248"/>
      <c r="P60" s="248"/>
      <c r="Q60" s="245">
        <f t="shared" si="8"/>
        <v>68.612499999999997</v>
      </c>
      <c r="R60" s="241">
        <f t="shared" si="9"/>
        <v>25391.695000000003</v>
      </c>
      <c r="S60" s="241"/>
      <c r="T60" s="241"/>
    </row>
    <row r="61" spans="1:20" hidden="1" x14ac:dyDescent="0.2">
      <c r="A61" s="231">
        <f t="shared" si="0"/>
        <v>22</v>
      </c>
      <c r="B61" s="239">
        <f>+B60+31</f>
        <v>40387</v>
      </c>
      <c r="D61" s="244">
        <v>0</v>
      </c>
      <c r="F61" s="248">
        <v>3.2500000000000001E-2</v>
      </c>
      <c r="G61" s="246">
        <f t="shared" si="10"/>
        <v>68.77</v>
      </c>
      <c r="H61" s="249"/>
      <c r="I61" s="248"/>
      <c r="J61" s="248"/>
      <c r="K61" s="248"/>
      <c r="L61" s="248"/>
      <c r="M61" s="248"/>
      <c r="N61" s="248"/>
      <c r="O61" s="248"/>
      <c r="P61" s="248"/>
      <c r="Q61" s="245">
        <f t="shared" si="8"/>
        <v>68.802499999999995</v>
      </c>
      <c r="R61" s="241">
        <f t="shared" si="9"/>
        <v>25460.497500000005</v>
      </c>
      <c r="S61" s="241"/>
      <c r="T61" s="241"/>
    </row>
    <row r="62" spans="1:20" hidden="1" x14ac:dyDescent="0.2">
      <c r="A62" s="231">
        <f t="shared" si="0"/>
        <v>23</v>
      </c>
      <c r="B62" s="239">
        <f>+B61+30</f>
        <v>40417</v>
      </c>
      <c r="D62" s="244">
        <v>0</v>
      </c>
      <c r="F62" s="248">
        <v>3.2500000000000001E-2</v>
      </c>
      <c r="G62" s="246">
        <f t="shared" si="10"/>
        <v>68.959999999999994</v>
      </c>
      <c r="H62" s="249"/>
      <c r="I62" s="248"/>
      <c r="J62" s="248"/>
      <c r="K62" s="248"/>
      <c r="L62" s="248"/>
      <c r="M62" s="248"/>
      <c r="N62" s="248"/>
      <c r="O62" s="248"/>
      <c r="P62" s="248"/>
      <c r="Q62" s="245">
        <f t="shared" si="8"/>
        <v>68.992499999999993</v>
      </c>
      <c r="R62" s="241">
        <f t="shared" si="9"/>
        <v>25529.490000000005</v>
      </c>
      <c r="S62" s="241"/>
      <c r="T62" s="241"/>
    </row>
    <row r="63" spans="1:20" hidden="1" x14ac:dyDescent="0.2">
      <c r="A63" s="231">
        <f t="shared" si="0"/>
        <v>24</v>
      </c>
      <c r="B63" s="239">
        <f>+B62+30</f>
        <v>40447</v>
      </c>
      <c r="D63" s="244">
        <v>35217.14</v>
      </c>
      <c r="F63" s="248">
        <v>3.2500000000000001E-2</v>
      </c>
      <c r="G63" s="246">
        <f t="shared" si="10"/>
        <v>116.83</v>
      </c>
      <c r="H63" s="249"/>
      <c r="I63" s="248"/>
      <c r="J63" s="248"/>
      <c r="K63" s="248"/>
      <c r="L63" s="248"/>
      <c r="M63" s="248"/>
      <c r="N63" s="248"/>
      <c r="O63" s="248"/>
      <c r="P63" s="248"/>
      <c r="Q63" s="245">
        <f t="shared" si="8"/>
        <v>35334.002500000002</v>
      </c>
      <c r="R63" s="241">
        <f t="shared" si="9"/>
        <v>60863.492500000008</v>
      </c>
      <c r="S63" s="241"/>
      <c r="T63" s="241"/>
    </row>
    <row r="64" spans="1:20" hidden="1" x14ac:dyDescent="0.2">
      <c r="A64" s="231">
        <f t="shared" si="0"/>
        <v>25</v>
      </c>
      <c r="B64" s="239">
        <f>+B63+31</f>
        <v>40478</v>
      </c>
      <c r="D64" s="244">
        <v>323.02</v>
      </c>
      <c r="F64" s="248">
        <v>3.2500000000000001E-2</v>
      </c>
      <c r="G64" s="246">
        <f t="shared" si="10"/>
        <v>165.28</v>
      </c>
      <c r="H64" s="249"/>
      <c r="I64" s="248"/>
      <c r="J64" s="248"/>
      <c r="K64" s="248"/>
      <c r="L64" s="248"/>
      <c r="M64" s="248"/>
      <c r="N64" s="248"/>
      <c r="O64" s="248"/>
      <c r="P64" s="248"/>
      <c r="Q64" s="245">
        <f t="shared" si="8"/>
        <v>488.33249999999998</v>
      </c>
      <c r="R64" s="241">
        <f t="shared" si="9"/>
        <v>61351.825000000004</v>
      </c>
      <c r="S64" s="241"/>
      <c r="T64" s="241"/>
    </row>
    <row r="65" spans="1:20" hidden="1" x14ac:dyDescent="0.2">
      <c r="A65" s="231">
        <f t="shared" si="0"/>
        <v>26</v>
      </c>
      <c r="B65" s="239">
        <f>+B64+30</f>
        <v>40508</v>
      </c>
      <c r="D65" s="244">
        <v>166.16</v>
      </c>
      <c r="E65" s="234">
        <f>-R64</f>
        <v>-61351.825000000004</v>
      </c>
      <c r="F65" s="248">
        <v>3.2500000000000001E-2</v>
      </c>
      <c r="G65" s="246">
        <f t="shared" si="10"/>
        <v>0.23</v>
      </c>
      <c r="H65" s="249"/>
      <c r="I65" s="248"/>
      <c r="J65" s="248"/>
      <c r="K65" s="248"/>
      <c r="L65" s="248"/>
      <c r="M65" s="248"/>
      <c r="N65" s="248"/>
      <c r="O65" s="248"/>
      <c r="P65" s="248"/>
      <c r="Q65" s="245">
        <f t="shared" si="8"/>
        <v>-61185.402499999997</v>
      </c>
      <c r="R65" s="241">
        <f t="shared" si="9"/>
        <v>166.42250000000786</v>
      </c>
      <c r="S65" s="241"/>
      <c r="T65" s="241"/>
    </row>
    <row r="66" spans="1:20" ht="13.5" hidden="1" thickBot="1" x14ac:dyDescent="0.25">
      <c r="A66" s="231">
        <f t="shared" si="0"/>
        <v>27</v>
      </c>
      <c r="B66" s="251">
        <f>+B65+31</f>
        <v>40539</v>
      </c>
      <c r="C66" s="252"/>
      <c r="D66" s="253">
        <v>0</v>
      </c>
      <c r="E66" s="254">
        <v>-166.16</v>
      </c>
      <c r="F66" s="255">
        <v>3.2500000000000001E-2</v>
      </c>
      <c r="G66" s="256">
        <f t="shared" ref="G66:G88" si="11">ROUND((+R65+(D66/2))*F66/12,2)</f>
        <v>0.45</v>
      </c>
      <c r="H66" s="257"/>
      <c r="I66" s="255"/>
      <c r="J66" s="255"/>
      <c r="K66" s="255"/>
      <c r="L66" s="255"/>
      <c r="M66" s="255"/>
      <c r="N66" s="255"/>
      <c r="O66" s="255"/>
      <c r="P66" s="255"/>
      <c r="Q66" s="254">
        <f t="shared" si="8"/>
        <v>-165.67750000000001</v>
      </c>
      <c r="R66" s="256">
        <f t="shared" si="9"/>
        <v>0.74500000000784894</v>
      </c>
      <c r="S66" s="256"/>
      <c r="T66" s="256"/>
    </row>
    <row r="67" spans="1:20" hidden="1" x14ac:dyDescent="0.2">
      <c r="A67" s="231">
        <f t="shared" si="0"/>
        <v>28</v>
      </c>
      <c r="B67" s="239">
        <f>+B66+31</f>
        <v>40570</v>
      </c>
      <c r="D67" s="244">
        <v>29811.17</v>
      </c>
      <c r="F67" s="248">
        <v>3.2500000000000001E-2</v>
      </c>
      <c r="G67" s="246">
        <f t="shared" si="11"/>
        <v>40.369999999999997</v>
      </c>
      <c r="H67" s="241">
        <f t="shared" ref="H67:H78" si="12">+G67</f>
        <v>40.369999999999997</v>
      </c>
      <c r="I67" s="249"/>
      <c r="J67" s="249"/>
      <c r="K67" s="249"/>
      <c r="L67" s="249"/>
      <c r="M67" s="249"/>
      <c r="N67" s="249"/>
      <c r="O67" s="249"/>
      <c r="P67" s="249"/>
      <c r="Q67" s="245">
        <f t="shared" si="8"/>
        <v>29851.572499999998</v>
      </c>
      <c r="R67" s="241">
        <f t="shared" si="9"/>
        <v>29852.317500000005</v>
      </c>
      <c r="S67" s="241">
        <f>+R67</f>
        <v>29852.317500000005</v>
      </c>
      <c r="T67" s="241"/>
    </row>
    <row r="68" spans="1:20" hidden="1" x14ac:dyDescent="0.2">
      <c r="A68" s="231">
        <f t="shared" si="0"/>
        <v>29</v>
      </c>
      <c r="B68" s="239">
        <f>+B67+28</f>
        <v>40598</v>
      </c>
      <c r="D68" s="244">
        <v>1241.0999999999999</v>
      </c>
      <c r="F68" s="248">
        <v>3.2500000000000001E-2</v>
      </c>
      <c r="G68" s="246">
        <f t="shared" si="11"/>
        <v>82.53</v>
      </c>
      <c r="H68" s="241">
        <f t="shared" si="12"/>
        <v>82.53</v>
      </c>
      <c r="I68" s="249"/>
      <c r="J68" s="249"/>
      <c r="K68" s="249"/>
      <c r="L68" s="249"/>
      <c r="M68" s="249"/>
      <c r="N68" s="249"/>
      <c r="O68" s="249"/>
      <c r="P68" s="249"/>
      <c r="Q68" s="245">
        <f t="shared" si="8"/>
        <v>1323.6624999999999</v>
      </c>
      <c r="R68" s="241">
        <f t="shared" si="9"/>
        <v>31175.980000000003</v>
      </c>
      <c r="S68" s="246">
        <f t="shared" ref="S68:S78" si="13">+R68</f>
        <v>31175.980000000003</v>
      </c>
      <c r="T68" s="241"/>
    </row>
    <row r="69" spans="1:20" hidden="1" x14ac:dyDescent="0.2">
      <c r="A69" s="231">
        <f t="shared" si="0"/>
        <v>30</v>
      </c>
      <c r="B69" s="239">
        <f>+B68+31</f>
        <v>40629</v>
      </c>
      <c r="D69" s="244">
        <v>413.7</v>
      </c>
      <c r="F69" s="248">
        <v>3.2500000000000001E-2</v>
      </c>
      <c r="G69" s="246">
        <f t="shared" si="11"/>
        <v>85</v>
      </c>
      <c r="H69" s="241">
        <f t="shared" si="12"/>
        <v>85</v>
      </c>
      <c r="I69" s="249"/>
      <c r="J69" s="249"/>
      <c r="K69" s="249"/>
      <c r="L69" s="249"/>
      <c r="M69" s="249"/>
      <c r="N69" s="249"/>
      <c r="O69" s="249"/>
      <c r="P69" s="249"/>
      <c r="Q69" s="245">
        <f t="shared" si="8"/>
        <v>498.73250000000002</v>
      </c>
      <c r="R69" s="241">
        <f t="shared" si="9"/>
        <v>31674.712500000001</v>
      </c>
      <c r="S69" s="246">
        <f t="shared" si="13"/>
        <v>31674.712500000001</v>
      </c>
      <c r="T69" s="241"/>
    </row>
    <row r="70" spans="1:20" hidden="1" x14ac:dyDescent="0.2">
      <c r="A70" s="231">
        <f t="shared" si="0"/>
        <v>31</v>
      </c>
      <c r="B70" s="239">
        <f>+B69+30</f>
        <v>40659</v>
      </c>
      <c r="D70" s="244">
        <v>553.44000000000005</v>
      </c>
      <c r="F70" s="248">
        <v>3.2500000000000001E-2</v>
      </c>
      <c r="G70" s="246">
        <f t="shared" si="11"/>
        <v>86.54</v>
      </c>
      <c r="H70" s="241">
        <f t="shared" si="12"/>
        <v>86.54</v>
      </c>
      <c r="I70" s="249"/>
      <c r="J70" s="249"/>
      <c r="K70" s="249"/>
      <c r="L70" s="249"/>
      <c r="M70" s="249"/>
      <c r="N70" s="249"/>
      <c r="O70" s="249"/>
      <c r="P70" s="249"/>
      <c r="Q70" s="245">
        <f t="shared" si="8"/>
        <v>640.01250000000005</v>
      </c>
      <c r="R70" s="241">
        <f t="shared" si="9"/>
        <v>32314.725000000002</v>
      </c>
      <c r="S70" s="246">
        <f t="shared" si="13"/>
        <v>32314.725000000002</v>
      </c>
      <c r="T70" s="241"/>
    </row>
    <row r="71" spans="1:20" hidden="1" x14ac:dyDescent="0.2">
      <c r="A71" s="231">
        <f t="shared" si="0"/>
        <v>32</v>
      </c>
      <c r="B71" s="239">
        <f>+B70+31</f>
        <v>40690</v>
      </c>
      <c r="D71" s="244">
        <v>138.82</v>
      </c>
      <c r="F71" s="248">
        <v>3.2500000000000001E-2</v>
      </c>
      <c r="G71" s="246">
        <f t="shared" si="11"/>
        <v>87.71</v>
      </c>
      <c r="H71" s="241">
        <f t="shared" si="12"/>
        <v>87.71</v>
      </c>
      <c r="I71" s="249"/>
      <c r="J71" s="249"/>
      <c r="K71" s="249"/>
      <c r="L71" s="249"/>
      <c r="M71" s="249"/>
      <c r="N71" s="249"/>
      <c r="O71" s="249"/>
      <c r="P71" s="249"/>
      <c r="Q71" s="245">
        <f t="shared" si="8"/>
        <v>226.5625</v>
      </c>
      <c r="R71" s="241">
        <f t="shared" si="9"/>
        <v>32541.287500000002</v>
      </c>
      <c r="S71" s="246">
        <f t="shared" si="13"/>
        <v>32541.287500000002</v>
      </c>
      <c r="T71" s="241"/>
    </row>
    <row r="72" spans="1:20" hidden="1" x14ac:dyDescent="0.2">
      <c r="A72" s="231">
        <f t="shared" si="0"/>
        <v>33</v>
      </c>
      <c r="B72" s="239">
        <f>+B71+30</f>
        <v>40720</v>
      </c>
      <c r="D72" s="244">
        <v>138.82</v>
      </c>
      <c r="F72" s="248">
        <v>3.2500000000000001E-2</v>
      </c>
      <c r="G72" s="246">
        <f t="shared" si="11"/>
        <v>88.32</v>
      </c>
      <c r="H72" s="241">
        <f t="shared" si="12"/>
        <v>88.32</v>
      </c>
      <c r="I72" s="249"/>
      <c r="J72" s="249"/>
      <c r="K72" s="249"/>
      <c r="L72" s="249"/>
      <c r="M72" s="249"/>
      <c r="N72" s="249"/>
      <c r="O72" s="249"/>
      <c r="P72" s="249"/>
      <c r="Q72" s="245">
        <f t="shared" si="8"/>
        <v>227.17249999999999</v>
      </c>
      <c r="R72" s="241">
        <f t="shared" si="9"/>
        <v>32768.46</v>
      </c>
      <c r="S72" s="246">
        <f t="shared" si="13"/>
        <v>32768.46</v>
      </c>
      <c r="T72" s="241"/>
    </row>
    <row r="73" spans="1:20" hidden="1" x14ac:dyDescent="0.2">
      <c r="A73" s="231">
        <f t="shared" ref="A73:A136" si="14">+A72+1</f>
        <v>34</v>
      </c>
      <c r="B73" s="239">
        <f>+B72+31</f>
        <v>40751</v>
      </c>
      <c r="D73" s="244">
        <f>21405.48-117.57</f>
        <v>21287.91</v>
      </c>
      <c r="F73" s="248">
        <v>3.2500000000000001E-2</v>
      </c>
      <c r="G73" s="246">
        <f t="shared" si="11"/>
        <v>117.58</v>
      </c>
      <c r="H73" s="241">
        <f t="shared" si="12"/>
        <v>117.58</v>
      </c>
      <c r="I73" s="249"/>
      <c r="J73" s="249"/>
      <c r="K73" s="249"/>
      <c r="L73" s="249"/>
      <c r="M73" s="249"/>
      <c r="N73" s="249"/>
      <c r="O73" s="249"/>
      <c r="P73" s="249"/>
      <c r="Q73" s="245">
        <f t="shared" si="8"/>
        <v>21405.522500000003</v>
      </c>
      <c r="R73" s="241">
        <f t="shared" si="9"/>
        <v>54173.982499999998</v>
      </c>
      <c r="S73" s="246">
        <f t="shared" si="13"/>
        <v>54173.982499999998</v>
      </c>
      <c r="T73" s="241"/>
    </row>
    <row r="74" spans="1:20" hidden="1" x14ac:dyDescent="0.2">
      <c r="A74" s="231">
        <f t="shared" si="14"/>
        <v>35</v>
      </c>
      <c r="B74" s="239">
        <f>+B73+30</f>
        <v>40781</v>
      </c>
      <c r="D74" s="244">
        <v>208.23</v>
      </c>
      <c r="F74" s="248">
        <v>3.2500000000000001E-2</v>
      </c>
      <c r="G74" s="246">
        <f t="shared" si="11"/>
        <v>147</v>
      </c>
      <c r="H74" s="241">
        <f t="shared" si="12"/>
        <v>147</v>
      </c>
      <c r="I74" s="249"/>
      <c r="J74" s="249"/>
      <c r="K74" s="249"/>
      <c r="L74" s="249"/>
      <c r="M74" s="249"/>
      <c r="N74" s="249"/>
      <c r="O74" s="249"/>
      <c r="P74" s="249"/>
      <c r="Q74" s="245">
        <f t="shared" si="8"/>
        <v>355.26249999999999</v>
      </c>
      <c r="R74" s="241">
        <f t="shared" si="9"/>
        <v>54529.244999999995</v>
      </c>
      <c r="S74" s="246">
        <f t="shared" si="13"/>
        <v>54529.244999999995</v>
      </c>
      <c r="T74" s="241"/>
    </row>
    <row r="75" spans="1:20" hidden="1" x14ac:dyDescent="0.2">
      <c r="A75" s="231">
        <f t="shared" si="14"/>
        <v>36</v>
      </c>
      <c r="B75" s="239">
        <f>+B74+30</f>
        <v>40811</v>
      </c>
      <c r="D75" s="244">
        <v>0</v>
      </c>
      <c r="F75" s="248">
        <v>3.2500000000000001E-2</v>
      </c>
      <c r="G75" s="246">
        <f t="shared" si="11"/>
        <v>147.68</v>
      </c>
      <c r="H75" s="241">
        <f t="shared" si="12"/>
        <v>147.68</v>
      </c>
      <c r="I75" s="249"/>
      <c r="J75" s="249"/>
      <c r="K75" s="249"/>
      <c r="L75" s="249"/>
      <c r="M75" s="249"/>
      <c r="N75" s="249"/>
      <c r="O75" s="249"/>
      <c r="P75" s="249"/>
      <c r="Q75" s="245">
        <f t="shared" si="8"/>
        <v>147.71250000000001</v>
      </c>
      <c r="R75" s="241">
        <f t="shared" si="9"/>
        <v>54676.957499999997</v>
      </c>
      <c r="S75" s="246">
        <f t="shared" si="13"/>
        <v>54676.957499999997</v>
      </c>
      <c r="T75" s="241"/>
    </row>
    <row r="76" spans="1:20" hidden="1" x14ac:dyDescent="0.2">
      <c r="A76" s="231">
        <f t="shared" si="14"/>
        <v>37</v>
      </c>
      <c r="B76" s="239">
        <f>+B75+31</f>
        <v>40842</v>
      </c>
      <c r="D76" s="244">
        <v>16431.45</v>
      </c>
      <c r="F76" s="248">
        <v>3.2500000000000001E-2</v>
      </c>
      <c r="G76" s="246">
        <f t="shared" si="11"/>
        <v>170.33</v>
      </c>
      <c r="H76" s="241">
        <f t="shared" si="12"/>
        <v>170.33</v>
      </c>
      <c r="I76" s="249"/>
      <c r="J76" s="249"/>
      <c r="K76" s="249"/>
      <c r="L76" s="249"/>
      <c r="M76" s="249"/>
      <c r="N76" s="249"/>
      <c r="O76" s="249"/>
      <c r="P76" s="249"/>
      <c r="Q76" s="245">
        <f t="shared" si="8"/>
        <v>16601.812500000004</v>
      </c>
      <c r="R76" s="241">
        <f t="shared" si="9"/>
        <v>71278.77</v>
      </c>
      <c r="S76" s="246">
        <f t="shared" si="13"/>
        <v>71278.77</v>
      </c>
      <c r="T76" s="241"/>
    </row>
    <row r="77" spans="1:20" hidden="1" x14ac:dyDescent="0.2">
      <c r="A77" s="231">
        <f t="shared" si="14"/>
        <v>38</v>
      </c>
      <c r="B77" s="239">
        <f>+B76+30</f>
        <v>40872</v>
      </c>
      <c r="D77" s="244">
        <v>8827.65</v>
      </c>
      <c r="F77" s="248">
        <v>3.2500000000000001E-2</v>
      </c>
      <c r="G77" s="246">
        <f t="shared" si="11"/>
        <v>205</v>
      </c>
      <c r="H77" s="241">
        <f t="shared" si="12"/>
        <v>205</v>
      </c>
      <c r="I77" s="249"/>
      <c r="J77" s="249"/>
      <c r="K77" s="249"/>
      <c r="L77" s="249"/>
      <c r="M77" s="249"/>
      <c r="N77" s="249"/>
      <c r="O77" s="249"/>
      <c r="P77" s="249"/>
      <c r="Q77" s="245">
        <f t="shared" si="8"/>
        <v>9032.682499999999</v>
      </c>
      <c r="R77" s="241">
        <f t="shared" si="9"/>
        <v>80311.452499999999</v>
      </c>
      <c r="S77" s="246">
        <f t="shared" si="13"/>
        <v>80311.452499999999</v>
      </c>
      <c r="T77" s="241"/>
    </row>
    <row r="78" spans="1:20" ht="13.5" hidden="1" thickBot="1" x14ac:dyDescent="0.25">
      <c r="A78" s="231">
        <f t="shared" si="14"/>
        <v>39</v>
      </c>
      <c r="B78" s="251">
        <f>+B77+31</f>
        <v>40903</v>
      </c>
      <c r="C78" s="252"/>
      <c r="D78" s="253">
        <v>0</v>
      </c>
      <c r="E78" s="252"/>
      <c r="F78" s="255">
        <v>3.2500000000000001E-2</v>
      </c>
      <c r="G78" s="256">
        <f t="shared" si="11"/>
        <v>217.51</v>
      </c>
      <c r="H78" s="256">
        <f t="shared" si="12"/>
        <v>217.51</v>
      </c>
      <c r="I78" s="257"/>
      <c r="J78" s="257"/>
      <c r="K78" s="257"/>
      <c r="L78" s="257"/>
      <c r="M78" s="257"/>
      <c r="N78" s="257"/>
      <c r="O78" s="257"/>
      <c r="P78" s="257"/>
      <c r="Q78" s="254">
        <f t="shared" si="8"/>
        <v>217.54249999999999</v>
      </c>
      <c r="R78" s="256">
        <f t="shared" si="9"/>
        <v>80528.994999999995</v>
      </c>
      <c r="S78" s="256">
        <f t="shared" si="13"/>
        <v>80528.994999999995</v>
      </c>
      <c r="T78" s="252"/>
    </row>
    <row r="79" spans="1:20" hidden="1" x14ac:dyDescent="0.2">
      <c r="A79" s="231">
        <f t="shared" si="14"/>
        <v>40</v>
      </c>
      <c r="B79" s="226">
        <f>+B78+31</f>
        <v>40934</v>
      </c>
      <c r="C79" s="247"/>
      <c r="D79" s="240">
        <v>0</v>
      </c>
      <c r="E79" s="247"/>
      <c r="F79" s="248">
        <v>3.2500000000000001E-2</v>
      </c>
      <c r="G79" s="246">
        <f t="shared" si="11"/>
        <v>218.1</v>
      </c>
      <c r="H79" s="241">
        <f t="shared" ref="H79:H88" si="15">ROUND(S78*F79/12,2)</f>
        <v>218.1</v>
      </c>
      <c r="I79" s="241">
        <f t="shared" ref="I79:I90" si="16">+G79-H79</f>
        <v>0</v>
      </c>
      <c r="J79" s="241"/>
      <c r="K79" s="241"/>
      <c r="L79" s="241"/>
      <c r="M79" s="241"/>
      <c r="N79" s="241"/>
      <c r="O79" s="241"/>
      <c r="P79" s="241"/>
      <c r="Q79" s="245">
        <f t="shared" si="8"/>
        <v>218.13249999999999</v>
      </c>
      <c r="R79" s="241">
        <f t="shared" si="9"/>
        <v>80747.127500000002</v>
      </c>
      <c r="S79" s="241">
        <f t="shared" ref="S79:S88" si="17">+S78+H79</f>
        <v>80747.095000000001</v>
      </c>
      <c r="T79" s="241">
        <f>+R79-S79</f>
        <v>3.2500000001164153E-2</v>
      </c>
    </row>
    <row r="80" spans="1:20" hidden="1" x14ac:dyDescent="0.2">
      <c r="A80" s="231">
        <f t="shared" si="14"/>
        <v>41</v>
      </c>
      <c r="B80" s="226">
        <f>+B79+29</f>
        <v>40963</v>
      </c>
      <c r="C80" s="247"/>
      <c r="D80" s="240">
        <v>0</v>
      </c>
      <c r="E80" s="247"/>
      <c r="F80" s="248">
        <v>3.2500000000000001E-2</v>
      </c>
      <c r="G80" s="246">
        <f t="shared" si="11"/>
        <v>218.69</v>
      </c>
      <c r="H80" s="241">
        <f t="shared" si="15"/>
        <v>218.69</v>
      </c>
      <c r="I80" s="241">
        <f t="shared" si="16"/>
        <v>0</v>
      </c>
      <c r="J80" s="241"/>
      <c r="K80" s="241"/>
      <c r="L80" s="241"/>
      <c r="M80" s="241"/>
      <c r="N80" s="241"/>
      <c r="O80" s="241"/>
      <c r="P80" s="241"/>
      <c r="Q80" s="245">
        <f t="shared" si="8"/>
        <v>218.7225</v>
      </c>
      <c r="R80" s="241">
        <f t="shared" si="9"/>
        <v>80965.850000000006</v>
      </c>
      <c r="S80" s="241">
        <f t="shared" si="17"/>
        <v>80965.785000000003</v>
      </c>
      <c r="T80" s="241">
        <f t="shared" ref="T80:T88" si="18">+R80-S80</f>
        <v>6.5000000002328306E-2</v>
      </c>
    </row>
    <row r="81" spans="1:22" hidden="1" x14ac:dyDescent="0.2">
      <c r="A81" s="231">
        <f t="shared" si="14"/>
        <v>42</v>
      </c>
      <c r="B81" s="226">
        <f>+B80+31</f>
        <v>40994</v>
      </c>
      <c r="C81" s="247"/>
      <c r="D81" s="240">
        <v>0</v>
      </c>
      <c r="E81" s="247"/>
      <c r="F81" s="248">
        <v>3.2500000000000001E-2</v>
      </c>
      <c r="G81" s="246">
        <f t="shared" si="11"/>
        <v>219.28</v>
      </c>
      <c r="H81" s="241">
        <f t="shared" si="15"/>
        <v>219.28</v>
      </c>
      <c r="I81" s="241">
        <f t="shared" si="16"/>
        <v>0</v>
      </c>
      <c r="J81" s="241"/>
      <c r="K81" s="241"/>
      <c r="L81" s="241"/>
      <c r="M81" s="241"/>
      <c r="N81" s="241"/>
      <c r="O81" s="241"/>
      <c r="P81" s="241"/>
      <c r="Q81" s="245">
        <f t="shared" si="8"/>
        <v>219.3125</v>
      </c>
      <c r="R81" s="241">
        <f t="shared" si="9"/>
        <v>81185.162500000006</v>
      </c>
      <c r="S81" s="241">
        <f t="shared" si="17"/>
        <v>81185.065000000002</v>
      </c>
      <c r="T81" s="241">
        <f t="shared" si="18"/>
        <v>9.750000000349246E-2</v>
      </c>
    </row>
    <row r="82" spans="1:22" hidden="1" x14ac:dyDescent="0.2">
      <c r="A82" s="231">
        <f t="shared" si="14"/>
        <v>43</v>
      </c>
      <c r="B82" s="226">
        <f>+B81+30</f>
        <v>41024</v>
      </c>
      <c r="C82" s="247"/>
      <c r="D82" s="240">
        <f>8471.81+255.84</f>
        <v>8727.65</v>
      </c>
      <c r="E82" s="247"/>
      <c r="F82" s="248">
        <v>3.2500000000000001E-2</v>
      </c>
      <c r="G82" s="246">
        <f t="shared" si="11"/>
        <v>231.7</v>
      </c>
      <c r="H82" s="241">
        <f t="shared" si="15"/>
        <v>219.88</v>
      </c>
      <c r="I82" s="241">
        <f t="shared" si="16"/>
        <v>11.819999999999993</v>
      </c>
      <c r="J82" s="241"/>
      <c r="K82" s="241"/>
      <c r="L82" s="241"/>
      <c r="M82" s="241"/>
      <c r="N82" s="241"/>
      <c r="O82" s="241"/>
      <c r="P82" s="241"/>
      <c r="Q82" s="245">
        <f t="shared" si="8"/>
        <v>8959.3824999999997</v>
      </c>
      <c r="R82" s="241">
        <f t="shared" si="9"/>
        <v>90144.545000000013</v>
      </c>
      <c r="S82" s="241">
        <f t="shared" si="17"/>
        <v>81404.945000000007</v>
      </c>
      <c r="T82" s="241">
        <f t="shared" si="18"/>
        <v>8739.6000000000058</v>
      </c>
    </row>
    <row r="83" spans="1:22" hidden="1" x14ac:dyDescent="0.2">
      <c r="A83" s="231">
        <f t="shared" si="14"/>
        <v>44</v>
      </c>
      <c r="B83" s="226">
        <f>+B82+31</f>
        <v>41055</v>
      </c>
      <c r="C83" s="247"/>
      <c r="D83" s="240">
        <v>170.56</v>
      </c>
      <c r="E83" s="247"/>
      <c r="F83" s="248">
        <v>3.2500000000000001E-2</v>
      </c>
      <c r="G83" s="246">
        <f t="shared" si="11"/>
        <v>244.37</v>
      </c>
      <c r="H83" s="241">
        <f t="shared" si="15"/>
        <v>220.47</v>
      </c>
      <c r="I83" s="241">
        <f t="shared" si="16"/>
        <v>23.900000000000006</v>
      </c>
      <c r="J83" s="241"/>
      <c r="K83" s="241"/>
      <c r="L83" s="241"/>
      <c r="M83" s="241"/>
      <c r="N83" s="241"/>
      <c r="O83" s="241"/>
      <c r="P83" s="241"/>
      <c r="Q83" s="245">
        <f t="shared" si="8"/>
        <v>414.96249999999998</v>
      </c>
      <c r="R83" s="241">
        <f t="shared" si="9"/>
        <v>90559.507500000007</v>
      </c>
      <c r="S83" s="241">
        <f t="shared" si="17"/>
        <v>81625.415000000008</v>
      </c>
      <c r="T83" s="241">
        <f t="shared" si="18"/>
        <v>8934.0924999999988</v>
      </c>
    </row>
    <row r="84" spans="1:22" hidden="1" x14ac:dyDescent="0.2">
      <c r="A84" s="231">
        <f t="shared" si="14"/>
        <v>45</v>
      </c>
      <c r="B84" s="226">
        <f>+B83+30</f>
        <v>41085</v>
      </c>
      <c r="C84" s="247"/>
      <c r="D84" s="240">
        <v>718.62</v>
      </c>
      <c r="E84" s="247"/>
      <c r="F84" s="248">
        <v>3.2500000000000001E-2</v>
      </c>
      <c r="G84" s="246">
        <f t="shared" si="11"/>
        <v>246.24</v>
      </c>
      <c r="H84" s="241">
        <f t="shared" si="15"/>
        <v>221.07</v>
      </c>
      <c r="I84" s="241">
        <f t="shared" si="16"/>
        <v>25.170000000000016</v>
      </c>
      <c r="J84" s="241"/>
      <c r="K84" s="241"/>
      <c r="L84" s="241"/>
      <c r="M84" s="241"/>
      <c r="N84" s="241"/>
      <c r="O84" s="241"/>
      <c r="P84" s="241"/>
      <c r="Q84" s="245">
        <f t="shared" si="8"/>
        <v>964.89250000000004</v>
      </c>
      <c r="R84" s="241">
        <f t="shared" si="9"/>
        <v>91524.400000000009</v>
      </c>
      <c r="S84" s="241">
        <f t="shared" si="17"/>
        <v>81846.485000000015</v>
      </c>
      <c r="T84" s="241">
        <f t="shared" si="18"/>
        <v>9677.9149999999936</v>
      </c>
    </row>
    <row r="85" spans="1:22" hidden="1" x14ac:dyDescent="0.2">
      <c r="A85" s="231">
        <f t="shared" si="14"/>
        <v>46</v>
      </c>
      <c r="B85" s="226">
        <f>+B84+31</f>
        <v>41116</v>
      </c>
      <c r="C85" s="247"/>
      <c r="D85" s="240">
        <v>0</v>
      </c>
      <c r="E85" s="247"/>
      <c r="F85" s="248">
        <v>3.2500000000000001E-2</v>
      </c>
      <c r="G85" s="246">
        <f t="shared" si="11"/>
        <v>247.88</v>
      </c>
      <c r="H85" s="241">
        <f t="shared" si="15"/>
        <v>221.67</v>
      </c>
      <c r="I85" s="241">
        <f t="shared" si="16"/>
        <v>26.210000000000008</v>
      </c>
      <c r="J85" s="241"/>
      <c r="K85" s="241"/>
      <c r="L85" s="241"/>
      <c r="M85" s="241"/>
      <c r="N85" s="241"/>
      <c r="O85" s="241"/>
      <c r="P85" s="241"/>
      <c r="Q85" s="245">
        <f t="shared" si="8"/>
        <v>247.91249999999999</v>
      </c>
      <c r="R85" s="241">
        <f t="shared" si="9"/>
        <v>91772.312500000015</v>
      </c>
      <c r="S85" s="241">
        <f t="shared" si="17"/>
        <v>82068.155000000013</v>
      </c>
      <c r="T85" s="241">
        <f t="shared" si="18"/>
        <v>9704.1575000000012</v>
      </c>
    </row>
    <row r="86" spans="1:22" hidden="1" x14ac:dyDescent="0.2">
      <c r="A86" s="231">
        <f t="shared" si="14"/>
        <v>47</v>
      </c>
      <c r="B86" s="226">
        <f>+B85+31</f>
        <v>41147</v>
      </c>
      <c r="C86" s="247"/>
      <c r="D86" s="240">
        <v>0</v>
      </c>
      <c r="E86" s="247"/>
      <c r="F86" s="248">
        <v>3.2500000000000001E-2</v>
      </c>
      <c r="G86" s="246">
        <f t="shared" si="11"/>
        <v>248.55</v>
      </c>
      <c r="H86" s="241">
        <f t="shared" si="15"/>
        <v>222.27</v>
      </c>
      <c r="I86" s="241">
        <f t="shared" si="16"/>
        <v>26.28</v>
      </c>
      <c r="J86" s="241"/>
      <c r="K86" s="241"/>
      <c r="L86" s="241"/>
      <c r="M86" s="241"/>
      <c r="N86" s="241"/>
      <c r="O86" s="241"/>
      <c r="P86" s="241"/>
      <c r="Q86" s="245">
        <f t="shared" si="8"/>
        <v>248.58250000000001</v>
      </c>
      <c r="R86" s="241">
        <f t="shared" si="9"/>
        <v>92020.895000000019</v>
      </c>
      <c r="S86" s="241">
        <f t="shared" si="17"/>
        <v>82290.425000000017</v>
      </c>
      <c r="T86" s="241">
        <f t="shared" si="18"/>
        <v>9730.4700000000012</v>
      </c>
    </row>
    <row r="87" spans="1:22" hidden="1" x14ac:dyDescent="0.2">
      <c r="A87" s="231">
        <f t="shared" si="14"/>
        <v>48</v>
      </c>
      <c r="B87" s="226">
        <f>+B86+30</f>
        <v>41177</v>
      </c>
      <c r="C87" s="247"/>
      <c r="D87" s="240">
        <v>0</v>
      </c>
      <c r="E87" s="247"/>
      <c r="F87" s="248">
        <v>3.2500000000000001E-2</v>
      </c>
      <c r="G87" s="246">
        <f t="shared" si="11"/>
        <v>249.22</v>
      </c>
      <c r="H87" s="241">
        <f t="shared" si="15"/>
        <v>222.87</v>
      </c>
      <c r="I87" s="241">
        <f t="shared" si="16"/>
        <v>26.349999999999994</v>
      </c>
      <c r="J87" s="241"/>
      <c r="K87" s="241"/>
      <c r="L87" s="241"/>
      <c r="M87" s="241"/>
      <c r="N87" s="241"/>
      <c r="O87" s="241"/>
      <c r="P87" s="241"/>
      <c r="Q87" s="245">
        <f t="shared" ref="Q87:Q118" si="19">SUM(D87:G87)</f>
        <v>249.2525</v>
      </c>
      <c r="R87" s="241">
        <f t="shared" si="9"/>
        <v>92270.147500000021</v>
      </c>
      <c r="S87" s="241">
        <f t="shared" si="17"/>
        <v>82513.295000000013</v>
      </c>
      <c r="T87" s="241">
        <f t="shared" si="18"/>
        <v>9756.8525000000081</v>
      </c>
    </row>
    <row r="88" spans="1:22" hidden="1" x14ac:dyDescent="0.2">
      <c r="A88" s="231">
        <f t="shared" si="14"/>
        <v>49</v>
      </c>
      <c r="B88" s="226">
        <f>+B87+31</f>
        <v>41208</v>
      </c>
      <c r="C88" s="247"/>
      <c r="D88" s="240">
        <v>0</v>
      </c>
      <c r="E88" s="247"/>
      <c r="F88" s="248">
        <v>3.2500000000000001E-2</v>
      </c>
      <c r="G88" s="246">
        <f t="shared" si="11"/>
        <v>249.9</v>
      </c>
      <c r="H88" s="241">
        <f t="shared" si="15"/>
        <v>223.47</v>
      </c>
      <c r="I88" s="241">
        <f t="shared" si="16"/>
        <v>26.430000000000007</v>
      </c>
      <c r="J88" s="241"/>
      <c r="K88" s="241"/>
      <c r="L88" s="241"/>
      <c r="M88" s="241"/>
      <c r="N88" s="241"/>
      <c r="O88" s="241"/>
      <c r="P88" s="241"/>
      <c r="Q88" s="245">
        <f t="shared" si="19"/>
        <v>249.9325</v>
      </c>
      <c r="R88" s="241">
        <f t="shared" si="9"/>
        <v>92520.080000000016</v>
      </c>
      <c r="S88" s="241">
        <f t="shared" si="17"/>
        <v>82736.765000000014</v>
      </c>
      <c r="T88" s="241">
        <f t="shared" si="18"/>
        <v>9783.3150000000023</v>
      </c>
    </row>
    <row r="89" spans="1:22" hidden="1" x14ac:dyDescent="0.2">
      <c r="A89" s="231">
        <f t="shared" si="14"/>
        <v>50</v>
      </c>
      <c r="B89" s="226">
        <f>+B88+30</f>
        <v>41238</v>
      </c>
      <c r="C89" s="258">
        <v>1</v>
      </c>
      <c r="D89" s="240">
        <v>511.68</v>
      </c>
      <c r="E89" s="234">
        <f>-S88</f>
        <v>-82736.765000000014</v>
      </c>
      <c r="F89" s="248">
        <v>3.2500000000000001E-2</v>
      </c>
      <c r="G89" s="246">
        <f t="shared" ref="G89:G125" si="20">ROUND((+R88+E89+(D89/2))*F89/12,2)</f>
        <v>27.19</v>
      </c>
      <c r="H89" s="241"/>
      <c r="I89" s="241">
        <f t="shared" si="16"/>
        <v>27.19</v>
      </c>
      <c r="J89" s="241"/>
      <c r="K89" s="241"/>
      <c r="L89" s="241"/>
      <c r="M89" s="241"/>
      <c r="N89" s="241"/>
      <c r="O89" s="241"/>
      <c r="P89" s="241"/>
      <c r="Q89" s="245">
        <f t="shared" si="19"/>
        <v>-82197.862500000017</v>
      </c>
      <c r="R89" s="241">
        <f t="shared" si="9"/>
        <v>10322.217499999999</v>
      </c>
      <c r="S89" s="241"/>
      <c r="T89" s="241">
        <f>+R89-S89</f>
        <v>10322.217499999999</v>
      </c>
    </row>
    <row r="90" spans="1:22" ht="13.5" hidden="1" thickBot="1" x14ac:dyDescent="0.25">
      <c r="A90" s="231">
        <f t="shared" si="14"/>
        <v>51</v>
      </c>
      <c r="B90" s="252">
        <f>+B89+31</f>
        <v>41269</v>
      </c>
      <c r="C90" s="259">
        <v>2</v>
      </c>
      <c r="D90" s="253">
        <v>511.68</v>
      </c>
      <c r="E90" s="254">
        <v>-0.69</v>
      </c>
      <c r="F90" s="255">
        <v>3.2500000000000001E-2</v>
      </c>
      <c r="G90" s="256">
        <f t="shared" si="20"/>
        <v>28.65</v>
      </c>
      <c r="H90" s="256"/>
      <c r="I90" s="256">
        <f t="shared" si="16"/>
        <v>28.65</v>
      </c>
      <c r="J90" s="256"/>
      <c r="K90" s="256"/>
      <c r="L90" s="256"/>
      <c r="M90" s="256"/>
      <c r="N90" s="256"/>
      <c r="O90" s="256"/>
      <c r="P90" s="256"/>
      <c r="Q90" s="254">
        <f t="shared" si="19"/>
        <v>539.67250000000001</v>
      </c>
      <c r="R90" s="256">
        <f t="shared" si="9"/>
        <v>10861.89</v>
      </c>
      <c r="S90" s="256"/>
      <c r="T90" s="256">
        <f>+R90-S90</f>
        <v>10861.89</v>
      </c>
      <c r="U90" s="252"/>
    </row>
    <row r="91" spans="1:22" hidden="1" x14ac:dyDescent="0.2">
      <c r="A91" s="231">
        <f t="shared" si="14"/>
        <v>52</v>
      </c>
      <c r="B91" s="247">
        <f>+B90+31</f>
        <v>41300</v>
      </c>
      <c r="C91" s="247"/>
      <c r="D91" s="260">
        <v>2814.6</v>
      </c>
      <c r="E91" s="247"/>
      <c r="F91" s="248">
        <v>3.2500000000000001E-2</v>
      </c>
      <c r="G91" s="246">
        <f t="shared" si="20"/>
        <v>33.229999999999997</v>
      </c>
      <c r="H91" s="241"/>
      <c r="I91" s="241">
        <f t="shared" ref="I91:I100" si="21">ROUND(T90*F91/12,2)</f>
        <v>29.42</v>
      </c>
      <c r="J91" s="241">
        <f t="shared" ref="J91:J102" si="22">+G91-I91</f>
        <v>3.8099999999999952</v>
      </c>
      <c r="K91" s="241"/>
      <c r="L91" s="241"/>
      <c r="M91" s="241"/>
      <c r="N91" s="241"/>
      <c r="O91" s="241"/>
      <c r="P91" s="241"/>
      <c r="Q91" s="245">
        <f t="shared" si="19"/>
        <v>2847.8624999999997</v>
      </c>
      <c r="R91" s="241">
        <f t="shared" si="9"/>
        <v>13709.752499999999</v>
      </c>
      <c r="S91" s="241"/>
      <c r="T91" s="241">
        <f t="shared" ref="T91:T100" si="23">+T90+I91</f>
        <v>10891.31</v>
      </c>
      <c r="U91" s="228">
        <f t="shared" ref="U91:U102" si="24">+R91-T91</f>
        <v>2818.4424999999992</v>
      </c>
      <c r="V91" s="261"/>
    </row>
    <row r="92" spans="1:22" hidden="1" x14ac:dyDescent="0.2">
      <c r="A92" s="231">
        <f t="shared" si="14"/>
        <v>53</v>
      </c>
      <c r="B92" s="239">
        <f>+B91+28</f>
        <v>41328</v>
      </c>
      <c r="C92" s="247"/>
      <c r="D92" s="260">
        <v>84.46</v>
      </c>
      <c r="E92" s="247"/>
      <c r="F92" s="248">
        <v>3.2500000000000001E-2</v>
      </c>
      <c r="G92" s="246">
        <f t="shared" si="20"/>
        <v>37.24</v>
      </c>
      <c r="H92" s="241"/>
      <c r="I92" s="241">
        <f t="shared" si="21"/>
        <v>29.5</v>
      </c>
      <c r="J92" s="241">
        <f t="shared" si="22"/>
        <v>7.740000000000002</v>
      </c>
      <c r="K92" s="241"/>
      <c r="L92" s="241"/>
      <c r="M92" s="241"/>
      <c r="N92" s="241"/>
      <c r="O92" s="241"/>
      <c r="P92" s="241"/>
      <c r="Q92" s="245">
        <f t="shared" si="19"/>
        <v>121.73249999999999</v>
      </c>
      <c r="R92" s="241">
        <f t="shared" si="9"/>
        <v>13831.484999999999</v>
      </c>
      <c r="S92" s="241"/>
      <c r="T92" s="241">
        <f t="shared" si="23"/>
        <v>10920.81</v>
      </c>
      <c r="U92" s="228">
        <f t="shared" si="24"/>
        <v>2910.6749999999993</v>
      </c>
      <c r="V92" s="261"/>
    </row>
    <row r="93" spans="1:22" hidden="1" x14ac:dyDescent="0.2">
      <c r="A93" s="231">
        <f t="shared" si="14"/>
        <v>54</v>
      </c>
      <c r="B93" s="239">
        <f>+B92+31</f>
        <v>41359</v>
      </c>
      <c r="C93" s="247"/>
      <c r="D93" s="262">
        <v>591.22</v>
      </c>
      <c r="E93" s="247"/>
      <c r="F93" s="248">
        <v>3.2500000000000001E-2</v>
      </c>
      <c r="G93" s="246">
        <f t="shared" si="20"/>
        <v>38.26</v>
      </c>
      <c r="H93" s="241"/>
      <c r="I93" s="241">
        <f t="shared" si="21"/>
        <v>29.58</v>
      </c>
      <c r="J93" s="241">
        <f t="shared" si="22"/>
        <v>8.68</v>
      </c>
      <c r="K93" s="241"/>
      <c r="L93" s="241"/>
      <c r="M93" s="241"/>
      <c r="N93" s="241"/>
      <c r="O93" s="241"/>
      <c r="P93" s="241"/>
      <c r="Q93" s="245">
        <f t="shared" si="19"/>
        <v>629.51250000000005</v>
      </c>
      <c r="R93" s="241">
        <f t="shared" si="9"/>
        <v>14460.997499999999</v>
      </c>
      <c r="S93" s="241"/>
      <c r="T93" s="241">
        <f t="shared" si="23"/>
        <v>10950.39</v>
      </c>
      <c r="U93" s="228">
        <f t="shared" si="24"/>
        <v>3510.6075000000001</v>
      </c>
      <c r="V93" s="261"/>
    </row>
    <row r="94" spans="1:22" hidden="1" x14ac:dyDescent="0.2">
      <c r="A94" s="231">
        <f t="shared" si="14"/>
        <v>55</v>
      </c>
      <c r="B94" s="226">
        <f>+B93+30</f>
        <v>41389</v>
      </c>
      <c r="C94" s="247"/>
      <c r="D94" s="262">
        <v>5923.35</v>
      </c>
      <c r="E94" s="247"/>
      <c r="F94" s="248">
        <v>3.2500000000000001E-2</v>
      </c>
      <c r="G94" s="246">
        <f t="shared" si="20"/>
        <v>47.19</v>
      </c>
      <c r="H94" s="241"/>
      <c r="I94" s="241">
        <f t="shared" si="21"/>
        <v>29.66</v>
      </c>
      <c r="J94" s="241">
        <f t="shared" si="22"/>
        <v>17.529999999999998</v>
      </c>
      <c r="K94" s="241"/>
      <c r="L94" s="241"/>
      <c r="M94" s="241"/>
      <c r="N94" s="241"/>
      <c r="O94" s="241"/>
      <c r="P94" s="241"/>
      <c r="Q94" s="245">
        <f t="shared" si="19"/>
        <v>5970.5725000000002</v>
      </c>
      <c r="R94" s="241">
        <f t="shared" si="9"/>
        <v>20431.57</v>
      </c>
      <c r="S94" s="241"/>
      <c r="T94" s="241">
        <f t="shared" si="23"/>
        <v>10980.05</v>
      </c>
      <c r="U94" s="228">
        <f t="shared" si="24"/>
        <v>9451.52</v>
      </c>
      <c r="V94" s="261"/>
    </row>
    <row r="95" spans="1:22" hidden="1" x14ac:dyDescent="0.2">
      <c r="A95" s="231">
        <f t="shared" si="14"/>
        <v>56</v>
      </c>
      <c r="B95" s="226">
        <f>+B94+31</f>
        <v>41420</v>
      </c>
      <c r="C95" s="247"/>
      <c r="D95" s="262">
        <v>85.99</v>
      </c>
      <c r="E95" s="247"/>
      <c r="F95" s="248">
        <v>3.2500000000000001E-2</v>
      </c>
      <c r="G95" s="246">
        <f t="shared" si="20"/>
        <v>55.45</v>
      </c>
      <c r="H95" s="241"/>
      <c r="I95" s="241">
        <f t="shared" si="21"/>
        <v>29.74</v>
      </c>
      <c r="J95" s="241">
        <f t="shared" si="22"/>
        <v>25.710000000000004</v>
      </c>
      <c r="K95" s="241"/>
      <c r="L95" s="241"/>
      <c r="M95" s="241"/>
      <c r="N95" s="241"/>
      <c r="O95" s="241"/>
      <c r="P95" s="241"/>
      <c r="Q95" s="245">
        <f t="shared" si="19"/>
        <v>141.4725</v>
      </c>
      <c r="R95" s="241">
        <f t="shared" si="9"/>
        <v>20573.0425</v>
      </c>
      <c r="S95" s="241"/>
      <c r="T95" s="241">
        <f t="shared" si="23"/>
        <v>11009.789999999999</v>
      </c>
      <c r="U95" s="228">
        <f t="shared" si="24"/>
        <v>9563.2525000000005</v>
      </c>
      <c r="V95" s="261"/>
    </row>
    <row r="96" spans="1:22" hidden="1" x14ac:dyDescent="0.2">
      <c r="A96" s="231">
        <f t="shared" si="14"/>
        <v>57</v>
      </c>
      <c r="B96" s="226">
        <f>+B95+30</f>
        <v>41450</v>
      </c>
      <c r="C96" s="247"/>
      <c r="D96" s="260">
        <v>85.99</v>
      </c>
      <c r="E96" s="247"/>
      <c r="F96" s="248">
        <v>3.2500000000000001E-2</v>
      </c>
      <c r="G96" s="246">
        <f t="shared" si="20"/>
        <v>55.84</v>
      </c>
      <c r="H96" s="241"/>
      <c r="I96" s="241">
        <f t="shared" si="21"/>
        <v>29.82</v>
      </c>
      <c r="J96" s="241">
        <f t="shared" si="22"/>
        <v>26.020000000000003</v>
      </c>
      <c r="K96" s="241"/>
      <c r="L96" s="241"/>
      <c r="M96" s="241"/>
      <c r="N96" s="241"/>
      <c r="O96" s="241"/>
      <c r="P96" s="241"/>
      <c r="Q96" s="245">
        <f t="shared" si="19"/>
        <v>141.86250000000001</v>
      </c>
      <c r="R96" s="241">
        <f t="shared" si="9"/>
        <v>20714.904999999999</v>
      </c>
      <c r="S96" s="241"/>
      <c r="T96" s="241">
        <f t="shared" si="23"/>
        <v>11039.609999999999</v>
      </c>
      <c r="U96" s="228">
        <f t="shared" si="24"/>
        <v>9675.2950000000001</v>
      </c>
    </row>
    <row r="97" spans="1:22" hidden="1" x14ac:dyDescent="0.2">
      <c r="A97" s="231">
        <f t="shared" si="14"/>
        <v>58</v>
      </c>
      <c r="B97" s="226">
        <f>+B96+31</f>
        <v>41481</v>
      </c>
      <c r="C97" s="247"/>
      <c r="D97" s="260">
        <v>27391.93</v>
      </c>
      <c r="E97" s="247"/>
      <c r="F97" s="248">
        <v>3.2500000000000001E-2</v>
      </c>
      <c r="G97" s="246">
        <f t="shared" si="20"/>
        <v>93.2</v>
      </c>
      <c r="H97" s="241"/>
      <c r="I97" s="241">
        <f t="shared" si="21"/>
        <v>29.9</v>
      </c>
      <c r="J97" s="241">
        <f t="shared" si="22"/>
        <v>63.300000000000004</v>
      </c>
      <c r="K97" s="241"/>
      <c r="L97" s="241"/>
      <c r="M97" s="241"/>
      <c r="N97" s="241"/>
      <c r="O97" s="241"/>
      <c r="P97" s="241"/>
      <c r="Q97" s="245">
        <f t="shared" si="19"/>
        <v>27485.162500000002</v>
      </c>
      <c r="R97" s="241">
        <f t="shared" si="9"/>
        <v>48200.067500000005</v>
      </c>
      <c r="S97" s="241"/>
      <c r="T97" s="241">
        <f t="shared" si="23"/>
        <v>11069.509999999998</v>
      </c>
      <c r="U97" s="228">
        <f t="shared" si="24"/>
        <v>37130.55750000001</v>
      </c>
    </row>
    <row r="98" spans="1:22" hidden="1" x14ac:dyDescent="0.2">
      <c r="A98" s="231">
        <f t="shared" si="14"/>
        <v>59</v>
      </c>
      <c r="B98" s="226">
        <f>+B97+31</f>
        <v>41512</v>
      </c>
      <c r="C98" s="247"/>
      <c r="D98" s="260">
        <v>4808.96</v>
      </c>
      <c r="E98" s="247"/>
      <c r="F98" s="248">
        <v>3.2500000000000001E-2</v>
      </c>
      <c r="G98" s="246">
        <f t="shared" si="20"/>
        <v>137.05000000000001</v>
      </c>
      <c r="H98" s="241"/>
      <c r="I98" s="241">
        <f t="shared" si="21"/>
        <v>29.98</v>
      </c>
      <c r="J98" s="241">
        <f t="shared" si="22"/>
        <v>107.07000000000001</v>
      </c>
      <c r="K98" s="241"/>
      <c r="L98" s="241"/>
      <c r="M98" s="241"/>
      <c r="N98" s="241"/>
      <c r="O98" s="241"/>
      <c r="P98" s="241"/>
      <c r="Q98" s="245">
        <f t="shared" si="19"/>
        <v>4946.0425000000005</v>
      </c>
      <c r="R98" s="241">
        <f t="shared" si="9"/>
        <v>53146.110000000008</v>
      </c>
      <c r="S98" s="241"/>
      <c r="T98" s="241">
        <f t="shared" si="23"/>
        <v>11099.489999999998</v>
      </c>
      <c r="U98" s="228">
        <f t="shared" si="24"/>
        <v>42046.62000000001</v>
      </c>
    </row>
    <row r="99" spans="1:22" hidden="1" x14ac:dyDescent="0.2">
      <c r="A99" s="231">
        <f t="shared" si="14"/>
        <v>60</v>
      </c>
      <c r="B99" s="226">
        <f>+B98+30</f>
        <v>41542</v>
      </c>
      <c r="C99" s="247"/>
      <c r="D99" s="260">
        <v>368.82</v>
      </c>
      <c r="E99" s="247"/>
      <c r="F99" s="248">
        <v>3.2500000000000001E-2</v>
      </c>
      <c r="G99" s="246">
        <f t="shared" si="20"/>
        <v>144.44</v>
      </c>
      <c r="H99" s="241"/>
      <c r="I99" s="241">
        <f t="shared" si="21"/>
        <v>30.06</v>
      </c>
      <c r="J99" s="241">
        <f t="shared" si="22"/>
        <v>114.38</v>
      </c>
      <c r="K99" s="241"/>
      <c r="L99" s="241"/>
      <c r="M99" s="241"/>
      <c r="N99" s="241"/>
      <c r="O99" s="241"/>
      <c r="P99" s="241"/>
      <c r="Q99" s="245">
        <f t="shared" si="19"/>
        <v>513.29250000000002</v>
      </c>
      <c r="R99" s="241">
        <f t="shared" si="9"/>
        <v>53659.402500000011</v>
      </c>
      <c r="S99" s="241"/>
      <c r="T99" s="241">
        <f t="shared" si="23"/>
        <v>11129.549999999997</v>
      </c>
      <c r="U99" s="228">
        <f t="shared" si="24"/>
        <v>42529.852500000015</v>
      </c>
    </row>
    <row r="100" spans="1:22" hidden="1" x14ac:dyDescent="0.2">
      <c r="A100" s="231">
        <f t="shared" si="14"/>
        <v>61</v>
      </c>
      <c r="B100" s="226">
        <f>+B99+31</f>
        <v>41573</v>
      </c>
      <c r="C100" s="247"/>
      <c r="D100" s="260">
        <v>171.98</v>
      </c>
      <c r="E100" s="247"/>
      <c r="F100" s="248">
        <v>3.2500000000000001E-2</v>
      </c>
      <c r="G100" s="246">
        <f t="shared" si="20"/>
        <v>145.56</v>
      </c>
      <c r="H100" s="241"/>
      <c r="I100" s="241">
        <f t="shared" si="21"/>
        <v>30.14</v>
      </c>
      <c r="J100" s="241">
        <f t="shared" si="22"/>
        <v>115.42</v>
      </c>
      <c r="K100" s="241"/>
      <c r="L100" s="241"/>
      <c r="M100" s="241"/>
      <c r="N100" s="241"/>
      <c r="O100" s="241"/>
      <c r="P100" s="241"/>
      <c r="Q100" s="245">
        <f t="shared" si="19"/>
        <v>317.57249999999999</v>
      </c>
      <c r="R100" s="241">
        <f t="shared" si="9"/>
        <v>53976.975000000013</v>
      </c>
      <c r="S100" s="241"/>
      <c r="T100" s="263">
        <f t="shared" si="23"/>
        <v>11159.689999999997</v>
      </c>
      <c r="U100" s="228">
        <f t="shared" si="24"/>
        <v>42817.285000000018</v>
      </c>
    </row>
    <row r="101" spans="1:22" hidden="1" x14ac:dyDescent="0.2">
      <c r="A101" s="231">
        <f t="shared" si="14"/>
        <v>62</v>
      </c>
      <c r="B101" s="226">
        <f>+B100+30</f>
        <v>41603</v>
      </c>
      <c r="C101" s="258">
        <v>1</v>
      </c>
      <c r="D101" s="260">
        <v>515.94000000000005</v>
      </c>
      <c r="E101" s="234">
        <f>-T100</f>
        <v>-11159.689999999997</v>
      </c>
      <c r="F101" s="248">
        <v>3.2500000000000001E-2</v>
      </c>
      <c r="G101" s="246">
        <f t="shared" si="20"/>
        <v>116.66</v>
      </c>
      <c r="H101" s="241"/>
      <c r="I101" s="241"/>
      <c r="J101" s="241">
        <f t="shared" si="22"/>
        <v>116.66</v>
      </c>
      <c r="K101" s="241"/>
      <c r="L101" s="241"/>
      <c r="M101" s="241"/>
      <c r="N101" s="241"/>
      <c r="O101" s="241"/>
      <c r="P101" s="241"/>
      <c r="Q101" s="245">
        <f t="shared" si="19"/>
        <v>-10527.057499999997</v>
      </c>
      <c r="R101" s="241">
        <f t="shared" si="9"/>
        <v>43449.917500000018</v>
      </c>
      <c r="S101" s="241"/>
      <c r="T101" s="263">
        <v>0</v>
      </c>
      <c r="U101" s="228">
        <f t="shared" si="24"/>
        <v>43449.917500000018</v>
      </c>
    </row>
    <row r="102" spans="1:22" ht="13.5" hidden="1" thickBot="1" x14ac:dyDescent="0.25">
      <c r="A102" s="264">
        <f t="shared" si="14"/>
        <v>63</v>
      </c>
      <c r="B102" s="252">
        <f>+B101+31</f>
        <v>41634</v>
      </c>
      <c r="C102" s="252"/>
      <c r="D102" s="265">
        <v>28483.91</v>
      </c>
      <c r="E102" s="252"/>
      <c r="F102" s="255">
        <v>3.2500000000000001E-2</v>
      </c>
      <c r="G102" s="256">
        <f t="shared" si="20"/>
        <v>156.25</v>
      </c>
      <c r="H102" s="256"/>
      <c r="I102" s="256"/>
      <c r="J102" s="256">
        <f t="shared" si="22"/>
        <v>156.25</v>
      </c>
      <c r="K102" s="256"/>
      <c r="L102" s="256"/>
      <c r="M102" s="256"/>
      <c r="N102" s="256"/>
      <c r="O102" s="256"/>
      <c r="P102" s="256"/>
      <c r="Q102" s="254">
        <f t="shared" si="19"/>
        <v>28640.192500000001</v>
      </c>
      <c r="R102" s="256">
        <f t="shared" si="9"/>
        <v>72090.110000000015</v>
      </c>
      <c r="S102" s="256"/>
      <c r="T102" s="256"/>
      <c r="U102" s="266">
        <f t="shared" si="24"/>
        <v>72090.110000000015</v>
      </c>
      <c r="V102" s="252"/>
    </row>
    <row r="103" spans="1:22" hidden="1" x14ac:dyDescent="0.2">
      <c r="A103" s="231">
        <f t="shared" si="14"/>
        <v>64</v>
      </c>
      <c r="B103" s="247">
        <f>+B102+31</f>
        <v>41665</v>
      </c>
      <c r="C103" s="247"/>
      <c r="D103" s="260">
        <v>81.42</v>
      </c>
      <c r="E103" s="247"/>
      <c r="F103" s="248">
        <v>3.2500000000000001E-2</v>
      </c>
      <c r="G103" s="246">
        <f t="shared" si="20"/>
        <v>195.35</v>
      </c>
      <c r="H103" s="241"/>
      <c r="I103" s="241"/>
      <c r="J103" s="241">
        <f t="shared" ref="J103:J112" si="25">ROUND(U102*F103/12,2)</f>
        <v>195.24</v>
      </c>
      <c r="K103" s="241">
        <f t="shared" ref="K103:K114" si="26">+G103-J103</f>
        <v>0.10999999999998522</v>
      </c>
      <c r="L103" s="241"/>
      <c r="M103" s="241"/>
      <c r="N103" s="241"/>
      <c r="O103" s="241"/>
      <c r="P103" s="241"/>
      <c r="Q103" s="245">
        <f t="shared" si="19"/>
        <v>276.80250000000001</v>
      </c>
      <c r="R103" s="241">
        <f t="shared" si="9"/>
        <v>72366.91250000002</v>
      </c>
      <c r="S103" s="241"/>
      <c r="T103" s="241"/>
      <c r="U103" s="241">
        <f t="shared" ref="U103:U112" si="27">+U102+J103</f>
        <v>72285.35000000002</v>
      </c>
      <c r="V103" s="228">
        <f>+R103-U103</f>
        <v>81.5625</v>
      </c>
    </row>
    <row r="104" spans="1:22" hidden="1" x14ac:dyDescent="0.2">
      <c r="A104" s="231">
        <f t="shared" si="14"/>
        <v>65</v>
      </c>
      <c r="B104" s="239">
        <f>+B103+28</f>
        <v>41693</v>
      </c>
      <c r="C104" s="247"/>
      <c r="D104" s="260">
        <v>17626.849999999999</v>
      </c>
      <c r="E104" s="247"/>
      <c r="F104" s="248">
        <v>3.2500000000000001E-2</v>
      </c>
      <c r="G104" s="246">
        <f t="shared" si="20"/>
        <v>219.86</v>
      </c>
      <c r="H104" s="241"/>
      <c r="I104" s="241"/>
      <c r="J104" s="241">
        <f t="shared" si="25"/>
        <v>195.77</v>
      </c>
      <c r="K104" s="241">
        <f t="shared" si="26"/>
        <v>24.090000000000003</v>
      </c>
      <c r="L104" s="241"/>
      <c r="M104" s="241"/>
      <c r="N104" s="241"/>
      <c r="O104" s="241"/>
      <c r="P104" s="241"/>
      <c r="Q104" s="245">
        <f t="shared" si="19"/>
        <v>17846.7425</v>
      </c>
      <c r="R104" s="241">
        <f t="shared" si="9"/>
        <v>90213.655000000028</v>
      </c>
      <c r="S104" s="241"/>
      <c r="T104" s="241"/>
      <c r="U104" s="241">
        <f t="shared" si="27"/>
        <v>72481.120000000024</v>
      </c>
      <c r="V104" s="228">
        <f t="shared" ref="V104:V114" si="28">+R104-U104</f>
        <v>17732.535000000003</v>
      </c>
    </row>
    <row r="105" spans="1:22" hidden="1" x14ac:dyDescent="0.2">
      <c r="A105" s="231">
        <f t="shared" si="14"/>
        <v>66</v>
      </c>
      <c r="B105" s="239">
        <f>+B104+31</f>
        <v>41724</v>
      </c>
      <c r="C105" s="247"/>
      <c r="D105" s="260">
        <v>333.2</v>
      </c>
      <c r="E105" s="247"/>
      <c r="F105" s="248">
        <v>3.2500000000000001E-2</v>
      </c>
      <c r="G105" s="246">
        <f t="shared" si="20"/>
        <v>244.78</v>
      </c>
      <c r="H105" s="241"/>
      <c r="I105" s="241"/>
      <c r="J105" s="241">
        <f t="shared" si="25"/>
        <v>196.3</v>
      </c>
      <c r="K105" s="241">
        <f t="shared" si="26"/>
        <v>48.47999999999999</v>
      </c>
      <c r="L105" s="241"/>
      <c r="M105" s="241"/>
      <c r="N105" s="241"/>
      <c r="O105" s="241"/>
      <c r="P105" s="241"/>
      <c r="Q105" s="245">
        <f t="shared" si="19"/>
        <v>578.01250000000005</v>
      </c>
      <c r="R105" s="241">
        <f t="shared" si="9"/>
        <v>90791.667500000025</v>
      </c>
      <c r="S105" s="241"/>
      <c r="T105" s="241"/>
      <c r="U105" s="241">
        <f t="shared" si="27"/>
        <v>72677.420000000027</v>
      </c>
      <c r="V105" s="228">
        <f t="shared" si="28"/>
        <v>18114.247499999998</v>
      </c>
    </row>
    <row r="106" spans="1:22" hidden="1" x14ac:dyDescent="0.2">
      <c r="A106" s="231">
        <f t="shared" si="14"/>
        <v>67</v>
      </c>
      <c r="B106" s="226">
        <f>+B105+30</f>
        <v>41754</v>
      </c>
      <c r="C106" s="247"/>
      <c r="D106" s="260">
        <v>17237.39</v>
      </c>
      <c r="E106" s="247"/>
      <c r="F106" s="248">
        <v>3.2500000000000001E-2</v>
      </c>
      <c r="G106" s="246">
        <f t="shared" si="20"/>
        <v>269.24</v>
      </c>
      <c r="H106" s="241"/>
      <c r="I106" s="241"/>
      <c r="J106" s="241">
        <f t="shared" si="25"/>
        <v>196.83</v>
      </c>
      <c r="K106" s="241">
        <f t="shared" si="26"/>
        <v>72.41</v>
      </c>
      <c r="L106" s="241"/>
      <c r="M106" s="241"/>
      <c r="N106" s="241"/>
      <c r="O106" s="241"/>
      <c r="P106" s="241"/>
      <c r="Q106" s="245">
        <f t="shared" si="19"/>
        <v>17506.662500000002</v>
      </c>
      <c r="R106" s="241">
        <f t="shared" si="9"/>
        <v>108298.33000000003</v>
      </c>
      <c r="S106" s="241"/>
      <c r="T106" s="241"/>
      <c r="U106" s="241">
        <f t="shared" si="27"/>
        <v>72874.250000000029</v>
      </c>
      <c r="V106" s="228">
        <f t="shared" si="28"/>
        <v>35424.080000000002</v>
      </c>
    </row>
    <row r="107" spans="1:22" hidden="1" x14ac:dyDescent="0.2">
      <c r="A107" s="231">
        <f t="shared" si="14"/>
        <v>68</v>
      </c>
      <c r="B107" s="226">
        <f>+B106+31</f>
        <v>41785</v>
      </c>
      <c r="C107" s="247"/>
      <c r="D107" s="260">
        <v>1249.5</v>
      </c>
      <c r="E107" s="247"/>
      <c r="F107" s="248">
        <v>3.2500000000000001E-2</v>
      </c>
      <c r="G107" s="246">
        <f t="shared" si="20"/>
        <v>295</v>
      </c>
      <c r="H107" s="241"/>
      <c r="I107" s="241"/>
      <c r="J107" s="241">
        <f t="shared" si="25"/>
        <v>197.37</v>
      </c>
      <c r="K107" s="241">
        <f t="shared" si="26"/>
        <v>97.63</v>
      </c>
      <c r="L107" s="241"/>
      <c r="M107" s="241"/>
      <c r="N107" s="241"/>
      <c r="O107" s="241"/>
      <c r="P107" s="241"/>
      <c r="Q107" s="245">
        <f t="shared" si="19"/>
        <v>1544.5325</v>
      </c>
      <c r="R107" s="241">
        <f t="shared" si="9"/>
        <v>109842.86250000003</v>
      </c>
      <c r="S107" s="241"/>
      <c r="T107" s="241"/>
      <c r="U107" s="241">
        <f t="shared" si="27"/>
        <v>73071.620000000024</v>
      </c>
      <c r="V107" s="228">
        <f t="shared" si="28"/>
        <v>36771.242500000008</v>
      </c>
    </row>
    <row r="108" spans="1:22" hidden="1" x14ac:dyDescent="0.2">
      <c r="A108" s="231">
        <f t="shared" si="14"/>
        <v>69</v>
      </c>
      <c r="B108" s="226">
        <f>+B107+30</f>
        <v>41815</v>
      </c>
      <c r="C108" s="247"/>
      <c r="D108" s="260">
        <v>0</v>
      </c>
      <c r="E108" s="247"/>
      <c r="F108" s="248">
        <v>3.2500000000000001E-2</v>
      </c>
      <c r="G108" s="246">
        <f t="shared" si="20"/>
        <v>297.49</v>
      </c>
      <c r="H108" s="241"/>
      <c r="I108" s="241"/>
      <c r="J108" s="241">
        <f t="shared" si="25"/>
        <v>197.9</v>
      </c>
      <c r="K108" s="241">
        <f t="shared" si="26"/>
        <v>99.59</v>
      </c>
      <c r="L108" s="241"/>
      <c r="M108" s="241"/>
      <c r="N108" s="241"/>
      <c r="O108" s="241"/>
      <c r="P108" s="241"/>
      <c r="Q108" s="245">
        <f t="shared" si="19"/>
        <v>297.52250000000004</v>
      </c>
      <c r="R108" s="241">
        <f t="shared" si="9"/>
        <v>110140.38500000004</v>
      </c>
      <c r="S108" s="241"/>
      <c r="T108" s="241"/>
      <c r="U108" s="241">
        <f t="shared" si="27"/>
        <v>73269.520000000019</v>
      </c>
      <c r="V108" s="228">
        <f t="shared" si="28"/>
        <v>36870.86500000002</v>
      </c>
    </row>
    <row r="109" spans="1:22" hidden="1" x14ac:dyDescent="0.2">
      <c r="A109" s="231">
        <f t="shared" si="14"/>
        <v>70</v>
      </c>
      <c r="B109" s="226">
        <f>+B108+31</f>
        <v>41846</v>
      </c>
      <c r="C109" s="247"/>
      <c r="D109" s="260">
        <v>63</v>
      </c>
      <c r="E109" s="247"/>
      <c r="F109" s="248">
        <v>3.2500000000000001E-2</v>
      </c>
      <c r="G109" s="246">
        <f t="shared" si="20"/>
        <v>298.38</v>
      </c>
      <c r="H109" s="241"/>
      <c r="I109" s="241"/>
      <c r="J109" s="241">
        <f t="shared" si="25"/>
        <v>198.44</v>
      </c>
      <c r="K109" s="241">
        <f t="shared" si="26"/>
        <v>99.94</v>
      </c>
      <c r="L109" s="241"/>
      <c r="M109" s="241"/>
      <c r="N109" s="241"/>
      <c r="O109" s="241"/>
      <c r="P109" s="241"/>
      <c r="Q109" s="245">
        <f t="shared" si="19"/>
        <v>361.41250000000002</v>
      </c>
      <c r="R109" s="241">
        <f t="shared" si="9"/>
        <v>110501.79750000004</v>
      </c>
      <c r="S109" s="241"/>
      <c r="T109" s="241"/>
      <c r="U109" s="241">
        <f t="shared" si="27"/>
        <v>73467.960000000021</v>
      </c>
      <c r="V109" s="228">
        <f t="shared" si="28"/>
        <v>37033.837500000023</v>
      </c>
    </row>
    <row r="110" spans="1:22" hidden="1" x14ac:dyDescent="0.2">
      <c r="A110" s="231">
        <f t="shared" si="14"/>
        <v>71</v>
      </c>
      <c r="B110" s="226">
        <f>+B109+31</f>
        <v>41877</v>
      </c>
      <c r="C110" s="247"/>
      <c r="D110" s="260">
        <v>291.55</v>
      </c>
      <c r="E110" s="247"/>
      <c r="F110" s="248">
        <v>3.2500000000000001E-2</v>
      </c>
      <c r="G110" s="246">
        <f t="shared" si="20"/>
        <v>299.67</v>
      </c>
      <c r="H110" s="241"/>
      <c r="I110" s="241"/>
      <c r="J110" s="241">
        <f t="shared" si="25"/>
        <v>198.98</v>
      </c>
      <c r="K110" s="241">
        <f t="shared" si="26"/>
        <v>100.69000000000003</v>
      </c>
      <c r="L110" s="241"/>
      <c r="M110" s="241"/>
      <c r="N110" s="241"/>
      <c r="O110" s="241"/>
      <c r="P110" s="241"/>
      <c r="Q110" s="245">
        <f t="shared" si="19"/>
        <v>591.25250000000005</v>
      </c>
      <c r="R110" s="241">
        <f t="shared" si="9"/>
        <v>111093.05000000005</v>
      </c>
      <c r="S110" s="241"/>
      <c r="T110" s="241"/>
      <c r="U110" s="241">
        <f t="shared" si="27"/>
        <v>73666.940000000017</v>
      </c>
      <c r="V110" s="228">
        <f t="shared" si="28"/>
        <v>37426.11000000003</v>
      </c>
    </row>
    <row r="111" spans="1:22" hidden="1" x14ac:dyDescent="0.2">
      <c r="A111" s="231">
        <f t="shared" si="14"/>
        <v>72</v>
      </c>
      <c r="B111" s="226">
        <f>+B110+30</f>
        <v>41907</v>
      </c>
      <c r="C111" s="247"/>
      <c r="D111" s="260">
        <v>83.3</v>
      </c>
      <c r="E111" s="247"/>
      <c r="F111" s="248">
        <v>3.2500000000000001E-2</v>
      </c>
      <c r="G111" s="246">
        <f t="shared" si="20"/>
        <v>300.99</v>
      </c>
      <c r="H111" s="241"/>
      <c r="I111" s="241"/>
      <c r="J111" s="241">
        <f t="shared" si="25"/>
        <v>199.51</v>
      </c>
      <c r="K111" s="241">
        <f t="shared" si="26"/>
        <v>101.48000000000002</v>
      </c>
      <c r="L111" s="241"/>
      <c r="M111" s="241"/>
      <c r="N111" s="241"/>
      <c r="O111" s="241"/>
      <c r="P111" s="241"/>
      <c r="Q111" s="245">
        <f t="shared" si="19"/>
        <v>384.32249999999999</v>
      </c>
      <c r="R111" s="263">
        <f t="shared" si="9"/>
        <v>111477.37250000004</v>
      </c>
      <c r="S111" s="241"/>
      <c r="T111" s="241"/>
      <c r="U111" s="241">
        <f t="shared" si="27"/>
        <v>73866.450000000012</v>
      </c>
      <c r="V111" s="228">
        <f t="shared" si="28"/>
        <v>37610.92250000003</v>
      </c>
    </row>
    <row r="112" spans="1:22" hidden="1" x14ac:dyDescent="0.2">
      <c r="A112" s="231">
        <f t="shared" si="14"/>
        <v>73</v>
      </c>
      <c r="B112" s="226">
        <f>+B111+31</f>
        <v>41938</v>
      </c>
      <c r="C112" s="247"/>
      <c r="D112" s="260">
        <v>17838.419999999998</v>
      </c>
      <c r="E112" s="247"/>
      <c r="F112" s="248">
        <v>3.2500000000000001E-2</v>
      </c>
      <c r="G112" s="246">
        <f t="shared" si="20"/>
        <v>326.07</v>
      </c>
      <c r="H112" s="241"/>
      <c r="I112" s="241"/>
      <c r="J112" s="241">
        <f t="shared" si="25"/>
        <v>200.05</v>
      </c>
      <c r="K112" s="241">
        <f t="shared" si="26"/>
        <v>126.01999999999998</v>
      </c>
      <c r="L112" s="241"/>
      <c r="M112" s="241"/>
      <c r="N112" s="241"/>
      <c r="O112" s="241"/>
      <c r="P112" s="241"/>
      <c r="Q112" s="245">
        <f t="shared" si="19"/>
        <v>18164.522499999999</v>
      </c>
      <c r="R112" s="241">
        <f t="shared" si="9"/>
        <v>129641.89500000005</v>
      </c>
      <c r="S112" s="241"/>
      <c r="T112" s="241"/>
      <c r="U112" s="241">
        <f t="shared" si="27"/>
        <v>74066.500000000015</v>
      </c>
      <c r="V112" s="228">
        <f t="shared" si="28"/>
        <v>55575.395000000033</v>
      </c>
    </row>
    <row r="113" spans="1:25" hidden="1" x14ac:dyDescent="0.2">
      <c r="A113" s="231">
        <f t="shared" si="14"/>
        <v>74</v>
      </c>
      <c r="B113" s="226">
        <f>+B112+30</f>
        <v>41968</v>
      </c>
      <c r="C113" s="267">
        <v>1</v>
      </c>
      <c r="D113" s="260">
        <v>166.6</v>
      </c>
      <c r="E113" s="234">
        <f>-U112</f>
        <v>-74066.500000000015</v>
      </c>
      <c r="F113" s="248">
        <v>3.2500000000000001E-2</v>
      </c>
      <c r="G113" s="246">
        <f t="shared" si="20"/>
        <v>150.74</v>
      </c>
      <c r="H113" s="241"/>
      <c r="I113" s="241"/>
      <c r="J113" s="241"/>
      <c r="K113" s="241">
        <f t="shared" si="26"/>
        <v>150.74</v>
      </c>
      <c r="L113" s="241"/>
      <c r="M113" s="241"/>
      <c r="N113" s="241"/>
      <c r="O113" s="241"/>
      <c r="P113" s="241"/>
      <c r="Q113" s="245">
        <f t="shared" si="19"/>
        <v>-73749.127500000002</v>
      </c>
      <c r="R113" s="263">
        <f t="shared" si="9"/>
        <v>55892.767500000045</v>
      </c>
      <c r="S113" s="241"/>
      <c r="T113" s="241"/>
      <c r="V113" s="228">
        <f t="shared" si="28"/>
        <v>55892.767500000045</v>
      </c>
    </row>
    <row r="114" spans="1:25" ht="13.5" hidden="1" thickBot="1" x14ac:dyDescent="0.25">
      <c r="A114" s="231">
        <f t="shared" si="14"/>
        <v>75</v>
      </c>
      <c r="B114" s="252">
        <f>+B113+31</f>
        <v>41999</v>
      </c>
      <c r="C114" s="252"/>
      <c r="D114" s="268">
        <v>458.15</v>
      </c>
      <c r="E114" s="252"/>
      <c r="F114" s="255">
        <v>3.2500000000000001E-2</v>
      </c>
      <c r="G114" s="256">
        <f t="shared" si="20"/>
        <v>152</v>
      </c>
      <c r="H114" s="256"/>
      <c r="I114" s="256"/>
      <c r="J114" s="256"/>
      <c r="K114" s="256">
        <f t="shared" si="26"/>
        <v>152</v>
      </c>
      <c r="L114" s="256"/>
      <c r="M114" s="256"/>
      <c r="N114" s="256"/>
      <c r="O114" s="256"/>
      <c r="P114" s="256"/>
      <c r="Q114" s="254">
        <f t="shared" si="19"/>
        <v>610.1825</v>
      </c>
      <c r="R114" s="269">
        <f t="shared" si="9"/>
        <v>56502.950000000048</v>
      </c>
      <c r="S114" s="256"/>
      <c r="T114" s="256"/>
      <c r="U114" s="252"/>
      <c r="V114" s="266">
        <f t="shared" si="28"/>
        <v>56502.950000000048</v>
      </c>
      <c r="W114" s="252"/>
    </row>
    <row r="115" spans="1:25" hidden="1" x14ac:dyDescent="0.2">
      <c r="A115" s="231">
        <f t="shared" si="14"/>
        <v>76</v>
      </c>
      <c r="B115" s="230">
        <f>+B114+30</f>
        <v>42029</v>
      </c>
      <c r="C115" s="270"/>
      <c r="D115" s="271">
        <v>9410.15</v>
      </c>
      <c r="E115" s="270"/>
      <c r="F115" s="272">
        <v>3.2500000000000001E-2</v>
      </c>
      <c r="G115" s="273">
        <f t="shared" si="20"/>
        <v>165.77</v>
      </c>
      <c r="H115" s="263"/>
      <c r="I115" s="263"/>
      <c r="J115" s="263"/>
      <c r="K115" s="263">
        <f t="shared" ref="K115:K125" si="29">ROUND(V114*F115/12,2)</f>
        <v>153.03</v>
      </c>
      <c r="L115" s="263">
        <f t="shared" ref="L115:L126" si="30">+G115-K115</f>
        <v>12.740000000000009</v>
      </c>
      <c r="M115" s="263"/>
      <c r="N115" s="263"/>
      <c r="O115" s="263"/>
      <c r="P115" s="263"/>
      <c r="Q115" s="274">
        <f t="shared" si="19"/>
        <v>9575.9524999999994</v>
      </c>
      <c r="R115" s="263">
        <f t="shared" si="9"/>
        <v>66078.902500000055</v>
      </c>
      <c r="S115" s="263"/>
      <c r="T115" s="263"/>
      <c r="U115" s="230"/>
      <c r="V115" s="275">
        <f t="shared" ref="V115:V124" si="31">+V114+K115</f>
        <v>56655.980000000047</v>
      </c>
      <c r="W115" s="275">
        <f t="shared" ref="W115:W126" si="32">+R115-V115</f>
        <v>9422.9225000000079</v>
      </c>
    </row>
    <row r="116" spans="1:25" hidden="1" x14ac:dyDescent="0.2">
      <c r="A116" s="231">
        <f t="shared" si="14"/>
        <v>77</v>
      </c>
      <c r="B116" s="226">
        <f>+B115+28</f>
        <v>42057</v>
      </c>
      <c r="C116" s="247"/>
      <c r="D116" s="271">
        <v>276.50999999999993</v>
      </c>
      <c r="E116" s="247"/>
      <c r="F116" s="276">
        <v>3.2500000000000001E-2</v>
      </c>
      <c r="G116" s="246">
        <f t="shared" si="20"/>
        <v>179.34</v>
      </c>
      <c r="H116" s="241"/>
      <c r="I116" s="241"/>
      <c r="J116" s="241"/>
      <c r="K116" s="241">
        <f t="shared" si="29"/>
        <v>153.44</v>
      </c>
      <c r="L116" s="241">
        <f t="shared" si="30"/>
        <v>25.900000000000006</v>
      </c>
      <c r="M116" s="241"/>
      <c r="N116" s="241"/>
      <c r="O116" s="241"/>
      <c r="P116" s="241"/>
      <c r="Q116" s="245">
        <f t="shared" si="19"/>
        <v>455.88249999999994</v>
      </c>
      <c r="R116" s="263">
        <f t="shared" si="9"/>
        <v>66534.785000000062</v>
      </c>
      <c r="S116" s="241"/>
      <c r="T116" s="241"/>
      <c r="V116" s="228">
        <f t="shared" si="31"/>
        <v>56809.420000000049</v>
      </c>
      <c r="W116" s="228">
        <f t="shared" si="32"/>
        <v>9725.3650000000125</v>
      </c>
    </row>
    <row r="117" spans="1:25" hidden="1" x14ac:dyDescent="0.2">
      <c r="A117" s="231">
        <f t="shared" si="14"/>
        <v>78</v>
      </c>
      <c r="B117" s="226">
        <f>+B116+31</f>
        <v>42088</v>
      </c>
      <c r="C117" s="247"/>
      <c r="D117" s="271">
        <v>18.550000000000011</v>
      </c>
      <c r="E117" s="247"/>
      <c r="F117" s="276">
        <v>3.2500000000000001E-2</v>
      </c>
      <c r="G117" s="246">
        <f t="shared" si="20"/>
        <v>180.22</v>
      </c>
      <c r="H117" s="241"/>
      <c r="I117" s="241"/>
      <c r="J117" s="241"/>
      <c r="K117" s="241">
        <f t="shared" si="29"/>
        <v>153.86000000000001</v>
      </c>
      <c r="L117" s="241">
        <f t="shared" si="30"/>
        <v>26.359999999999985</v>
      </c>
      <c r="M117" s="241"/>
      <c r="N117" s="241"/>
      <c r="O117" s="241"/>
      <c r="P117" s="241"/>
      <c r="Q117" s="245">
        <f t="shared" si="19"/>
        <v>198.80250000000001</v>
      </c>
      <c r="R117" s="263">
        <f t="shared" si="9"/>
        <v>66733.587500000067</v>
      </c>
      <c r="S117" s="241"/>
      <c r="T117" s="241"/>
      <c r="V117" s="228">
        <f t="shared" si="31"/>
        <v>56963.28000000005</v>
      </c>
      <c r="W117" s="228">
        <f t="shared" si="32"/>
        <v>9770.3075000000172</v>
      </c>
    </row>
    <row r="118" spans="1:25" hidden="1" x14ac:dyDescent="0.2">
      <c r="A118" s="231">
        <f t="shared" si="14"/>
        <v>79</v>
      </c>
      <c r="B118" s="226">
        <f>+B117+30</f>
        <v>42118</v>
      </c>
      <c r="C118" s="247"/>
      <c r="D118" s="271">
        <v>22611.07</v>
      </c>
      <c r="E118" s="277">
        <v>0.28000000000000003</v>
      </c>
      <c r="F118" s="276">
        <v>3.2500000000000001E-2</v>
      </c>
      <c r="G118" s="246">
        <f t="shared" si="20"/>
        <v>211.36</v>
      </c>
      <c r="H118" s="241"/>
      <c r="I118" s="241"/>
      <c r="J118" s="241"/>
      <c r="K118" s="241">
        <f t="shared" si="29"/>
        <v>154.28</v>
      </c>
      <c r="L118" s="241">
        <f t="shared" si="30"/>
        <v>57.080000000000013</v>
      </c>
      <c r="M118" s="241"/>
      <c r="N118" s="241"/>
      <c r="O118" s="241"/>
      <c r="P118" s="241"/>
      <c r="Q118" s="245">
        <f t="shared" si="19"/>
        <v>22822.7425</v>
      </c>
      <c r="R118" s="263">
        <f t="shared" si="9"/>
        <v>89556.330000000075</v>
      </c>
      <c r="S118" s="241"/>
      <c r="T118" s="241"/>
      <c r="V118" s="228">
        <f t="shared" si="31"/>
        <v>57117.560000000049</v>
      </c>
      <c r="W118" s="228">
        <f t="shared" si="32"/>
        <v>32438.770000000026</v>
      </c>
    </row>
    <row r="119" spans="1:25" hidden="1" x14ac:dyDescent="0.2">
      <c r="A119" s="231">
        <f t="shared" si="14"/>
        <v>80</v>
      </c>
      <c r="B119" s="226">
        <f>+B118+31</f>
        <v>42149</v>
      </c>
      <c r="C119" s="247"/>
      <c r="D119" s="271">
        <v>84.259999999999991</v>
      </c>
      <c r="E119" s="247"/>
      <c r="F119" s="276">
        <v>3.2500000000000001E-2</v>
      </c>
      <c r="G119" s="246">
        <f t="shared" si="20"/>
        <v>242.66</v>
      </c>
      <c r="H119" s="241"/>
      <c r="I119" s="241"/>
      <c r="J119" s="241"/>
      <c r="K119" s="241">
        <f t="shared" si="29"/>
        <v>154.69</v>
      </c>
      <c r="L119" s="241">
        <f t="shared" si="30"/>
        <v>87.97</v>
      </c>
      <c r="M119" s="241"/>
      <c r="N119" s="241"/>
      <c r="O119" s="241"/>
      <c r="P119" s="241"/>
      <c r="Q119" s="245">
        <f t="shared" ref="Q119:Q136" si="33">SUM(D119:G119)</f>
        <v>326.95249999999999</v>
      </c>
      <c r="R119" s="263">
        <f t="shared" si="9"/>
        <v>89883.282500000074</v>
      </c>
      <c r="S119" s="241"/>
      <c r="T119" s="241"/>
      <c r="V119" s="228">
        <f t="shared" si="31"/>
        <v>57272.250000000051</v>
      </c>
      <c r="W119" s="228">
        <f t="shared" si="32"/>
        <v>32611.032500000023</v>
      </c>
    </row>
    <row r="120" spans="1:25" hidden="1" x14ac:dyDescent="0.2">
      <c r="A120" s="231">
        <f t="shared" si="14"/>
        <v>81</v>
      </c>
      <c r="B120" s="226">
        <f>+B119+30</f>
        <v>42179</v>
      </c>
      <c r="C120" s="247"/>
      <c r="D120" s="271">
        <v>-540.09</v>
      </c>
      <c r="E120" s="247"/>
      <c r="F120" s="276">
        <v>3.2500000000000001E-2</v>
      </c>
      <c r="G120" s="246">
        <f t="shared" si="20"/>
        <v>242.7</v>
      </c>
      <c r="H120" s="241"/>
      <c r="I120" s="241"/>
      <c r="J120" s="241"/>
      <c r="K120" s="241">
        <f t="shared" si="29"/>
        <v>155.11000000000001</v>
      </c>
      <c r="L120" s="241">
        <f t="shared" si="30"/>
        <v>87.589999999999975</v>
      </c>
      <c r="M120" s="241"/>
      <c r="N120" s="241"/>
      <c r="O120" s="241"/>
      <c r="P120" s="241"/>
      <c r="Q120" s="245">
        <f t="shared" si="33"/>
        <v>-297.35750000000002</v>
      </c>
      <c r="R120" s="263">
        <f t="shared" ref="R120:R125" si="34">+R119+Q120</f>
        <v>89585.925000000076</v>
      </c>
      <c r="S120" s="241"/>
      <c r="T120" s="241"/>
      <c r="V120" s="228">
        <f t="shared" si="31"/>
        <v>57427.360000000052</v>
      </c>
      <c r="W120" s="228">
        <f t="shared" si="32"/>
        <v>32158.565000000024</v>
      </c>
    </row>
    <row r="121" spans="1:25" hidden="1" x14ac:dyDescent="0.2">
      <c r="A121" s="231">
        <f t="shared" si="14"/>
        <v>82</v>
      </c>
      <c r="B121" s="226">
        <f>+B120+31</f>
        <v>42210</v>
      </c>
      <c r="C121" s="247"/>
      <c r="D121" s="271">
        <v>233.24</v>
      </c>
      <c r="E121" s="247"/>
      <c r="F121" s="276">
        <v>3.2500000000000001E-2</v>
      </c>
      <c r="G121" s="246">
        <f t="shared" si="20"/>
        <v>242.94</v>
      </c>
      <c r="H121" s="241"/>
      <c r="I121" s="241"/>
      <c r="J121" s="241"/>
      <c r="K121" s="241">
        <f t="shared" si="29"/>
        <v>155.53</v>
      </c>
      <c r="L121" s="241">
        <f t="shared" si="30"/>
        <v>87.41</v>
      </c>
      <c r="M121" s="241"/>
      <c r="N121" s="241"/>
      <c r="O121" s="241"/>
      <c r="P121" s="241"/>
      <c r="Q121" s="245">
        <f t="shared" si="33"/>
        <v>476.21249999999998</v>
      </c>
      <c r="R121" s="263">
        <f t="shared" si="34"/>
        <v>90062.13750000007</v>
      </c>
      <c r="S121" s="241"/>
      <c r="T121" s="241"/>
      <c r="V121" s="228">
        <f t="shared" si="31"/>
        <v>57582.89000000005</v>
      </c>
      <c r="W121" s="228">
        <f t="shared" si="32"/>
        <v>32479.247500000019</v>
      </c>
    </row>
    <row r="122" spans="1:25" hidden="1" x14ac:dyDescent="0.2">
      <c r="A122" s="231">
        <f t="shared" si="14"/>
        <v>83</v>
      </c>
      <c r="B122" s="226">
        <f>+B121+31</f>
        <v>42241</v>
      </c>
      <c r="C122" s="247"/>
      <c r="D122" s="271">
        <v>3527.44</v>
      </c>
      <c r="E122" s="247"/>
      <c r="F122" s="276">
        <v>3.2500000000000001E-2</v>
      </c>
      <c r="G122" s="246">
        <f t="shared" si="20"/>
        <v>248.7</v>
      </c>
      <c r="H122" s="241"/>
      <c r="I122" s="241"/>
      <c r="J122" s="241"/>
      <c r="K122" s="241">
        <f t="shared" si="29"/>
        <v>155.94999999999999</v>
      </c>
      <c r="L122" s="241">
        <f t="shared" si="30"/>
        <v>92.75</v>
      </c>
      <c r="M122" s="241"/>
      <c r="N122" s="241"/>
      <c r="O122" s="241"/>
      <c r="P122" s="241"/>
      <c r="Q122" s="245">
        <f t="shared" si="33"/>
        <v>3776.1724999999997</v>
      </c>
      <c r="R122" s="263">
        <f t="shared" si="34"/>
        <v>93838.31000000007</v>
      </c>
      <c r="S122" s="241"/>
      <c r="T122" s="241"/>
      <c r="V122" s="228">
        <f t="shared" si="31"/>
        <v>57738.840000000047</v>
      </c>
      <c r="W122" s="228">
        <f t="shared" si="32"/>
        <v>36099.470000000023</v>
      </c>
    </row>
    <row r="123" spans="1:25" hidden="1" x14ac:dyDescent="0.2">
      <c r="A123" s="231">
        <f t="shared" si="14"/>
        <v>84</v>
      </c>
      <c r="B123" s="226">
        <f>+B122+30</f>
        <v>42271</v>
      </c>
      <c r="C123" s="278"/>
      <c r="D123" s="260">
        <v>670.28</v>
      </c>
      <c r="E123" s="247"/>
      <c r="F123" s="276">
        <v>3.2500000000000001E-2</v>
      </c>
      <c r="G123" s="246">
        <f t="shared" si="20"/>
        <v>255.05</v>
      </c>
      <c r="H123" s="241"/>
      <c r="I123" s="241"/>
      <c r="J123" s="241"/>
      <c r="K123" s="241">
        <f t="shared" si="29"/>
        <v>156.38</v>
      </c>
      <c r="L123" s="241">
        <f t="shared" si="30"/>
        <v>98.670000000000016</v>
      </c>
      <c r="M123" s="241"/>
      <c r="N123" s="241"/>
      <c r="O123" s="241"/>
      <c r="P123" s="241"/>
      <c r="Q123" s="245">
        <f t="shared" si="33"/>
        <v>925.36249999999995</v>
      </c>
      <c r="R123" s="263">
        <f t="shared" si="34"/>
        <v>94763.672500000073</v>
      </c>
      <c r="S123" s="241"/>
      <c r="T123" s="241"/>
      <c r="V123" s="228">
        <f t="shared" si="31"/>
        <v>57895.220000000045</v>
      </c>
      <c r="W123" s="228">
        <f t="shared" si="32"/>
        <v>36868.452500000029</v>
      </c>
    </row>
    <row r="124" spans="1:25" hidden="1" x14ac:dyDescent="0.2">
      <c r="A124" s="231">
        <f t="shared" si="14"/>
        <v>85</v>
      </c>
      <c r="B124" s="226">
        <f>+B123+31</f>
        <v>42302</v>
      </c>
      <c r="C124" s="278"/>
      <c r="D124" s="260">
        <v>3901.76</v>
      </c>
      <c r="E124" s="247"/>
      <c r="F124" s="276">
        <v>3.2500000000000001E-2</v>
      </c>
      <c r="G124" s="246">
        <f t="shared" si="20"/>
        <v>261.94</v>
      </c>
      <c r="H124" s="241"/>
      <c r="I124" s="241"/>
      <c r="J124" s="241"/>
      <c r="K124" s="241">
        <f t="shared" si="29"/>
        <v>156.80000000000001</v>
      </c>
      <c r="L124" s="241">
        <f t="shared" si="30"/>
        <v>105.13999999999999</v>
      </c>
      <c r="M124" s="241"/>
      <c r="N124" s="241"/>
      <c r="O124" s="241"/>
      <c r="P124" s="241"/>
      <c r="Q124" s="245">
        <f t="shared" si="33"/>
        <v>4163.7325000000001</v>
      </c>
      <c r="R124" s="263">
        <f t="shared" si="34"/>
        <v>98927.405000000072</v>
      </c>
      <c r="S124" s="241"/>
      <c r="T124" s="241"/>
      <c r="V124" s="228">
        <f t="shared" si="31"/>
        <v>58052.020000000048</v>
      </c>
      <c r="W124" s="228">
        <f t="shared" si="32"/>
        <v>40875.385000000024</v>
      </c>
    </row>
    <row r="125" spans="1:25" hidden="1" x14ac:dyDescent="0.2">
      <c r="A125" s="231">
        <f t="shared" si="14"/>
        <v>86</v>
      </c>
      <c r="B125" s="226">
        <f>+B124+30</f>
        <v>42332</v>
      </c>
      <c r="C125" s="279" t="s">
        <v>182</v>
      </c>
      <c r="D125" s="260">
        <v>893.7</v>
      </c>
      <c r="E125" s="246">
        <v>-58051.62</v>
      </c>
      <c r="F125" s="276">
        <v>3.2500000000000001E-2</v>
      </c>
      <c r="G125" s="246">
        <f t="shared" si="20"/>
        <v>111.92</v>
      </c>
      <c r="I125" s="241"/>
      <c r="J125" s="241"/>
      <c r="K125" s="241">
        <f t="shared" si="29"/>
        <v>157.22</v>
      </c>
      <c r="L125" s="241">
        <f t="shared" si="30"/>
        <v>-45.3</v>
      </c>
      <c r="M125" s="241"/>
      <c r="N125" s="241"/>
      <c r="O125" s="241"/>
      <c r="P125" s="241"/>
      <c r="Q125" s="245">
        <f t="shared" si="33"/>
        <v>-57045.967500000006</v>
      </c>
      <c r="R125" s="263">
        <f t="shared" si="34"/>
        <v>41881.437500000065</v>
      </c>
      <c r="S125" s="241"/>
      <c r="T125" s="241"/>
      <c r="V125" s="228"/>
      <c r="W125" s="228">
        <f t="shared" si="32"/>
        <v>41881.437500000065</v>
      </c>
    </row>
    <row r="126" spans="1:25" ht="13.5" hidden="1" thickBot="1" x14ac:dyDescent="0.25">
      <c r="A126" s="231">
        <f>+A125+1</f>
        <v>87</v>
      </c>
      <c r="B126" s="226">
        <f>+B125+31</f>
        <v>42363</v>
      </c>
      <c r="C126" s="247"/>
      <c r="D126" s="265">
        <v>938.39</v>
      </c>
      <c r="E126" s="252"/>
      <c r="F126" s="280">
        <v>3.2500000000000001E-2</v>
      </c>
      <c r="G126" s="256">
        <f>ROUND((R125+E126+(D126/2))*F126/12,2)</f>
        <v>114.7</v>
      </c>
      <c r="H126" s="252"/>
      <c r="I126" s="256"/>
      <c r="J126" s="256"/>
      <c r="K126" s="256"/>
      <c r="L126" s="256">
        <f t="shared" si="30"/>
        <v>114.7</v>
      </c>
      <c r="M126" s="256"/>
      <c r="N126" s="256"/>
      <c r="O126" s="256"/>
      <c r="P126" s="256"/>
      <c r="Q126" s="254">
        <f t="shared" si="33"/>
        <v>1053.1224999999999</v>
      </c>
      <c r="R126" s="269">
        <f>R125+Q126</f>
        <v>42934.560000000063</v>
      </c>
      <c r="S126" s="256"/>
      <c r="T126" s="256"/>
      <c r="U126" s="252"/>
      <c r="V126" s="266"/>
      <c r="W126" s="266">
        <f t="shared" si="32"/>
        <v>42934.560000000063</v>
      </c>
      <c r="X126" s="252"/>
      <c r="Y126" s="252"/>
    </row>
    <row r="127" spans="1:25" hidden="1" x14ac:dyDescent="0.2">
      <c r="A127" s="231">
        <f t="shared" si="14"/>
        <v>88</v>
      </c>
      <c r="B127" s="226">
        <f>B126+31</f>
        <v>42394</v>
      </c>
      <c r="C127" s="247"/>
      <c r="D127" s="260">
        <v>471.13</v>
      </c>
      <c r="E127" s="247"/>
      <c r="F127" s="276">
        <v>3.2500000000000001E-2</v>
      </c>
      <c r="G127" s="246">
        <f t="shared" ref="G127:G150" si="35">ROUND((+R126+E127+(D127/2))*F127/12,2)</f>
        <v>116.92</v>
      </c>
      <c r="I127" s="241"/>
      <c r="J127" s="241"/>
      <c r="K127" s="241"/>
      <c r="L127" s="263">
        <f t="shared" ref="L127:L136" si="36">ROUND(W126*F127/12,2)</f>
        <v>116.28</v>
      </c>
      <c r="M127" s="263">
        <f t="shared" ref="M127:M138" si="37">+G127-L127</f>
        <v>0.64000000000000057</v>
      </c>
      <c r="N127" s="263"/>
      <c r="O127" s="263"/>
      <c r="P127" s="263"/>
      <c r="Q127" s="245">
        <f t="shared" si="33"/>
        <v>588.08249999999998</v>
      </c>
      <c r="R127" s="263">
        <f t="shared" ref="R127:R150" si="38">+R126+Q127</f>
        <v>43522.64250000006</v>
      </c>
      <c r="S127" s="241"/>
      <c r="T127" s="241"/>
      <c r="V127" s="228"/>
      <c r="W127" s="228">
        <f t="shared" ref="W127:W136" si="39">+W126+L127</f>
        <v>43050.840000000062</v>
      </c>
      <c r="X127" s="263">
        <f>+R127-W127</f>
        <v>471.80249999999796</v>
      </c>
    </row>
    <row r="128" spans="1:25" hidden="1" x14ac:dyDescent="0.2">
      <c r="A128" s="231">
        <f t="shared" si="14"/>
        <v>89</v>
      </c>
      <c r="B128" s="226">
        <f>B127+29</f>
        <v>42423</v>
      </c>
      <c r="C128" s="247"/>
      <c r="D128" s="260">
        <v>214.15</v>
      </c>
      <c r="E128" s="247"/>
      <c r="F128" s="276">
        <v>3.2500000000000001E-2</v>
      </c>
      <c r="G128" s="246">
        <f t="shared" si="35"/>
        <v>118.16</v>
      </c>
      <c r="I128" s="241"/>
      <c r="J128" s="241"/>
      <c r="K128" s="241"/>
      <c r="L128" s="263">
        <f t="shared" si="36"/>
        <v>116.6</v>
      </c>
      <c r="M128" s="263">
        <f t="shared" si="37"/>
        <v>1.5600000000000023</v>
      </c>
      <c r="N128" s="263"/>
      <c r="O128" s="263"/>
      <c r="P128" s="263"/>
      <c r="Q128" s="245">
        <f t="shared" si="33"/>
        <v>332.34249999999997</v>
      </c>
      <c r="R128" s="263">
        <f t="shared" si="38"/>
        <v>43854.985000000059</v>
      </c>
      <c r="S128" s="241"/>
      <c r="T128" s="241"/>
      <c r="V128" s="228"/>
      <c r="W128" s="228">
        <f t="shared" si="39"/>
        <v>43167.440000000061</v>
      </c>
      <c r="X128" s="263">
        <f t="shared" ref="X128:X136" si="40">+R128-W128</f>
        <v>687.54499999999825</v>
      </c>
    </row>
    <row r="129" spans="1:25" hidden="1" x14ac:dyDescent="0.2">
      <c r="A129" s="231">
        <f t="shared" si="14"/>
        <v>90</v>
      </c>
      <c r="B129" s="226">
        <f>B128+31</f>
        <v>42454</v>
      </c>
      <c r="C129" s="247"/>
      <c r="D129" s="260">
        <v>9195.48</v>
      </c>
      <c r="E129" s="247"/>
      <c r="F129" s="276">
        <v>3.2500000000000001E-2</v>
      </c>
      <c r="G129" s="246">
        <f t="shared" si="35"/>
        <v>131.22999999999999</v>
      </c>
      <c r="I129" s="241"/>
      <c r="J129" s="241"/>
      <c r="K129" s="241"/>
      <c r="L129" s="263">
        <f t="shared" si="36"/>
        <v>116.91</v>
      </c>
      <c r="M129" s="263">
        <f t="shared" si="37"/>
        <v>14.319999999999993</v>
      </c>
      <c r="N129" s="263"/>
      <c r="O129" s="263"/>
      <c r="P129" s="263"/>
      <c r="Q129" s="245">
        <f t="shared" si="33"/>
        <v>9326.7424999999985</v>
      </c>
      <c r="R129" s="263">
        <f t="shared" si="38"/>
        <v>53181.727500000059</v>
      </c>
      <c r="S129" s="241"/>
      <c r="T129" s="241"/>
      <c r="V129" s="228"/>
      <c r="W129" s="228">
        <f t="shared" si="39"/>
        <v>43284.350000000064</v>
      </c>
      <c r="X129" s="263">
        <f t="shared" si="40"/>
        <v>9897.3774999999951</v>
      </c>
    </row>
    <row r="130" spans="1:25" hidden="1" x14ac:dyDescent="0.2">
      <c r="A130" s="231">
        <f t="shared" si="14"/>
        <v>91</v>
      </c>
      <c r="B130" s="226">
        <f>B129+30</f>
        <v>42484</v>
      </c>
      <c r="C130" s="247"/>
      <c r="D130" s="260">
        <v>1061.8900000000001</v>
      </c>
      <c r="E130" s="247"/>
      <c r="F130" s="276">
        <v>3.4599999999999999E-2</v>
      </c>
      <c r="G130" s="246">
        <f t="shared" si="35"/>
        <v>154.87</v>
      </c>
      <c r="I130" s="241"/>
      <c r="J130" s="241"/>
      <c r="K130" s="241"/>
      <c r="L130" s="263">
        <f t="shared" si="36"/>
        <v>124.8</v>
      </c>
      <c r="M130" s="263">
        <f t="shared" si="37"/>
        <v>30.070000000000007</v>
      </c>
      <c r="N130" s="263"/>
      <c r="O130" s="263"/>
      <c r="P130" s="263"/>
      <c r="Q130" s="245">
        <f t="shared" si="33"/>
        <v>1216.7946000000002</v>
      </c>
      <c r="R130" s="263">
        <f t="shared" si="38"/>
        <v>54398.52210000006</v>
      </c>
      <c r="S130" s="241"/>
      <c r="T130" s="241"/>
      <c r="V130" s="228"/>
      <c r="W130" s="228">
        <f t="shared" si="39"/>
        <v>43409.150000000067</v>
      </c>
      <c r="X130" s="263">
        <f t="shared" si="40"/>
        <v>10989.372099999993</v>
      </c>
    </row>
    <row r="131" spans="1:25" hidden="1" x14ac:dyDescent="0.2">
      <c r="A131" s="231">
        <f t="shared" si="14"/>
        <v>92</v>
      </c>
      <c r="B131" s="226">
        <f>B130+31</f>
        <v>42515</v>
      </c>
      <c r="C131" s="247"/>
      <c r="D131" s="260">
        <v>22054.959999999999</v>
      </c>
      <c r="E131" s="247"/>
      <c r="F131" s="276">
        <v>3.4599999999999999E-2</v>
      </c>
      <c r="G131" s="246">
        <f t="shared" si="35"/>
        <v>188.64</v>
      </c>
      <c r="I131" s="241"/>
      <c r="J131" s="241"/>
      <c r="K131" s="241"/>
      <c r="L131" s="263">
        <f t="shared" si="36"/>
        <v>125.16</v>
      </c>
      <c r="M131" s="263">
        <f t="shared" si="37"/>
        <v>63.47999999999999</v>
      </c>
      <c r="N131" s="263"/>
      <c r="O131" s="263"/>
      <c r="P131" s="263"/>
      <c r="Q131" s="245">
        <f t="shared" si="33"/>
        <v>22243.634599999998</v>
      </c>
      <c r="R131" s="263">
        <f t="shared" si="38"/>
        <v>76642.15670000005</v>
      </c>
      <c r="S131" s="241"/>
      <c r="T131" s="241"/>
      <c r="V131" s="228"/>
      <c r="W131" s="228">
        <f t="shared" si="39"/>
        <v>43534.31000000007</v>
      </c>
      <c r="X131" s="263">
        <f t="shared" si="40"/>
        <v>33107.84669999998</v>
      </c>
    </row>
    <row r="132" spans="1:25" hidden="1" x14ac:dyDescent="0.2">
      <c r="A132" s="231">
        <f t="shared" si="14"/>
        <v>93</v>
      </c>
      <c r="B132" s="226">
        <f>B131+30</f>
        <v>42545</v>
      </c>
      <c r="C132" s="247"/>
      <c r="D132" s="260">
        <v>6464.25</v>
      </c>
      <c r="E132" s="247"/>
      <c r="F132" s="276">
        <v>3.4599999999999999E-2</v>
      </c>
      <c r="G132" s="246">
        <f t="shared" si="35"/>
        <v>230.3</v>
      </c>
      <c r="I132" s="241"/>
      <c r="J132" s="241"/>
      <c r="K132" s="241"/>
      <c r="L132" s="263">
        <f t="shared" si="36"/>
        <v>125.52</v>
      </c>
      <c r="M132" s="263">
        <f t="shared" si="37"/>
        <v>104.78000000000002</v>
      </c>
      <c r="N132" s="263"/>
      <c r="O132" s="263"/>
      <c r="P132" s="263"/>
      <c r="Q132" s="245">
        <f t="shared" si="33"/>
        <v>6694.5846000000001</v>
      </c>
      <c r="R132" s="263">
        <f t="shared" si="38"/>
        <v>83336.741300000052</v>
      </c>
      <c r="S132" s="241"/>
      <c r="T132" s="241"/>
      <c r="V132" s="228"/>
      <c r="W132" s="228">
        <f t="shared" si="39"/>
        <v>43659.830000000067</v>
      </c>
      <c r="X132" s="263">
        <f t="shared" si="40"/>
        <v>39676.911299999985</v>
      </c>
    </row>
    <row r="133" spans="1:25" s="230" customFormat="1" hidden="1" x14ac:dyDescent="0.2">
      <c r="A133" s="281">
        <f t="shared" si="14"/>
        <v>94</v>
      </c>
      <c r="B133" s="230">
        <f>B132+31</f>
        <v>42576</v>
      </c>
      <c r="C133" s="270"/>
      <c r="D133" s="260">
        <v>88.49</v>
      </c>
      <c r="E133" s="270"/>
      <c r="F133" s="272">
        <v>3.5000000000000003E-2</v>
      </c>
      <c r="G133" s="273">
        <f t="shared" si="35"/>
        <v>243.19</v>
      </c>
      <c r="I133" s="263"/>
      <c r="J133" s="263"/>
      <c r="K133" s="263"/>
      <c r="L133" s="263">
        <f t="shared" si="36"/>
        <v>127.34</v>
      </c>
      <c r="M133" s="263">
        <f t="shared" si="37"/>
        <v>115.85</v>
      </c>
      <c r="N133" s="263"/>
      <c r="O133" s="263"/>
      <c r="P133" s="263"/>
      <c r="Q133" s="274">
        <f t="shared" si="33"/>
        <v>331.71499999999997</v>
      </c>
      <c r="R133" s="263">
        <f t="shared" si="38"/>
        <v>83668.456300000049</v>
      </c>
      <c r="S133" s="263"/>
      <c r="T133" s="263"/>
      <c r="V133" s="275"/>
      <c r="W133" s="228">
        <f t="shared" si="39"/>
        <v>43787.170000000064</v>
      </c>
      <c r="X133" s="263">
        <f t="shared" si="40"/>
        <v>39881.286299999985</v>
      </c>
    </row>
    <row r="134" spans="1:25" hidden="1" x14ac:dyDescent="0.2">
      <c r="A134" s="231">
        <f t="shared" si="14"/>
        <v>95</v>
      </c>
      <c r="B134" s="226">
        <f>B133+31</f>
        <v>42607</v>
      </c>
      <c r="C134" s="247"/>
      <c r="D134" s="260">
        <v>32534.89</v>
      </c>
      <c r="E134" s="247"/>
      <c r="F134" s="276">
        <f>F133</f>
        <v>3.5000000000000003E-2</v>
      </c>
      <c r="G134" s="246">
        <f t="shared" si="35"/>
        <v>291.48</v>
      </c>
      <c r="I134" s="241"/>
      <c r="J134" s="241"/>
      <c r="K134" s="241"/>
      <c r="L134" s="263">
        <f t="shared" si="36"/>
        <v>127.71</v>
      </c>
      <c r="M134" s="263">
        <f t="shared" si="37"/>
        <v>163.77000000000004</v>
      </c>
      <c r="N134" s="263"/>
      <c r="O134" s="263"/>
      <c r="P134" s="263"/>
      <c r="Q134" s="245">
        <f t="shared" si="33"/>
        <v>32826.404999999999</v>
      </c>
      <c r="R134" s="263">
        <f t="shared" si="38"/>
        <v>116494.86130000005</v>
      </c>
      <c r="S134" s="241"/>
      <c r="T134" s="241"/>
      <c r="V134" s="228"/>
      <c r="W134" s="228">
        <f t="shared" si="39"/>
        <v>43914.880000000063</v>
      </c>
      <c r="X134" s="263">
        <f t="shared" si="40"/>
        <v>72579.981299999985</v>
      </c>
    </row>
    <row r="135" spans="1:25" hidden="1" x14ac:dyDescent="0.2">
      <c r="A135" s="231">
        <f t="shared" si="14"/>
        <v>96</v>
      </c>
      <c r="B135" s="226">
        <f>B134+30</f>
        <v>42637</v>
      </c>
      <c r="C135" s="247"/>
      <c r="D135" s="260">
        <v>486.7</v>
      </c>
      <c r="E135" s="247"/>
      <c r="F135" s="276">
        <f>F134</f>
        <v>3.5000000000000003E-2</v>
      </c>
      <c r="G135" s="246">
        <f t="shared" si="35"/>
        <v>340.49</v>
      </c>
      <c r="I135" s="241"/>
      <c r="J135" s="241"/>
      <c r="K135" s="241"/>
      <c r="L135" s="263">
        <f t="shared" si="36"/>
        <v>128.09</v>
      </c>
      <c r="M135" s="263">
        <f t="shared" si="37"/>
        <v>212.4</v>
      </c>
      <c r="N135" s="263"/>
      <c r="O135" s="263"/>
      <c r="P135" s="263"/>
      <c r="Q135" s="245">
        <f t="shared" si="33"/>
        <v>827.22500000000002</v>
      </c>
      <c r="R135" s="263">
        <f t="shared" si="38"/>
        <v>117322.08630000005</v>
      </c>
      <c r="S135" s="241"/>
      <c r="T135" s="241"/>
      <c r="V135" s="228"/>
      <c r="W135" s="228">
        <f t="shared" si="39"/>
        <v>44042.970000000059</v>
      </c>
      <c r="X135" s="263">
        <f t="shared" si="40"/>
        <v>73279.116299999994</v>
      </c>
    </row>
    <row r="136" spans="1:25" hidden="1" x14ac:dyDescent="0.2">
      <c r="A136" s="231">
        <f t="shared" si="14"/>
        <v>97</v>
      </c>
      <c r="B136" s="226">
        <f>B135+31</f>
        <v>42668</v>
      </c>
      <c r="C136" s="247"/>
      <c r="D136" s="260">
        <v>2039.23</v>
      </c>
      <c r="E136" s="247"/>
      <c r="F136" s="276">
        <f>F135</f>
        <v>3.5000000000000003E-2</v>
      </c>
      <c r="G136" s="246">
        <f t="shared" si="35"/>
        <v>345.16</v>
      </c>
      <c r="I136" s="241"/>
      <c r="J136" s="241"/>
      <c r="K136" s="241"/>
      <c r="L136" s="263">
        <f t="shared" si="36"/>
        <v>128.46</v>
      </c>
      <c r="M136" s="263">
        <f t="shared" si="37"/>
        <v>216.70000000000002</v>
      </c>
      <c r="N136" s="263"/>
      <c r="O136" s="263"/>
      <c r="P136" s="263"/>
      <c r="Q136" s="245">
        <f t="shared" si="33"/>
        <v>2384.4250000000002</v>
      </c>
      <c r="R136" s="263">
        <f t="shared" si="38"/>
        <v>119706.51130000006</v>
      </c>
      <c r="S136" s="241"/>
      <c r="T136" s="241"/>
      <c r="V136" s="228"/>
      <c r="W136" s="228">
        <f t="shared" si="39"/>
        <v>44171.430000000058</v>
      </c>
      <c r="X136" s="263">
        <f t="shared" si="40"/>
        <v>75535.081299999991</v>
      </c>
    </row>
    <row r="137" spans="1:25" hidden="1" x14ac:dyDescent="0.2">
      <c r="A137" s="231">
        <f t="shared" ref="A137:A178" si="41">+A136+1</f>
        <v>98</v>
      </c>
      <c r="B137" s="226">
        <v>42686</v>
      </c>
      <c r="C137" s="279" t="s">
        <v>182</v>
      </c>
      <c r="D137" s="260">
        <v>29595.38</v>
      </c>
      <c r="E137" s="282">
        <f>-W136</f>
        <v>-44171.430000000058</v>
      </c>
      <c r="F137" s="276">
        <f t="shared" ref="F137:F138" si="42">F136</f>
        <v>3.5000000000000003E-2</v>
      </c>
      <c r="G137" s="246">
        <f t="shared" si="35"/>
        <v>263.47000000000003</v>
      </c>
      <c r="I137" s="241"/>
      <c r="J137" s="241"/>
      <c r="K137" s="241"/>
      <c r="L137" s="263"/>
      <c r="M137" s="263">
        <f t="shared" si="37"/>
        <v>263.47000000000003</v>
      </c>
      <c r="N137" s="263"/>
      <c r="O137" s="263"/>
      <c r="P137" s="263"/>
      <c r="Q137" s="245">
        <f>D137+E137+G137</f>
        <v>-14312.580000000058</v>
      </c>
      <c r="R137" s="263">
        <f t="shared" si="38"/>
        <v>105393.9313</v>
      </c>
      <c r="S137" s="241"/>
      <c r="T137" s="241"/>
      <c r="V137" s="228"/>
      <c r="W137" s="228"/>
      <c r="X137" s="263">
        <f>+R137-W137</f>
        <v>105393.9313</v>
      </c>
    </row>
    <row r="138" spans="1:25" ht="13.5" hidden="1" thickBot="1" x14ac:dyDescent="0.25">
      <c r="A138" s="231">
        <f t="shared" si="41"/>
        <v>99</v>
      </c>
      <c r="B138" s="226">
        <f>B137+31</f>
        <v>42717</v>
      </c>
      <c r="C138" s="247"/>
      <c r="D138" s="265">
        <v>2006.61</v>
      </c>
      <c r="E138" s="252"/>
      <c r="F138" s="280">
        <f t="shared" si="42"/>
        <v>3.5000000000000003E-2</v>
      </c>
      <c r="G138" s="256">
        <f t="shared" si="35"/>
        <v>310.33</v>
      </c>
      <c r="H138" s="252"/>
      <c r="I138" s="256"/>
      <c r="J138" s="256"/>
      <c r="K138" s="256"/>
      <c r="L138" s="256"/>
      <c r="M138" s="256">
        <f t="shared" si="37"/>
        <v>310.33</v>
      </c>
      <c r="N138" s="256"/>
      <c r="O138" s="256"/>
      <c r="P138" s="256"/>
      <c r="Q138" s="269">
        <f>D138+E138+G138</f>
        <v>2316.94</v>
      </c>
      <c r="R138" s="269">
        <f t="shared" si="38"/>
        <v>107710.8713</v>
      </c>
      <c r="S138" s="256"/>
      <c r="T138" s="256"/>
      <c r="U138" s="252"/>
      <c r="V138" s="266"/>
      <c r="W138" s="266"/>
      <c r="X138" s="269">
        <f>+R138-W138</f>
        <v>107710.8713</v>
      </c>
      <c r="Y138" s="252"/>
    </row>
    <row r="139" spans="1:25" hidden="1" x14ac:dyDescent="0.2">
      <c r="A139" s="231">
        <f t="shared" si="41"/>
        <v>100</v>
      </c>
      <c r="B139" s="226">
        <f t="shared" ref="B139:B149" si="43">B138+31</f>
        <v>42748</v>
      </c>
      <c r="C139" s="247"/>
      <c r="D139" s="260">
        <v>136.31</v>
      </c>
      <c r="E139" s="247"/>
      <c r="F139" s="276">
        <v>3.5000000000000003E-2</v>
      </c>
      <c r="G139" s="246">
        <f t="shared" si="35"/>
        <v>314.36</v>
      </c>
      <c r="I139" s="241"/>
      <c r="J139" s="241"/>
      <c r="K139" s="241"/>
      <c r="L139" s="263"/>
      <c r="M139" s="263">
        <f t="shared" ref="M139:M148" si="44">ROUND(X138*F139/12,2)</f>
        <v>314.16000000000003</v>
      </c>
      <c r="N139" s="263">
        <f>+G139-M139</f>
        <v>0.19999999999998863</v>
      </c>
      <c r="O139" s="263"/>
      <c r="P139" s="263"/>
      <c r="Q139" s="245">
        <f>D139+E139+G139</f>
        <v>450.67</v>
      </c>
      <c r="R139" s="263">
        <f t="shared" si="38"/>
        <v>108161.5413</v>
      </c>
      <c r="S139" s="241"/>
      <c r="T139" s="241"/>
      <c r="V139" s="228"/>
      <c r="W139" s="228"/>
      <c r="X139" s="228">
        <f t="shared" ref="X139:X148" si="45">+X138+M139</f>
        <v>108025.0313</v>
      </c>
      <c r="Y139" s="263">
        <f>+R139-X139</f>
        <v>136.50999999999476</v>
      </c>
    </row>
    <row r="140" spans="1:25" hidden="1" x14ac:dyDescent="0.2">
      <c r="A140" s="231">
        <f t="shared" si="41"/>
        <v>101</v>
      </c>
      <c r="B140" s="226">
        <f t="shared" si="43"/>
        <v>42779</v>
      </c>
      <c r="C140" s="247"/>
      <c r="D140" s="260">
        <v>0</v>
      </c>
      <c r="E140" s="247"/>
      <c r="F140" s="276">
        <v>3.5000000000000003E-2</v>
      </c>
      <c r="G140" s="246">
        <f t="shared" si="35"/>
        <v>315.47000000000003</v>
      </c>
      <c r="I140" s="241"/>
      <c r="J140" s="241"/>
      <c r="K140" s="241"/>
      <c r="L140" s="263"/>
      <c r="M140" s="263">
        <f t="shared" si="44"/>
        <v>315.07</v>
      </c>
      <c r="N140" s="263">
        <f t="shared" ref="N140:N150" si="46">+G140-M140</f>
        <v>0.40000000000003411</v>
      </c>
      <c r="O140" s="263"/>
      <c r="P140" s="263"/>
      <c r="Q140" s="245">
        <f t="shared" ref="Q140:Q150" si="47">D140+E140+G140</f>
        <v>315.47000000000003</v>
      </c>
      <c r="R140" s="263">
        <f t="shared" si="38"/>
        <v>108477.0113</v>
      </c>
      <c r="S140" s="241"/>
      <c r="T140" s="241"/>
      <c r="V140" s="228"/>
      <c r="W140" s="228"/>
      <c r="X140" s="228">
        <f t="shared" si="45"/>
        <v>108340.10130000001</v>
      </c>
      <c r="Y140" s="263">
        <f>+R140-X140</f>
        <v>136.90999999998894</v>
      </c>
    </row>
    <row r="141" spans="1:25" hidden="1" x14ac:dyDescent="0.2">
      <c r="A141" s="231">
        <f t="shared" si="41"/>
        <v>102</v>
      </c>
      <c r="B141" s="226">
        <f t="shared" si="43"/>
        <v>42810</v>
      </c>
      <c r="C141" s="247"/>
      <c r="D141" s="260">
        <v>638.37</v>
      </c>
      <c r="E141" s="247"/>
      <c r="F141" s="276">
        <v>3.5000000000000003E-2</v>
      </c>
      <c r="G141" s="246">
        <f t="shared" si="35"/>
        <v>317.32</v>
      </c>
      <c r="I141" s="241"/>
      <c r="J141" s="241"/>
      <c r="K141" s="241"/>
      <c r="L141" s="263"/>
      <c r="M141" s="263">
        <f t="shared" si="44"/>
        <v>315.99</v>
      </c>
      <c r="N141" s="263">
        <f t="shared" si="46"/>
        <v>1.3299999999999841</v>
      </c>
      <c r="O141" s="263"/>
      <c r="P141" s="263"/>
      <c r="Q141" s="245">
        <f t="shared" si="47"/>
        <v>955.69</v>
      </c>
      <c r="R141" s="263">
        <f t="shared" si="38"/>
        <v>109432.7013</v>
      </c>
      <c r="S141" s="241"/>
      <c r="T141" s="241"/>
      <c r="V141" s="228"/>
      <c r="W141" s="228"/>
      <c r="X141" s="228">
        <f t="shared" si="45"/>
        <v>108656.09130000001</v>
      </c>
      <c r="Y141" s="263">
        <f t="shared" ref="Y141:Y148" si="48">+R141-X141</f>
        <v>776.60999999998603</v>
      </c>
    </row>
    <row r="142" spans="1:25" hidden="1" x14ac:dyDescent="0.2">
      <c r="A142" s="231">
        <f t="shared" si="41"/>
        <v>103</v>
      </c>
      <c r="B142" s="226">
        <f t="shared" si="43"/>
        <v>42841</v>
      </c>
      <c r="C142" s="247"/>
      <c r="D142" s="260">
        <v>20221.509999999998</v>
      </c>
      <c r="E142" s="247"/>
      <c r="F142" s="276">
        <v>3.7100000000000001E-2</v>
      </c>
      <c r="G142" s="246">
        <f t="shared" si="35"/>
        <v>369.59</v>
      </c>
      <c r="I142" s="241"/>
      <c r="J142" s="241"/>
      <c r="K142" s="241"/>
      <c r="L142" s="263"/>
      <c r="M142" s="263">
        <f t="shared" si="44"/>
        <v>335.93</v>
      </c>
      <c r="N142" s="263">
        <f t="shared" si="46"/>
        <v>33.659999999999968</v>
      </c>
      <c r="O142" s="263"/>
      <c r="P142" s="263"/>
      <c r="Q142" s="245">
        <f t="shared" si="47"/>
        <v>20591.099999999999</v>
      </c>
      <c r="R142" s="263">
        <f t="shared" si="38"/>
        <v>130023.80129999999</v>
      </c>
      <c r="S142" s="241"/>
      <c r="T142" s="241"/>
      <c r="V142" s="228"/>
      <c r="W142" s="228"/>
      <c r="X142" s="228">
        <f t="shared" si="45"/>
        <v>108992.02130000001</v>
      </c>
      <c r="Y142" s="263">
        <f t="shared" si="48"/>
        <v>21031.779999999984</v>
      </c>
    </row>
    <row r="143" spans="1:25" hidden="1" x14ac:dyDescent="0.2">
      <c r="A143" s="231">
        <f t="shared" si="41"/>
        <v>104</v>
      </c>
      <c r="B143" s="226">
        <f t="shared" si="43"/>
        <v>42872</v>
      </c>
      <c r="C143" s="247"/>
      <c r="D143" s="260">
        <v>457.3</v>
      </c>
      <c r="E143" s="247"/>
      <c r="F143" s="276">
        <v>3.7100000000000001E-2</v>
      </c>
      <c r="G143" s="246">
        <f t="shared" si="35"/>
        <v>402.7</v>
      </c>
      <c r="I143" s="241"/>
      <c r="J143" s="241"/>
      <c r="K143" s="241"/>
      <c r="L143" s="263"/>
      <c r="M143" s="263">
        <f t="shared" si="44"/>
        <v>336.97</v>
      </c>
      <c r="N143" s="263">
        <f t="shared" si="46"/>
        <v>65.729999999999961</v>
      </c>
      <c r="O143" s="263"/>
      <c r="P143" s="263"/>
      <c r="Q143" s="245">
        <f t="shared" si="47"/>
        <v>860</v>
      </c>
      <c r="R143" s="263">
        <f t="shared" si="38"/>
        <v>130883.80129999999</v>
      </c>
      <c r="S143" s="241"/>
      <c r="T143" s="241"/>
      <c r="V143" s="228"/>
      <c r="W143" s="228"/>
      <c r="X143" s="228">
        <f t="shared" si="45"/>
        <v>109328.99130000001</v>
      </c>
      <c r="Y143" s="263">
        <f t="shared" si="48"/>
        <v>21554.809999999983</v>
      </c>
    </row>
    <row r="144" spans="1:25" hidden="1" x14ac:dyDescent="0.2">
      <c r="A144" s="231">
        <f t="shared" si="41"/>
        <v>105</v>
      </c>
      <c r="B144" s="226">
        <f t="shared" si="43"/>
        <v>42903</v>
      </c>
      <c r="C144" s="247"/>
      <c r="D144" s="260">
        <v>30.65</v>
      </c>
      <c r="E144" s="247"/>
      <c r="F144" s="276">
        <v>3.7100000000000001E-2</v>
      </c>
      <c r="G144" s="246">
        <f t="shared" si="35"/>
        <v>404.7</v>
      </c>
      <c r="I144" s="241"/>
      <c r="J144" s="241"/>
      <c r="K144" s="241"/>
      <c r="L144" s="263"/>
      <c r="M144" s="263">
        <f t="shared" si="44"/>
        <v>338.01</v>
      </c>
      <c r="N144" s="263">
        <f t="shared" si="46"/>
        <v>66.69</v>
      </c>
      <c r="O144" s="263"/>
      <c r="P144" s="263"/>
      <c r="Q144" s="245">
        <f t="shared" si="47"/>
        <v>435.34999999999997</v>
      </c>
      <c r="R144" s="263">
        <f t="shared" si="38"/>
        <v>131319.1513</v>
      </c>
      <c r="S144" s="241"/>
      <c r="T144" s="241"/>
      <c r="V144" s="228"/>
      <c r="W144" s="228"/>
      <c r="X144" s="228">
        <f t="shared" si="45"/>
        <v>109667.0013</v>
      </c>
      <c r="Y144" s="263">
        <f t="shared" si="48"/>
        <v>21652.149999999994</v>
      </c>
    </row>
    <row r="145" spans="1:27" hidden="1" x14ac:dyDescent="0.2">
      <c r="A145" s="231">
        <f t="shared" si="41"/>
        <v>106</v>
      </c>
      <c r="B145" s="226">
        <f t="shared" si="43"/>
        <v>42934</v>
      </c>
      <c r="C145" s="283" t="s">
        <v>183</v>
      </c>
      <c r="D145" s="260">
        <v>138.77000000000001</v>
      </c>
      <c r="E145" s="284">
        <v>-1.2</v>
      </c>
      <c r="F145" s="276">
        <v>3.9600000000000003E-2</v>
      </c>
      <c r="G145" s="246">
        <f t="shared" si="35"/>
        <v>433.58</v>
      </c>
      <c r="I145" s="241"/>
      <c r="J145" s="241"/>
      <c r="K145" s="241"/>
      <c r="L145" s="263"/>
      <c r="M145" s="263">
        <f t="shared" si="44"/>
        <v>361.9</v>
      </c>
      <c r="N145" s="263">
        <f t="shared" si="46"/>
        <v>71.680000000000007</v>
      </c>
      <c r="O145" s="263"/>
      <c r="P145" s="263"/>
      <c r="Q145" s="245">
        <f t="shared" si="47"/>
        <v>571.15</v>
      </c>
      <c r="R145" s="263">
        <f t="shared" si="38"/>
        <v>131890.30129999999</v>
      </c>
      <c r="S145" s="241"/>
      <c r="T145" s="241"/>
      <c r="V145" s="228"/>
      <c r="W145" s="228"/>
      <c r="X145" s="228">
        <f t="shared" si="45"/>
        <v>110028.9013</v>
      </c>
      <c r="Y145" s="263">
        <f t="shared" si="48"/>
        <v>21861.399999999994</v>
      </c>
    </row>
    <row r="146" spans="1:27" hidden="1" x14ac:dyDescent="0.2">
      <c r="A146" s="231">
        <f t="shared" si="41"/>
        <v>107</v>
      </c>
      <c r="B146" s="226">
        <f t="shared" si="43"/>
        <v>42965</v>
      </c>
      <c r="C146" s="247"/>
      <c r="D146" s="260">
        <v>46637.86</v>
      </c>
      <c r="E146" s="247"/>
      <c r="F146" s="276">
        <v>3.9600000000000003E-2</v>
      </c>
      <c r="G146" s="246">
        <f t="shared" si="35"/>
        <v>512.19000000000005</v>
      </c>
      <c r="I146" s="241"/>
      <c r="J146" s="241"/>
      <c r="K146" s="241"/>
      <c r="L146" s="263"/>
      <c r="M146" s="263">
        <f t="shared" si="44"/>
        <v>363.1</v>
      </c>
      <c r="N146" s="263">
        <f t="shared" si="46"/>
        <v>149.09000000000003</v>
      </c>
      <c r="O146" s="263"/>
      <c r="P146" s="263"/>
      <c r="Q146" s="245">
        <f t="shared" si="47"/>
        <v>47150.05</v>
      </c>
      <c r="R146" s="263">
        <f t="shared" si="38"/>
        <v>179040.35129999998</v>
      </c>
      <c r="S146" s="241"/>
      <c r="T146" s="241"/>
      <c r="V146" s="228"/>
      <c r="W146" s="228"/>
      <c r="X146" s="228">
        <f t="shared" si="45"/>
        <v>110392.0013</v>
      </c>
      <c r="Y146" s="263">
        <f t="shared" si="48"/>
        <v>68648.349999999977</v>
      </c>
    </row>
    <row r="147" spans="1:27" hidden="1" x14ac:dyDescent="0.2">
      <c r="A147" s="231">
        <f t="shared" si="41"/>
        <v>108</v>
      </c>
      <c r="B147" s="226">
        <f t="shared" si="43"/>
        <v>42996</v>
      </c>
      <c r="C147" s="247"/>
      <c r="D147" s="260">
        <v>144.91</v>
      </c>
      <c r="E147" s="247"/>
      <c r="F147" s="276">
        <v>3.9600000000000003E-2</v>
      </c>
      <c r="G147" s="246">
        <f t="shared" si="35"/>
        <v>591.07000000000005</v>
      </c>
      <c r="I147" s="241"/>
      <c r="J147" s="241"/>
      <c r="K147" s="241"/>
      <c r="L147" s="263"/>
      <c r="M147" s="263">
        <f t="shared" si="44"/>
        <v>364.29</v>
      </c>
      <c r="N147" s="263">
        <f t="shared" si="46"/>
        <v>226.78000000000003</v>
      </c>
      <c r="O147" s="263"/>
      <c r="P147" s="263"/>
      <c r="Q147" s="245">
        <f t="shared" si="47"/>
        <v>735.98</v>
      </c>
      <c r="R147" s="263">
        <f t="shared" si="38"/>
        <v>179776.33129999999</v>
      </c>
      <c r="S147" s="241"/>
      <c r="T147" s="241"/>
      <c r="V147" s="228"/>
      <c r="W147" s="228"/>
      <c r="X147" s="228">
        <f t="shared" si="45"/>
        <v>110756.2913</v>
      </c>
      <c r="Y147" s="263">
        <f t="shared" si="48"/>
        <v>69020.039999999994</v>
      </c>
    </row>
    <row r="148" spans="1:27" hidden="1" x14ac:dyDescent="0.2">
      <c r="A148" s="231">
        <f t="shared" si="41"/>
        <v>109</v>
      </c>
      <c r="B148" s="226">
        <f t="shared" si="43"/>
        <v>43027</v>
      </c>
      <c r="C148" s="247"/>
      <c r="D148" s="260">
        <v>73.56</v>
      </c>
      <c r="E148" s="247"/>
      <c r="F148" s="276">
        <v>4.2099999999999999E-2</v>
      </c>
      <c r="G148" s="246">
        <f t="shared" si="35"/>
        <v>630.84</v>
      </c>
      <c r="I148" s="241"/>
      <c r="J148" s="241"/>
      <c r="K148" s="241"/>
      <c r="L148" s="263"/>
      <c r="M148" s="263">
        <f t="shared" si="44"/>
        <v>388.57</v>
      </c>
      <c r="N148" s="263">
        <f t="shared" si="46"/>
        <v>242.27000000000004</v>
      </c>
      <c r="O148" s="263"/>
      <c r="P148" s="263"/>
      <c r="Q148" s="245">
        <f t="shared" si="47"/>
        <v>704.40000000000009</v>
      </c>
      <c r="R148" s="263">
        <f t="shared" si="38"/>
        <v>180480.73129999998</v>
      </c>
      <c r="S148" s="241"/>
      <c r="T148" s="241"/>
      <c r="V148" s="228"/>
      <c r="W148" s="228"/>
      <c r="X148" s="228">
        <f t="shared" si="45"/>
        <v>111144.8613</v>
      </c>
      <c r="Y148" s="263">
        <f t="shared" si="48"/>
        <v>69335.869999999981</v>
      </c>
    </row>
    <row r="149" spans="1:27" hidden="1" x14ac:dyDescent="0.2">
      <c r="A149" s="231">
        <f t="shared" si="41"/>
        <v>110</v>
      </c>
      <c r="B149" s="226">
        <f t="shared" si="43"/>
        <v>43058</v>
      </c>
      <c r="C149" s="279" t="s">
        <v>182</v>
      </c>
      <c r="D149" s="260">
        <v>12959.14</v>
      </c>
      <c r="E149" s="284">
        <v>-111121.79</v>
      </c>
      <c r="F149" s="276">
        <v>4.2099999999999999E-2</v>
      </c>
      <c r="G149" s="246">
        <f t="shared" si="35"/>
        <v>266.07</v>
      </c>
      <c r="I149" s="241"/>
      <c r="J149" s="241"/>
      <c r="K149" s="241"/>
      <c r="L149" s="263"/>
      <c r="M149" s="263"/>
      <c r="N149" s="263">
        <f t="shared" si="46"/>
        <v>266.07</v>
      </c>
      <c r="O149" s="263"/>
      <c r="P149" s="263"/>
      <c r="Q149" s="245">
        <f t="shared" si="47"/>
        <v>-97896.579999999987</v>
      </c>
      <c r="R149" s="263">
        <f t="shared" si="38"/>
        <v>82584.151299999998</v>
      </c>
      <c r="S149" s="241"/>
      <c r="T149" s="241"/>
      <c r="V149" s="228"/>
      <c r="W149" s="228"/>
      <c r="X149" s="228"/>
      <c r="Y149" s="263">
        <f>+R149-X149</f>
        <v>82584.151299999998</v>
      </c>
    </row>
    <row r="150" spans="1:27" hidden="1" x14ac:dyDescent="0.2">
      <c r="A150" s="231">
        <f t="shared" si="41"/>
        <v>111</v>
      </c>
      <c r="B150" s="285">
        <f>B149+31</f>
        <v>43089</v>
      </c>
      <c r="C150" s="285"/>
      <c r="D150" s="286">
        <v>12.26</v>
      </c>
      <c r="E150" s="285"/>
      <c r="F150" s="287">
        <v>4.2099999999999999E-2</v>
      </c>
      <c r="G150" s="288">
        <f t="shared" si="35"/>
        <v>289.75</v>
      </c>
      <c r="H150" s="285"/>
      <c r="I150" s="288"/>
      <c r="J150" s="288"/>
      <c r="K150" s="288"/>
      <c r="L150" s="288"/>
      <c r="M150" s="288"/>
      <c r="N150" s="288">
        <f t="shared" si="46"/>
        <v>289.75</v>
      </c>
      <c r="O150" s="288"/>
      <c r="P150" s="288"/>
      <c r="Q150" s="289">
        <f t="shared" si="47"/>
        <v>302.01</v>
      </c>
      <c r="R150" s="289">
        <f t="shared" si="38"/>
        <v>82886.161299999992</v>
      </c>
      <c r="S150" s="288"/>
      <c r="T150" s="288"/>
      <c r="U150" s="285"/>
      <c r="V150" s="290"/>
      <c r="W150" s="290"/>
      <c r="X150" s="289"/>
      <c r="Y150" s="289">
        <f>+R150-X150</f>
        <v>82886.161299999992</v>
      </c>
      <c r="Z150" s="285"/>
      <c r="AA150" s="285"/>
    </row>
    <row r="151" spans="1:27" x14ac:dyDescent="0.2">
      <c r="A151" s="231">
        <f t="shared" si="41"/>
        <v>112</v>
      </c>
      <c r="B151" s="291">
        <v>43101</v>
      </c>
      <c r="C151" s="247"/>
      <c r="D151" s="302">
        <v>30930.32</v>
      </c>
      <c r="E151" s="247"/>
      <c r="F151" s="276">
        <v>4.2500000000000003E-2</v>
      </c>
      <c r="G151" s="246">
        <v>348.33</v>
      </c>
      <c r="I151" s="241"/>
      <c r="J151" s="241"/>
      <c r="K151" s="241"/>
      <c r="L151" s="263"/>
      <c r="M151" s="263"/>
      <c r="N151" s="263">
        <v>293.56</v>
      </c>
      <c r="O151" s="263">
        <v>54.769999999999982</v>
      </c>
      <c r="P151" s="263"/>
      <c r="Q151" s="245">
        <v>31278.65</v>
      </c>
      <c r="R151" s="263">
        <v>114164.8113</v>
      </c>
      <c r="S151" s="241"/>
      <c r="T151" s="241"/>
      <c r="V151" s="228"/>
      <c r="W151" s="228"/>
      <c r="X151" s="228"/>
      <c r="Y151" s="263">
        <v>83179.72129999999</v>
      </c>
      <c r="Z151" s="263">
        <v>30985.090000000011</v>
      </c>
    </row>
    <row r="152" spans="1:27" x14ac:dyDescent="0.2">
      <c r="A152" s="231">
        <f t="shared" si="41"/>
        <v>113</v>
      </c>
      <c r="B152" s="291">
        <v>43132</v>
      </c>
      <c r="C152" s="247"/>
      <c r="D152" s="302">
        <v>8588.34</v>
      </c>
      <c r="E152" s="247"/>
      <c r="F152" s="276">
        <v>4.2500000000000003E-2</v>
      </c>
      <c r="G152" s="246">
        <v>419.54</v>
      </c>
      <c r="I152" s="241"/>
      <c r="J152" s="241"/>
      <c r="K152" s="241"/>
      <c r="L152" s="263"/>
      <c r="M152" s="263"/>
      <c r="N152" s="263">
        <v>294.58999999999997</v>
      </c>
      <c r="O152" s="263">
        <v>124.95000000000005</v>
      </c>
      <c r="P152" s="263"/>
      <c r="Q152" s="245">
        <v>9007.880000000001</v>
      </c>
      <c r="R152" s="263">
        <v>123172.69130000001</v>
      </c>
      <c r="S152" s="241"/>
      <c r="T152" s="241"/>
      <c r="V152" s="228"/>
      <c r="W152" s="228"/>
      <c r="X152" s="228"/>
      <c r="Y152" s="263">
        <v>83474.311299999987</v>
      </c>
      <c r="Z152" s="263">
        <v>39698.380000000019</v>
      </c>
    </row>
    <row r="153" spans="1:27" x14ac:dyDescent="0.2">
      <c r="A153" s="231">
        <f t="shared" si="41"/>
        <v>114</v>
      </c>
      <c r="B153" s="291">
        <v>43160</v>
      </c>
      <c r="C153" s="247"/>
      <c r="D153" s="302">
        <v>55.39</v>
      </c>
      <c r="E153" s="247"/>
      <c r="F153" s="276">
        <v>4.2500000000000003E-2</v>
      </c>
      <c r="G153" s="246">
        <v>436.33</v>
      </c>
      <c r="I153" s="241"/>
      <c r="J153" s="241"/>
      <c r="K153" s="241"/>
      <c r="L153" s="263"/>
      <c r="M153" s="263"/>
      <c r="N153" s="263">
        <v>295.64</v>
      </c>
      <c r="O153" s="263">
        <v>140.69</v>
      </c>
      <c r="P153" s="263"/>
      <c r="Q153" s="245">
        <v>491.71999999999997</v>
      </c>
      <c r="R153" s="263">
        <v>123664.41130000001</v>
      </c>
      <c r="S153" s="241"/>
      <c r="T153" s="241"/>
      <c r="V153" s="228"/>
      <c r="W153" s="228"/>
      <c r="X153" s="228"/>
      <c r="Y153" s="263">
        <v>83769.951299999986</v>
      </c>
      <c r="Z153" s="263">
        <v>39894.460000000021</v>
      </c>
    </row>
    <row r="154" spans="1:27" x14ac:dyDescent="0.2">
      <c r="A154" s="231">
        <f t="shared" si="41"/>
        <v>115</v>
      </c>
      <c r="B154" s="291">
        <v>43191</v>
      </c>
      <c r="C154" s="247"/>
      <c r="D154" s="302">
        <v>42.91</v>
      </c>
      <c r="E154" s="247"/>
      <c r="F154" s="276">
        <v>4.4699999999999997E-2</v>
      </c>
      <c r="G154" s="246">
        <v>460.73</v>
      </c>
      <c r="I154" s="241"/>
      <c r="J154" s="241"/>
      <c r="K154" s="241"/>
      <c r="L154" s="263"/>
      <c r="M154" s="263"/>
      <c r="N154" s="263">
        <v>312.04000000000002</v>
      </c>
      <c r="O154" s="263">
        <v>148.69</v>
      </c>
      <c r="P154" s="263"/>
      <c r="Q154" s="245">
        <v>503.64</v>
      </c>
      <c r="R154" s="263">
        <v>124168.05130000001</v>
      </c>
      <c r="S154" s="241"/>
      <c r="T154" s="241"/>
      <c r="V154" s="228"/>
      <c r="W154" s="228"/>
      <c r="X154" s="228"/>
      <c r="Y154" s="263">
        <v>84081.99129999998</v>
      </c>
      <c r="Z154" s="263">
        <v>40086.060000000027</v>
      </c>
    </row>
    <row r="155" spans="1:27" x14ac:dyDescent="0.2">
      <c r="A155" s="231">
        <f t="shared" si="41"/>
        <v>116</v>
      </c>
      <c r="B155" s="291">
        <v>43221</v>
      </c>
      <c r="C155" s="247"/>
      <c r="D155" s="302">
        <v>12.26</v>
      </c>
      <c r="E155" s="247"/>
      <c r="F155" s="276">
        <v>4.4699999999999997E-2</v>
      </c>
      <c r="G155" s="246">
        <v>462.55</v>
      </c>
      <c r="I155" s="241"/>
      <c r="J155" s="241"/>
      <c r="K155" s="241"/>
      <c r="L155" s="263"/>
      <c r="M155" s="263"/>
      <c r="N155" s="263">
        <v>313.20999999999998</v>
      </c>
      <c r="O155" s="263">
        <v>149.34000000000003</v>
      </c>
      <c r="P155" s="263"/>
      <c r="Q155" s="245">
        <v>474.81</v>
      </c>
      <c r="R155" s="263">
        <v>124642.8613</v>
      </c>
      <c r="S155" s="241"/>
      <c r="T155" s="241"/>
      <c r="V155" s="228"/>
      <c r="W155" s="228"/>
      <c r="X155" s="228"/>
      <c r="Y155" s="263">
        <v>84395.201299999986</v>
      </c>
      <c r="Z155" s="263">
        <v>40247.660000000018</v>
      </c>
    </row>
    <row r="156" spans="1:27" x14ac:dyDescent="0.2">
      <c r="A156" s="231">
        <f t="shared" si="41"/>
        <v>117</v>
      </c>
      <c r="B156" s="291">
        <v>43252</v>
      </c>
      <c r="C156" s="247"/>
      <c r="D156" s="302">
        <v>0</v>
      </c>
      <c r="E156" s="247"/>
      <c r="F156" s="276">
        <v>4.4699999999999997E-2</v>
      </c>
      <c r="G156" s="246">
        <v>464.29</v>
      </c>
      <c r="I156" s="241"/>
      <c r="J156" s="241"/>
      <c r="K156" s="241"/>
      <c r="L156" s="263"/>
      <c r="M156" s="263"/>
      <c r="N156" s="263">
        <v>314.37</v>
      </c>
      <c r="O156" s="263">
        <v>149.92000000000002</v>
      </c>
      <c r="P156" s="263"/>
      <c r="Q156" s="245">
        <v>464.29</v>
      </c>
      <c r="R156" s="263">
        <v>125107.1513</v>
      </c>
      <c r="S156" s="241"/>
      <c r="T156" s="241"/>
      <c r="V156" s="228"/>
      <c r="W156" s="228"/>
      <c r="X156" s="228"/>
      <c r="Y156" s="263">
        <v>84709.571299999981</v>
      </c>
      <c r="Z156" s="263">
        <v>40397.580000000016</v>
      </c>
    </row>
    <row r="157" spans="1:27" x14ac:dyDescent="0.2">
      <c r="A157" s="231">
        <f t="shared" si="41"/>
        <v>118</v>
      </c>
      <c r="B157" s="291">
        <v>43282</v>
      </c>
      <c r="C157" s="247"/>
      <c r="D157" s="302">
        <v>0</v>
      </c>
      <c r="E157" s="247"/>
      <c r="F157" s="276">
        <v>4.6899999999999997E-2</v>
      </c>
      <c r="G157" s="246">
        <v>488.96</v>
      </c>
      <c r="I157" s="241"/>
      <c r="J157" s="241"/>
      <c r="K157" s="241"/>
      <c r="L157" s="263"/>
      <c r="M157" s="263"/>
      <c r="N157" s="263">
        <v>331.07</v>
      </c>
      <c r="O157" s="263">
        <v>157.88999999999999</v>
      </c>
      <c r="P157" s="263"/>
      <c r="Q157" s="245">
        <v>488.96</v>
      </c>
      <c r="R157" s="263">
        <v>125596.1113</v>
      </c>
      <c r="S157" s="241"/>
      <c r="T157" s="241"/>
      <c r="V157" s="228"/>
      <c r="W157" s="228"/>
      <c r="X157" s="228"/>
      <c r="Y157" s="263">
        <v>85040.641299999988</v>
      </c>
      <c r="Z157" s="263">
        <v>40555.470000000016</v>
      </c>
    </row>
    <row r="158" spans="1:27" x14ac:dyDescent="0.2">
      <c r="A158" s="231">
        <f t="shared" si="41"/>
        <v>119</v>
      </c>
      <c r="B158" s="291">
        <v>43313</v>
      </c>
      <c r="C158" s="283" t="s">
        <v>183</v>
      </c>
      <c r="D158" s="302">
        <v>196.33</v>
      </c>
      <c r="E158" s="284">
        <v>0.91</v>
      </c>
      <c r="F158" s="276">
        <v>4.6899999999999997E-2</v>
      </c>
      <c r="G158" s="246">
        <v>491.26</v>
      </c>
      <c r="I158" s="241"/>
      <c r="J158" s="241"/>
      <c r="K158" s="241"/>
      <c r="L158" s="263"/>
      <c r="M158" s="263"/>
      <c r="N158" s="263">
        <v>332.37</v>
      </c>
      <c r="O158" s="263">
        <v>158.88999999999999</v>
      </c>
      <c r="P158" s="263"/>
      <c r="Q158" s="245">
        <v>688.5</v>
      </c>
      <c r="R158" s="263">
        <v>126284.6113</v>
      </c>
      <c r="S158" s="241"/>
      <c r="T158" s="241"/>
      <c r="V158" s="228"/>
      <c r="W158" s="228"/>
      <c r="X158" s="228"/>
      <c r="Y158" s="263">
        <v>85373.011299999984</v>
      </c>
      <c r="Z158" s="263">
        <v>40911.60000000002</v>
      </c>
    </row>
    <row r="159" spans="1:27" x14ac:dyDescent="0.2">
      <c r="A159" s="231">
        <f t="shared" si="41"/>
        <v>120</v>
      </c>
      <c r="B159" s="291">
        <v>43344</v>
      </c>
      <c r="C159" s="247"/>
      <c r="D159" s="302">
        <v>16420.669999999998</v>
      </c>
      <c r="E159" s="247"/>
      <c r="F159" s="276">
        <v>4.6899999999999997E-2</v>
      </c>
      <c r="G159" s="246">
        <v>525.65</v>
      </c>
      <c r="I159" s="241"/>
      <c r="J159" s="241"/>
      <c r="K159" s="241"/>
      <c r="L159" s="263"/>
      <c r="M159" s="263"/>
      <c r="N159" s="263">
        <v>333.67</v>
      </c>
      <c r="O159" s="263">
        <v>191.97999999999996</v>
      </c>
      <c r="P159" s="263"/>
      <c r="Q159" s="245">
        <v>16946.32</v>
      </c>
      <c r="R159" s="263">
        <v>143230.9313</v>
      </c>
      <c r="S159" s="241"/>
      <c r="T159" s="241"/>
      <c r="V159" s="228"/>
      <c r="W159" s="228"/>
      <c r="X159" s="228"/>
      <c r="Y159" s="263">
        <v>85706.681299999982</v>
      </c>
      <c r="Z159" s="263">
        <v>57524.250000000015</v>
      </c>
    </row>
    <row r="160" spans="1:27" x14ac:dyDescent="0.2">
      <c r="A160" s="231">
        <f t="shared" si="41"/>
        <v>121</v>
      </c>
      <c r="B160" s="291">
        <v>43374</v>
      </c>
      <c r="C160" s="247"/>
      <c r="D160" s="302">
        <v>140.22999999999999</v>
      </c>
      <c r="E160" s="247"/>
      <c r="F160" s="292">
        <v>4.9599999999999998E-2</v>
      </c>
      <c r="G160" s="246">
        <v>592.30999999999995</v>
      </c>
      <c r="I160" s="241"/>
      <c r="J160" s="241"/>
      <c r="K160" s="241"/>
      <c r="L160" s="263"/>
      <c r="M160" s="263"/>
      <c r="N160" s="263">
        <v>354.25</v>
      </c>
      <c r="O160" s="263">
        <v>238.05999999999995</v>
      </c>
      <c r="P160" s="263"/>
      <c r="Q160" s="245">
        <v>732.54</v>
      </c>
      <c r="R160" s="263">
        <v>143963.4713</v>
      </c>
      <c r="S160" s="241"/>
      <c r="T160" s="241"/>
      <c r="V160" s="228"/>
      <c r="W160" s="228"/>
      <c r="X160" s="228"/>
      <c r="Y160" s="263">
        <v>86060.931299999982</v>
      </c>
      <c r="Z160" s="263">
        <v>57902.540000000023</v>
      </c>
    </row>
    <row r="161" spans="1:27" x14ac:dyDescent="0.2">
      <c r="A161" s="231">
        <f t="shared" si="41"/>
        <v>122</v>
      </c>
      <c r="B161" s="291">
        <v>43405</v>
      </c>
      <c r="C161" s="247"/>
      <c r="D161" s="302">
        <v>84.14</v>
      </c>
      <c r="E161" s="284">
        <v>-86060.931299999982</v>
      </c>
      <c r="F161" s="292">
        <v>4.9599999999999998E-2</v>
      </c>
      <c r="G161" s="246">
        <v>239.5</v>
      </c>
      <c r="I161" s="241"/>
      <c r="J161" s="241"/>
      <c r="K161" s="241"/>
      <c r="L161" s="263"/>
      <c r="M161" s="263"/>
      <c r="N161" s="263"/>
      <c r="O161" s="263">
        <v>239.5</v>
      </c>
      <c r="P161" s="263"/>
      <c r="Q161" s="245">
        <v>-85737.291299999983</v>
      </c>
      <c r="R161" s="263">
        <v>58226.180000000022</v>
      </c>
      <c r="S161" s="241"/>
      <c r="T161" s="241"/>
      <c r="V161" s="228"/>
      <c r="W161" s="228"/>
      <c r="X161" s="228"/>
      <c r="Y161" s="263"/>
      <c r="Z161" s="263">
        <v>58226.180000000022</v>
      </c>
    </row>
    <row r="162" spans="1:27" x14ac:dyDescent="0.2">
      <c r="A162" s="231">
        <f t="shared" si="41"/>
        <v>123</v>
      </c>
      <c r="B162" s="293">
        <v>43435</v>
      </c>
      <c r="C162" s="285"/>
      <c r="D162" s="303">
        <v>38386.21</v>
      </c>
      <c r="E162" s="285"/>
      <c r="F162" s="294">
        <v>4.9599999999999998E-2</v>
      </c>
      <c r="G162" s="288">
        <v>320</v>
      </c>
      <c r="H162" s="285"/>
      <c r="I162" s="288"/>
      <c r="J162" s="288"/>
      <c r="K162" s="288"/>
      <c r="L162" s="289"/>
      <c r="M162" s="289"/>
      <c r="N162" s="289"/>
      <c r="O162" s="289">
        <v>320</v>
      </c>
      <c r="P162" s="289"/>
      <c r="Q162" s="295">
        <v>38706.21</v>
      </c>
      <c r="R162" s="289">
        <v>96932.390000000014</v>
      </c>
      <c r="S162" s="288"/>
      <c r="T162" s="288"/>
      <c r="U162" s="285"/>
      <c r="V162" s="290"/>
      <c r="W162" s="290"/>
      <c r="X162" s="290"/>
      <c r="Y162" s="289"/>
      <c r="Z162" s="289">
        <v>96932.390000000014</v>
      </c>
      <c r="AA162" s="285"/>
    </row>
    <row r="163" spans="1:27" x14ac:dyDescent="0.2">
      <c r="A163" s="231">
        <f t="shared" si="41"/>
        <v>124</v>
      </c>
      <c r="B163" s="291">
        <v>43466</v>
      </c>
      <c r="C163" s="247"/>
      <c r="D163" s="302">
        <v>47639.27</v>
      </c>
      <c r="E163" s="247"/>
      <c r="F163" s="292">
        <v>5.1799999999999999E-2</v>
      </c>
      <c r="G163" s="246">
        <v>521.25</v>
      </c>
      <c r="I163" s="241"/>
      <c r="J163" s="241"/>
      <c r="K163" s="241"/>
      <c r="L163" s="263"/>
      <c r="M163" s="263"/>
      <c r="N163" s="263"/>
      <c r="O163" s="263">
        <v>418.42</v>
      </c>
      <c r="P163" s="263">
        <v>102.82999999999998</v>
      </c>
      <c r="Q163" s="245">
        <v>48160.52</v>
      </c>
      <c r="R163" s="263">
        <v>145092.91</v>
      </c>
      <c r="S163" s="241"/>
      <c r="T163" s="241"/>
      <c r="V163" s="228"/>
      <c r="W163" s="228"/>
      <c r="X163" s="228"/>
      <c r="Y163" s="263"/>
      <c r="Z163" s="263">
        <v>97350.810000000012</v>
      </c>
      <c r="AA163" s="263">
        <v>47742.099999999991</v>
      </c>
    </row>
    <row r="164" spans="1:27" x14ac:dyDescent="0.2">
      <c r="A164" s="231">
        <f t="shared" si="41"/>
        <v>125</v>
      </c>
      <c r="B164" s="291">
        <v>43497</v>
      </c>
      <c r="C164" s="247"/>
      <c r="D164" s="302">
        <v>1638</v>
      </c>
      <c r="E164" s="247"/>
      <c r="F164" s="292">
        <v>5.1799999999999999E-2</v>
      </c>
      <c r="G164" s="246">
        <v>629.85</v>
      </c>
      <c r="I164" s="241"/>
      <c r="J164" s="241"/>
      <c r="K164" s="241"/>
      <c r="L164" s="263"/>
      <c r="M164" s="263"/>
      <c r="N164" s="263"/>
      <c r="O164" s="263">
        <v>420.23</v>
      </c>
      <c r="P164" s="263">
        <v>209.62</v>
      </c>
      <c r="Q164" s="245">
        <v>2267.85</v>
      </c>
      <c r="R164" s="263">
        <v>147360.76</v>
      </c>
      <c r="S164" s="241"/>
      <c r="T164" s="241"/>
      <c r="V164" s="228"/>
      <c r="W164" s="228"/>
      <c r="X164" s="228"/>
      <c r="Y164" s="263"/>
      <c r="Z164" s="263">
        <v>97771.040000000008</v>
      </c>
      <c r="AA164" s="263">
        <v>49589.72</v>
      </c>
    </row>
    <row r="165" spans="1:27" x14ac:dyDescent="0.2">
      <c r="A165" s="231">
        <f t="shared" si="41"/>
        <v>126</v>
      </c>
      <c r="B165" s="291">
        <v>43525</v>
      </c>
      <c r="C165" s="247"/>
      <c r="D165" s="302">
        <v>0</v>
      </c>
      <c r="E165" s="247"/>
      <c r="F165" s="292">
        <v>5.1799999999999999E-2</v>
      </c>
      <c r="G165" s="246">
        <v>636.11</v>
      </c>
      <c r="I165" s="241"/>
      <c r="J165" s="241"/>
      <c r="K165" s="241"/>
      <c r="L165" s="263"/>
      <c r="M165" s="263"/>
      <c r="N165" s="263"/>
      <c r="O165" s="263">
        <v>422.04</v>
      </c>
      <c r="P165" s="263">
        <v>214.07</v>
      </c>
      <c r="Q165" s="245">
        <v>636.11</v>
      </c>
      <c r="R165" s="263">
        <v>147996.87</v>
      </c>
      <c r="S165" s="241"/>
      <c r="T165" s="241"/>
      <c r="V165" s="228"/>
      <c r="W165" s="228"/>
      <c r="X165" s="228"/>
      <c r="Y165" s="263"/>
      <c r="Z165" s="263">
        <v>98193.08</v>
      </c>
      <c r="AA165" s="263">
        <v>49803.789999999994</v>
      </c>
    </row>
    <row r="166" spans="1:27" x14ac:dyDescent="0.2">
      <c r="A166" s="231">
        <f t="shared" si="41"/>
        <v>127</v>
      </c>
      <c r="B166" s="291">
        <v>43556</v>
      </c>
      <c r="C166" s="247"/>
      <c r="D166" s="302">
        <v>57.32</v>
      </c>
      <c r="E166" s="247"/>
      <c r="F166" s="292">
        <v>5.45E-2</v>
      </c>
      <c r="G166" s="246">
        <v>672.28</v>
      </c>
      <c r="I166" s="241"/>
      <c r="J166" s="241"/>
      <c r="K166" s="241"/>
      <c r="L166" s="263"/>
      <c r="M166" s="263"/>
      <c r="N166" s="263"/>
      <c r="O166" s="263">
        <v>445.96</v>
      </c>
      <c r="P166" s="263">
        <v>226.32</v>
      </c>
      <c r="Q166" s="245">
        <v>729.6</v>
      </c>
      <c r="R166" s="263">
        <v>148726.47</v>
      </c>
      <c r="S166" s="241"/>
      <c r="T166" s="241"/>
      <c r="V166" s="228"/>
      <c r="W166" s="228"/>
      <c r="X166" s="228"/>
      <c r="Y166" s="263"/>
      <c r="Z166" s="263">
        <v>98639.040000000008</v>
      </c>
      <c r="AA166" s="263">
        <v>50087.429999999993</v>
      </c>
    </row>
    <row r="167" spans="1:27" x14ac:dyDescent="0.2">
      <c r="A167" s="231">
        <f t="shared" si="41"/>
        <v>128</v>
      </c>
      <c r="B167" s="291">
        <v>43586</v>
      </c>
      <c r="C167" s="247"/>
      <c r="D167" s="302">
        <v>74.52</v>
      </c>
      <c r="E167" s="247"/>
      <c r="F167" s="292">
        <v>5.45E-2</v>
      </c>
      <c r="G167" s="246">
        <v>675.64</v>
      </c>
      <c r="I167" s="241"/>
      <c r="J167" s="241"/>
      <c r="K167" s="241"/>
      <c r="L167" s="263"/>
      <c r="M167" s="263"/>
      <c r="N167" s="263"/>
      <c r="O167" s="263">
        <v>447.99</v>
      </c>
      <c r="P167" s="263">
        <v>227.64999999999998</v>
      </c>
      <c r="Q167" s="245">
        <v>750.16</v>
      </c>
      <c r="R167" s="263">
        <v>149476.63</v>
      </c>
      <c r="S167" s="241"/>
      <c r="T167" s="241"/>
      <c r="V167" s="228"/>
      <c r="W167" s="228"/>
      <c r="X167" s="228"/>
      <c r="Y167" s="263"/>
      <c r="Z167" s="263">
        <v>99087.030000000013</v>
      </c>
      <c r="AA167" s="263">
        <v>50389.599999999991</v>
      </c>
    </row>
    <row r="168" spans="1:27" x14ac:dyDescent="0.2">
      <c r="A168" s="231">
        <f t="shared" si="41"/>
        <v>129</v>
      </c>
      <c r="B168" s="291">
        <v>43617</v>
      </c>
      <c r="C168" s="247"/>
      <c r="D168" s="302">
        <v>96005.19</v>
      </c>
      <c r="E168" s="247"/>
      <c r="F168" s="292">
        <v>5.45E-2</v>
      </c>
      <c r="G168" s="246">
        <v>896.88</v>
      </c>
      <c r="I168" s="241"/>
      <c r="J168" s="241"/>
      <c r="K168" s="241"/>
      <c r="L168" s="263"/>
      <c r="M168" s="263"/>
      <c r="N168" s="263"/>
      <c r="O168" s="263">
        <v>450.02</v>
      </c>
      <c r="P168" s="263">
        <v>446.86</v>
      </c>
      <c r="Q168" s="245">
        <v>96902.07</v>
      </c>
      <c r="R168" s="263">
        <v>246378.7</v>
      </c>
      <c r="S168" s="241"/>
      <c r="T168" s="241"/>
      <c r="V168" s="228"/>
      <c r="W168" s="228"/>
      <c r="X168" s="228"/>
      <c r="Y168" s="263"/>
      <c r="Z168" s="263">
        <v>99537.050000000017</v>
      </c>
      <c r="AA168" s="263">
        <v>146841.65</v>
      </c>
    </row>
    <row r="169" spans="1:27" x14ac:dyDescent="0.2">
      <c r="A169" s="231">
        <f t="shared" si="41"/>
        <v>130</v>
      </c>
      <c r="B169" s="291">
        <v>43647</v>
      </c>
      <c r="C169" s="247"/>
      <c r="D169" s="302">
        <v>2390.0700000000002</v>
      </c>
      <c r="E169" s="247"/>
      <c r="F169" s="292">
        <v>5.5E-2</v>
      </c>
      <c r="G169" s="246">
        <v>1134.71</v>
      </c>
      <c r="I169" s="241"/>
      <c r="J169" s="241"/>
      <c r="K169" s="241"/>
      <c r="L169" s="263"/>
      <c r="M169" s="263"/>
      <c r="N169" s="263"/>
      <c r="O169" s="263">
        <v>456.21</v>
      </c>
      <c r="P169" s="263">
        <v>678.5</v>
      </c>
      <c r="Q169" s="245">
        <v>3524.78</v>
      </c>
      <c r="R169" s="263">
        <v>249903.48</v>
      </c>
      <c r="S169" s="241"/>
      <c r="T169" s="241"/>
      <c r="V169" s="228"/>
      <c r="W169" s="228"/>
      <c r="X169" s="228"/>
      <c r="Y169" s="263"/>
      <c r="Z169" s="263">
        <v>99993.260000000024</v>
      </c>
      <c r="AA169" s="263">
        <v>149910.21999999997</v>
      </c>
    </row>
    <row r="170" spans="1:27" x14ac:dyDescent="0.2">
      <c r="A170" s="231">
        <f t="shared" si="41"/>
        <v>131</v>
      </c>
      <c r="B170" s="291">
        <v>43678</v>
      </c>
      <c r="C170" s="247"/>
      <c r="D170" s="302">
        <v>13628.97</v>
      </c>
      <c r="E170" s="247"/>
      <c r="F170" s="292">
        <v>5.5E-2</v>
      </c>
      <c r="G170" s="246">
        <v>1176.6199999999999</v>
      </c>
      <c r="I170" s="241"/>
      <c r="J170" s="241"/>
      <c r="K170" s="241"/>
      <c r="L170" s="263"/>
      <c r="M170" s="263"/>
      <c r="N170" s="263"/>
      <c r="O170" s="263">
        <v>458.3</v>
      </c>
      <c r="P170" s="263">
        <v>718.31999999999994</v>
      </c>
      <c r="Q170" s="245">
        <v>14805.59</v>
      </c>
      <c r="R170" s="263">
        <v>264709.07</v>
      </c>
      <c r="S170" s="241"/>
      <c r="T170" s="241"/>
      <c r="V170" s="228"/>
      <c r="W170" s="228"/>
      <c r="X170" s="228"/>
      <c r="Y170" s="263"/>
      <c r="Z170" s="263">
        <v>100451.56000000003</v>
      </c>
      <c r="AA170" s="263">
        <v>164257.50999999998</v>
      </c>
    </row>
    <row r="171" spans="1:27" x14ac:dyDescent="0.2">
      <c r="A171" s="231">
        <f t="shared" si="41"/>
        <v>132</v>
      </c>
      <c r="B171" s="291">
        <v>43709</v>
      </c>
      <c r="C171" s="247"/>
      <c r="D171" s="260"/>
      <c r="E171" s="247"/>
      <c r="F171" s="292">
        <v>5.5E-2</v>
      </c>
      <c r="G171" s="246">
        <v>1213.25</v>
      </c>
      <c r="I171" s="241"/>
      <c r="J171" s="241"/>
      <c r="K171" s="241"/>
      <c r="L171" s="263"/>
      <c r="M171" s="263"/>
      <c r="N171" s="263"/>
      <c r="O171" s="263">
        <v>460.4</v>
      </c>
      <c r="P171" s="263">
        <v>752.85</v>
      </c>
      <c r="Q171" s="245">
        <v>1213.25</v>
      </c>
      <c r="R171" s="263">
        <v>265922.32</v>
      </c>
      <c r="S171" s="241"/>
      <c r="T171" s="241"/>
      <c r="V171" s="228"/>
      <c r="W171" s="228"/>
      <c r="X171" s="228"/>
      <c r="Y171" s="263"/>
      <c r="Z171" s="263">
        <v>100911.96000000002</v>
      </c>
      <c r="AA171" s="263">
        <v>165010.35999999999</v>
      </c>
    </row>
    <row r="172" spans="1:27" x14ac:dyDescent="0.2">
      <c r="A172" s="231">
        <f t="shared" si="41"/>
        <v>133</v>
      </c>
      <c r="B172" s="291">
        <v>43739</v>
      </c>
      <c r="C172" s="247"/>
      <c r="D172" s="260"/>
      <c r="E172" s="247"/>
      <c r="F172" s="296">
        <v>5.4199999999999998E-2</v>
      </c>
      <c r="G172" s="246">
        <v>1201.08</v>
      </c>
      <c r="I172" s="241"/>
      <c r="J172" s="241"/>
      <c r="K172" s="241"/>
      <c r="L172" s="263"/>
      <c r="M172" s="263"/>
      <c r="N172" s="263"/>
      <c r="O172" s="263">
        <v>455.79</v>
      </c>
      <c r="P172" s="263">
        <v>745.29</v>
      </c>
      <c r="Q172" s="245">
        <v>1201.08</v>
      </c>
      <c r="R172" s="263">
        <v>267123.40000000002</v>
      </c>
      <c r="S172" s="241"/>
      <c r="T172" s="241"/>
      <c r="V172" s="228"/>
      <c r="W172" s="228"/>
      <c r="X172" s="228"/>
      <c r="Y172" s="263"/>
      <c r="Z172" s="263">
        <v>101367.75000000001</v>
      </c>
      <c r="AA172" s="263">
        <v>165755.65000000002</v>
      </c>
    </row>
    <row r="173" spans="1:27" x14ac:dyDescent="0.2">
      <c r="A173" s="231">
        <f t="shared" si="41"/>
        <v>134</v>
      </c>
      <c r="B173" s="291"/>
      <c r="C173" s="247"/>
      <c r="D173" s="260"/>
      <c r="E173" s="247"/>
      <c r="F173" s="292"/>
      <c r="G173" s="246"/>
      <c r="I173" s="241"/>
      <c r="J173" s="241"/>
      <c r="K173" s="241"/>
      <c r="L173" s="263"/>
      <c r="M173" s="263"/>
      <c r="N173" s="263"/>
      <c r="O173" s="263"/>
      <c r="P173" s="263"/>
      <c r="Q173" s="245"/>
      <c r="R173" s="263"/>
      <c r="S173" s="241"/>
      <c r="T173" s="241"/>
      <c r="V173" s="228"/>
      <c r="W173" s="228"/>
      <c r="X173" s="228"/>
      <c r="Y173" s="263"/>
      <c r="Z173" s="263"/>
    </row>
    <row r="174" spans="1:27" x14ac:dyDescent="0.2">
      <c r="A174" s="231">
        <f t="shared" si="41"/>
        <v>135</v>
      </c>
      <c r="B174" s="297" t="s">
        <v>184</v>
      </c>
      <c r="I174" s="249"/>
      <c r="J174" s="249"/>
      <c r="K174" s="249"/>
      <c r="L174" s="249"/>
      <c r="M174" s="249"/>
      <c r="N174" s="249"/>
      <c r="O174" s="249"/>
      <c r="P174" s="249"/>
      <c r="R174" s="298"/>
    </row>
    <row r="175" spans="1:27" x14ac:dyDescent="0.2">
      <c r="A175" s="231">
        <f t="shared" si="41"/>
        <v>136</v>
      </c>
      <c r="I175" s="249"/>
      <c r="J175" s="249"/>
      <c r="K175" s="249"/>
      <c r="L175" s="249"/>
      <c r="M175" s="249"/>
      <c r="N175" s="249"/>
      <c r="O175" s="249"/>
      <c r="P175" s="249"/>
      <c r="R175" s="298"/>
    </row>
    <row r="176" spans="1:27" x14ac:dyDescent="0.2">
      <c r="A176" s="231">
        <f t="shared" si="41"/>
        <v>137</v>
      </c>
      <c r="B176" s="299" t="s">
        <v>146</v>
      </c>
    </row>
    <row r="177" spans="1:21" x14ac:dyDescent="0.2">
      <c r="A177" s="231">
        <f t="shared" si="41"/>
        <v>138</v>
      </c>
      <c r="B177" s="300" t="s">
        <v>185</v>
      </c>
      <c r="F177" s="120"/>
      <c r="G177" s="301"/>
    </row>
    <row r="178" spans="1:21" x14ac:dyDescent="0.2">
      <c r="A178" s="231">
        <f t="shared" si="41"/>
        <v>139</v>
      </c>
      <c r="B178" s="300" t="s">
        <v>186</v>
      </c>
      <c r="D178" s="230"/>
      <c r="E178" s="230"/>
      <c r="F178" s="230"/>
      <c r="G178" s="230"/>
      <c r="H178" s="230"/>
      <c r="I178" s="230"/>
      <c r="J178" s="230"/>
      <c r="K178" s="230"/>
      <c r="L178" s="230"/>
      <c r="M178" s="230"/>
      <c r="N178" s="230"/>
      <c r="O178" s="230"/>
      <c r="P178" s="230"/>
      <c r="Q178" s="230"/>
      <c r="R178" s="275"/>
      <c r="S178" s="230"/>
      <c r="T178" s="230"/>
      <c r="U178" s="230"/>
    </row>
  </sheetData>
  <pageMargins left="0.7" right="0.7" top="0.75" bottom="0.75" header="0.3" footer="0.3"/>
  <pageSetup scale="50" orientation="landscape" horizontalDpi="300" verticalDpi="300" r:id="rId1"/>
  <headerFooter>
    <oddHeader>&amp;RNWN's Advice 19-04
Exhibit A - Supporting Materials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showGridLines="0" tabSelected="1" view="pageLayout" zoomScaleNormal="100" workbookViewId="0">
      <selection activeCell="M4" sqref="M4"/>
    </sheetView>
  </sheetViews>
  <sheetFormatPr defaultColWidth="7.85546875" defaultRowHeight="12.75" x14ac:dyDescent="0.2"/>
  <cols>
    <col min="1" max="1" width="4" style="225" customWidth="1"/>
    <col min="2" max="2" width="13.42578125" style="226" customWidth="1"/>
    <col min="3" max="3" width="10.5703125" style="226" bestFit="1" customWidth="1"/>
    <col min="4" max="4" width="16.140625" style="226" customWidth="1"/>
    <col min="5" max="10" width="13.42578125" style="226" customWidth="1"/>
    <col min="11" max="11" width="13.42578125" style="304" customWidth="1"/>
    <col min="12" max="20" width="13.42578125" style="226" customWidth="1"/>
    <col min="21" max="16384" width="7.85546875" style="226"/>
  </cols>
  <sheetData>
    <row r="1" spans="1:10" x14ac:dyDescent="0.2">
      <c r="B1" s="226" t="s">
        <v>148</v>
      </c>
      <c r="D1" s="226" t="s">
        <v>149</v>
      </c>
    </row>
    <row r="2" spans="1:10" x14ac:dyDescent="0.2">
      <c r="B2" s="226" t="s">
        <v>150</v>
      </c>
      <c r="D2" s="226" t="s">
        <v>92</v>
      </c>
    </row>
    <row r="3" spans="1:10" x14ac:dyDescent="0.2">
      <c r="B3" s="226" t="s">
        <v>151</v>
      </c>
      <c r="D3" s="227" t="s">
        <v>187</v>
      </c>
    </row>
    <row r="4" spans="1:10" x14ac:dyDescent="0.2">
      <c r="B4" s="226" t="s">
        <v>153</v>
      </c>
      <c r="D4" s="229">
        <v>186315</v>
      </c>
    </row>
    <row r="5" spans="1:10" x14ac:dyDescent="0.2">
      <c r="D5" s="230" t="s">
        <v>154</v>
      </c>
    </row>
    <row r="6" spans="1:10" x14ac:dyDescent="0.2">
      <c r="D6" s="230" t="s">
        <v>155</v>
      </c>
    </row>
    <row r="7" spans="1:10" x14ac:dyDescent="0.2">
      <c r="D7" s="230"/>
    </row>
    <row r="8" spans="1:10" x14ac:dyDescent="0.2">
      <c r="A8" s="231">
        <v>1</v>
      </c>
      <c r="B8" s="226" t="s">
        <v>156</v>
      </c>
      <c r="D8" s="230"/>
      <c r="F8" s="232"/>
      <c r="G8" s="232"/>
    </row>
    <row r="9" spans="1:10" x14ac:dyDescent="0.2">
      <c r="A9" s="231">
        <f t="shared" ref="A9:A72" si="0">+A8+1</f>
        <v>2</v>
      </c>
      <c r="D9" s="230"/>
      <c r="F9" s="232"/>
      <c r="G9" s="232"/>
    </row>
    <row r="10" spans="1:10" x14ac:dyDescent="0.2">
      <c r="A10" s="231">
        <f t="shared" si="0"/>
        <v>3</v>
      </c>
      <c r="B10" s="232"/>
      <c r="C10" s="232"/>
      <c r="D10" s="232"/>
      <c r="E10" s="232"/>
      <c r="F10" s="232" t="s">
        <v>124</v>
      </c>
      <c r="G10" s="232"/>
      <c r="H10" s="232"/>
      <c r="I10" s="232"/>
    </row>
    <row r="11" spans="1:10" x14ac:dyDescent="0.2">
      <c r="A11" s="231">
        <f t="shared" si="0"/>
        <v>4</v>
      </c>
      <c r="B11" s="236" t="s">
        <v>158</v>
      </c>
      <c r="C11" s="236" t="s">
        <v>159</v>
      </c>
      <c r="D11" s="236" t="s">
        <v>160</v>
      </c>
      <c r="E11" s="236" t="s">
        <v>161</v>
      </c>
      <c r="F11" s="236" t="s">
        <v>27</v>
      </c>
      <c r="G11" s="236" t="s">
        <v>124</v>
      </c>
      <c r="H11" s="236" t="s">
        <v>133</v>
      </c>
      <c r="I11" s="236" t="s">
        <v>127</v>
      </c>
    </row>
    <row r="12" spans="1:10" x14ac:dyDescent="0.2">
      <c r="A12" s="231">
        <f t="shared" si="0"/>
        <v>5</v>
      </c>
      <c r="B12" s="232" t="s">
        <v>162</v>
      </c>
      <c r="C12" s="232" t="s">
        <v>163</v>
      </c>
      <c r="D12" s="232" t="s">
        <v>164</v>
      </c>
      <c r="E12" s="232" t="s">
        <v>165</v>
      </c>
      <c r="F12" s="232" t="s">
        <v>166</v>
      </c>
      <c r="G12" s="232" t="s">
        <v>167</v>
      </c>
      <c r="H12" s="232" t="s">
        <v>173</v>
      </c>
      <c r="I12" s="232" t="s">
        <v>188</v>
      </c>
      <c r="J12" s="232"/>
    </row>
    <row r="13" spans="1:10" x14ac:dyDescent="0.2">
      <c r="A13" s="231">
        <f t="shared" si="0"/>
        <v>6</v>
      </c>
      <c r="F13" s="232"/>
      <c r="G13" s="232"/>
    </row>
    <row r="14" spans="1:10" hidden="1" x14ac:dyDescent="0.2">
      <c r="A14" s="231">
        <f t="shared" si="0"/>
        <v>7</v>
      </c>
      <c r="B14" s="238" t="s">
        <v>180</v>
      </c>
      <c r="D14" s="234"/>
      <c r="E14" s="234"/>
      <c r="F14" s="234"/>
      <c r="G14" s="234"/>
      <c r="H14" s="234"/>
      <c r="I14" s="234"/>
    </row>
    <row r="15" spans="1:10" hidden="1" x14ac:dyDescent="0.2">
      <c r="A15" s="231">
        <f t="shared" si="0"/>
        <v>8</v>
      </c>
      <c r="B15" s="239">
        <v>40478</v>
      </c>
      <c r="D15" s="234"/>
      <c r="E15" s="234"/>
      <c r="F15" s="241"/>
      <c r="G15" s="241"/>
      <c r="H15" s="234"/>
      <c r="I15" s="240">
        <v>0</v>
      </c>
    </row>
    <row r="16" spans="1:10" hidden="1" x14ac:dyDescent="0.2">
      <c r="A16" s="231">
        <f t="shared" si="0"/>
        <v>9</v>
      </c>
      <c r="B16" s="239">
        <f>+B15+30</f>
        <v>40508</v>
      </c>
      <c r="D16" s="234">
        <v>-1955.31</v>
      </c>
      <c r="E16" s="234">
        <f>-'[1]186314 WA-LIEE'!E65</f>
        <v>61351.825000000004</v>
      </c>
      <c r="F16" s="305">
        <v>3.2500000000000001E-2</v>
      </c>
      <c r="G16" s="241">
        <f>ROUND((+I15+(D16/2))*F16/12,2)</f>
        <v>-2.65</v>
      </c>
      <c r="H16" s="234">
        <f t="shared" ref="H16:H47" si="1">SUM(D16:G16)</f>
        <v>59393.897500000006</v>
      </c>
      <c r="I16" s="241">
        <f t="shared" ref="I16:I66" si="2">+I15+H16</f>
        <v>59393.897500000006</v>
      </c>
    </row>
    <row r="17" spans="1:9" hidden="1" x14ac:dyDescent="0.2">
      <c r="A17" s="231">
        <f t="shared" si="0"/>
        <v>10</v>
      </c>
      <c r="B17" s="239">
        <f>+B16+31</f>
        <v>40539</v>
      </c>
      <c r="D17" s="234">
        <v>-9024.81</v>
      </c>
      <c r="E17" s="234">
        <v>166.16</v>
      </c>
      <c r="F17" s="305">
        <v>3.2500000000000001E-2</v>
      </c>
      <c r="G17" s="241">
        <f t="shared" ref="G17:G28" si="3">ROUND((+I16+E17+(D17/2))*F17/12,2)</f>
        <v>149.09</v>
      </c>
      <c r="H17" s="234">
        <f t="shared" si="1"/>
        <v>-8709.5275000000001</v>
      </c>
      <c r="I17" s="241">
        <f t="shared" si="2"/>
        <v>50684.37000000001</v>
      </c>
    </row>
    <row r="18" spans="1:9" hidden="1" x14ac:dyDescent="0.2">
      <c r="A18" s="231">
        <f t="shared" si="0"/>
        <v>11</v>
      </c>
      <c r="B18" s="239">
        <f>+B17+31</f>
        <v>40570</v>
      </c>
      <c r="D18" s="234">
        <f>-10677.23</f>
        <v>-10677.23</v>
      </c>
      <c r="E18" s="234"/>
      <c r="F18" s="305">
        <v>3.2500000000000001E-2</v>
      </c>
      <c r="G18" s="241">
        <f t="shared" si="3"/>
        <v>122.81</v>
      </c>
      <c r="H18" s="234">
        <f t="shared" si="1"/>
        <v>-10554.387500000001</v>
      </c>
      <c r="I18" s="241">
        <f t="shared" si="2"/>
        <v>40129.982500000013</v>
      </c>
    </row>
    <row r="19" spans="1:9" hidden="1" x14ac:dyDescent="0.2">
      <c r="A19" s="231">
        <f t="shared" si="0"/>
        <v>12</v>
      </c>
      <c r="B19" s="239">
        <f>+B18+28</f>
        <v>40598</v>
      </c>
      <c r="D19" s="234">
        <v>-8457.7000000000007</v>
      </c>
      <c r="E19" s="234"/>
      <c r="F19" s="305">
        <v>3.2500000000000001E-2</v>
      </c>
      <c r="G19" s="241">
        <f t="shared" si="3"/>
        <v>97.23</v>
      </c>
      <c r="H19" s="234">
        <f t="shared" si="1"/>
        <v>-8360.4375000000018</v>
      </c>
      <c r="I19" s="241">
        <f t="shared" si="2"/>
        <v>31769.545000000013</v>
      </c>
    </row>
    <row r="20" spans="1:9" hidden="1" x14ac:dyDescent="0.2">
      <c r="A20" s="231">
        <f t="shared" si="0"/>
        <v>13</v>
      </c>
      <c r="B20" s="239">
        <f>+B19+31</f>
        <v>40629</v>
      </c>
      <c r="D20" s="234">
        <v>-8841.5300000000007</v>
      </c>
      <c r="E20" s="234"/>
      <c r="F20" s="305">
        <v>3.2500000000000001E-2</v>
      </c>
      <c r="G20" s="241">
        <f t="shared" si="3"/>
        <v>74.069999999999993</v>
      </c>
      <c r="H20" s="234">
        <f t="shared" si="1"/>
        <v>-8767.4275000000016</v>
      </c>
      <c r="I20" s="241">
        <f t="shared" si="2"/>
        <v>23002.117500000011</v>
      </c>
    </row>
    <row r="21" spans="1:9" hidden="1" x14ac:dyDescent="0.2">
      <c r="A21" s="231">
        <f t="shared" si="0"/>
        <v>14</v>
      </c>
      <c r="B21" s="239">
        <f>+B20+30</f>
        <v>40659</v>
      </c>
      <c r="D21" s="234">
        <v>-6561.29</v>
      </c>
      <c r="E21" s="234"/>
      <c r="F21" s="305">
        <v>3.2500000000000001E-2</v>
      </c>
      <c r="G21" s="241">
        <f t="shared" si="3"/>
        <v>53.41</v>
      </c>
      <c r="H21" s="234">
        <f t="shared" si="1"/>
        <v>-6507.8474999999999</v>
      </c>
      <c r="I21" s="241">
        <f t="shared" si="2"/>
        <v>16494.270000000011</v>
      </c>
    </row>
    <row r="22" spans="1:9" hidden="1" x14ac:dyDescent="0.2">
      <c r="A22" s="231">
        <f t="shared" si="0"/>
        <v>15</v>
      </c>
      <c r="B22" s="239">
        <f>+B21+31</f>
        <v>40690</v>
      </c>
      <c r="D22" s="234">
        <v>-5102.21</v>
      </c>
      <c r="E22" s="234"/>
      <c r="F22" s="305">
        <v>3.2500000000000001E-2</v>
      </c>
      <c r="G22" s="241">
        <f t="shared" si="3"/>
        <v>37.76</v>
      </c>
      <c r="H22" s="234">
        <f t="shared" si="1"/>
        <v>-5064.4174999999996</v>
      </c>
      <c r="I22" s="241">
        <f t="shared" si="2"/>
        <v>11429.852500000012</v>
      </c>
    </row>
    <row r="23" spans="1:9" hidden="1" x14ac:dyDescent="0.2">
      <c r="A23" s="231">
        <f t="shared" si="0"/>
        <v>16</v>
      </c>
      <c r="B23" s="239">
        <f>+B22+30</f>
        <v>40720</v>
      </c>
      <c r="D23" s="234">
        <v>-3161.7</v>
      </c>
      <c r="E23" s="234"/>
      <c r="F23" s="305">
        <v>3.2500000000000001E-2</v>
      </c>
      <c r="G23" s="241">
        <f t="shared" si="3"/>
        <v>26.67</v>
      </c>
      <c r="H23" s="234">
        <f t="shared" si="1"/>
        <v>-3134.9974999999999</v>
      </c>
      <c r="I23" s="241">
        <f t="shared" si="2"/>
        <v>8294.8550000000123</v>
      </c>
    </row>
    <row r="24" spans="1:9" hidden="1" x14ac:dyDescent="0.2">
      <c r="A24" s="231">
        <f t="shared" si="0"/>
        <v>17</v>
      </c>
      <c r="B24" s="239">
        <f>+B23+31</f>
        <v>40751</v>
      </c>
      <c r="C24" s="243"/>
      <c r="D24" s="234">
        <v>-2105.81</v>
      </c>
      <c r="E24" s="234"/>
      <c r="F24" s="305">
        <v>3.2500000000000001E-2</v>
      </c>
      <c r="G24" s="241">
        <f t="shared" si="3"/>
        <v>19.61</v>
      </c>
      <c r="H24" s="234">
        <f t="shared" si="1"/>
        <v>-2086.1675</v>
      </c>
      <c r="I24" s="241">
        <f t="shared" si="2"/>
        <v>6208.6875000000127</v>
      </c>
    </row>
    <row r="25" spans="1:9" hidden="1" x14ac:dyDescent="0.2">
      <c r="A25" s="231">
        <f t="shared" si="0"/>
        <v>18</v>
      </c>
      <c r="B25" s="239">
        <f>+B24+30</f>
        <v>40781</v>
      </c>
      <c r="C25" s="243"/>
      <c r="D25" s="234">
        <v>-1740.78</v>
      </c>
      <c r="E25" s="234"/>
      <c r="F25" s="305">
        <v>3.2500000000000001E-2</v>
      </c>
      <c r="G25" s="241">
        <f t="shared" si="3"/>
        <v>14.46</v>
      </c>
      <c r="H25" s="234">
        <f t="shared" si="1"/>
        <v>-1726.2874999999999</v>
      </c>
      <c r="I25" s="241">
        <f t="shared" si="2"/>
        <v>4482.4000000000124</v>
      </c>
    </row>
    <row r="26" spans="1:9" hidden="1" x14ac:dyDescent="0.2">
      <c r="A26" s="231">
        <f t="shared" si="0"/>
        <v>19</v>
      </c>
      <c r="B26" s="239">
        <f>+B25+30</f>
        <v>40811</v>
      </c>
      <c r="C26" s="243"/>
      <c r="D26" s="234">
        <v>-1795.46</v>
      </c>
      <c r="E26" s="234"/>
      <c r="F26" s="305">
        <v>3.2500000000000001E-2</v>
      </c>
      <c r="G26" s="241">
        <f t="shared" si="3"/>
        <v>9.7100000000000009</v>
      </c>
      <c r="H26" s="234">
        <f t="shared" si="1"/>
        <v>-1785.7175</v>
      </c>
      <c r="I26" s="241">
        <f t="shared" si="2"/>
        <v>2696.6825000000126</v>
      </c>
    </row>
    <row r="27" spans="1:9" hidden="1" x14ac:dyDescent="0.2">
      <c r="A27" s="231">
        <f t="shared" si="0"/>
        <v>20</v>
      </c>
      <c r="B27" s="239">
        <f>+B26+31</f>
        <v>40842</v>
      </c>
      <c r="C27" s="243"/>
      <c r="D27" s="245">
        <v>-2392.1000000000004</v>
      </c>
      <c r="E27" s="245"/>
      <c r="F27" s="305">
        <v>3.2500000000000001E-2</v>
      </c>
      <c r="G27" s="241">
        <f t="shared" si="3"/>
        <v>4.0599999999999996</v>
      </c>
      <c r="H27" s="245">
        <f t="shared" si="1"/>
        <v>-2388.0075000000006</v>
      </c>
      <c r="I27" s="241">
        <f t="shared" si="2"/>
        <v>308.67500000001201</v>
      </c>
    </row>
    <row r="28" spans="1:9" hidden="1" x14ac:dyDescent="0.2">
      <c r="A28" s="231">
        <f t="shared" si="0"/>
        <v>21</v>
      </c>
      <c r="B28" s="239">
        <f>+B27+30</f>
        <v>40872</v>
      </c>
      <c r="D28" s="245">
        <v>-2761.85</v>
      </c>
      <c r="E28" s="245"/>
      <c r="F28" s="305">
        <v>3.2500000000000001E-2</v>
      </c>
      <c r="G28" s="241">
        <f t="shared" si="3"/>
        <v>-2.9</v>
      </c>
      <c r="H28" s="234">
        <f t="shared" si="1"/>
        <v>-2764.7175000000002</v>
      </c>
      <c r="I28" s="241">
        <f t="shared" si="2"/>
        <v>-2456.0424999999882</v>
      </c>
    </row>
    <row r="29" spans="1:9" hidden="1" x14ac:dyDescent="0.2">
      <c r="A29" s="231">
        <f t="shared" si="0"/>
        <v>22</v>
      </c>
      <c r="B29" s="239">
        <f>+B28+31</f>
        <v>40903</v>
      </c>
      <c r="D29" s="245">
        <v>0</v>
      </c>
      <c r="E29" s="245"/>
      <c r="F29" s="305">
        <v>3.2500000000000001E-2</v>
      </c>
      <c r="G29" s="241">
        <v>0</v>
      </c>
      <c r="H29" s="234">
        <f t="shared" si="1"/>
        <v>3.2500000000000001E-2</v>
      </c>
      <c r="I29" s="241">
        <f t="shared" si="2"/>
        <v>-2456.0099999999884</v>
      </c>
    </row>
    <row r="30" spans="1:9" hidden="1" x14ac:dyDescent="0.2">
      <c r="A30" s="231">
        <f t="shared" si="0"/>
        <v>23</v>
      </c>
      <c r="B30" s="239">
        <f>+B29+31</f>
        <v>40934</v>
      </c>
      <c r="D30" s="245">
        <v>0</v>
      </c>
      <c r="E30" s="247"/>
      <c r="F30" s="305">
        <v>3.2500000000000001E-2</v>
      </c>
      <c r="G30" s="241">
        <v>0</v>
      </c>
      <c r="H30" s="234">
        <f t="shared" si="1"/>
        <v>3.2500000000000001E-2</v>
      </c>
      <c r="I30" s="241">
        <f t="shared" si="2"/>
        <v>-2455.9774999999886</v>
      </c>
    </row>
    <row r="31" spans="1:9" hidden="1" x14ac:dyDescent="0.2">
      <c r="A31" s="231">
        <f t="shared" si="0"/>
        <v>24</v>
      </c>
      <c r="B31" s="239">
        <f>+B30+29</f>
        <v>40963</v>
      </c>
      <c r="D31" s="245">
        <v>0</v>
      </c>
      <c r="F31" s="305">
        <v>3.2500000000000001E-2</v>
      </c>
      <c r="G31" s="241">
        <v>0</v>
      </c>
      <c r="H31" s="234">
        <f t="shared" si="1"/>
        <v>3.2500000000000001E-2</v>
      </c>
      <c r="I31" s="241">
        <f t="shared" si="2"/>
        <v>-2455.9449999999888</v>
      </c>
    </row>
    <row r="32" spans="1:9" hidden="1" x14ac:dyDescent="0.2">
      <c r="A32" s="231">
        <f t="shared" si="0"/>
        <v>25</v>
      </c>
      <c r="B32" s="239">
        <f>+B31+31</f>
        <v>40994</v>
      </c>
      <c r="D32" s="245">
        <v>0</v>
      </c>
      <c r="F32" s="305">
        <v>3.2500000000000001E-2</v>
      </c>
      <c r="G32" s="241">
        <v>0</v>
      </c>
      <c r="H32" s="234">
        <f t="shared" si="1"/>
        <v>3.2500000000000001E-2</v>
      </c>
      <c r="I32" s="241">
        <f t="shared" si="2"/>
        <v>-2455.912499999989</v>
      </c>
    </row>
    <row r="33" spans="1:9" hidden="1" x14ac:dyDescent="0.2">
      <c r="A33" s="231">
        <f t="shared" si="0"/>
        <v>26</v>
      </c>
      <c r="B33" s="239">
        <f>+B32+30</f>
        <v>41024</v>
      </c>
      <c r="D33" s="245">
        <v>0</v>
      </c>
      <c r="F33" s="305">
        <v>3.2500000000000001E-2</v>
      </c>
      <c r="G33" s="241">
        <v>0</v>
      </c>
      <c r="H33" s="234">
        <f t="shared" si="1"/>
        <v>3.2500000000000001E-2</v>
      </c>
      <c r="I33" s="241">
        <f t="shared" si="2"/>
        <v>-2455.8799999999892</v>
      </c>
    </row>
    <row r="34" spans="1:9" hidden="1" x14ac:dyDescent="0.2">
      <c r="A34" s="231">
        <f t="shared" si="0"/>
        <v>27</v>
      </c>
      <c r="B34" s="239">
        <f>+B33+31</f>
        <v>41055</v>
      </c>
      <c r="D34" s="245">
        <v>0</v>
      </c>
      <c r="F34" s="305">
        <v>3.2500000000000001E-2</v>
      </c>
      <c r="G34" s="241">
        <v>0</v>
      </c>
      <c r="H34" s="234">
        <f t="shared" si="1"/>
        <v>3.2500000000000001E-2</v>
      </c>
      <c r="I34" s="241">
        <f t="shared" si="2"/>
        <v>-2455.8474999999894</v>
      </c>
    </row>
    <row r="35" spans="1:9" hidden="1" x14ac:dyDescent="0.2">
      <c r="A35" s="231">
        <f t="shared" si="0"/>
        <v>28</v>
      </c>
      <c r="B35" s="239">
        <f>+B34+30</f>
        <v>41085</v>
      </c>
      <c r="D35" s="245">
        <v>0</v>
      </c>
      <c r="F35" s="305">
        <v>3.2500000000000001E-2</v>
      </c>
      <c r="G35" s="241">
        <v>0</v>
      </c>
      <c r="H35" s="234">
        <f t="shared" si="1"/>
        <v>3.2500000000000001E-2</v>
      </c>
      <c r="I35" s="241">
        <f t="shared" si="2"/>
        <v>-2455.8149999999896</v>
      </c>
    </row>
    <row r="36" spans="1:9" hidden="1" x14ac:dyDescent="0.2">
      <c r="A36" s="231">
        <f t="shared" si="0"/>
        <v>29</v>
      </c>
      <c r="B36" s="239">
        <f>+B35+31</f>
        <v>41116</v>
      </c>
      <c r="D36" s="245">
        <v>0</v>
      </c>
      <c r="F36" s="305">
        <v>3.2500000000000001E-2</v>
      </c>
      <c r="G36" s="241">
        <v>0</v>
      </c>
      <c r="H36" s="234">
        <f t="shared" si="1"/>
        <v>3.2500000000000001E-2</v>
      </c>
      <c r="I36" s="241">
        <f t="shared" si="2"/>
        <v>-2455.7824999999898</v>
      </c>
    </row>
    <row r="37" spans="1:9" hidden="1" x14ac:dyDescent="0.2">
      <c r="A37" s="231">
        <f t="shared" si="0"/>
        <v>30</v>
      </c>
      <c r="B37" s="239">
        <f>+B36+30</f>
        <v>41146</v>
      </c>
      <c r="D37" s="245">
        <v>0</v>
      </c>
      <c r="F37" s="305">
        <v>3.2500000000000001E-2</v>
      </c>
      <c r="G37" s="241">
        <v>0</v>
      </c>
      <c r="H37" s="234">
        <f t="shared" si="1"/>
        <v>3.2500000000000001E-2</v>
      </c>
      <c r="I37" s="241">
        <f t="shared" si="2"/>
        <v>-2455.74999999999</v>
      </c>
    </row>
    <row r="38" spans="1:9" hidden="1" x14ac:dyDescent="0.2">
      <c r="A38" s="231">
        <f t="shared" si="0"/>
        <v>31</v>
      </c>
      <c r="B38" s="239">
        <f>+B37+30</f>
        <v>41176</v>
      </c>
      <c r="D38" s="245">
        <v>0</v>
      </c>
      <c r="F38" s="305">
        <v>3.2500000000000001E-2</v>
      </c>
      <c r="G38" s="241">
        <v>0</v>
      </c>
      <c r="H38" s="234">
        <f t="shared" si="1"/>
        <v>3.2500000000000001E-2</v>
      </c>
      <c r="I38" s="241">
        <f t="shared" si="2"/>
        <v>-2455.7174999999902</v>
      </c>
    </row>
    <row r="39" spans="1:9" hidden="1" x14ac:dyDescent="0.2">
      <c r="A39" s="231">
        <f t="shared" si="0"/>
        <v>32</v>
      </c>
      <c r="B39" s="239">
        <f>+B38+31</f>
        <v>41207</v>
      </c>
      <c r="D39" s="245">
        <v>0</v>
      </c>
      <c r="F39" s="305">
        <v>3.2500000000000001E-2</v>
      </c>
      <c r="G39" s="241">
        <v>0</v>
      </c>
      <c r="H39" s="234">
        <f t="shared" si="1"/>
        <v>3.2500000000000001E-2</v>
      </c>
      <c r="I39" s="241">
        <f t="shared" si="2"/>
        <v>-2455.6849999999904</v>
      </c>
    </row>
    <row r="40" spans="1:9" hidden="1" x14ac:dyDescent="0.2">
      <c r="A40" s="231">
        <f t="shared" si="0"/>
        <v>33</v>
      </c>
      <c r="B40" s="239">
        <f>+B39+30</f>
        <v>41237</v>
      </c>
      <c r="C40" s="258">
        <v>1</v>
      </c>
      <c r="D40" s="245">
        <v>-2517.9300000000003</v>
      </c>
      <c r="E40" s="234">
        <f>-'[1]186314 WA-LIEE'!E89</f>
        <v>82736.765000000014</v>
      </c>
      <c r="F40" s="305">
        <v>3.2500000000000001E-2</v>
      </c>
      <c r="G40" s="241">
        <f>ROUND((+E40+(D40/2))*F40/12,2)</f>
        <v>220.67</v>
      </c>
      <c r="H40" s="234">
        <f t="shared" si="1"/>
        <v>80439.53750000002</v>
      </c>
      <c r="I40" s="241">
        <f t="shared" si="2"/>
        <v>77983.852500000037</v>
      </c>
    </row>
    <row r="41" spans="1:9" hidden="1" x14ac:dyDescent="0.2">
      <c r="A41" s="231">
        <f t="shared" si="0"/>
        <v>34</v>
      </c>
      <c r="B41" s="239">
        <f>+B40+31</f>
        <v>41268</v>
      </c>
      <c r="D41" s="245">
        <v>-10508.61</v>
      </c>
      <c r="E41" s="234"/>
      <c r="F41" s="305">
        <v>3.2500000000000001E-2</v>
      </c>
      <c r="G41" s="241">
        <f t="shared" ref="G41:G52" si="4">ROUND((+I40+E41+(D41/2))*F41/12,2)</f>
        <v>196.98</v>
      </c>
      <c r="H41" s="234">
        <f t="shared" si="1"/>
        <v>-10311.597500000002</v>
      </c>
      <c r="I41" s="241">
        <f t="shared" si="2"/>
        <v>67672.255000000034</v>
      </c>
    </row>
    <row r="42" spans="1:9" hidden="1" x14ac:dyDescent="0.2">
      <c r="A42" s="231">
        <f t="shared" si="0"/>
        <v>35</v>
      </c>
      <c r="B42" s="247">
        <f>+B41+31</f>
        <v>41299</v>
      </c>
      <c r="D42" s="245">
        <v>-15782.220000000003</v>
      </c>
      <c r="F42" s="305">
        <v>3.2500000000000001E-2</v>
      </c>
      <c r="G42" s="241">
        <f t="shared" si="4"/>
        <v>161.91</v>
      </c>
      <c r="H42" s="234">
        <f t="shared" si="1"/>
        <v>-15620.277500000004</v>
      </c>
      <c r="I42" s="241">
        <f t="shared" si="2"/>
        <v>52051.97750000003</v>
      </c>
    </row>
    <row r="43" spans="1:9" hidden="1" x14ac:dyDescent="0.2">
      <c r="A43" s="231">
        <f t="shared" si="0"/>
        <v>36</v>
      </c>
      <c r="B43" s="239">
        <f>+B42+28</f>
        <v>41327</v>
      </c>
      <c r="D43" s="245">
        <v>-12770.84</v>
      </c>
      <c r="F43" s="305">
        <v>3.2500000000000001E-2</v>
      </c>
      <c r="G43" s="241">
        <f t="shared" si="4"/>
        <v>123.68</v>
      </c>
      <c r="H43" s="234">
        <f t="shared" si="1"/>
        <v>-12647.127500000001</v>
      </c>
      <c r="I43" s="241">
        <f t="shared" si="2"/>
        <v>39404.850000000028</v>
      </c>
    </row>
    <row r="44" spans="1:9" hidden="1" x14ac:dyDescent="0.2">
      <c r="A44" s="231">
        <f t="shared" si="0"/>
        <v>37</v>
      </c>
      <c r="B44" s="239">
        <f>+B43+31</f>
        <v>41358</v>
      </c>
      <c r="D44" s="318">
        <v>-10003.370000000003</v>
      </c>
      <c r="F44" s="305">
        <v>3.2500000000000001E-2</v>
      </c>
      <c r="G44" s="241">
        <f t="shared" si="4"/>
        <v>93.18</v>
      </c>
      <c r="H44" s="234">
        <f t="shared" si="1"/>
        <v>-9910.157500000003</v>
      </c>
      <c r="I44" s="241">
        <f t="shared" si="2"/>
        <v>29494.692500000026</v>
      </c>
    </row>
    <row r="45" spans="1:9" hidden="1" x14ac:dyDescent="0.2">
      <c r="A45" s="231">
        <f t="shared" si="0"/>
        <v>38</v>
      </c>
      <c r="B45" s="226">
        <f>+B44+30</f>
        <v>41388</v>
      </c>
      <c r="D45" s="318">
        <v>-7132.2800000000016</v>
      </c>
      <c r="F45" s="305">
        <v>3.2500000000000001E-2</v>
      </c>
      <c r="G45" s="241">
        <f t="shared" si="4"/>
        <v>70.22</v>
      </c>
      <c r="H45" s="234">
        <f t="shared" si="1"/>
        <v>-7062.0275000000011</v>
      </c>
      <c r="I45" s="241">
        <f t="shared" si="2"/>
        <v>22432.665000000026</v>
      </c>
    </row>
    <row r="46" spans="1:9" hidden="1" x14ac:dyDescent="0.2">
      <c r="A46" s="231">
        <f t="shared" si="0"/>
        <v>39</v>
      </c>
      <c r="B46" s="226">
        <f>+B45+31</f>
        <v>41419</v>
      </c>
      <c r="D46" s="318">
        <v>-4751.7800000000025</v>
      </c>
      <c r="F46" s="305">
        <v>3.2500000000000001E-2</v>
      </c>
      <c r="G46" s="241">
        <f t="shared" si="4"/>
        <v>54.32</v>
      </c>
      <c r="H46" s="234">
        <f t="shared" si="1"/>
        <v>-4697.4275000000025</v>
      </c>
      <c r="I46" s="241">
        <f t="shared" si="2"/>
        <v>17735.237500000025</v>
      </c>
    </row>
    <row r="47" spans="1:9" hidden="1" x14ac:dyDescent="0.2">
      <c r="A47" s="231">
        <f t="shared" si="0"/>
        <v>40</v>
      </c>
      <c r="B47" s="226">
        <f>+B46+30</f>
        <v>41449</v>
      </c>
      <c r="D47" s="318">
        <v>-3715.93</v>
      </c>
      <c r="F47" s="305">
        <v>3.2500000000000001E-2</v>
      </c>
      <c r="G47" s="241">
        <f t="shared" si="4"/>
        <v>43</v>
      </c>
      <c r="H47" s="234">
        <f t="shared" si="1"/>
        <v>-3672.8975</v>
      </c>
      <c r="I47" s="241">
        <f t="shared" si="2"/>
        <v>14062.340000000026</v>
      </c>
    </row>
    <row r="48" spans="1:9" hidden="1" x14ac:dyDescent="0.2">
      <c r="A48" s="231">
        <f t="shared" si="0"/>
        <v>41</v>
      </c>
      <c r="B48" s="226">
        <f>+B47+31</f>
        <v>41480</v>
      </c>
      <c r="C48" s="306"/>
      <c r="D48" s="318">
        <v>-2679.96</v>
      </c>
      <c r="F48" s="305">
        <v>3.2500000000000001E-2</v>
      </c>
      <c r="G48" s="241">
        <f t="shared" si="4"/>
        <v>34.46</v>
      </c>
      <c r="H48" s="234">
        <f t="shared" ref="H48:H91" si="5">SUM(D48:G48)</f>
        <v>-2645.4675000000002</v>
      </c>
      <c r="I48" s="241">
        <f t="shared" si="2"/>
        <v>11416.872500000025</v>
      </c>
    </row>
    <row r="49" spans="1:9" hidden="1" x14ac:dyDescent="0.2">
      <c r="A49" s="231">
        <f t="shared" si="0"/>
        <v>42</v>
      </c>
      <c r="B49" s="226">
        <f>+B48+31</f>
        <v>41511</v>
      </c>
      <c r="C49" s="306"/>
      <c r="D49" s="318">
        <v>-2334.2399999999993</v>
      </c>
      <c r="F49" s="305">
        <v>3.2500000000000001E-2</v>
      </c>
      <c r="G49" s="241">
        <f t="shared" si="4"/>
        <v>27.76</v>
      </c>
      <c r="H49" s="234">
        <f t="shared" si="5"/>
        <v>-2306.4474999999993</v>
      </c>
      <c r="I49" s="241">
        <f t="shared" si="2"/>
        <v>9110.4250000000247</v>
      </c>
    </row>
    <row r="50" spans="1:9" hidden="1" x14ac:dyDescent="0.2">
      <c r="A50" s="231">
        <f t="shared" si="0"/>
        <v>43</v>
      </c>
      <c r="B50" s="226">
        <f>+B49+30</f>
        <v>41541</v>
      </c>
      <c r="C50" s="306"/>
      <c r="D50" s="318">
        <v>-2364.1199999999994</v>
      </c>
      <c r="F50" s="305">
        <v>3.2500000000000001E-2</v>
      </c>
      <c r="G50" s="241">
        <f t="shared" si="4"/>
        <v>21.47</v>
      </c>
      <c r="H50" s="234">
        <f t="shared" si="5"/>
        <v>-2342.6174999999998</v>
      </c>
      <c r="I50" s="241">
        <f t="shared" si="2"/>
        <v>6767.8075000000244</v>
      </c>
    </row>
    <row r="51" spans="1:9" hidden="1" x14ac:dyDescent="0.2">
      <c r="A51" s="231">
        <f t="shared" si="0"/>
        <v>44</v>
      </c>
      <c r="B51" s="226">
        <f>+B50+31</f>
        <v>41572</v>
      </c>
      <c r="C51" s="306"/>
      <c r="D51" s="318">
        <v>-4391.3599999999997</v>
      </c>
      <c r="F51" s="305">
        <v>3.2500000000000001E-2</v>
      </c>
      <c r="G51" s="241">
        <f t="shared" si="4"/>
        <v>12.38</v>
      </c>
      <c r="H51" s="234">
        <f t="shared" si="5"/>
        <v>-4378.9474999999993</v>
      </c>
      <c r="I51" s="263">
        <f t="shared" si="2"/>
        <v>2388.8600000000251</v>
      </c>
    </row>
    <row r="52" spans="1:9" hidden="1" x14ac:dyDescent="0.2">
      <c r="A52" s="231">
        <f t="shared" si="0"/>
        <v>45</v>
      </c>
      <c r="B52" s="226">
        <f>+B51+30</f>
        <v>41602</v>
      </c>
      <c r="C52" s="306" t="s">
        <v>189</v>
      </c>
      <c r="D52" s="318">
        <v>-3843.44</v>
      </c>
      <c r="F52" s="305">
        <v>3.2500000000000001E-2</v>
      </c>
      <c r="G52" s="241">
        <f t="shared" si="4"/>
        <v>1.27</v>
      </c>
      <c r="H52" s="234">
        <f t="shared" si="5"/>
        <v>-3842.1375000000003</v>
      </c>
      <c r="I52" s="263">
        <f t="shared" si="2"/>
        <v>-1453.2774999999751</v>
      </c>
    </row>
    <row r="53" spans="1:9" hidden="1" x14ac:dyDescent="0.2">
      <c r="A53" s="231">
        <f t="shared" si="0"/>
        <v>46</v>
      </c>
      <c r="B53" s="226">
        <f>+B52</f>
        <v>41602</v>
      </c>
      <c r="C53" s="306" t="s">
        <v>190</v>
      </c>
      <c r="D53" s="318">
        <v>-543.0100000000001</v>
      </c>
      <c r="E53" s="234">
        <v>15228.79</v>
      </c>
      <c r="F53" s="305">
        <v>3.2500000000000001E-2</v>
      </c>
      <c r="G53" s="307">
        <f>ROUND((E53+(D53/2))*F53/12,2)</f>
        <v>40.51</v>
      </c>
      <c r="H53" s="234">
        <f t="shared" si="5"/>
        <v>14726.3225</v>
      </c>
      <c r="I53" s="263">
        <f t="shared" si="2"/>
        <v>13273.045000000026</v>
      </c>
    </row>
    <row r="54" spans="1:9" hidden="1" x14ac:dyDescent="0.2">
      <c r="A54" s="231">
        <f t="shared" si="0"/>
        <v>47</v>
      </c>
      <c r="B54" s="226">
        <f>+B52+31</f>
        <v>41633</v>
      </c>
      <c r="C54" s="306"/>
      <c r="D54" s="318">
        <v>-2793.6199999999994</v>
      </c>
      <c r="F54" s="305">
        <v>3.2500000000000001E-2</v>
      </c>
      <c r="G54" s="241">
        <f t="shared" ref="G54:G65" si="6">ROUND((+I53+E54+(D54/2))*F54/12,2)</f>
        <v>32.159999999999997</v>
      </c>
      <c r="H54" s="234">
        <f t="shared" si="5"/>
        <v>-2761.4274999999998</v>
      </c>
      <c r="I54" s="263">
        <f t="shared" si="2"/>
        <v>10511.617500000026</v>
      </c>
    </row>
    <row r="55" spans="1:9" hidden="1" x14ac:dyDescent="0.2">
      <c r="A55" s="231">
        <f t="shared" si="0"/>
        <v>48</v>
      </c>
      <c r="B55" s="247">
        <f>+B54+31</f>
        <v>41664</v>
      </c>
      <c r="C55" s="306"/>
      <c r="D55" s="318">
        <v>-3064.7799999999997</v>
      </c>
      <c r="F55" s="305">
        <v>3.2500000000000001E-2</v>
      </c>
      <c r="G55" s="241">
        <f t="shared" si="6"/>
        <v>24.32</v>
      </c>
      <c r="H55" s="234">
        <f t="shared" si="5"/>
        <v>-3040.4274999999998</v>
      </c>
      <c r="I55" s="263">
        <f t="shared" si="2"/>
        <v>7471.190000000026</v>
      </c>
    </row>
    <row r="56" spans="1:9" hidden="1" x14ac:dyDescent="0.2">
      <c r="A56" s="231">
        <f t="shared" si="0"/>
        <v>49</v>
      </c>
      <c r="B56" s="239">
        <f>+B55+28</f>
        <v>41692</v>
      </c>
      <c r="C56" s="306"/>
      <c r="D56" s="318">
        <v>-2819.99</v>
      </c>
      <c r="F56" s="305">
        <v>3.2500000000000001E-2</v>
      </c>
      <c r="G56" s="241">
        <f t="shared" si="6"/>
        <v>16.420000000000002</v>
      </c>
      <c r="H56" s="234">
        <f t="shared" si="5"/>
        <v>-2803.5374999999999</v>
      </c>
      <c r="I56" s="263">
        <f t="shared" si="2"/>
        <v>4667.6525000000256</v>
      </c>
    </row>
    <row r="57" spans="1:9" hidden="1" x14ac:dyDescent="0.2">
      <c r="A57" s="231">
        <f t="shared" si="0"/>
        <v>50</v>
      </c>
      <c r="B57" s="239">
        <f>+B56+31</f>
        <v>41723</v>
      </c>
      <c r="C57" s="306"/>
      <c r="D57" s="318">
        <v>-2022.1400000000003</v>
      </c>
      <c r="F57" s="305">
        <v>3.2500000000000001E-2</v>
      </c>
      <c r="G57" s="241">
        <f t="shared" si="6"/>
        <v>9.9</v>
      </c>
      <c r="H57" s="234">
        <f t="shared" si="5"/>
        <v>-2012.2075000000002</v>
      </c>
      <c r="I57" s="263">
        <f t="shared" si="2"/>
        <v>2655.4450000000252</v>
      </c>
    </row>
    <row r="58" spans="1:9" hidden="1" x14ac:dyDescent="0.2">
      <c r="A58" s="231">
        <f t="shared" si="0"/>
        <v>51</v>
      </c>
      <c r="B58" s="226">
        <f>+B57+30</f>
        <v>41753</v>
      </c>
      <c r="C58" s="306"/>
      <c r="D58" s="318">
        <v>-1409.5099999999995</v>
      </c>
      <c r="F58" s="305">
        <v>3.2500000000000001E-2</v>
      </c>
      <c r="G58" s="241">
        <f t="shared" si="6"/>
        <v>5.28</v>
      </c>
      <c r="H58" s="234">
        <f t="shared" si="5"/>
        <v>-1404.1974999999995</v>
      </c>
      <c r="I58" s="263">
        <f t="shared" si="2"/>
        <v>1251.2475000000256</v>
      </c>
    </row>
    <row r="59" spans="1:9" hidden="1" x14ac:dyDescent="0.2">
      <c r="A59" s="231">
        <f t="shared" si="0"/>
        <v>52</v>
      </c>
      <c r="B59" s="226">
        <f>+B58+31</f>
        <v>41784</v>
      </c>
      <c r="C59" s="306"/>
      <c r="D59" s="318">
        <v>-934.61</v>
      </c>
      <c r="F59" s="305">
        <v>3.2500000000000001E-2</v>
      </c>
      <c r="G59" s="241">
        <f t="shared" si="6"/>
        <v>2.12</v>
      </c>
      <c r="H59" s="234">
        <f t="shared" si="5"/>
        <v>-932.45749999999998</v>
      </c>
      <c r="I59" s="263">
        <f t="shared" si="2"/>
        <v>318.79000000002566</v>
      </c>
    </row>
    <row r="60" spans="1:9" hidden="1" x14ac:dyDescent="0.2">
      <c r="A60" s="231">
        <f t="shared" si="0"/>
        <v>53</v>
      </c>
      <c r="B60" s="226">
        <f>+B59+30</f>
        <v>41814</v>
      </c>
      <c r="C60" s="306"/>
      <c r="D60" s="318">
        <v>-627.74</v>
      </c>
      <c r="F60" s="305">
        <v>3.2500000000000001E-2</v>
      </c>
      <c r="G60" s="241">
        <f t="shared" si="6"/>
        <v>0.01</v>
      </c>
      <c r="H60" s="234">
        <f t="shared" si="5"/>
        <v>-627.69749999999999</v>
      </c>
      <c r="I60" s="263">
        <f t="shared" si="2"/>
        <v>-308.90749999997433</v>
      </c>
    </row>
    <row r="61" spans="1:9" hidden="1" x14ac:dyDescent="0.2">
      <c r="A61" s="231">
        <f t="shared" si="0"/>
        <v>54</v>
      </c>
      <c r="B61" s="226">
        <f>+B60+31</f>
        <v>41845</v>
      </c>
      <c r="C61" s="306"/>
      <c r="D61" s="318">
        <v>-549.55999999999995</v>
      </c>
      <c r="F61" s="305">
        <v>3.2500000000000001E-2</v>
      </c>
      <c r="G61" s="241">
        <f t="shared" si="6"/>
        <v>-1.58</v>
      </c>
      <c r="H61" s="234">
        <f t="shared" si="5"/>
        <v>-551.10749999999996</v>
      </c>
      <c r="I61" s="263">
        <f t="shared" si="2"/>
        <v>-860.01499999997429</v>
      </c>
    </row>
    <row r="62" spans="1:9" hidden="1" x14ac:dyDescent="0.2">
      <c r="A62" s="231">
        <f t="shared" si="0"/>
        <v>55</v>
      </c>
      <c r="B62" s="226">
        <f>+B61+31</f>
        <v>41876</v>
      </c>
      <c r="C62" s="306"/>
      <c r="D62" s="318">
        <v>-444.39</v>
      </c>
      <c r="F62" s="305">
        <v>3.2500000000000001E-2</v>
      </c>
      <c r="G62" s="241">
        <f t="shared" si="6"/>
        <v>-2.93</v>
      </c>
      <c r="H62" s="234">
        <f t="shared" si="5"/>
        <v>-447.28749999999997</v>
      </c>
      <c r="I62" s="263">
        <f t="shared" si="2"/>
        <v>-1307.3024999999743</v>
      </c>
    </row>
    <row r="63" spans="1:9" hidden="1" x14ac:dyDescent="0.2">
      <c r="A63" s="231">
        <f t="shared" si="0"/>
        <v>56</v>
      </c>
      <c r="B63" s="226">
        <f>+B62+30</f>
        <v>41906</v>
      </c>
      <c r="C63" s="306"/>
      <c r="D63" s="318">
        <v>-462.99</v>
      </c>
      <c r="F63" s="305">
        <v>3.2500000000000001E-2</v>
      </c>
      <c r="G63" s="241">
        <f t="shared" si="6"/>
        <v>-4.17</v>
      </c>
      <c r="H63" s="234">
        <f t="shared" si="5"/>
        <v>-467.1275</v>
      </c>
      <c r="I63" s="263">
        <f t="shared" si="2"/>
        <v>-1774.4299999999744</v>
      </c>
    </row>
    <row r="64" spans="1:9" hidden="1" x14ac:dyDescent="0.2">
      <c r="A64" s="231">
        <f t="shared" si="0"/>
        <v>57</v>
      </c>
      <c r="B64" s="226">
        <f>+B63+31</f>
        <v>41937</v>
      </c>
      <c r="C64" s="306"/>
      <c r="D64" s="318">
        <v>-542.05999999999995</v>
      </c>
      <c r="F64" s="308">
        <v>3.2500000000000001E-2</v>
      </c>
      <c r="G64" s="241">
        <f t="shared" si="6"/>
        <v>-5.54</v>
      </c>
      <c r="H64" s="234">
        <f t="shared" si="5"/>
        <v>-547.56749999999988</v>
      </c>
      <c r="I64" s="263">
        <f t="shared" si="2"/>
        <v>-2321.997499999974</v>
      </c>
    </row>
    <row r="65" spans="1:11" hidden="1" x14ac:dyDescent="0.2">
      <c r="A65" s="231">
        <f t="shared" si="0"/>
        <v>58</v>
      </c>
      <c r="B65" s="226">
        <f>+B64+30</f>
        <v>41967</v>
      </c>
      <c r="C65" s="226" t="s">
        <v>189</v>
      </c>
      <c r="D65" s="318">
        <v>-594.96</v>
      </c>
      <c r="F65" s="308">
        <v>3.2500000000000001E-2</v>
      </c>
      <c r="G65" s="241">
        <f t="shared" si="6"/>
        <v>-7.09</v>
      </c>
      <c r="H65" s="234">
        <f t="shared" si="5"/>
        <v>-602.01750000000004</v>
      </c>
      <c r="I65" s="263">
        <f t="shared" si="2"/>
        <v>-2924.014999999974</v>
      </c>
    </row>
    <row r="66" spans="1:11" hidden="1" x14ac:dyDescent="0.2">
      <c r="A66" s="231">
        <f t="shared" si="0"/>
        <v>59</v>
      </c>
      <c r="B66" s="226">
        <f>+B65</f>
        <v>41967</v>
      </c>
      <c r="C66" s="226" t="s">
        <v>190</v>
      </c>
      <c r="D66" s="318">
        <v>-2483.6200000000008</v>
      </c>
      <c r="E66" s="234">
        <f>-'[1]186314 WA-LIEE'!E113</f>
        <v>74066.500000000015</v>
      </c>
      <c r="F66" s="308">
        <v>3.2500000000000001E-2</v>
      </c>
      <c r="G66" s="307">
        <f>ROUND((E66+(D66/2))*F66/12,2)</f>
        <v>197.23</v>
      </c>
      <c r="H66" s="234">
        <f t="shared" si="5"/>
        <v>71780.142500000016</v>
      </c>
      <c r="I66" s="263">
        <f t="shared" si="2"/>
        <v>68856.127500000046</v>
      </c>
    </row>
    <row r="67" spans="1:11" hidden="1" x14ac:dyDescent="0.2">
      <c r="A67" s="231">
        <f t="shared" si="0"/>
        <v>60</v>
      </c>
      <c r="B67" s="226">
        <f>+B66+30</f>
        <v>41997</v>
      </c>
      <c r="C67" s="306"/>
      <c r="D67" s="318">
        <v>-10101.670000000002</v>
      </c>
      <c r="F67" s="308">
        <v>3.2500000000000001E-2</v>
      </c>
      <c r="G67" s="241">
        <f t="shared" ref="G67:G78" si="7">ROUND((+I66+E67+(D67/2))*F67/12,2)</f>
        <v>172.81</v>
      </c>
      <c r="H67" s="234">
        <f t="shared" si="5"/>
        <v>-9928.8275000000031</v>
      </c>
      <c r="I67" s="263">
        <f>+I66+H67</f>
        <v>58927.300000000047</v>
      </c>
    </row>
    <row r="68" spans="1:11" hidden="1" x14ac:dyDescent="0.2">
      <c r="A68" s="231">
        <f t="shared" si="0"/>
        <v>61</v>
      </c>
      <c r="B68" s="226">
        <f>+B67+31</f>
        <v>42028</v>
      </c>
      <c r="D68" s="318">
        <v>-11072.779999999999</v>
      </c>
      <c r="F68" s="308">
        <v>3.2500000000000001E-2</v>
      </c>
      <c r="G68" s="241">
        <f t="shared" si="7"/>
        <v>144.6</v>
      </c>
      <c r="H68" s="234">
        <f t="shared" si="5"/>
        <v>-10928.147499999999</v>
      </c>
      <c r="I68" s="263">
        <f t="shared" ref="I68:I117" si="8">+I67+H68</f>
        <v>47999.152500000047</v>
      </c>
    </row>
    <row r="69" spans="1:11" hidden="1" x14ac:dyDescent="0.2">
      <c r="A69" s="231">
        <f t="shared" si="0"/>
        <v>62</v>
      </c>
      <c r="B69" s="226">
        <f>+B68+29</f>
        <v>42057</v>
      </c>
      <c r="D69" s="318">
        <v>-8199.4199999999983</v>
      </c>
      <c r="F69" s="308">
        <v>3.2500000000000001E-2</v>
      </c>
      <c r="G69" s="241">
        <f t="shared" si="7"/>
        <v>118.89</v>
      </c>
      <c r="H69" s="234">
        <f t="shared" si="5"/>
        <v>-8080.4974999999986</v>
      </c>
      <c r="I69" s="263">
        <f t="shared" si="8"/>
        <v>39918.65500000005</v>
      </c>
    </row>
    <row r="70" spans="1:11" hidden="1" x14ac:dyDescent="0.2">
      <c r="A70" s="231">
        <f t="shared" si="0"/>
        <v>63</v>
      </c>
      <c r="B70" s="226">
        <f>+B69+31</f>
        <v>42088</v>
      </c>
      <c r="D70" s="318">
        <v>-6479.5300000000016</v>
      </c>
      <c r="F70" s="308">
        <v>3.2500000000000001E-2</v>
      </c>
      <c r="G70" s="241">
        <f t="shared" si="7"/>
        <v>99.34</v>
      </c>
      <c r="H70" s="234">
        <f t="shared" si="5"/>
        <v>-6380.1575000000012</v>
      </c>
      <c r="I70" s="263">
        <f t="shared" si="8"/>
        <v>33538.497500000049</v>
      </c>
    </row>
    <row r="71" spans="1:11" hidden="1" x14ac:dyDescent="0.2">
      <c r="A71" s="231">
        <f t="shared" si="0"/>
        <v>64</v>
      </c>
      <c r="B71" s="226">
        <f>+B70+30</f>
        <v>42118</v>
      </c>
      <c r="D71" s="318">
        <v>-5266.8500000000013</v>
      </c>
      <c r="F71" s="308">
        <v>3.2500000000000001E-2</v>
      </c>
      <c r="G71" s="241">
        <f t="shared" si="7"/>
        <v>83.7</v>
      </c>
      <c r="H71" s="234">
        <f t="shared" si="5"/>
        <v>-5183.1175000000012</v>
      </c>
      <c r="I71" s="263">
        <f t="shared" si="8"/>
        <v>28355.380000000048</v>
      </c>
    </row>
    <row r="72" spans="1:11" hidden="1" x14ac:dyDescent="0.2">
      <c r="A72" s="231">
        <f t="shared" si="0"/>
        <v>65</v>
      </c>
      <c r="B72" s="226">
        <f>+B71+31</f>
        <v>42149</v>
      </c>
      <c r="D72" s="318">
        <v>-3939.94</v>
      </c>
      <c r="F72" s="308">
        <v>3.2500000000000001E-2</v>
      </c>
      <c r="G72" s="241">
        <f t="shared" si="7"/>
        <v>71.459999999999994</v>
      </c>
      <c r="H72" s="234">
        <f t="shared" si="5"/>
        <v>-3868.4475000000002</v>
      </c>
      <c r="I72" s="263">
        <f t="shared" si="8"/>
        <v>24486.932500000046</v>
      </c>
    </row>
    <row r="73" spans="1:11" hidden="1" x14ac:dyDescent="0.2">
      <c r="A73" s="231">
        <f t="shared" ref="A73:A136" si="9">+A72+1</f>
        <v>66</v>
      </c>
      <c r="B73" s="226">
        <f>+B72+30</f>
        <v>42179</v>
      </c>
      <c r="D73" s="318">
        <v>-2659.88</v>
      </c>
      <c r="F73" s="308">
        <v>3.2500000000000001E-2</v>
      </c>
      <c r="G73" s="241">
        <f t="shared" si="7"/>
        <v>62.72</v>
      </c>
      <c r="H73" s="234">
        <f t="shared" si="5"/>
        <v>-2597.1275000000005</v>
      </c>
      <c r="I73" s="263">
        <f t="shared" si="8"/>
        <v>21889.805000000044</v>
      </c>
    </row>
    <row r="74" spans="1:11" hidden="1" x14ac:dyDescent="0.2">
      <c r="A74" s="231">
        <f t="shared" si="9"/>
        <v>67</v>
      </c>
      <c r="B74" s="226">
        <f>+B73+31</f>
        <v>42210</v>
      </c>
      <c r="D74" s="318">
        <v>-1979.8400000000001</v>
      </c>
      <c r="F74" s="308">
        <v>3.2500000000000001E-2</v>
      </c>
      <c r="G74" s="241">
        <f t="shared" si="7"/>
        <v>56.6</v>
      </c>
      <c r="H74" s="234">
        <f t="shared" si="5"/>
        <v>-1923.2075000000002</v>
      </c>
      <c r="I74" s="263">
        <f t="shared" si="8"/>
        <v>19966.597500000044</v>
      </c>
      <c r="J74" s="228"/>
      <c r="K74" s="228"/>
    </row>
    <row r="75" spans="1:11" hidden="1" x14ac:dyDescent="0.2">
      <c r="A75" s="231">
        <f t="shared" si="9"/>
        <v>68</v>
      </c>
      <c r="B75" s="226">
        <f>+B74+31</f>
        <v>42241</v>
      </c>
      <c r="D75" s="228">
        <v>-1861.55</v>
      </c>
      <c r="F75" s="308">
        <v>3.2500000000000001E-2</v>
      </c>
      <c r="G75" s="241">
        <f t="shared" si="7"/>
        <v>51.56</v>
      </c>
      <c r="H75" s="234">
        <f t="shared" si="5"/>
        <v>-1809.9575</v>
      </c>
      <c r="I75" s="263">
        <f t="shared" si="8"/>
        <v>18156.640000000043</v>
      </c>
    </row>
    <row r="76" spans="1:11" hidden="1" x14ac:dyDescent="0.2">
      <c r="A76" s="231">
        <f t="shared" si="9"/>
        <v>69</v>
      </c>
      <c r="B76" s="226">
        <f>+B75+30</f>
        <v>42271</v>
      </c>
      <c r="C76" s="278"/>
      <c r="D76" s="318">
        <v>-2145.9299999999998</v>
      </c>
      <c r="E76" s="241"/>
      <c r="F76" s="308">
        <v>3.2500000000000001E-2</v>
      </c>
      <c r="G76" s="263">
        <f t="shared" si="7"/>
        <v>46.27</v>
      </c>
      <c r="H76" s="302">
        <f t="shared" si="5"/>
        <v>-2099.6275000000001</v>
      </c>
      <c r="I76" s="263">
        <f t="shared" si="8"/>
        <v>16057.012500000043</v>
      </c>
    </row>
    <row r="77" spans="1:11" hidden="1" x14ac:dyDescent="0.2">
      <c r="A77" s="231">
        <f t="shared" si="9"/>
        <v>70</v>
      </c>
      <c r="B77" s="226">
        <f>+B76+31</f>
        <v>42302</v>
      </c>
      <c r="C77" s="278"/>
      <c r="D77" s="318">
        <v>-2568.61</v>
      </c>
      <c r="E77" s="230"/>
      <c r="F77" s="309">
        <v>3.2500000000000001E-2</v>
      </c>
      <c r="G77" s="263">
        <f t="shared" si="7"/>
        <v>40.01</v>
      </c>
      <c r="H77" s="302">
        <f t="shared" si="5"/>
        <v>-2528.5675000000001</v>
      </c>
      <c r="I77" s="263">
        <f t="shared" si="8"/>
        <v>13528.445000000043</v>
      </c>
    </row>
    <row r="78" spans="1:11" hidden="1" x14ac:dyDescent="0.2">
      <c r="A78" s="231">
        <f t="shared" si="9"/>
        <v>71</v>
      </c>
      <c r="B78" s="226">
        <f>+B77+30</f>
        <v>42332</v>
      </c>
      <c r="C78" s="310" t="s">
        <v>189</v>
      </c>
      <c r="D78" s="318">
        <v>-2368.91</v>
      </c>
      <c r="E78" s="241"/>
      <c r="F78" s="308">
        <v>3.2500000000000001E-2</v>
      </c>
      <c r="G78" s="241">
        <f t="shared" si="7"/>
        <v>33.43</v>
      </c>
      <c r="H78" s="234">
        <f t="shared" si="5"/>
        <v>-2335.4475000000002</v>
      </c>
      <c r="I78" s="263">
        <f t="shared" si="8"/>
        <v>11192.997500000043</v>
      </c>
      <c r="J78" s="263"/>
    </row>
    <row r="79" spans="1:11" hidden="1" x14ac:dyDescent="0.2">
      <c r="A79" s="231">
        <f t="shared" si="9"/>
        <v>72</v>
      </c>
      <c r="B79" s="226">
        <f>+B78</f>
        <v>42332</v>
      </c>
      <c r="C79" s="226" t="s">
        <v>190</v>
      </c>
      <c r="D79" s="318">
        <v>-2120.9499999999998</v>
      </c>
      <c r="E79" s="241">
        <v>58051.62</v>
      </c>
      <c r="F79" s="308">
        <v>3.2500000000000001E-2</v>
      </c>
      <c r="G79" s="241">
        <f>ROUND((E79+(D79/2))*F79/12,2)</f>
        <v>154.35</v>
      </c>
      <c r="H79" s="234">
        <f t="shared" si="5"/>
        <v>56085.052500000005</v>
      </c>
      <c r="I79" s="263">
        <f>+I78+H79-3.61</f>
        <v>67274.440000000046</v>
      </c>
      <c r="J79" s="263"/>
    </row>
    <row r="80" spans="1:11" hidden="1" x14ac:dyDescent="0.2">
      <c r="A80" s="231">
        <f t="shared" si="9"/>
        <v>73</v>
      </c>
      <c r="B80" s="226">
        <f>B78+31</f>
        <v>42363</v>
      </c>
      <c r="C80" s="278"/>
      <c r="D80" s="318">
        <v>-10473.540000000005</v>
      </c>
      <c r="F80" s="308">
        <v>3.2500000000000001E-2</v>
      </c>
      <c r="G80" s="241">
        <f t="shared" ref="G80:G91" si="10">ROUND((+I79+E80+(D80/2))*F80/12,2)</f>
        <v>168.02</v>
      </c>
      <c r="H80" s="234">
        <f t="shared" si="5"/>
        <v>-10305.487500000005</v>
      </c>
      <c r="I80" s="263">
        <f>+I79+H80+0.01</f>
        <v>56968.962500000045</v>
      </c>
    </row>
    <row r="81" spans="1:9" hidden="1" x14ac:dyDescent="0.2">
      <c r="A81" s="231">
        <f t="shared" si="9"/>
        <v>74</v>
      </c>
      <c r="B81" s="226">
        <f>B80+31</f>
        <v>42394</v>
      </c>
      <c r="C81" s="278"/>
      <c r="D81" s="318">
        <v>-12627.769999999999</v>
      </c>
      <c r="F81" s="308">
        <v>3.2500000000000001E-2</v>
      </c>
      <c r="G81" s="263">
        <f t="shared" si="10"/>
        <v>137.19</v>
      </c>
      <c r="H81" s="302">
        <f t="shared" si="5"/>
        <v>-12490.547499999999</v>
      </c>
      <c r="I81" s="263">
        <f t="shared" si="8"/>
        <v>44478.415000000045</v>
      </c>
    </row>
    <row r="82" spans="1:9" hidden="1" x14ac:dyDescent="0.2">
      <c r="A82" s="231">
        <f t="shared" si="9"/>
        <v>75</v>
      </c>
      <c r="B82" s="226">
        <f>B81+29</f>
        <v>42423</v>
      </c>
      <c r="C82" s="278"/>
      <c r="D82" s="318">
        <v>-8373.4600000000028</v>
      </c>
      <c r="F82" s="308">
        <v>3.2500000000000001E-2</v>
      </c>
      <c r="G82" s="263">
        <f t="shared" si="10"/>
        <v>109.12</v>
      </c>
      <c r="H82" s="302">
        <f t="shared" si="5"/>
        <v>-8264.3075000000026</v>
      </c>
      <c r="I82" s="263">
        <f t="shared" si="8"/>
        <v>36214.107500000042</v>
      </c>
    </row>
    <row r="83" spans="1:9" hidden="1" x14ac:dyDescent="0.2">
      <c r="A83" s="231">
        <f t="shared" si="9"/>
        <v>76</v>
      </c>
      <c r="B83" s="226">
        <f>B82+31</f>
        <v>42454</v>
      </c>
      <c r="C83" s="278"/>
      <c r="D83" s="318">
        <v>-7108.81</v>
      </c>
      <c r="F83" s="308">
        <v>3.2500000000000001E-2</v>
      </c>
      <c r="G83" s="263">
        <f t="shared" si="10"/>
        <v>88.45</v>
      </c>
      <c r="H83" s="302">
        <f t="shared" si="5"/>
        <v>-7020.3275000000003</v>
      </c>
      <c r="I83" s="263">
        <f t="shared" si="8"/>
        <v>29193.780000000042</v>
      </c>
    </row>
    <row r="84" spans="1:9" hidden="1" x14ac:dyDescent="0.2">
      <c r="A84" s="231">
        <f t="shared" si="9"/>
        <v>77</v>
      </c>
      <c r="B84" s="226">
        <f>B83+30</f>
        <v>42484</v>
      </c>
      <c r="C84" s="278"/>
      <c r="D84" s="318">
        <v>-5247.92</v>
      </c>
      <c r="F84" s="308">
        <v>3.4599999999999999E-2</v>
      </c>
      <c r="G84" s="263">
        <f t="shared" si="10"/>
        <v>76.61</v>
      </c>
      <c r="H84" s="302">
        <f t="shared" si="5"/>
        <v>-5171.2754000000004</v>
      </c>
      <c r="I84" s="263">
        <f t="shared" si="8"/>
        <v>24022.504600000044</v>
      </c>
    </row>
    <row r="85" spans="1:9" hidden="1" x14ac:dyDescent="0.2">
      <c r="A85" s="231">
        <f t="shared" si="9"/>
        <v>78</v>
      </c>
      <c r="B85" s="226">
        <f>B84+31</f>
        <v>42515</v>
      </c>
      <c r="C85" s="278"/>
      <c r="D85" s="318">
        <v>-3208.8100000000004</v>
      </c>
      <c r="E85" s="241"/>
      <c r="F85" s="308">
        <v>3.4599999999999999E-2</v>
      </c>
      <c r="G85" s="263">
        <f t="shared" si="10"/>
        <v>64.64</v>
      </c>
      <c r="H85" s="302">
        <f t="shared" si="5"/>
        <v>-3144.1354000000006</v>
      </c>
      <c r="I85" s="263">
        <f t="shared" si="8"/>
        <v>20878.369200000045</v>
      </c>
    </row>
    <row r="86" spans="1:9" hidden="1" x14ac:dyDescent="0.2">
      <c r="A86" s="231">
        <f t="shared" si="9"/>
        <v>79</v>
      </c>
      <c r="B86" s="226">
        <f>B85+30</f>
        <v>42545</v>
      </c>
      <c r="C86" s="278"/>
      <c r="D86" s="318">
        <v>-2779.57</v>
      </c>
      <c r="F86" s="308">
        <v>3.4599999999999999E-2</v>
      </c>
      <c r="G86" s="263">
        <f t="shared" si="10"/>
        <v>56.19</v>
      </c>
      <c r="H86" s="302">
        <f t="shared" si="5"/>
        <v>-2723.3454000000002</v>
      </c>
      <c r="I86" s="263">
        <f t="shared" si="8"/>
        <v>18155.023800000046</v>
      </c>
    </row>
    <row r="87" spans="1:9" hidden="1" x14ac:dyDescent="0.2">
      <c r="A87" s="231">
        <f t="shared" si="9"/>
        <v>80</v>
      </c>
      <c r="B87" s="226">
        <f>B86+31</f>
        <v>42576</v>
      </c>
      <c r="C87" s="278"/>
      <c r="D87" s="318">
        <v>-2205.3799999999992</v>
      </c>
      <c r="F87" s="308">
        <v>3.5000000000000003E-2</v>
      </c>
      <c r="G87" s="263">
        <f t="shared" si="10"/>
        <v>49.74</v>
      </c>
      <c r="H87" s="302">
        <f t="shared" si="5"/>
        <v>-2155.6049999999996</v>
      </c>
      <c r="I87" s="263">
        <f t="shared" si="8"/>
        <v>15999.418800000047</v>
      </c>
    </row>
    <row r="88" spans="1:9" hidden="1" x14ac:dyDescent="0.2">
      <c r="A88" s="231">
        <f t="shared" si="9"/>
        <v>81</v>
      </c>
      <c r="B88" s="226">
        <f>B87+31</f>
        <v>42607</v>
      </c>
      <c r="C88" s="278"/>
      <c r="D88" s="318">
        <v>-1926.1200000000001</v>
      </c>
      <c r="F88" s="308">
        <v>3.5000000000000003E-2</v>
      </c>
      <c r="G88" s="263">
        <f t="shared" si="10"/>
        <v>43.86</v>
      </c>
      <c r="H88" s="302">
        <f t="shared" si="5"/>
        <v>-1882.2250000000001</v>
      </c>
      <c r="I88" s="263">
        <f t="shared" si="8"/>
        <v>14117.193800000046</v>
      </c>
    </row>
    <row r="89" spans="1:9" hidden="1" x14ac:dyDescent="0.2">
      <c r="A89" s="231">
        <f t="shared" si="9"/>
        <v>82</v>
      </c>
      <c r="B89" s="226">
        <f>B88+30</f>
        <v>42637</v>
      </c>
      <c r="C89" s="278"/>
      <c r="D89" s="318">
        <v>-2089.75</v>
      </c>
      <c r="F89" s="308">
        <v>3.5000000000000003E-2</v>
      </c>
      <c r="G89" s="263">
        <f t="shared" si="10"/>
        <v>38.130000000000003</v>
      </c>
      <c r="H89" s="302">
        <f t="shared" si="5"/>
        <v>-2051.585</v>
      </c>
      <c r="I89" s="263">
        <f t="shared" si="8"/>
        <v>12065.608800000045</v>
      </c>
    </row>
    <row r="90" spans="1:9" hidden="1" x14ac:dyDescent="0.2">
      <c r="A90" s="231">
        <f t="shared" si="9"/>
        <v>83</v>
      </c>
      <c r="B90" s="226">
        <f>B89+31</f>
        <v>42668</v>
      </c>
      <c r="C90" s="278"/>
      <c r="D90" s="318">
        <v>-3035.2299999999991</v>
      </c>
      <c r="F90" s="308">
        <v>3.5000000000000003E-2</v>
      </c>
      <c r="G90" s="263">
        <f t="shared" si="10"/>
        <v>30.76</v>
      </c>
      <c r="H90" s="302">
        <f t="shared" si="5"/>
        <v>-3004.434999999999</v>
      </c>
      <c r="I90" s="263">
        <f t="shared" si="8"/>
        <v>9061.173800000046</v>
      </c>
    </row>
    <row r="91" spans="1:9" hidden="1" x14ac:dyDescent="0.2">
      <c r="A91" s="231">
        <f t="shared" si="9"/>
        <v>84</v>
      </c>
      <c r="B91" s="291">
        <f>B90+30</f>
        <v>42698</v>
      </c>
      <c r="C91" s="310" t="s">
        <v>189</v>
      </c>
      <c r="D91" s="318">
        <v>-2688.24</v>
      </c>
      <c r="F91" s="308">
        <v>3.5000000000000003E-2</v>
      </c>
      <c r="G91" s="263">
        <f t="shared" si="10"/>
        <v>22.51</v>
      </c>
      <c r="H91" s="302">
        <f t="shared" si="5"/>
        <v>-2665.6949999999997</v>
      </c>
      <c r="I91" s="263">
        <f t="shared" si="8"/>
        <v>6395.4788000000462</v>
      </c>
    </row>
    <row r="92" spans="1:9" hidden="1" x14ac:dyDescent="0.2">
      <c r="A92" s="231">
        <f t="shared" si="9"/>
        <v>85</v>
      </c>
      <c r="B92" s="291">
        <f>B91</f>
        <v>42698</v>
      </c>
      <c r="C92" s="226" t="s">
        <v>190</v>
      </c>
      <c r="D92" s="318">
        <v>-1453.8400000000004</v>
      </c>
      <c r="E92" s="311">
        <v>44171.43</v>
      </c>
      <c r="F92" s="308">
        <v>3.5000000000000003E-2</v>
      </c>
      <c r="G92" s="312">
        <f>ROUND((+E92+(D92/2))*F92/12,2)</f>
        <v>126.71</v>
      </c>
      <c r="H92" s="313">
        <f t="shared" ref="H92:H117" si="11">+D92+E92+G92</f>
        <v>42844.299999999996</v>
      </c>
      <c r="I92" s="314">
        <f t="shared" si="8"/>
        <v>49239.778800000044</v>
      </c>
    </row>
    <row r="93" spans="1:9" hidden="1" x14ac:dyDescent="0.2">
      <c r="A93" s="231">
        <f t="shared" si="9"/>
        <v>86</v>
      </c>
      <c r="B93" s="291">
        <f>B92+31</f>
        <v>42729</v>
      </c>
      <c r="C93" s="310"/>
      <c r="D93" s="318">
        <v>-7423.88</v>
      </c>
      <c r="F93" s="308">
        <v>3.5000000000000003E-2</v>
      </c>
      <c r="G93" s="263">
        <f t="shared" ref="G93:G117" si="12">ROUND((+I92+E93+(D93/2))*F93/12,2)</f>
        <v>132.79</v>
      </c>
      <c r="H93" s="313">
        <f t="shared" si="11"/>
        <v>-7291.09</v>
      </c>
      <c r="I93" s="263">
        <f t="shared" si="8"/>
        <v>41948.688800000047</v>
      </c>
    </row>
    <row r="94" spans="1:9" hidden="1" x14ac:dyDescent="0.2">
      <c r="A94" s="231">
        <f t="shared" si="9"/>
        <v>87</v>
      </c>
      <c r="B94" s="291">
        <f t="shared" ref="B94:B103" si="13">B93+31</f>
        <v>42760</v>
      </c>
      <c r="C94" s="310"/>
      <c r="D94" s="318">
        <v>-12804.150000000001</v>
      </c>
      <c r="F94" s="308">
        <v>3.5000000000000003E-2</v>
      </c>
      <c r="G94" s="263">
        <f t="shared" si="12"/>
        <v>103.68</v>
      </c>
      <c r="H94" s="313">
        <f t="shared" si="11"/>
        <v>-12700.470000000001</v>
      </c>
      <c r="I94" s="263">
        <f t="shared" si="8"/>
        <v>29248.218800000046</v>
      </c>
    </row>
    <row r="95" spans="1:9" hidden="1" x14ac:dyDescent="0.2">
      <c r="A95" s="231">
        <f t="shared" si="9"/>
        <v>88</v>
      </c>
      <c r="B95" s="291">
        <f t="shared" si="13"/>
        <v>42791</v>
      </c>
      <c r="C95" s="310"/>
      <c r="D95" s="318">
        <v>-9628.1400000000012</v>
      </c>
      <c r="F95" s="308">
        <v>3.5000000000000003E-2</v>
      </c>
      <c r="G95" s="263">
        <f t="shared" si="12"/>
        <v>71.27</v>
      </c>
      <c r="H95" s="313">
        <f t="shared" si="11"/>
        <v>-9556.8700000000008</v>
      </c>
      <c r="I95" s="263">
        <f t="shared" si="8"/>
        <v>19691.348800000043</v>
      </c>
    </row>
    <row r="96" spans="1:9" hidden="1" x14ac:dyDescent="0.2">
      <c r="A96" s="231">
        <f t="shared" si="9"/>
        <v>89</v>
      </c>
      <c r="B96" s="291">
        <f t="shared" si="13"/>
        <v>42822</v>
      </c>
      <c r="C96" s="310"/>
      <c r="D96" s="318">
        <v>-7479.3000000000011</v>
      </c>
      <c r="F96" s="308">
        <v>3.5000000000000003E-2</v>
      </c>
      <c r="G96" s="263">
        <f t="shared" si="12"/>
        <v>46.53</v>
      </c>
      <c r="H96" s="313">
        <f t="shared" si="11"/>
        <v>-7432.7700000000013</v>
      </c>
      <c r="I96" s="263">
        <f t="shared" si="8"/>
        <v>12258.578800000043</v>
      </c>
    </row>
    <row r="97" spans="1:9" hidden="1" x14ac:dyDescent="0.2">
      <c r="A97" s="231">
        <f t="shared" si="9"/>
        <v>90</v>
      </c>
      <c r="B97" s="291">
        <f t="shared" si="13"/>
        <v>42853</v>
      </c>
      <c r="C97" s="310"/>
      <c r="D97" s="318">
        <v>-5341.1900000000014</v>
      </c>
      <c r="F97" s="308">
        <v>3.7100000000000001E-2</v>
      </c>
      <c r="G97" s="263">
        <f t="shared" si="12"/>
        <v>29.64</v>
      </c>
      <c r="H97" s="313">
        <f t="shared" si="11"/>
        <v>-5311.5500000000011</v>
      </c>
      <c r="I97" s="263">
        <f t="shared" si="8"/>
        <v>6947.0288000000419</v>
      </c>
    </row>
    <row r="98" spans="1:9" hidden="1" x14ac:dyDescent="0.2">
      <c r="A98" s="231">
        <f t="shared" si="9"/>
        <v>91</v>
      </c>
      <c r="B98" s="291">
        <f t="shared" si="13"/>
        <v>42884</v>
      </c>
      <c r="C98" s="310"/>
      <c r="D98" s="318">
        <v>-3818.7000000000012</v>
      </c>
      <c r="F98" s="308">
        <v>3.7100000000000001E-2</v>
      </c>
      <c r="G98" s="263">
        <f t="shared" si="12"/>
        <v>15.57</v>
      </c>
      <c r="H98" s="313">
        <f t="shared" si="11"/>
        <v>-3803.130000000001</v>
      </c>
      <c r="I98" s="263">
        <f t="shared" si="8"/>
        <v>3143.8988000000409</v>
      </c>
    </row>
    <row r="99" spans="1:9" hidden="1" x14ac:dyDescent="0.2">
      <c r="A99" s="231">
        <f t="shared" si="9"/>
        <v>92</v>
      </c>
      <c r="B99" s="291">
        <f t="shared" si="13"/>
        <v>42915</v>
      </c>
      <c r="C99" s="310"/>
      <c r="D99" s="318">
        <v>-2321.27</v>
      </c>
      <c r="F99" s="308">
        <v>3.7100000000000001E-2</v>
      </c>
      <c r="G99" s="263">
        <f t="shared" si="12"/>
        <v>6.13</v>
      </c>
      <c r="H99" s="313">
        <f t="shared" si="11"/>
        <v>-2315.14</v>
      </c>
      <c r="I99" s="263">
        <f t="shared" si="8"/>
        <v>828.75880000004099</v>
      </c>
    </row>
    <row r="100" spans="1:9" hidden="1" x14ac:dyDescent="0.2">
      <c r="A100" s="231">
        <f t="shared" si="9"/>
        <v>93</v>
      </c>
      <c r="B100" s="291">
        <f t="shared" si="13"/>
        <v>42946</v>
      </c>
      <c r="C100" s="310"/>
      <c r="D100" s="318">
        <v>-1722.8100000000002</v>
      </c>
      <c r="F100" s="308">
        <v>3.9600000000000003E-2</v>
      </c>
      <c r="G100" s="263">
        <f t="shared" si="12"/>
        <v>-0.11</v>
      </c>
      <c r="H100" s="313">
        <f t="shared" si="11"/>
        <v>-1722.92</v>
      </c>
      <c r="I100" s="263">
        <f t="shared" si="8"/>
        <v>-894.16119999995908</v>
      </c>
    </row>
    <row r="101" spans="1:9" hidden="1" x14ac:dyDescent="0.2">
      <c r="A101" s="231">
        <f t="shared" si="9"/>
        <v>94</v>
      </c>
      <c r="B101" s="291">
        <f t="shared" si="13"/>
        <v>42977</v>
      </c>
      <c r="C101" s="310"/>
      <c r="D101" s="318">
        <v>-1429.0900000000004</v>
      </c>
      <c r="F101" s="308">
        <v>3.9600000000000003E-2</v>
      </c>
      <c r="G101" s="263">
        <f t="shared" si="12"/>
        <v>-5.31</v>
      </c>
      <c r="H101" s="313">
        <f t="shared" si="11"/>
        <v>-1434.4000000000003</v>
      </c>
      <c r="I101" s="263">
        <f t="shared" si="8"/>
        <v>-2328.5611999999592</v>
      </c>
    </row>
    <row r="102" spans="1:9" hidden="1" x14ac:dyDescent="0.2">
      <c r="A102" s="231">
        <f t="shared" si="9"/>
        <v>95</v>
      </c>
      <c r="B102" s="291">
        <f t="shared" si="13"/>
        <v>43008</v>
      </c>
      <c r="C102" s="310"/>
      <c r="D102" s="318">
        <v>-1531.1299999999997</v>
      </c>
      <c r="F102" s="308">
        <v>3.9600000000000003E-2</v>
      </c>
      <c r="G102" s="263">
        <f t="shared" si="12"/>
        <v>-10.210000000000001</v>
      </c>
      <c r="H102" s="313">
        <f t="shared" si="11"/>
        <v>-1541.3399999999997</v>
      </c>
      <c r="I102" s="263">
        <f t="shared" si="8"/>
        <v>-3869.9011999999589</v>
      </c>
    </row>
    <row r="103" spans="1:9" hidden="1" x14ac:dyDescent="0.2">
      <c r="A103" s="231">
        <f t="shared" si="9"/>
        <v>96</v>
      </c>
      <c r="B103" s="291">
        <f t="shared" si="13"/>
        <v>43039</v>
      </c>
      <c r="C103" s="310"/>
      <c r="D103" s="318">
        <v>-2522.1199999999994</v>
      </c>
      <c r="F103" s="308">
        <v>4.2099999999999999E-2</v>
      </c>
      <c r="G103" s="263">
        <f t="shared" si="12"/>
        <v>-18</v>
      </c>
      <c r="H103" s="313">
        <f t="shared" si="11"/>
        <v>-2540.1199999999994</v>
      </c>
      <c r="I103" s="263">
        <f t="shared" si="8"/>
        <v>-6410.0211999999583</v>
      </c>
    </row>
    <row r="104" spans="1:9" hidden="1" x14ac:dyDescent="0.2">
      <c r="A104" s="231">
        <f t="shared" si="9"/>
        <v>97</v>
      </c>
      <c r="B104" s="291">
        <f>B103+30</f>
        <v>43069</v>
      </c>
      <c r="C104" s="310" t="s">
        <v>189</v>
      </c>
      <c r="D104" s="318">
        <v>-2762.2000000000003</v>
      </c>
      <c r="F104" s="308">
        <v>4.2099999999999999E-2</v>
      </c>
      <c r="G104" s="263">
        <f t="shared" si="12"/>
        <v>-27.33</v>
      </c>
      <c r="H104" s="313">
        <f t="shared" si="11"/>
        <v>-2789.53</v>
      </c>
      <c r="I104" s="263">
        <f t="shared" si="8"/>
        <v>-9199.551199999958</v>
      </c>
    </row>
    <row r="105" spans="1:9" hidden="1" x14ac:dyDescent="0.2">
      <c r="A105" s="231">
        <f t="shared" si="9"/>
        <v>98</v>
      </c>
      <c r="B105" s="291">
        <v>43069</v>
      </c>
      <c r="C105" s="226" t="s">
        <v>190</v>
      </c>
      <c r="D105" s="318">
        <v>-3832.29</v>
      </c>
      <c r="E105" s="311">
        <v>111121.79</v>
      </c>
      <c r="F105" s="308">
        <v>4.2099999999999999E-2</v>
      </c>
      <c r="G105" s="263">
        <f>ROUND((+E105+(D105/2))*F105/12,2)</f>
        <v>383.13</v>
      </c>
      <c r="H105" s="313">
        <f t="shared" si="11"/>
        <v>107672.63</v>
      </c>
      <c r="I105" s="263">
        <f t="shared" si="8"/>
        <v>98473.078800000047</v>
      </c>
    </row>
    <row r="106" spans="1:9" hidden="1" x14ac:dyDescent="0.2">
      <c r="A106" s="231">
        <f t="shared" si="9"/>
        <v>99</v>
      </c>
      <c r="B106" s="291">
        <f>B104+31</f>
        <v>43100</v>
      </c>
      <c r="C106" s="315">
        <v>2</v>
      </c>
      <c r="D106" s="318">
        <v>-15343.449999999999</v>
      </c>
      <c r="E106" s="311">
        <v>-0.4</v>
      </c>
      <c r="F106" s="308">
        <v>4.2099999999999999E-2</v>
      </c>
      <c r="G106" s="263">
        <f t="shared" si="12"/>
        <v>318.56</v>
      </c>
      <c r="H106" s="313">
        <f t="shared" si="11"/>
        <v>-15025.289999999999</v>
      </c>
      <c r="I106" s="263">
        <f t="shared" si="8"/>
        <v>83447.788800000053</v>
      </c>
    </row>
    <row r="107" spans="1:9" hidden="1" x14ac:dyDescent="0.2">
      <c r="A107" s="231">
        <f t="shared" si="9"/>
        <v>100</v>
      </c>
      <c r="B107" s="291">
        <v>43101</v>
      </c>
      <c r="C107" s="310"/>
      <c r="D107" s="318">
        <v>-19947.170000000002</v>
      </c>
      <c r="F107" s="308">
        <v>4.2500000000000003E-2</v>
      </c>
      <c r="G107" s="263">
        <f t="shared" si="12"/>
        <v>260.22000000000003</v>
      </c>
      <c r="H107" s="313">
        <f t="shared" si="11"/>
        <v>-19686.95</v>
      </c>
      <c r="I107" s="263">
        <f t="shared" si="8"/>
        <v>63760.838800000056</v>
      </c>
    </row>
    <row r="108" spans="1:9" hidden="1" x14ac:dyDescent="0.2">
      <c r="A108" s="231">
        <f t="shared" si="9"/>
        <v>101</v>
      </c>
      <c r="B108" s="291">
        <v>43132</v>
      </c>
      <c r="C108" s="310"/>
      <c r="D108" s="318">
        <v>-14276.519999999997</v>
      </c>
      <c r="F108" s="308">
        <v>4.2500000000000003E-2</v>
      </c>
      <c r="G108" s="263">
        <f t="shared" si="12"/>
        <v>200.54</v>
      </c>
      <c r="H108" s="313">
        <f t="shared" si="11"/>
        <v>-14075.979999999996</v>
      </c>
      <c r="I108" s="263">
        <f t="shared" si="8"/>
        <v>49684.85880000006</v>
      </c>
    </row>
    <row r="109" spans="1:9" hidden="1" x14ac:dyDescent="0.2">
      <c r="A109" s="231">
        <f t="shared" si="9"/>
        <v>102</v>
      </c>
      <c r="B109" s="291">
        <v>43160</v>
      </c>
      <c r="C109" s="310"/>
      <c r="D109" s="318">
        <v>-15805.819999999996</v>
      </c>
      <c r="F109" s="308">
        <v>4.2500000000000003E-2</v>
      </c>
      <c r="G109" s="263">
        <f t="shared" si="12"/>
        <v>147.97999999999999</v>
      </c>
      <c r="H109" s="313">
        <f t="shared" si="11"/>
        <v>-15657.839999999997</v>
      </c>
      <c r="I109" s="263">
        <f t="shared" si="8"/>
        <v>34027.018800000063</v>
      </c>
    </row>
    <row r="110" spans="1:9" hidden="1" x14ac:dyDescent="0.2">
      <c r="A110" s="231">
        <f t="shared" si="9"/>
        <v>103</v>
      </c>
      <c r="B110" s="291">
        <v>43191</v>
      </c>
      <c r="C110" s="310"/>
      <c r="D110" s="318">
        <v>-11493.860000000002</v>
      </c>
      <c r="F110" s="308">
        <v>4.4699999999999997E-2</v>
      </c>
      <c r="G110" s="263">
        <f t="shared" si="12"/>
        <v>105.34</v>
      </c>
      <c r="H110" s="313">
        <f t="shared" si="11"/>
        <v>-11388.520000000002</v>
      </c>
      <c r="I110" s="263">
        <f t="shared" si="8"/>
        <v>22638.498800000059</v>
      </c>
    </row>
    <row r="111" spans="1:9" hidden="1" x14ac:dyDescent="0.2">
      <c r="A111" s="231">
        <f t="shared" si="9"/>
        <v>104</v>
      </c>
      <c r="B111" s="291">
        <v>43221</v>
      </c>
      <c r="C111" s="310"/>
      <c r="D111" s="318">
        <v>-6168.5500000000011</v>
      </c>
      <c r="F111" s="308">
        <v>4.4699999999999997E-2</v>
      </c>
      <c r="G111" s="263">
        <f t="shared" si="12"/>
        <v>72.84</v>
      </c>
      <c r="H111" s="313">
        <f t="shared" si="11"/>
        <v>-6095.7100000000009</v>
      </c>
      <c r="I111" s="263">
        <f t="shared" si="8"/>
        <v>16542.78880000006</v>
      </c>
    </row>
    <row r="112" spans="1:9" hidden="1" x14ac:dyDescent="0.2">
      <c r="A112" s="231">
        <f t="shared" si="9"/>
        <v>105</v>
      </c>
      <c r="B112" s="291">
        <v>43252</v>
      </c>
      <c r="C112" s="310"/>
      <c r="D112" s="318">
        <v>-4176.7699999999995</v>
      </c>
      <c r="F112" s="308">
        <v>4.4699999999999997E-2</v>
      </c>
      <c r="G112" s="263">
        <f t="shared" si="12"/>
        <v>53.84</v>
      </c>
      <c r="H112" s="313">
        <f t="shared" si="11"/>
        <v>-4122.9299999999994</v>
      </c>
      <c r="I112" s="263">
        <f t="shared" si="8"/>
        <v>12419.85880000006</v>
      </c>
    </row>
    <row r="113" spans="1:9" hidden="1" x14ac:dyDescent="0.2">
      <c r="A113" s="231">
        <f t="shared" si="9"/>
        <v>106</v>
      </c>
      <c r="B113" s="291">
        <v>43282</v>
      </c>
      <c r="C113" s="310"/>
      <c r="D113" s="318">
        <v>-3479.7299999999996</v>
      </c>
      <c r="F113" s="308">
        <v>4.6899999999999997E-2</v>
      </c>
      <c r="G113" s="263">
        <f t="shared" si="12"/>
        <v>41.74</v>
      </c>
      <c r="H113" s="313">
        <f t="shared" si="11"/>
        <v>-3437.99</v>
      </c>
      <c r="I113" s="263">
        <f t="shared" si="8"/>
        <v>8981.8688000000602</v>
      </c>
    </row>
    <row r="114" spans="1:9" hidden="1" x14ac:dyDescent="0.2">
      <c r="A114" s="231">
        <f t="shared" si="9"/>
        <v>107</v>
      </c>
      <c r="B114" s="291">
        <v>43313</v>
      </c>
      <c r="C114" s="310"/>
      <c r="D114" s="318">
        <v>-2898.9</v>
      </c>
      <c r="F114" s="308">
        <v>4.6899999999999997E-2</v>
      </c>
      <c r="G114" s="263">
        <f t="shared" si="12"/>
        <v>29.44</v>
      </c>
      <c r="H114" s="313">
        <f t="shared" si="11"/>
        <v>-2869.46</v>
      </c>
      <c r="I114" s="263">
        <f t="shared" si="8"/>
        <v>6112.4088000000602</v>
      </c>
    </row>
    <row r="115" spans="1:9" hidden="1" x14ac:dyDescent="0.2">
      <c r="A115" s="231">
        <f t="shared" si="9"/>
        <v>108</v>
      </c>
      <c r="B115" s="291">
        <v>43344</v>
      </c>
      <c r="D115" s="318">
        <v>-3219.9400000000005</v>
      </c>
      <c r="F115" s="308">
        <v>4.6899999999999997E-2</v>
      </c>
      <c r="G115" s="263">
        <f t="shared" si="12"/>
        <v>17.600000000000001</v>
      </c>
      <c r="H115" s="313">
        <f t="shared" si="11"/>
        <v>-3202.3400000000006</v>
      </c>
      <c r="I115" s="263">
        <f t="shared" si="8"/>
        <v>2910.0688000000596</v>
      </c>
    </row>
    <row r="116" spans="1:9" hidden="1" x14ac:dyDescent="0.2">
      <c r="A116" s="231">
        <f t="shared" si="9"/>
        <v>109</v>
      </c>
      <c r="B116" s="291">
        <v>43374</v>
      </c>
      <c r="D116" s="318">
        <v>-4680.079999999999</v>
      </c>
      <c r="F116" s="292">
        <v>4.9599999999999998E-2</v>
      </c>
      <c r="G116" s="263">
        <f t="shared" si="12"/>
        <v>2.36</v>
      </c>
      <c r="H116" s="313">
        <f t="shared" si="11"/>
        <v>-4677.7199999999993</v>
      </c>
      <c r="I116" s="263">
        <f t="shared" si="8"/>
        <v>-1767.6511999999398</v>
      </c>
    </row>
    <row r="117" spans="1:9" hidden="1" x14ac:dyDescent="0.2">
      <c r="A117" s="231">
        <f t="shared" si="9"/>
        <v>110</v>
      </c>
      <c r="B117" s="291">
        <v>43405</v>
      </c>
      <c r="C117" s="316" t="s">
        <v>189</v>
      </c>
      <c r="D117" s="318">
        <v>-4806.1599999999989</v>
      </c>
      <c r="F117" s="292">
        <v>4.9599999999999998E-2</v>
      </c>
      <c r="G117" s="263">
        <f t="shared" si="12"/>
        <v>-17.239999999999998</v>
      </c>
      <c r="H117" s="313">
        <f t="shared" si="11"/>
        <v>-4823.3999999999987</v>
      </c>
      <c r="I117" s="263">
        <f t="shared" si="8"/>
        <v>-6591.051199999938</v>
      </c>
    </row>
    <row r="118" spans="1:9" x14ac:dyDescent="0.2">
      <c r="A118" s="231">
        <f t="shared" si="9"/>
        <v>111</v>
      </c>
      <c r="B118" s="291">
        <v>43405</v>
      </c>
      <c r="C118" s="226" t="s">
        <v>190</v>
      </c>
      <c r="D118" s="318">
        <v>-2513.7499999999991</v>
      </c>
      <c r="E118" s="311">
        <v>86060.931299999982</v>
      </c>
      <c r="F118" s="292">
        <v>4.9599999999999998E-2</v>
      </c>
      <c r="G118" s="263">
        <v>350.52</v>
      </c>
      <c r="H118" s="313">
        <v>83897.701299999986</v>
      </c>
      <c r="I118" s="263">
        <v>77306.650100000043</v>
      </c>
    </row>
    <row r="119" spans="1:9" x14ac:dyDescent="0.2">
      <c r="A119" s="231">
        <f t="shared" si="9"/>
        <v>112</v>
      </c>
      <c r="B119" s="291">
        <v>43435</v>
      </c>
      <c r="C119" s="316"/>
      <c r="D119" s="318">
        <v>-11434.060000000007</v>
      </c>
      <c r="F119" s="292">
        <v>4.9599999999999998E-2</v>
      </c>
      <c r="G119" s="263">
        <v>295.89999999999998</v>
      </c>
      <c r="H119" s="313">
        <v>-11138.160000000007</v>
      </c>
      <c r="I119" s="263">
        <v>66168.490100000039</v>
      </c>
    </row>
    <row r="120" spans="1:9" x14ac:dyDescent="0.2">
      <c r="A120" s="231">
        <f t="shared" si="9"/>
        <v>113</v>
      </c>
      <c r="B120" s="291">
        <v>43466</v>
      </c>
      <c r="C120" s="316"/>
      <c r="D120" s="318">
        <v>-13293.77</v>
      </c>
      <c r="F120" s="292">
        <v>5.1799999999999999E-2</v>
      </c>
      <c r="G120" s="263">
        <v>256.93</v>
      </c>
      <c r="H120" s="313">
        <v>-13036.84</v>
      </c>
      <c r="I120" s="263">
        <v>53131.650100000043</v>
      </c>
    </row>
    <row r="121" spans="1:9" x14ac:dyDescent="0.2">
      <c r="A121" s="231">
        <f t="shared" si="9"/>
        <v>114</v>
      </c>
      <c r="B121" s="291">
        <v>43497</v>
      </c>
      <c r="C121" s="316"/>
      <c r="D121" s="318">
        <v>-13134.200000000003</v>
      </c>
      <c r="F121" s="292">
        <v>5.1799999999999999E-2</v>
      </c>
      <c r="G121" s="263">
        <v>201</v>
      </c>
      <c r="H121" s="313">
        <v>-12933.200000000003</v>
      </c>
      <c r="I121" s="263">
        <v>40198.450100000038</v>
      </c>
    </row>
    <row r="122" spans="1:9" x14ac:dyDescent="0.2">
      <c r="A122" s="231">
        <f t="shared" si="9"/>
        <v>115</v>
      </c>
      <c r="B122" s="291">
        <v>43525</v>
      </c>
      <c r="C122" s="316"/>
      <c r="D122" s="318">
        <v>-14187.190000000002</v>
      </c>
      <c r="F122" s="292">
        <v>5.1799999999999999E-2</v>
      </c>
      <c r="G122" s="263">
        <v>142.9</v>
      </c>
      <c r="H122" s="313">
        <v>-14044.290000000003</v>
      </c>
      <c r="I122" s="263">
        <v>26154.160100000037</v>
      </c>
    </row>
    <row r="123" spans="1:9" x14ac:dyDescent="0.2">
      <c r="A123" s="231">
        <f t="shared" si="9"/>
        <v>116</v>
      </c>
      <c r="B123" s="291">
        <v>43556</v>
      </c>
      <c r="C123" s="316"/>
      <c r="D123" s="318">
        <v>-6886.7300000000014</v>
      </c>
      <c r="F123" s="292">
        <v>5.45E-2</v>
      </c>
      <c r="G123" s="263">
        <v>103.14</v>
      </c>
      <c r="H123" s="313">
        <v>-6783.5900000000011</v>
      </c>
      <c r="I123" s="263">
        <v>19370.570100000037</v>
      </c>
    </row>
    <row r="124" spans="1:9" x14ac:dyDescent="0.2">
      <c r="A124" s="231">
        <f t="shared" si="9"/>
        <v>117</v>
      </c>
      <c r="B124" s="291">
        <v>43586</v>
      </c>
      <c r="C124" s="316"/>
      <c r="D124" s="318">
        <v>-4715.91</v>
      </c>
      <c r="F124" s="292">
        <v>5.45E-2</v>
      </c>
      <c r="G124" s="263">
        <v>77.27</v>
      </c>
      <c r="H124" s="313">
        <v>-4638.6399999999994</v>
      </c>
      <c r="I124" s="263">
        <v>14731.930100000038</v>
      </c>
    </row>
    <row r="125" spans="1:9" x14ac:dyDescent="0.2">
      <c r="A125" s="231">
        <f t="shared" si="9"/>
        <v>118</v>
      </c>
      <c r="B125" s="291">
        <v>43617</v>
      </c>
      <c r="C125" s="316"/>
      <c r="D125" s="318">
        <v>-3130.19</v>
      </c>
      <c r="F125" s="292">
        <v>5.45E-2</v>
      </c>
      <c r="G125" s="263">
        <v>59.8</v>
      </c>
      <c r="H125" s="313">
        <v>-3070.39</v>
      </c>
      <c r="I125" s="263">
        <v>11661.540100000038</v>
      </c>
    </row>
    <row r="126" spans="1:9" x14ac:dyDescent="0.2">
      <c r="A126" s="231">
        <f t="shared" si="9"/>
        <v>119</v>
      </c>
      <c r="B126" s="291">
        <v>43647</v>
      </c>
      <c r="C126" s="316"/>
      <c r="D126" s="318">
        <v>-2697.3700000000003</v>
      </c>
      <c r="F126" s="292">
        <v>5.5E-2</v>
      </c>
      <c r="G126" s="263">
        <v>47.27</v>
      </c>
      <c r="H126" s="313">
        <v>-2650.1000000000004</v>
      </c>
      <c r="I126" s="263">
        <v>9011.440100000038</v>
      </c>
    </row>
    <row r="127" spans="1:9" x14ac:dyDescent="0.2">
      <c r="A127" s="231">
        <f t="shared" si="9"/>
        <v>120</v>
      </c>
      <c r="B127" s="291">
        <v>43678</v>
      </c>
      <c r="C127" s="316"/>
      <c r="D127" s="318">
        <v>-2202.0499999999988</v>
      </c>
      <c r="F127" s="292">
        <v>5.5E-2</v>
      </c>
      <c r="G127" s="263">
        <v>36.26</v>
      </c>
      <c r="H127" s="313">
        <v>-2165.7899999999986</v>
      </c>
      <c r="I127" s="263">
        <v>6845.6501000000389</v>
      </c>
    </row>
    <row r="128" spans="1:9" x14ac:dyDescent="0.2">
      <c r="A128" s="231">
        <f t="shared" si="9"/>
        <v>121</v>
      </c>
      <c r="B128" s="291">
        <v>43709</v>
      </c>
      <c r="C128" s="316" t="s">
        <v>191</v>
      </c>
      <c r="D128" s="318">
        <v>-2592.6899999999996</v>
      </c>
      <c r="F128" s="292">
        <v>5.5E-2</v>
      </c>
      <c r="G128" s="263">
        <v>25.43</v>
      </c>
      <c r="H128" s="313">
        <v>-2567.2599999999998</v>
      </c>
      <c r="I128" s="263">
        <v>4278.3901000000387</v>
      </c>
    </row>
    <row r="129" spans="1:9" x14ac:dyDescent="0.2">
      <c r="A129" s="231">
        <f t="shared" si="9"/>
        <v>122</v>
      </c>
      <c r="B129" s="291">
        <v>43739</v>
      </c>
      <c r="C129" s="316" t="s">
        <v>191</v>
      </c>
      <c r="D129" s="318">
        <v>-5360.92</v>
      </c>
      <c r="F129" s="296">
        <v>5.4199999999999998E-2</v>
      </c>
      <c r="G129" s="263">
        <v>7.22</v>
      </c>
      <c r="H129" s="313">
        <v>-5353.7</v>
      </c>
      <c r="I129" s="263">
        <v>-1075.3098999999611</v>
      </c>
    </row>
    <row r="130" spans="1:9" x14ac:dyDescent="0.2">
      <c r="A130" s="231">
        <f t="shared" si="9"/>
        <v>123</v>
      </c>
      <c r="B130" s="291"/>
      <c r="C130" s="316"/>
      <c r="D130" s="318"/>
      <c r="F130" s="292"/>
      <c r="G130" s="263"/>
      <c r="H130" s="313"/>
      <c r="I130" s="263"/>
    </row>
    <row r="131" spans="1:9" x14ac:dyDescent="0.2">
      <c r="A131" s="231">
        <f t="shared" si="9"/>
        <v>124</v>
      </c>
      <c r="B131" s="291"/>
      <c r="D131" s="298"/>
      <c r="F131" s="305"/>
      <c r="G131" s="241"/>
      <c r="H131" s="234"/>
      <c r="I131" s="241"/>
    </row>
    <row r="132" spans="1:9" x14ac:dyDescent="0.2">
      <c r="A132" s="231">
        <f t="shared" si="9"/>
        <v>125</v>
      </c>
      <c r="B132" s="297" t="s">
        <v>184</v>
      </c>
      <c r="D132" s="298"/>
      <c r="F132" s="305"/>
      <c r="G132" s="241"/>
      <c r="H132" s="234"/>
      <c r="I132" s="241"/>
    </row>
    <row r="133" spans="1:9" x14ac:dyDescent="0.2">
      <c r="A133" s="231">
        <f t="shared" si="9"/>
        <v>126</v>
      </c>
      <c r="B133" s="297"/>
      <c r="D133" s="298"/>
      <c r="F133" s="305"/>
      <c r="G133" s="241"/>
      <c r="H133" s="234"/>
      <c r="I133" s="241"/>
    </row>
    <row r="134" spans="1:9" x14ac:dyDescent="0.2">
      <c r="A134" s="231">
        <f t="shared" si="9"/>
        <v>127</v>
      </c>
      <c r="B134" s="299" t="s">
        <v>146</v>
      </c>
    </row>
    <row r="135" spans="1:9" x14ac:dyDescent="0.2">
      <c r="A135" s="231">
        <f t="shared" si="9"/>
        <v>128</v>
      </c>
      <c r="B135" s="226" t="s">
        <v>192</v>
      </c>
    </row>
    <row r="136" spans="1:9" hidden="1" x14ac:dyDescent="0.2">
      <c r="A136" s="231">
        <f t="shared" si="9"/>
        <v>129</v>
      </c>
      <c r="B136" s="300" t="s">
        <v>186</v>
      </c>
    </row>
    <row r="137" spans="1:9" x14ac:dyDescent="0.2">
      <c r="A137" s="231"/>
      <c r="B137" s="317"/>
    </row>
    <row r="145" spans="2:2" x14ac:dyDescent="0.2">
      <c r="B145" s="239"/>
    </row>
    <row r="146" spans="2:2" x14ac:dyDescent="0.2">
      <c r="B146" s="239"/>
    </row>
  </sheetData>
  <pageMargins left="0.7" right="0.7" top="0.75" bottom="0.75" header="0.3" footer="0.3"/>
  <pageSetup scale="50" orientation="landscape" horizontalDpi="300" verticalDpi="300" r:id="rId1"/>
  <headerFooter>
    <oddHeader>&amp;RNWN's Advice 19-04
Exhibit A - Supporting Materials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
  <sheetViews>
    <sheetView showGridLines="0" view="pageLayout" zoomScaleNormal="100" workbookViewId="0">
      <selection activeCell="M4" sqref="M4"/>
    </sheetView>
  </sheetViews>
  <sheetFormatPr defaultColWidth="7.85546875" defaultRowHeight="12.75" outlineLevelRow="1" x14ac:dyDescent="0.2"/>
  <cols>
    <col min="1" max="1" width="4" style="225" customWidth="1"/>
    <col min="2" max="2" width="13.42578125" style="226" customWidth="1"/>
    <col min="3" max="3" width="11" style="226" bestFit="1" customWidth="1"/>
    <col min="4" max="4" width="13.42578125" style="234" customWidth="1"/>
    <col min="5" max="5" width="11.7109375" style="234" bestFit="1" customWidth="1"/>
    <col min="6" max="6" width="13.42578125" style="319" customWidth="1"/>
    <col min="7" max="10" width="13.42578125" style="234" customWidth="1"/>
    <col min="11" max="12" width="13.42578125" style="234" hidden="1" customWidth="1"/>
    <col min="13" max="15" width="13.42578125" style="226" hidden="1" customWidth="1"/>
    <col min="16" max="20" width="13.42578125" style="226" customWidth="1"/>
    <col min="21" max="16384" width="7.85546875" style="226"/>
  </cols>
  <sheetData>
    <row r="1" spans="1:10" x14ac:dyDescent="0.2">
      <c r="B1" s="226" t="s">
        <v>148</v>
      </c>
      <c r="D1" s="234" t="s">
        <v>149</v>
      </c>
    </row>
    <row r="2" spans="1:10" x14ac:dyDescent="0.2">
      <c r="B2" s="226" t="s">
        <v>150</v>
      </c>
      <c r="D2" s="234" t="s">
        <v>92</v>
      </c>
    </row>
    <row r="3" spans="1:10" x14ac:dyDescent="0.2">
      <c r="B3" s="226" t="s">
        <v>151</v>
      </c>
      <c r="D3" s="320" t="s">
        <v>193</v>
      </c>
    </row>
    <row r="4" spans="1:10" x14ac:dyDescent="0.2">
      <c r="B4" s="226" t="s">
        <v>153</v>
      </c>
      <c r="D4" s="229">
        <v>186234</v>
      </c>
    </row>
    <row r="5" spans="1:10" x14ac:dyDescent="0.2">
      <c r="D5" s="230" t="s">
        <v>194</v>
      </c>
    </row>
    <row r="6" spans="1:10" x14ac:dyDescent="0.2">
      <c r="D6" s="230" t="s">
        <v>155</v>
      </c>
    </row>
    <row r="8" spans="1:10" x14ac:dyDescent="0.2">
      <c r="A8" s="231">
        <v>1</v>
      </c>
      <c r="B8" s="226" t="s">
        <v>156</v>
      </c>
      <c r="F8" s="321"/>
      <c r="G8" s="235"/>
    </row>
    <row r="9" spans="1:10" x14ac:dyDescent="0.2">
      <c r="A9" s="231">
        <v>2</v>
      </c>
      <c r="F9" s="321"/>
      <c r="G9" s="235"/>
    </row>
    <row r="10" spans="1:10" x14ac:dyDescent="0.2">
      <c r="A10" s="231">
        <v>3</v>
      </c>
      <c r="B10" s="232"/>
      <c r="C10" s="232"/>
      <c r="D10" s="235"/>
      <c r="E10" s="235"/>
      <c r="F10" s="321" t="s">
        <v>124</v>
      </c>
      <c r="G10" s="235"/>
      <c r="H10" s="235"/>
      <c r="I10" s="235"/>
    </row>
    <row r="11" spans="1:10" x14ac:dyDescent="0.2">
      <c r="A11" s="231">
        <v>4</v>
      </c>
      <c r="B11" s="236" t="s">
        <v>158</v>
      </c>
      <c r="C11" s="236" t="s">
        <v>159</v>
      </c>
      <c r="D11" s="237" t="s">
        <v>195</v>
      </c>
      <c r="E11" s="237" t="s">
        <v>161</v>
      </c>
      <c r="F11" s="322" t="s">
        <v>27</v>
      </c>
      <c r="G11" s="237" t="s">
        <v>124</v>
      </c>
      <c r="H11" s="237" t="s">
        <v>133</v>
      </c>
      <c r="I11" s="237" t="s">
        <v>127</v>
      </c>
    </row>
    <row r="12" spans="1:10" x14ac:dyDescent="0.2">
      <c r="A12" s="231">
        <v>5</v>
      </c>
      <c r="B12" s="232" t="s">
        <v>162</v>
      </c>
      <c r="C12" s="232" t="s">
        <v>163</v>
      </c>
      <c r="D12" s="235" t="s">
        <v>164</v>
      </c>
      <c r="E12" s="235" t="s">
        <v>165</v>
      </c>
      <c r="F12" s="321" t="s">
        <v>166</v>
      </c>
      <c r="G12" s="235" t="s">
        <v>167</v>
      </c>
      <c r="H12" s="235" t="s">
        <v>173</v>
      </c>
      <c r="I12" s="235" t="s">
        <v>188</v>
      </c>
      <c r="J12" s="235"/>
    </row>
    <row r="13" spans="1:10" x14ac:dyDescent="0.2">
      <c r="A13" s="231">
        <v>6</v>
      </c>
      <c r="F13" s="321"/>
      <c r="G13" s="235"/>
    </row>
    <row r="14" spans="1:10" x14ac:dyDescent="0.2">
      <c r="A14" s="231">
        <v>7</v>
      </c>
      <c r="B14" s="238" t="s">
        <v>180</v>
      </c>
    </row>
    <row r="15" spans="1:10" hidden="1" outlineLevel="1" x14ac:dyDescent="0.2">
      <c r="A15" s="231">
        <v>8</v>
      </c>
      <c r="B15" s="239">
        <v>39752</v>
      </c>
      <c r="F15" s="323"/>
      <c r="G15" s="241"/>
      <c r="I15" s="234">
        <v>0</v>
      </c>
    </row>
    <row r="16" spans="1:10" hidden="1" outlineLevel="1" x14ac:dyDescent="0.2">
      <c r="A16" s="231">
        <v>9</v>
      </c>
      <c r="B16" s="239">
        <v>39782</v>
      </c>
      <c r="F16" s="323"/>
      <c r="G16" s="241"/>
      <c r="H16" s="234">
        <v>0</v>
      </c>
      <c r="I16" s="241">
        <v>0</v>
      </c>
    </row>
    <row r="17" spans="1:14" hidden="1" outlineLevel="1" x14ac:dyDescent="0.2">
      <c r="A17" s="231">
        <v>10</v>
      </c>
      <c r="B17" s="239">
        <v>39813</v>
      </c>
      <c r="F17" s="323"/>
      <c r="G17" s="241"/>
      <c r="H17" s="234">
        <v>0</v>
      </c>
      <c r="I17" s="241">
        <v>0</v>
      </c>
    </row>
    <row r="18" spans="1:14" hidden="1" outlineLevel="1" x14ac:dyDescent="0.2">
      <c r="A18" s="231">
        <v>11</v>
      </c>
      <c r="B18" s="239">
        <v>39844</v>
      </c>
      <c r="D18" s="326">
        <v>0</v>
      </c>
      <c r="F18" s="323"/>
      <c r="G18" s="241">
        <v>0</v>
      </c>
      <c r="H18" s="234">
        <v>0</v>
      </c>
      <c r="I18" s="241">
        <v>0</v>
      </c>
    </row>
    <row r="19" spans="1:14" hidden="1" outlineLevel="1" x14ac:dyDescent="0.2">
      <c r="A19" s="231">
        <v>12</v>
      </c>
      <c r="B19" s="239">
        <v>39872</v>
      </c>
      <c r="D19" s="326">
        <v>0</v>
      </c>
      <c r="F19" s="323"/>
      <c r="G19" s="241">
        <v>0</v>
      </c>
      <c r="H19" s="234">
        <v>0</v>
      </c>
      <c r="I19" s="241">
        <v>0</v>
      </c>
    </row>
    <row r="20" spans="1:14" hidden="1" outlineLevel="1" x14ac:dyDescent="0.2">
      <c r="A20" s="231">
        <v>13</v>
      </c>
      <c r="B20" s="239">
        <v>39903</v>
      </c>
      <c r="D20" s="326">
        <v>0</v>
      </c>
      <c r="F20" s="323"/>
      <c r="G20" s="241">
        <v>0</v>
      </c>
      <c r="H20" s="234">
        <v>0</v>
      </c>
      <c r="I20" s="241">
        <v>0</v>
      </c>
      <c r="K20" s="234">
        <v>21062.400000000001</v>
      </c>
      <c r="M20" s="304">
        <v>3.2500000000000001E-2</v>
      </c>
      <c r="N20" s="304">
        <v>28.52</v>
      </c>
    </row>
    <row r="21" spans="1:14" hidden="1" outlineLevel="1" x14ac:dyDescent="0.2">
      <c r="A21" s="231">
        <v>14</v>
      </c>
      <c r="B21" s="239">
        <v>39933</v>
      </c>
      <c r="D21" s="326">
        <v>0</v>
      </c>
      <c r="F21" s="323"/>
      <c r="G21" s="241">
        <v>0</v>
      </c>
      <c r="H21" s="234">
        <v>0</v>
      </c>
      <c r="I21" s="241">
        <v>0</v>
      </c>
      <c r="K21" s="234">
        <v>77181.600000000006</v>
      </c>
      <c r="M21" s="304">
        <v>3.2500000000000001E-2</v>
      </c>
      <c r="N21" s="304">
        <v>161.63999999999999</v>
      </c>
    </row>
    <row r="22" spans="1:14" hidden="1" outlineLevel="1" x14ac:dyDescent="0.2">
      <c r="A22" s="231">
        <v>15</v>
      </c>
      <c r="B22" s="239">
        <v>39964</v>
      </c>
      <c r="D22" s="326">
        <v>0</v>
      </c>
      <c r="F22" s="323"/>
      <c r="G22" s="241">
        <v>0</v>
      </c>
      <c r="H22" s="234">
        <v>0</v>
      </c>
      <c r="I22" s="241">
        <v>0</v>
      </c>
      <c r="K22" s="234">
        <v>66280.47</v>
      </c>
      <c r="M22" s="304">
        <v>3.2500000000000001E-2</v>
      </c>
      <c r="N22" s="304">
        <v>356.35</v>
      </c>
    </row>
    <row r="23" spans="1:14" hidden="1" outlineLevel="1" x14ac:dyDescent="0.2">
      <c r="A23" s="231">
        <v>16</v>
      </c>
      <c r="B23" s="239">
        <v>39994</v>
      </c>
      <c r="D23" s="326">
        <v>0</v>
      </c>
      <c r="F23" s="323"/>
      <c r="G23" s="241">
        <v>0</v>
      </c>
      <c r="H23" s="234">
        <v>0</v>
      </c>
      <c r="I23" s="241">
        <v>0</v>
      </c>
      <c r="K23" s="234">
        <v>79250.399999999994</v>
      </c>
      <c r="M23" s="304">
        <v>3.2500000000000001E-2</v>
      </c>
      <c r="N23" s="304">
        <v>554.39</v>
      </c>
    </row>
    <row r="24" spans="1:14" hidden="1" outlineLevel="1" x14ac:dyDescent="0.2">
      <c r="A24" s="231">
        <v>17</v>
      </c>
      <c r="B24" s="239">
        <v>40025</v>
      </c>
      <c r="D24" s="326">
        <v>87271.2</v>
      </c>
      <c r="F24" s="323"/>
      <c r="G24" s="241">
        <v>236.36</v>
      </c>
      <c r="H24" s="234">
        <v>87507.56</v>
      </c>
      <c r="I24" s="241">
        <v>87507.56</v>
      </c>
      <c r="K24" s="234">
        <v>74162.399999999994</v>
      </c>
      <c r="M24" s="304">
        <v>3.2500000000000001E-2</v>
      </c>
      <c r="N24" s="304">
        <v>763.63</v>
      </c>
    </row>
    <row r="25" spans="1:14" hidden="1" outlineLevel="1" x14ac:dyDescent="0.2">
      <c r="A25" s="231">
        <v>18</v>
      </c>
      <c r="B25" s="239">
        <v>40055</v>
      </c>
      <c r="D25" s="326">
        <v>36856.800000000003</v>
      </c>
      <c r="F25" s="323"/>
      <c r="G25" s="241">
        <v>286.91000000000003</v>
      </c>
      <c r="H25" s="234">
        <v>37143.710000000006</v>
      </c>
      <c r="I25" s="241">
        <v>124651.27</v>
      </c>
      <c r="K25" s="234">
        <v>66376.800000000003</v>
      </c>
      <c r="M25" s="304">
        <v>3.2500000000000001E-2</v>
      </c>
      <c r="N25" s="304">
        <v>956.02</v>
      </c>
    </row>
    <row r="26" spans="1:14" hidden="1" outlineLevel="1" x14ac:dyDescent="0.2">
      <c r="A26" s="231">
        <v>19</v>
      </c>
      <c r="B26" s="239">
        <v>40085</v>
      </c>
      <c r="D26" s="326">
        <v>50764.800000000003</v>
      </c>
      <c r="F26" s="323"/>
      <c r="G26" s="241">
        <v>406.34</v>
      </c>
      <c r="H26" s="234">
        <v>51171.14</v>
      </c>
      <c r="I26" s="241">
        <v>175822.41</v>
      </c>
      <c r="K26" s="234">
        <v>59894.400000000001</v>
      </c>
      <c r="M26" s="304">
        <v>3.2500000000000001E-2</v>
      </c>
      <c r="N26" s="304">
        <v>956.02</v>
      </c>
    </row>
    <row r="27" spans="1:14" hidden="1" outlineLevel="1" x14ac:dyDescent="0.2">
      <c r="A27" s="231">
        <v>20</v>
      </c>
      <c r="B27" s="239">
        <v>40116</v>
      </c>
      <c r="D27" s="326">
        <v>32558.76</v>
      </c>
      <c r="E27" s="245"/>
      <c r="F27" s="323"/>
      <c r="G27" s="241">
        <v>520.28</v>
      </c>
      <c r="H27" s="245">
        <v>33079.040000000001</v>
      </c>
      <c r="I27" s="241">
        <v>208901.45</v>
      </c>
    </row>
    <row r="28" spans="1:14" hidden="1" outlineLevel="1" x14ac:dyDescent="0.2">
      <c r="A28" s="231">
        <v>21</v>
      </c>
      <c r="B28" s="239">
        <v>40146</v>
      </c>
      <c r="D28" s="245">
        <v>0</v>
      </c>
      <c r="E28" s="245">
        <v>-208901.45</v>
      </c>
      <c r="F28" s="323"/>
      <c r="G28" s="241">
        <v>0</v>
      </c>
      <c r="H28" s="245">
        <v>-208901.45</v>
      </c>
      <c r="I28" s="241">
        <v>0</v>
      </c>
    </row>
    <row r="29" spans="1:14" hidden="1" outlineLevel="1" x14ac:dyDescent="0.2">
      <c r="A29" s="231">
        <v>22</v>
      </c>
      <c r="B29" s="239">
        <v>40177</v>
      </c>
      <c r="D29" s="234">
        <v>21062.400000000001</v>
      </c>
      <c r="F29" s="323"/>
      <c r="G29" s="241">
        <v>0</v>
      </c>
      <c r="H29" s="245">
        <v>21062.400000000001</v>
      </c>
      <c r="I29" s="241">
        <v>21062.400000000001</v>
      </c>
    </row>
    <row r="30" spans="1:14" hidden="1" outlineLevel="1" x14ac:dyDescent="0.2">
      <c r="A30" s="231">
        <v>7</v>
      </c>
      <c r="B30" s="239">
        <v>40208</v>
      </c>
      <c r="D30" s="234">
        <v>77181.8</v>
      </c>
      <c r="F30" s="292">
        <v>3.2500000000000001E-2</v>
      </c>
      <c r="G30" s="241">
        <v>0</v>
      </c>
      <c r="H30" s="245">
        <v>77181.832500000004</v>
      </c>
      <c r="I30" s="241">
        <v>98244.232500000013</v>
      </c>
    </row>
    <row r="31" spans="1:14" hidden="1" outlineLevel="1" x14ac:dyDescent="0.2">
      <c r="A31" s="231">
        <v>8</v>
      </c>
      <c r="B31" s="239">
        <v>40237</v>
      </c>
      <c r="D31" s="234">
        <v>65719.199999999997</v>
      </c>
      <c r="F31" s="292">
        <v>3.2500000000000001E-2</v>
      </c>
      <c r="G31" s="241">
        <v>561.27</v>
      </c>
      <c r="H31" s="245">
        <v>66280.502500000002</v>
      </c>
      <c r="I31" s="241">
        <v>164524.73500000002</v>
      </c>
    </row>
    <row r="32" spans="1:14" hidden="1" outlineLevel="1" x14ac:dyDescent="0.2">
      <c r="A32" s="231">
        <v>9</v>
      </c>
      <c r="B32" s="239">
        <v>40268</v>
      </c>
      <c r="D32" s="234">
        <v>79249</v>
      </c>
      <c r="F32" s="292">
        <v>3.2500000000000001E-2</v>
      </c>
      <c r="G32" s="241">
        <v>552.9</v>
      </c>
      <c r="H32" s="245">
        <v>79801.932499999995</v>
      </c>
      <c r="I32" s="241">
        <v>244326.66750000001</v>
      </c>
    </row>
    <row r="33" spans="1:12" hidden="1" outlineLevel="1" x14ac:dyDescent="0.2">
      <c r="A33" s="231">
        <v>10</v>
      </c>
      <c r="B33" s="239">
        <v>40298</v>
      </c>
      <c r="D33" s="234">
        <v>74161.8</v>
      </c>
      <c r="F33" s="292">
        <v>3.2500000000000001E-2</v>
      </c>
      <c r="G33" s="241">
        <v>762.15</v>
      </c>
      <c r="H33" s="245">
        <v>74923.982499999998</v>
      </c>
      <c r="I33" s="241">
        <v>319250.65000000002</v>
      </c>
    </row>
    <row r="34" spans="1:12" hidden="1" outlineLevel="1" x14ac:dyDescent="0.2">
      <c r="A34" s="231">
        <v>11</v>
      </c>
      <c r="B34" s="239">
        <v>40329</v>
      </c>
      <c r="D34" s="234">
        <v>66376.800000000003</v>
      </c>
      <c r="F34" s="292">
        <v>3.2500000000000001E-2</v>
      </c>
      <c r="G34" s="241">
        <v>954.52</v>
      </c>
      <c r="H34" s="245">
        <v>67331.352500000008</v>
      </c>
      <c r="I34" s="241">
        <v>386582.00250000006</v>
      </c>
    </row>
    <row r="35" spans="1:12" hidden="1" outlineLevel="1" x14ac:dyDescent="0.2">
      <c r="A35" s="231">
        <v>12</v>
      </c>
      <c r="B35" s="239">
        <v>40359</v>
      </c>
      <c r="D35" s="234">
        <v>59894.400000000001</v>
      </c>
      <c r="F35" s="292">
        <v>3.2500000000000001E-2</v>
      </c>
      <c r="G35" s="241">
        <v>1128.0999999999999</v>
      </c>
      <c r="H35" s="245">
        <v>61022.532500000001</v>
      </c>
      <c r="I35" s="241">
        <v>447604.53500000003</v>
      </c>
    </row>
    <row r="36" spans="1:12" hidden="1" outlineLevel="1" x14ac:dyDescent="0.2">
      <c r="A36" s="231">
        <v>13</v>
      </c>
      <c r="B36" s="239">
        <v>40390</v>
      </c>
      <c r="D36" s="234">
        <v>44313.549999999996</v>
      </c>
      <c r="F36" s="292">
        <v>3.2500000000000001E-2</v>
      </c>
      <c r="G36" s="241">
        <v>1272.27</v>
      </c>
      <c r="H36" s="245">
        <v>45585.852499999994</v>
      </c>
      <c r="I36" s="241">
        <v>493190.38750000001</v>
      </c>
    </row>
    <row r="37" spans="1:12" hidden="1" outlineLevel="1" x14ac:dyDescent="0.2">
      <c r="A37" s="231">
        <v>14</v>
      </c>
      <c r="B37" s="239">
        <v>40420</v>
      </c>
      <c r="D37" s="234">
        <v>12018.14</v>
      </c>
      <c r="F37" s="292">
        <v>3.2500000000000001E-2</v>
      </c>
      <c r="G37" s="241">
        <v>1352</v>
      </c>
      <c r="H37" s="245">
        <v>13370.172499999999</v>
      </c>
      <c r="I37" s="241">
        <v>506560.56</v>
      </c>
    </row>
    <row r="38" spans="1:12" hidden="1" outlineLevel="1" x14ac:dyDescent="0.2">
      <c r="A38" s="231">
        <v>15</v>
      </c>
      <c r="B38" s="239">
        <v>40450</v>
      </c>
      <c r="D38" s="234">
        <v>0</v>
      </c>
      <c r="F38" s="292">
        <v>3.2500000000000001E-2</v>
      </c>
      <c r="G38" s="241">
        <v>1371.93</v>
      </c>
      <c r="H38" s="245">
        <v>1371.9625000000001</v>
      </c>
      <c r="I38" s="241">
        <v>507932.52250000002</v>
      </c>
    </row>
    <row r="39" spans="1:12" hidden="1" outlineLevel="1" x14ac:dyDescent="0.2">
      <c r="A39" s="231">
        <v>16</v>
      </c>
      <c r="B39" s="239">
        <v>40481</v>
      </c>
      <c r="D39" s="234">
        <v>0</v>
      </c>
      <c r="F39" s="292">
        <v>3.2500000000000001E-2</v>
      </c>
      <c r="G39" s="241">
        <v>1375.65</v>
      </c>
      <c r="H39" s="245">
        <v>1375.6825000000001</v>
      </c>
      <c r="I39" s="241">
        <v>509308.20500000002</v>
      </c>
    </row>
    <row r="40" spans="1:12" hidden="1" outlineLevel="1" x14ac:dyDescent="0.2">
      <c r="A40" s="231">
        <v>17</v>
      </c>
      <c r="B40" s="239">
        <v>40511</v>
      </c>
      <c r="D40" s="234">
        <v>0</v>
      </c>
      <c r="E40" s="234">
        <v>-509308.20500000002</v>
      </c>
      <c r="F40" s="292">
        <v>3.2500000000000001E-2</v>
      </c>
      <c r="G40" s="241">
        <v>1379.38</v>
      </c>
      <c r="H40" s="245">
        <v>-507928.79250000004</v>
      </c>
      <c r="I40" s="241">
        <v>1379.4124999999767</v>
      </c>
    </row>
    <row r="41" spans="1:12" hidden="1" outlineLevel="1" x14ac:dyDescent="0.2">
      <c r="A41" s="231">
        <v>18</v>
      </c>
      <c r="B41" s="239">
        <v>40542</v>
      </c>
      <c r="D41" s="120">
        <v>17340</v>
      </c>
      <c r="E41" s="120"/>
      <c r="F41" s="292">
        <v>3.2500000000000001E-2</v>
      </c>
      <c r="G41" s="241">
        <v>27.22</v>
      </c>
      <c r="H41" s="245">
        <v>17367.252500000002</v>
      </c>
      <c r="I41" s="241">
        <v>18746.664999999979</v>
      </c>
      <c r="J41" s="120"/>
      <c r="K41" s="120"/>
      <c r="L41" s="120"/>
    </row>
    <row r="42" spans="1:12" hidden="1" outlineLevel="1" x14ac:dyDescent="0.2">
      <c r="A42" s="231">
        <v>19</v>
      </c>
      <c r="B42" s="239">
        <v>40573</v>
      </c>
      <c r="D42" s="120">
        <v>81793.2</v>
      </c>
      <c r="E42" s="120"/>
      <c r="F42" s="292">
        <v>3.2500000000000001E-2</v>
      </c>
      <c r="G42" s="241">
        <v>161.53</v>
      </c>
      <c r="H42" s="245">
        <v>81954.762499999997</v>
      </c>
      <c r="I42" s="241">
        <v>100701.42749999998</v>
      </c>
      <c r="J42" s="120"/>
      <c r="K42" s="120"/>
      <c r="L42" s="120"/>
    </row>
    <row r="43" spans="1:12" hidden="1" outlineLevel="1" x14ac:dyDescent="0.2">
      <c r="A43" s="231">
        <v>20</v>
      </c>
      <c r="B43" s="239">
        <v>40601</v>
      </c>
      <c r="D43" s="327">
        <v>108960</v>
      </c>
      <c r="E43" s="120"/>
      <c r="F43" s="292">
        <v>3.2500000000000001E-2</v>
      </c>
      <c r="G43" s="241">
        <v>420.28</v>
      </c>
      <c r="H43" s="245">
        <v>109380.3125</v>
      </c>
      <c r="I43" s="241">
        <v>210081.74</v>
      </c>
      <c r="J43" s="120"/>
      <c r="K43" s="120"/>
      <c r="L43" s="120"/>
    </row>
    <row r="44" spans="1:12" hidden="1" outlineLevel="1" x14ac:dyDescent="0.2">
      <c r="A44" s="231">
        <v>21</v>
      </c>
      <c r="B44" s="239">
        <v>40632</v>
      </c>
      <c r="D44" s="327">
        <v>144069.6</v>
      </c>
      <c r="E44" s="120"/>
      <c r="F44" s="292">
        <v>3.2500000000000001E-2</v>
      </c>
      <c r="G44" s="241">
        <v>764.07</v>
      </c>
      <c r="H44" s="245">
        <v>144833.70250000001</v>
      </c>
      <c r="I44" s="241">
        <v>354915.4425</v>
      </c>
      <c r="J44" s="120"/>
      <c r="K44" s="120"/>
      <c r="L44" s="120"/>
    </row>
    <row r="45" spans="1:12" hidden="1" outlineLevel="1" x14ac:dyDescent="0.2">
      <c r="A45" s="231">
        <v>22</v>
      </c>
      <c r="B45" s="239">
        <v>40662</v>
      </c>
      <c r="D45" s="120">
        <v>147837.74</v>
      </c>
      <c r="E45" s="120"/>
      <c r="F45" s="292">
        <v>3.2500000000000001E-2</v>
      </c>
      <c r="G45" s="241">
        <v>1161.43</v>
      </c>
      <c r="H45" s="245">
        <v>148999.20249999998</v>
      </c>
      <c r="I45" s="241">
        <v>503914.64500000002</v>
      </c>
      <c r="J45" s="120"/>
      <c r="K45" s="120"/>
      <c r="L45" s="120"/>
    </row>
    <row r="46" spans="1:12" hidden="1" outlineLevel="1" x14ac:dyDescent="0.2">
      <c r="A46" s="231">
        <v>23</v>
      </c>
      <c r="B46" s="239">
        <v>40693</v>
      </c>
      <c r="D46" s="120">
        <v>0</v>
      </c>
      <c r="E46" s="120"/>
      <c r="F46" s="292">
        <v>3.2500000000000001E-2</v>
      </c>
      <c r="G46" s="241">
        <v>1364.77</v>
      </c>
      <c r="H46" s="245">
        <v>1364.8025</v>
      </c>
      <c r="I46" s="241">
        <v>505279.44750000001</v>
      </c>
      <c r="J46" s="120"/>
      <c r="K46" s="120"/>
      <c r="L46" s="120"/>
    </row>
    <row r="47" spans="1:12" hidden="1" outlineLevel="1" x14ac:dyDescent="0.2">
      <c r="A47" s="231">
        <v>24</v>
      </c>
      <c r="B47" s="239">
        <v>40723</v>
      </c>
      <c r="D47" s="120">
        <v>-6466.51</v>
      </c>
      <c r="E47" s="120"/>
      <c r="F47" s="292">
        <v>3.2500000000000001E-2</v>
      </c>
      <c r="G47" s="241">
        <v>1359.71</v>
      </c>
      <c r="H47" s="245">
        <v>-5106.7674999999999</v>
      </c>
      <c r="I47" s="241">
        <v>500172.68</v>
      </c>
      <c r="J47" s="120"/>
      <c r="K47" s="120"/>
      <c r="L47" s="120"/>
    </row>
    <row r="48" spans="1:12" hidden="1" outlineLevel="1" x14ac:dyDescent="0.2">
      <c r="A48" s="231">
        <v>25</v>
      </c>
      <c r="B48" s="239">
        <v>40754</v>
      </c>
      <c r="D48" s="120">
        <v>-63130.52</v>
      </c>
      <c r="E48" s="120"/>
      <c r="F48" s="292">
        <v>3.2500000000000001E-2</v>
      </c>
      <c r="G48" s="241">
        <v>1955.54</v>
      </c>
      <c r="H48" s="245">
        <v>-61174.947499999995</v>
      </c>
      <c r="I48" s="241">
        <v>438997.73249999998</v>
      </c>
      <c r="J48" s="120"/>
      <c r="K48" s="120"/>
      <c r="L48" s="120"/>
    </row>
    <row r="49" spans="1:12" hidden="1" outlineLevel="1" x14ac:dyDescent="0.2">
      <c r="A49" s="231">
        <v>26</v>
      </c>
      <c r="B49" s="239">
        <v>40784</v>
      </c>
      <c r="D49" s="120">
        <v>-3546.89</v>
      </c>
      <c r="E49" s="120"/>
      <c r="F49" s="292">
        <v>3.2500000000000001E-2</v>
      </c>
      <c r="G49" s="241">
        <v>1184.1500000000001</v>
      </c>
      <c r="H49" s="245">
        <v>-2362.7075</v>
      </c>
      <c r="I49" s="241">
        <v>436635.02499999997</v>
      </c>
      <c r="J49" s="120"/>
      <c r="K49" s="120"/>
      <c r="L49" s="120"/>
    </row>
    <row r="50" spans="1:12" hidden="1" outlineLevel="1" x14ac:dyDescent="0.2">
      <c r="A50" s="231">
        <v>27</v>
      </c>
      <c r="B50" s="239">
        <v>40814</v>
      </c>
      <c r="D50" s="120">
        <v>-3068.42</v>
      </c>
      <c r="E50" s="120"/>
      <c r="F50" s="292">
        <v>3.2500000000000001E-2</v>
      </c>
      <c r="G50" s="241">
        <v>1178.4000000000001</v>
      </c>
      <c r="H50" s="245">
        <v>-1889.9875000000002</v>
      </c>
      <c r="I50" s="241">
        <v>434745.03749999998</v>
      </c>
      <c r="J50" s="120"/>
      <c r="K50" s="120"/>
      <c r="L50" s="120"/>
    </row>
    <row r="51" spans="1:12" hidden="1" outlineLevel="1" x14ac:dyDescent="0.2">
      <c r="A51" s="231">
        <v>28</v>
      </c>
      <c r="B51" s="239">
        <v>40845</v>
      </c>
      <c r="D51" s="120">
        <v>-4489.18</v>
      </c>
      <c r="E51" s="120"/>
      <c r="F51" s="292">
        <v>3.2500000000000001E-2</v>
      </c>
      <c r="G51" s="241">
        <v>1171.3599999999999</v>
      </c>
      <c r="H51" s="245">
        <v>-3317.7875000000004</v>
      </c>
      <c r="I51" s="241">
        <v>431427.25</v>
      </c>
      <c r="J51" s="120"/>
      <c r="K51" s="120"/>
      <c r="L51" s="120"/>
    </row>
    <row r="52" spans="1:12" hidden="1" outlineLevel="1" x14ac:dyDescent="0.2">
      <c r="A52" s="231">
        <v>29</v>
      </c>
      <c r="B52" s="239">
        <v>40875</v>
      </c>
      <c r="C52" s="258">
        <v>1</v>
      </c>
      <c r="D52" s="120">
        <v>-1849.43</v>
      </c>
      <c r="E52" s="120">
        <v>-431427.25</v>
      </c>
      <c r="F52" s="292">
        <v>3.2500000000000001E-2</v>
      </c>
      <c r="G52" s="263">
        <v>-2.5</v>
      </c>
      <c r="H52" s="245">
        <v>-433279.14750000002</v>
      </c>
      <c r="I52" s="241">
        <v>-1851.897500000021</v>
      </c>
      <c r="J52" s="120"/>
      <c r="K52" s="120"/>
      <c r="L52" s="120"/>
    </row>
    <row r="53" spans="1:12" hidden="1" outlineLevel="1" x14ac:dyDescent="0.2">
      <c r="A53" s="231">
        <v>30</v>
      </c>
      <c r="B53" s="239">
        <v>40906</v>
      </c>
      <c r="D53" s="274">
        <v>7280.92</v>
      </c>
      <c r="E53" s="120"/>
      <c r="F53" s="292">
        <v>3.2500000000000001E-2</v>
      </c>
      <c r="G53" s="241">
        <v>4.84</v>
      </c>
      <c r="H53" s="245">
        <v>7285.7925000000005</v>
      </c>
      <c r="I53" s="241">
        <v>5433.8949999999795</v>
      </c>
      <c r="J53" s="120"/>
      <c r="K53" s="120"/>
      <c r="L53" s="120"/>
    </row>
    <row r="54" spans="1:12" hidden="1" outlineLevel="1" x14ac:dyDescent="0.2">
      <c r="A54" s="231">
        <v>31</v>
      </c>
      <c r="B54" s="239">
        <v>40937</v>
      </c>
      <c r="D54" s="274">
        <v>51443.649999999994</v>
      </c>
      <c r="E54" s="120"/>
      <c r="F54" s="292">
        <v>3.2500000000000001E-2</v>
      </c>
      <c r="G54" s="241">
        <v>84.38</v>
      </c>
      <c r="H54" s="245">
        <v>51528.062499999993</v>
      </c>
      <c r="I54" s="241">
        <v>56961.957499999975</v>
      </c>
      <c r="J54" s="120"/>
      <c r="K54" s="120"/>
      <c r="L54" s="120"/>
    </row>
    <row r="55" spans="1:12" hidden="1" outlineLevel="1" x14ac:dyDescent="0.2">
      <c r="A55" s="231">
        <v>32</v>
      </c>
      <c r="B55" s="239">
        <v>40968</v>
      </c>
      <c r="D55" s="274">
        <v>63260.35</v>
      </c>
      <c r="E55" s="120"/>
      <c r="F55" s="292">
        <v>3.2500000000000001E-2</v>
      </c>
      <c r="G55" s="241">
        <v>239.94</v>
      </c>
      <c r="H55" s="245">
        <v>63500.322500000002</v>
      </c>
      <c r="I55" s="241">
        <v>120462.27999999997</v>
      </c>
      <c r="J55" s="120"/>
      <c r="K55" s="120"/>
      <c r="L55" s="120"/>
    </row>
    <row r="56" spans="1:12" hidden="1" outlineLevel="1" x14ac:dyDescent="0.2">
      <c r="A56" s="231">
        <v>33</v>
      </c>
      <c r="B56" s="239">
        <v>40997</v>
      </c>
      <c r="D56" s="274">
        <v>89280.91</v>
      </c>
      <c r="E56" s="120"/>
      <c r="F56" s="292">
        <v>3.2500000000000001E-2</v>
      </c>
      <c r="G56" s="241">
        <v>447.15</v>
      </c>
      <c r="H56" s="245">
        <v>89728.092499999999</v>
      </c>
      <c r="I56" s="241">
        <v>210190.37249999997</v>
      </c>
      <c r="J56" s="120"/>
      <c r="K56" s="120"/>
      <c r="L56" s="120"/>
    </row>
    <row r="57" spans="1:12" hidden="1" outlineLevel="1" x14ac:dyDescent="0.2">
      <c r="A57" s="231">
        <v>34</v>
      </c>
      <c r="B57" s="239">
        <v>41028</v>
      </c>
      <c r="D57" s="274">
        <v>72863.03</v>
      </c>
      <c r="E57" s="120"/>
      <c r="F57" s="292">
        <v>3.2500000000000001E-2</v>
      </c>
      <c r="G57" s="241">
        <v>667.93</v>
      </c>
      <c r="H57" s="245">
        <v>73530.992499999993</v>
      </c>
      <c r="I57" s="241">
        <v>283721.36499999999</v>
      </c>
      <c r="J57" s="120"/>
      <c r="K57" s="120"/>
      <c r="L57" s="120"/>
    </row>
    <row r="58" spans="1:12" hidden="1" outlineLevel="1" x14ac:dyDescent="0.2">
      <c r="A58" s="231">
        <v>35</v>
      </c>
      <c r="B58" s="239">
        <v>41059</v>
      </c>
      <c r="D58" s="274">
        <v>56173.89</v>
      </c>
      <c r="E58" s="120"/>
      <c r="F58" s="292">
        <v>3.2500000000000001E-2</v>
      </c>
      <c r="G58" s="241">
        <v>844.48</v>
      </c>
      <c r="H58" s="245">
        <v>57018.402500000004</v>
      </c>
      <c r="I58" s="241">
        <v>340739.76750000002</v>
      </c>
      <c r="J58" s="120"/>
      <c r="K58" s="120"/>
      <c r="L58" s="120"/>
    </row>
    <row r="59" spans="1:12" hidden="1" outlineLevel="1" x14ac:dyDescent="0.2">
      <c r="A59" s="231">
        <v>36</v>
      </c>
      <c r="B59" s="239">
        <v>41089</v>
      </c>
      <c r="C59" s="258">
        <v>2</v>
      </c>
      <c r="D59" s="274">
        <v>89822.59</v>
      </c>
      <c r="E59" s="120">
        <v>-10.01</v>
      </c>
      <c r="F59" s="292">
        <v>3.2500000000000001E-2</v>
      </c>
      <c r="G59" s="241">
        <v>1044.44</v>
      </c>
      <c r="H59" s="245">
        <v>90857.052500000005</v>
      </c>
      <c r="I59" s="241">
        <v>431596.82</v>
      </c>
      <c r="J59" s="120"/>
      <c r="K59" s="120"/>
      <c r="L59" s="120"/>
    </row>
    <row r="60" spans="1:12" hidden="1" outlineLevel="1" x14ac:dyDescent="0.2">
      <c r="A60" s="231">
        <v>37</v>
      </c>
      <c r="B60" s="239">
        <v>41120</v>
      </c>
      <c r="D60" s="274">
        <v>43442.99</v>
      </c>
      <c r="E60" s="120"/>
      <c r="F60" s="292">
        <v>3.2500000000000001E-2</v>
      </c>
      <c r="G60" s="241">
        <v>1227.74</v>
      </c>
      <c r="H60" s="245">
        <v>44670.762499999997</v>
      </c>
      <c r="I60" s="241">
        <v>476267.58250000002</v>
      </c>
      <c r="J60" s="120"/>
      <c r="K60" s="120"/>
      <c r="L60" s="120"/>
    </row>
    <row r="61" spans="1:12" hidden="1" outlineLevel="1" x14ac:dyDescent="0.2">
      <c r="A61" s="231">
        <v>38</v>
      </c>
      <c r="B61" s="239">
        <v>41150</v>
      </c>
      <c r="D61" s="274">
        <v>3689.4300000000003</v>
      </c>
      <c r="E61" s="120"/>
      <c r="F61" s="292">
        <v>3.2500000000000001E-2</v>
      </c>
      <c r="G61" s="241">
        <v>1294.8900000000001</v>
      </c>
      <c r="H61" s="245">
        <v>4984.3525</v>
      </c>
      <c r="I61" s="241">
        <v>481251.935</v>
      </c>
      <c r="J61" s="120"/>
      <c r="K61" s="120"/>
      <c r="L61" s="120"/>
    </row>
    <row r="62" spans="1:12" hidden="1" outlineLevel="1" x14ac:dyDescent="0.2">
      <c r="A62" s="231">
        <v>39</v>
      </c>
      <c r="B62" s="239">
        <v>41180</v>
      </c>
      <c r="D62" s="274">
        <v>-3753.71</v>
      </c>
      <c r="E62" s="120"/>
      <c r="F62" s="292">
        <v>3.2500000000000001E-2</v>
      </c>
      <c r="G62" s="241">
        <v>1298.31</v>
      </c>
      <c r="H62" s="245">
        <v>-2455.3675000000003</v>
      </c>
      <c r="I62" s="241">
        <v>478796.5675</v>
      </c>
      <c r="J62" s="120"/>
      <c r="K62" s="120"/>
      <c r="L62" s="120"/>
    </row>
    <row r="63" spans="1:12" hidden="1" outlineLevel="1" x14ac:dyDescent="0.2">
      <c r="A63" s="231">
        <v>40</v>
      </c>
      <c r="B63" s="239">
        <v>41211</v>
      </c>
      <c r="D63" s="274">
        <v>-1431.89</v>
      </c>
      <c r="E63" s="120"/>
      <c r="F63" s="292">
        <v>3.2500000000000001E-2</v>
      </c>
      <c r="G63" s="241">
        <v>1294.8</v>
      </c>
      <c r="H63" s="245">
        <v>-137.05750000000012</v>
      </c>
      <c r="I63" s="241">
        <v>478659.51</v>
      </c>
      <c r="J63" s="120"/>
      <c r="K63" s="120"/>
      <c r="L63" s="120"/>
    </row>
    <row r="64" spans="1:12" hidden="1" outlineLevel="1" x14ac:dyDescent="0.2">
      <c r="A64" s="231">
        <v>41</v>
      </c>
      <c r="B64" s="239">
        <v>41241</v>
      </c>
      <c r="C64" s="258">
        <v>1</v>
      </c>
      <c r="D64" s="274">
        <v>-2797.37</v>
      </c>
      <c r="E64" s="120">
        <v>-478659.5</v>
      </c>
      <c r="F64" s="292">
        <v>3.2500000000000001E-2</v>
      </c>
      <c r="G64" s="241">
        <v>-3.79</v>
      </c>
      <c r="H64" s="245">
        <v>-481460.6275</v>
      </c>
      <c r="I64" s="241">
        <v>-2801.117499999993</v>
      </c>
      <c r="J64" s="120"/>
      <c r="K64" s="120"/>
      <c r="L64" s="120"/>
    </row>
    <row r="65" spans="1:12" hidden="1" outlineLevel="1" x14ac:dyDescent="0.2">
      <c r="A65" s="231">
        <v>42</v>
      </c>
      <c r="B65" s="239">
        <v>41272</v>
      </c>
      <c r="D65" s="274">
        <v>3335.4199999999996</v>
      </c>
      <c r="E65" s="120"/>
      <c r="F65" s="292">
        <v>3.2500000000000001E-2</v>
      </c>
      <c r="G65" s="241">
        <v>-3.07</v>
      </c>
      <c r="H65" s="245">
        <v>3332.3824999999993</v>
      </c>
      <c r="I65" s="241">
        <v>531.26500000000624</v>
      </c>
      <c r="J65" s="120"/>
      <c r="K65" s="120"/>
      <c r="L65" s="120"/>
    </row>
    <row r="66" spans="1:12" hidden="1" outlineLevel="1" x14ac:dyDescent="0.2">
      <c r="A66" s="231">
        <v>43</v>
      </c>
      <c r="B66" s="247">
        <v>41303</v>
      </c>
      <c r="D66" s="274">
        <v>34764.720000000001</v>
      </c>
      <c r="E66" s="120"/>
      <c r="F66" s="292">
        <v>3.2500000000000001E-2</v>
      </c>
      <c r="G66" s="241">
        <v>48.52</v>
      </c>
      <c r="H66" s="245">
        <v>34813.272499999999</v>
      </c>
      <c r="I66" s="241">
        <v>35344.537500000006</v>
      </c>
      <c r="J66" s="120"/>
      <c r="K66" s="120"/>
      <c r="L66" s="120"/>
    </row>
    <row r="67" spans="1:12" hidden="1" outlineLevel="1" x14ac:dyDescent="0.2">
      <c r="A67" s="231">
        <v>44</v>
      </c>
      <c r="B67" s="239">
        <v>41331</v>
      </c>
      <c r="D67" s="274">
        <v>58993.409999999996</v>
      </c>
      <c r="E67" s="120"/>
      <c r="F67" s="292">
        <v>3.2500000000000001E-2</v>
      </c>
      <c r="G67" s="241">
        <v>175.61</v>
      </c>
      <c r="H67" s="245">
        <v>59169.052499999998</v>
      </c>
      <c r="I67" s="241">
        <v>94513.59</v>
      </c>
      <c r="J67" s="120"/>
      <c r="K67" s="120"/>
      <c r="L67" s="120"/>
    </row>
    <row r="68" spans="1:12" hidden="1" outlineLevel="1" x14ac:dyDescent="0.2">
      <c r="A68" s="231">
        <v>45</v>
      </c>
      <c r="B68" s="239">
        <v>41362</v>
      </c>
      <c r="D68" s="328">
        <v>59322.05</v>
      </c>
      <c r="E68" s="120"/>
      <c r="F68" s="292">
        <v>3.2500000000000001E-2</v>
      </c>
      <c r="G68" s="241">
        <v>336.31</v>
      </c>
      <c r="H68" s="245">
        <v>59658.392500000002</v>
      </c>
      <c r="I68" s="241">
        <v>154171.98249999998</v>
      </c>
      <c r="J68" s="120"/>
      <c r="K68" s="120"/>
      <c r="L68" s="120"/>
    </row>
    <row r="69" spans="1:12" hidden="1" outlineLevel="1" x14ac:dyDescent="0.2">
      <c r="A69" s="231">
        <v>46</v>
      </c>
      <c r="B69" s="226">
        <v>41392</v>
      </c>
      <c r="D69" s="328">
        <v>9902.2200000000012</v>
      </c>
      <c r="E69" s="120"/>
      <c r="F69" s="292">
        <v>3.2500000000000001E-2</v>
      </c>
      <c r="G69" s="241">
        <v>430.96</v>
      </c>
      <c r="H69" s="245">
        <v>10333.2125</v>
      </c>
      <c r="I69" s="241">
        <v>164505.19499999998</v>
      </c>
      <c r="J69" s="120"/>
      <c r="K69" s="120"/>
      <c r="L69" s="120"/>
    </row>
    <row r="70" spans="1:12" hidden="1" outlineLevel="1" x14ac:dyDescent="0.2">
      <c r="A70" s="231">
        <v>47</v>
      </c>
      <c r="B70" s="226">
        <v>41423</v>
      </c>
      <c r="D70" s="328">
        <v>54656.990000000005</v>
      </c>
      <c r="E70" s="120"/>
      <c r="F70" s="292">
        <v>3.2500000000000001E-2</v>
      </c>
      <c r="G70" s="241">
        <v>519.54999999999995</v>
      </c>
      <c r="H70" s="245">
        <v>55176.572500000009</v>
      </c>
      <c r="I70" s="241">
        <v>219681.76749999999</v>
      </c>
      <c r="J70" s="120"/>
      <c r="K70" s="120"/>
      <c r="L70" s="120"/>
    </row>
    <row r="71" spans="1:12" hidden="1" outlineLevel="1" x14ac:dyDescent="0.2">
      <c r="A71" s="231">
        <v>48</v>
      </c>
      <c r="B71" s="226">
        <v>41453</v>
      </c>
      <c r="D71" s="274">
        <v>134140.37</v>
      </c>
      <c r="E71" s="120"/>
      <c r="F71" s="292">
        <v>3.2500000000000001E-2</v>
      </c>
      <c r="G71" s="241">
        <v>776.62</v>
      </c>
      <c r="H71" s="245">
        <v>134917.02249999999</v>
      </c>
      <c r="I71" s="241">
        <v>354598.79</v>
      </c>
      <c r="J71" s="120"/>
      <c r="K71" s="120"/>
      <c r="L71" s="120"/>
    </row>
    <row r="72" spans="1:12" hidden="1" outlineLevel="1" x14ac:dyDescent="0.2">
      <c r="A72" s="231">
        <v>49</v>
      </c>
      <c r="B72" s="226">
        <v>41484</v>
      </c>
      <c r="D72" s="274">
        <v>36594.03</v>
      </c>
      <c r="E72" s="120"/>
      <c r="F72" s="292">
        <v>3.2500000000000001E-2</v>
      </c>
      <c r="G72" s="241">
        <v>1009.93</v>
      </c>
      <c r="H72" s="245">
        <v>37603.9925</v>
      </c>
      <c r="I72" s="241">
        <v>392202.78249999997</v>
      </c>
      <c r="J72" s="120"/>
      <c r="K72" s="120"/>
      <c r="L72" s="120"/>
    </row>
    <row r="73" spans="1:12" hidden="1" outlineLevel="1" x14ac:dyDescent="0.2">
      <c r="A73" s="231">
        <v>50</v>
      </c>
      <c r="B73" s="226">
        <v>41515</v>
      </c>
      <c r="D73" s="274">
        <v>-4103.7</v>
      </c>
      <c r="E73" s="120"/>
      <c r="F73" s="292">
        <v>3.2500000000000001E-2</v>
      </c>
      <c r="G73" s="241">
        <v>1056.6600000000001</v>
      </c>
      <c r="H73" s="245">
        <v>-3047.0074999999997</v>
      </c>
      <c r="I73" s="241">
        <v>389155.77499999997</v>
      </c>
      <c r="J73" s="120"/>
      <c r="K73" s="120"/>
      <c r="L73" s="120"/>
    </row>
    <row r="74" spans="1:12" hidden="1" outlineLevel="1" x14ac:dyDescent="0.2">
      <c r="A74" s="231">
        <v>51</v>
      </c>
      <c r="B74" s="226">
        <v>41545</v>
      </c>
      <c r="D74" s="274">
        <v>-2736.27</v>
      </c>
      <c r="E74" s="120"/>
      <c r="F74" s="292">
        <v>3.2500000000000001E-2</v>
      </c>
      <c r="G74" s="241">
        <v>1050.26</v>
      </c>
      <c r="H74" s="245">
        <v>-1685.9775000000002</v>
      </c>
      <c r="I74" s="241">
        <v>387469.79749999999</v>
      </c>
      <c r="J74" s="120"/>
      <c r="K74" s="120"/>
      <c r="L74" s="120"/>
    </row>
    <row r="75" spans="1:12" hidden="1" outlineLevel="1" x14ac:dyDescent="0.2">
      <c r="A75" s="231">
        <v>52</v>
      </c>
      <c r="B75" s="226">
        <v>41576</v>
      </c>
      <c r="D75" s="274">
        <v>-3741.51</v>
      </c>
      <c r="E75" s="120"/>
      <c r="F75" s="292">
        <v>3.2500000000000001E-2</v>
      </c>
      <c r="G75" s="241">
        <v>1044.33</v>
      </c>
      <c r="H75" s="245">
        <v>-2697.1475000000005</v>
      </c>
      <c r="I75" s="263">
        <v>384772.64999999997</v>
      </c>
      <c r="J75" s="120"/>
      <c r="K75" s="120"/>
      <c r="L75" s="120"/>
    </row>
    <row r="76" spans="1:12" hidden="1" outlineLevel="1" x14ac:dyDescent="0.2">
      <c r="A76" s="231">
        <v>53</v>
      </c>
      <c r="B76" s="226">
        <v>41606</v>
      </c>
      <c r="C76" s="258">
        <v>1</v>
      </c>
      <c r="D76" s="274">
        <v>-2613.69</v>
      </c>
      <c r="E76" s="120">
        <v>-384772.64999999997</v>
      </c>
      <c r="F76" s="292">
        <v>3.2500000000000001E-2</v>
      </c>
      <c r="G76" s="241">
        <v>-3.54</v>
      </c>
      <c r="H76" s="245">
        <v>-387389.84749999997</v>
      </c>
      <c r="I76" s="263">
        <v>-2617.1975000000093</v>
      </c>
      <c r="J76" s="120"/>
      <c r="K76" s="120"/>
      <c r="L76" s="120"/>
    </row>
    <row r="77" spans="1:12" hidden="1" outlineLevel="1" x14ac:dyDescent="0.2">
      <c r="A77" s="231">
        <v>54</v>
      </c>
      <c r="B77" s="226">
        <v>41637</v>
      </c>
      <c r="D77" s="274">
        <v>2257.5500000000002</v>
      </c>
      <c r="E77" s="120"/>
      <c r="F77" s="292">
        <v>3.2500000000000001E-2</v>
      </c>
      <c r="G77" s="241">
        <v>-4.03</v>
      </c>
      <c r="H77" s="245">
        <v>2253.5524999999998</v>
      </c>
      <c r="I77" s="263">
        <v>-363.64500000000953</v>
      </c>
      <c r="J77" s="120"/>
      <c r="K77" s="120"/>
      <c r="L77" s="120"/>
    </row>
    <row r="78" spans="1:12" hidden="1" outlineLevel="1" x14ac:dyDescent="0.2">
      <c r="A78" s="231">
        <v>55</v>
      </c>
      <c r="B78" s="226">
        <v>41668</v>
      </c>
      <c r="D78" s="274">
        <v>34960.670000000006</v>
      </c>
      <c r="E78" s="120"/>
      <c r="F78" s="292">
        <v>3.2500000000000001E-2</v>
      </c>
      <c r="G78" s="241">
        <v>46.36</v>
      </c>
      <c r="H78" s="245">
        <v>35007.062500000007</v>
      </c>
      <c r="I78" s="263">
        <v>34643.417499999996</v>
      </c>
      <c r="J78" s="120"/>
      <c r="K78" s="120"/>
      <c r="L78" s="120"/>
    </row>
    <row r="79" spans="1:12" hidden="1" outlineLevel="1" x14ac:dyDescent="0.2">
      <c r="A79" s="231">
        <v>56</v>
      </c>
      <c r="B79" s="226">
        <v>41696</v>
      </c>
      <c r="D79" s="274">
        <v>30085.05</v>
      </c>
      <c r="E79" s="120"/>
      <c r="F79" s="292">
        <v>3.2500000000000001E-2</v>
      </c>
      <c r="G79" s="241">
        <v>134.57</v>
      </c>
      <c r="H79" s="245">
        <v>30219.6525</v>
      </c>
      <c r="I79" s="263">
        <v>64863.069999999992</v>
      </c>
      <c r="J79" s="120"/>
      <c r="K79" s="120"/>
      <c r="L79" s="120"/>
    </row>
    <row r="80" spans="1:12" hidden="1" outlineLevel="1" x14ac:dyDescent="0.2">
      <c r="A80" s="231">
        <v>57</v>
      </c>
      <c r="B80" s="226">
        <v>41727</v>
      </c>
      <c r="D80" s="274">
        <v>68732.740000000005</v>
      </c>
      <c r="E80" s="120"/>
      <c r="F80" s="292">
        <v>3.2500000000000001E-2</v>
      </c>
      <c r="G80" s="241">
        <v>268.75</v>
      </c>
      <c r="H80" s="245">
        <v>69001.522500000006</v>
      </c>
      <c r="I80" s="263">
        <v>133864.5925</v>
      </c>
      <c r="J80" s="120"/>
      <c r="K80" s="120"/>
      <c r="L80" s="120"/>
    </row>
    <row r="81" spans="1:16" hidden="1" outlineLevel="1" x14ac:dyDescent="0.2">
      <c r="A81" s="231">
        <v>58</v>
      </c>
      <c r="B81" s="226">
        <v>41757</v>
      </c>
      <c r="D81" s="274">
        <v>49136.24</v>
      </c>
      <c r="E81" s="120"/>
      <c r="F81" s="292">
        <v>3.2500000000000001E-2</v>
      </c>
      <c r="G81" s="241">
        <v>429.09</v>
      </c>
      <c r="H81" s="245">
        <v>49565.362499999996</v>
      </c>
      <c r="I81" s="263">
        <v>183429.95499999999</v>
      </c>
      <c r="J81" s="120"/>
      <c r="K81" s="120"/>
      <c r="L81" s="120"/>
    </row>
    <row r="82" spans="1:16" hidden="1" outlineLevel="1" x14ac:dyDescent="0.2">
      <c r="A82" s="231">
        <v>59</v>
      </c>
      <c r="B82" s="226">
        <v>41788</v>
      </c>
      <c r="D82" s="274">
        <v>7350</v>
      </c>
      <c r="E82" s="120"/>
      <c r="F82" s="292">
        <v>3.2500000000000001E-2</v>
      </c>
      <c r="G82" s="241">
        <v>506.74</v>
      </c>
      <c r="H82" s="245">
        <v>7856.7725</v>
      </c>
      <c r="I82" s="263">
        <v>191286.72749999998</v>
      </c>
      <c r="J82" s="120"/>
      <c r="K82" s="120"/>
      <c r="L82" s="120"/>
    </row>
    <row r="83" spans="1:16" hidden="1" outlineLevel="1" x14ac:dyDescent="0.2">
      <c r="A83" s="231">
        <v>60</v>
      </c>
      <c r="B83" s="226">
        <v>41818</v>
      </c>
      <c r="D83" s="274">
        <v>56782.84</v>
      </c>
      <c r="E83" s="120"/>
      <c r="F83" s="292">
        <v>3.2500000000000001E-2</v>
      </c>
      <c r="G83" s="241">
        <v>594.96</v>
      </c>
      <c r="H83" s="245">
        <v>57377.832499999997</v>
      </c>
      <c r="I83" s="263">
        <v>248664.55999999997</v>
      </c>
      <c r="J83" s="120"/>
      <c r="K83" s="120"/>
      <c r="L83" s="120"/>
    </row>
    <row r="84" spans="1:16" hidden="1" outlineLevel="1" x14ac:dyDescent="0.2">
      <c r="A84" s="231">
        <v>61</v>
      </c>
      <c r="B84" s="226">
        <v>41849</v>
      </c>
      <c r="D84" s="274">
        <v>109579.14</v>
      </c>
      <c r="E84" s="120"/>
      <c r="F84" s="292">
        <v>3.2500000000000001E-2</v>
      </c>
      <c r="G84" s="241">
        <v>821.85</v>
      </c>
      <c r="H84" s="245">
        <v>110401.02250000001</v>
      </c>
      <c r="I84" s="263">
        <v>359065.58249999996</v>
      </c>
      <c r="J84" s="120"/>
      <c r="K84" s="120"/>
      <c r="L84" s="120"/>
    </row>
    <row r="85" spans="1:16" hidden="1" outlineLevel="1" x14ac:dyDescent="0.2">
      <c r="A85" s="231">
        <v>62</v>
      </c>
      <c r="B85" s="226">
        <v>41880</v>
      </c>
      <c r="D85" s="274">
        <v>-1299.83</v>
      </c>
      <c r="E85" s="120"/>
      <c r="F85" s="292">
        <v>3.2500000000000001E-2</v>
      </c>
      <c r="G85" s="241">
        <v>970.71</v>
      </c>
      <c r="H85" s="245">
        <v>-329.08749999999986</v>
      </c>
      <c r="I85" s="263">
        <v>358736.49499999994</v>
      </c>
      <c r="J85" s="120"/>
      <c r="K85" s="120"/>
      <c r="L85" s="120"/>
    </row>
    <row r="86" spans="1:16" hidden="1" outlineLevel="1" x14ac:dyDescent="0.2">
      <c r="A86" s="231">
        <v>63</v>
      </c>
      <c r="B86" s="226">
        <v>41910</v>
      </c>
      <c r="D86" s="274">
        <v>-1388.97</v>
      </c>
      <c r="E86" s="120"/>
      <c r="F86" s="292">
        <v>3.2500000000000001E-2</v>
      </c>
      <c r="G86" s="241">
        <v>969.7</v>
      </c>
      <c r="H86" s="245">
        <v>-419.23749999999995</v>
      </c>
      <c r="I86" s="263">
        <v>358317.25749999995</v>
      </c>
      <c r="J86" s="120"/>
      <c r="K86" s="120"/>
      <c r="L86" s="120"/>
    </row>
    <row r="87" spans="1:16" hidden="1" outlineLevel="1" x14ac:dyDescent="0.2">
      <c r="A87" s="231">
        <v>64</v>
      </c>
      <c r="B87" s="226">
        <v>41941</v>
      </c>
      <c r="D87" s="274">
        <v>665.29</v>
      </c>
      <c r="E87" s="120"/>
      <c r="F87" s="292">
        <v>3.2500000000000001E-2</v>
      </c>
      <c r="G87" s="241">
        <v>971.34</v>
      </c>
      <c r="H87" s="245">
        <v>1636.6624999999999</v>
      </c>
      <c r="I87" s="263">
        <v>359953.91999999993</v>
      </c>
      <c r="J87" s="120"/>
      <c r="K87" s="120"/>
      <c r="L87" s="120"/>
    </row>
    <row r="88" spans="1:16" hidden="1" outlineLevel="1" x14ac:dyDescent="0.2">
      <c r="A88" s="231">
        <v>65</v>
      </c>
      <c r="B88" s="226">
        <v>41971</v>
      </c>
      <c r="C88" s="258">
        <v>1</v>
      </c>
      <c r="D88" s="274">
        <v>-2640.59</v>
      </c>
      <c r="E88" s="120">
        <v>-360681.96</v>
      </c>
      <c r="F88" s="292">
        <v>3.2500000000000001E-2</v>
      </c>
      <c r="G88" s="241">
        <v>-5.55</v>
      </c>
      <c r="H88" s="245">
        <v>-363328.06750000006</v>
      </c>
      <c r="I88" s="263">
        <v>-3374.1475000001374</v>
      </c>
      <c r="J88" s="120"/>
      <c r="K88" s="120"/>
      <c r="L88" s="120"/>
    </row>
    <row r="89" spans="1:16" hidden="1" outlineLevel="1" x14ac:dyDescent="0.2">
      <c r="A89" s="231">
        <v>66</v>
      </c>
      <c r="B89" s="226">
        <v>42002</v>
      </c>
      <c r="D89" s="274">
        <v>9883.9399999999987</v>
      </c>
      <c r="E89" s="120"/>
      <c r="F89" s="292">
        <v>3.2500000000000001E-2</v>
      </c>
      <c r="G89" s="241">
        <v>4.25</v>
      </c>
      <c r="H89" s="245">
        <v>9888.222499999998</v>
      </c>
      <c r="I89" s="263">
        <v>6514.0749999998607</v>
      </c>
      <c r="J89" s="120"/>
      <c r="K89" s="120"/>
      <c r="L89" s="120"/>
    </row>
    <row r="90" spans="1:16" hidden="1" outlineLevel="1" x14ac:dyDescent="0.2">
      <c r="A90" s="231">
        <v>67</v>
      </c>
      <c r="B90" s="226">
        <v>42033</v>
      </c>
      <c r="D90" s="274">
        <v>67960.850000000006</v>
      </c>
      <c r="E90" s="120"/>
      <c r="F90" s="292">
        <v>3.2500000000000001E-2</v>
      </c>
      <c r="G90" s="241">
        <v>109.67</v>
      </c>
      <c r="H90" s="245">
        <v>68070.552500000005</v>
      </c>
      <c r="I90" s="263">
        <v>74584.627499999871</v>
      </c>
      <c r="J90" s="120"/>
      <c r="K90" s="120"/>
      <c r="L90" s="120"/>
    </row>
    <row r="91" spans="1:16" hidden="1" outlineLevel="1" x14ac:dyDescent="0.2">
      <c r="A91" s="231">
        <v>68</v>
      </c>
      <c r="B91" s="226">
        <v>42061</v>
      </c>
      <c r="D91" s="274">
        <v>50311.16</v>
      </c>
      <c r="E91" s="120"/>
      <c r="F91" s="292">
        <v>3.2500000000000001E-2</v>
      </c>
      <c r="G91" s="241">
        <v>270.13</v>
      </c>
      <c r="H91" s="245">
        <v>50581.322500000002</v>
      </c>
      <c r="I91" s="263">
        <v>125165.94999999987</v>
      </c>
      <c r="J91" s="120"/>
      <c r="K91" s="120"/>
      <c r="L91" s="120"/>
    </row>
    <row r="92" spans="1:16" hidden="1" outlineLevel="1" x14ac:dyDescent="0.2">
      <c r="A92" s="231">
        <v>69</v>
      </c>
      <c r="B92" s="226">
        <v>42092</v>
      </c>
      <c r="D92" s="274">
        <v>51847.64</v>
      </c>
      <c r="E92" s="120"/>
      <c r="F92" s="292">
        <v>3.2500000000000001E-2</v>
      </c>
      <c r="G92" s="241">
        <v>409.2</v>
      </c>
      <c r="H92" s="245">
        <v>52256.872499999998</v>
      </c>
      <c r="I92" s="263">
        <v>177422.82249999986</v>
      </c>
      <c r="J92" s="120"/>
      <c r="K92" s="120"/>
      <c r="L92" s="120"/>
    </row>
    <row r="93" spans="1:16" hidden="1" outlineLevel="1" x14ac:dyDescent="0.2">
      <c r="A93" s="231">
        <v>70</v>
      </c>
      <c r="B93" s="226">
        <v>42122</v>
      </c>
      <c r="D93" s="274">
        <v>61668.42</v>
      </c>
      <c r="E93" s="120"/>
      <c r="F93" s="292">
        <v>3.2500000000000001E-2</v>
      </c>
      <c r="G93" s="241">
        <v>564.03</v>
      </c>
      <c r="H93" s="245">
        <v>62232.482499999998</v>
      </c>
      <c r="I93" s="263">
        <v>239655.30499999988</v>
      </c>
      <c r="J93" s="120"/>
      <c r="K93" s="120"/>
      <c r="L93" s="120"/>
    </row>
    <row r="94" spans="1:16" hidden="1" outlineLevel="1" x14ac:dyDescent="0.2">
      <c r="A94" s="231">
        <v>71</v>
      </c>
      <c r="B94" s="226">
        <v>42153</v>
      </c>
      <c r="D94" s="274">
        <v>-1052.7</v>
      </c>
      <c r="E94" s="120"/>
      <c r="F94" s="292">
        <v>3.2500000000000001E-2</v>
      </c>
      <c r="G94" s="241">
        <v>647.64</v>
      </c>
      <c r="H94" s="245">
        <v>-405.02750000000003</v>
      </c>
      <c r="I94" s="263">
        <v>239250.27749999988</v>
      </c>
      <c r="J94" s="120"/>
      <c r="K94" s="120"/>
      <c r="L94" s="120"/>
    </row>
    <row r="95" spans="1:16" hidden="1" outlineLevel="1" x14ac:dyDescent="0.2">
      <c r="A95" s="231">
        <v>72</v>
      </c>
      <c r="B95" s="226">
        <v>42183</v>
      </c>
      <c r="D95" s="274">
        <v>29316.489999999998</v>
      </c>
      <c r="E95" s="120"/>
      <c r="F95" s="292">
        <v>3.2500000000000001E-2</v>
      </c>
      <c r="G95" s="241">
        <v>687.67</v>
      </c>
      <c r="H95" s="245">
        <v>30004.192499999997</v>
      </c>
      <c r="I95" s="263">
        <v>269254.46999999986</v>
      </c>
      <c r="J95" s="120"/>
      <c r="K95" s="120"/>
      <c r="L95" s="120"/>
    </row>
    <row r="96" spans="1:16" hidden="1" outlineLevel="1" x14ac:dyDescent="0.2">
      <c r="A96" s="231">
        <v>73</v>
      </c>
      <c r="B96" s="226">
        <v>42214</v>
      </c>
      <c r="D96" s="274">
        <v>53983.39</v>
      </c>
      <c r="E96" s="120"/>
      <c r="F96" s="292">
        <v>3.2500000000000001E-2</v>
      </c>
      <c r="G96" s="241">
        <v>802.33</v>
      </c>
      <c r="H96" s="245">
        <v>54785.752500000002</v>
      </c>
      <c r="I96" s="263">
        <v>324040.22249999986</v>
      </c>
      <c r="J96" s="120"/>
      <c r="K96" s="120"/>
      <c r="L96" s="120"/>
      <c r="P96" s="228"/>
    </row>
    <row r="97" spans="1:12" hidden="1" outlineLevel="1" x14ac:dyDescent="0.2">
      <c r="A97" s="231">
        <v>74</v>
      </c>
      <c r="B97" s="230">
        <v>42245</v>
      </c>
      <c r="C97" s="230"/>
      <c r="D97" s="274">
        <v>14350.01</v>
      </c>
      <c r="E97" s="324"/>
      <c r="F97" s="296">
        <v>3.2500000000000001E-2</v>
      </c>
      <c r="G97" s="263">
        <v>897.04</v>
      </c>
      <c r="H97" s="274">
        <v>15247.0825</v>
      </c>
      <c r="I97" s="263">
        <v>339287.30499999988</v>
      </c>
      <c r="J97" s="120"/>
      <c r="K97" s="120"/>
      <c r="L97" s="120"/>
    </row>
    <row r="98" spans="1:12" hidden="1" outlineLevel="1" x14ac:dyDescent="0.2">
      <c r="A98" s="231">
        <v>75</v>
      </c>
      <c r="B98" s="230">
        <v>42275</v>
      </c>
      <c r="C98" s="230"/>
      <c r="D98" s="274">
        <v>3804.74</v>
      </c>
      <c r="E98" s="324"/>
      <c r="F98" s="296">
        <v>3.2500000000000001E-2</v>
      </c>
      <c r="G98" s="263">
        <v>924.06</v>
      </c>
      <c r="H98" s="274">
        <v>4728.8324999999995</v>
      </c>
      <c r="I98" s="263">
        <v>344016.1374999999</v>
      </c>
      <c r="J98" s="120"/>
      <c r="K98" s="120"/>
      <c r="L98" s="120"/>
    </row>
    <row r="99" spans="1:12" hidden="1" outlineLevel="1" x14ac:dyDescent="0.2">
      <c r="A99" s="231">
        <v>76</v>
      </c>
      <c r="B99" s="230">
        <v>42306</v>
      </c>
      <c r="C99" s="230"/>
      <c r="D99" s="274">
        <v>-988.65</v>
      </c>
      <c r="E99" s="324"/>
      <c r="F99" s="296">
        <v>3.2500000000000001E-2</v>
      </c>
      <c r="G99" s="263">
        <v>930.37</v>
      </c>
      <c r="H99" s="274">
        <v>-58.247499999999945</v>
      </c>
      <c r="I99" s="263">
        <v>343957.8899999999</v>
      </c>
      <c r="J99" s="120"/>
      <c r="K99" s="120"/>
      <c r="L99" s="120"/>
    </row>
    <row r="100" spans="1:12" hidden="1" outlineLevel="1" x14ac:dyDescent="0.2">
      <c r="A100" s="231">
        <v>77</v>
      </c>
      <c r="B100" s="230">
        <v>42336</v>
      </c>
      <c r="C100" s="258">
        <v>1</v>
      </c>
      <c r="D100" s="274">
        <v>14863.990002894832</v>
      </c>
      <c r="E100" s="324">
        <v>-341126.88</v>
      </c>
      <c r="F100" s="296">
        <v>3.2500000000000001E-2</v>
      </c>
      <c r="G100" s="263">
        <v>27.8</v>
      </c>
      <c r="H100" s="274">
        <v>-326235.05749710521</v>
      </c>
      <c r="I100" s="263">
        <v>17722.832502894686</v>
      </c>
      <c r="J100" s="120"/>
      <c r="K100" s="120"/>
      <c r="L100" s="120"/>
    </row>
    <row r="101" spans="1:12" hidden="1" outlineLevel="1" x14ac:dyDescent="0.2">
      <c r="A101" s="231">
        <v>78</v>
      </c>
      <c r="B101" s="230">
        <v>42367</v>
      </c>
      <c r="C101" s="230"/>
      <c r="D101" s="274">
        <v>31592.559995517615</v>
      </c>
      <c r="E101" s="324"/>
      <c r="F101" s="296">
        <v>3.2500000000000001E-2</v>
      </c>
      <c r="G101" s="263">
        <v>90.78</v>
      </c>
      <c r="H101" s="274">
        <v>31683.372495517615</v>
      </c>
      <c r="I101" s="263">
        <v>49406.2049984123</v>
      </c>
      <c r="J101" s="120"/>
      <c r="K101" s="120"/>
      <c r="L101" s="120"/>
    </row>
    <row r="102" spans="1:12" hidden="1" outlineLevel="1" x14ac:dyDescent="0.2">
      <c r="A102" s="231">
        <v>79</v>
      </c>
      <c r="B102" s="226">
        <v>42398</v>
      </c>
      <c r="D102" s="274">
        <v>53090.50000514344</v>
      </c>
      <c r="E102" s="120"/>
      <c r="F102" s="292">
        <v>3.2500000000000001E-2</v>
      </c>
      <c r="G102" s="241">
        <v>205.7</v>
      </c>
      <c r="H102" s="245">
        <v>53296.232505143438</v>
      </c>
      <c r="I102" s="263">
        <v>102702.43750355573</v>
      </c>
      <c r="J102" s="120"/>
      <c r="K102" s="120"/>
      <c r="L102" s="120"/>
    </row>
    <row r="103" spans="1:12" hidden="1" outlineLevel="1" x14ac:dyDescent="0.2">
      <c r="A103" s="231">
        <v>80</v>
      </c>
      <c r="B103" s="226">
        <v>42427</v>
      </c>
      <c r="D103" s="274">
        <v>30402.189998243994</v>
      </c>
      <c r="E103" s="120"/>
      <c r="F103" s="292">
        <v>3.2500000000000001E-2</v>
      </c>
      <c r="G103" s="241">
        <v>319.32</v>
      </c>
      <c r="H103" s="245">
        <v>30721.542498243994</v>
      </c>
      <c r="I103" s="263">
        <v>133423.98000179973</v>
      </c>
      <c r="J103" s="120"/>
      <c r="K103" s="120"/>
      <c r="L103" s="120"/>
    </row>
    <row r="104" spans="1:12" hidden="1" outlineLevel="1" x14ac:dyDescent="0.2">
      <c r="A104" s="231">
        <v>81</v>
      </c>
      <c r="B104" s="226">
        <v>42458</v>
      </c>
      <c r="D104" s="274">
        <v>6228.6901245870458</v>
      </c>
      <c r="E104" s="120"/>
      <c r="F104" s="292">
        <v>3.2500000000000001E-2</v>
      </c>
      <c r="G104" s="241">
        <v>369.79</v>
      </c>
      <c r="H104" s="245">
        <v>6598.512624587046</v>
      </c>
      <c r="I104" s="263">
        <v>140022.49262638678</v>
      </c>
      <c r="J104" s="120"/>
      <c r="K104" s="120"/>
      <c r="L104" s="120"/>
    </row>
    <row r="105" spans="1:12" hidden="1" outlineLevel="1" x14ac:dyDescent="0.2">
      <c r="A105" s="231">
        <v>82</v>
      </c>
      <c r="B105" s="226">
        <v>42488</v>
      </c>
      <c r="D105" s="274">
        <v>106053.44999807497</v>
      </c>
      <c r="E105" s="120"/>
      <c r="F105" s="292">
        <v>3.4599999999999999E-2</v>
      </c>
      <c r="G105" s="241">
        <v>556.63</v>
      </c>
      <c r="H105" s="245">
        <v>106610.11459807497</v>
      </c>
      <c r="I105" s="263">
        <v>246632.60722446174</v>
      </c>
      <c r="J105" s="120"/>
      <c r="K105" s="120"/>
      <c r="L105" s="120"/>
    </row>
    <row r="106" spans="1:12" hidden="1" outlineLevel="1" x14ac:dyDescent="0.2">
      <c r="A106" s="231">
        <v>83</v>
      </c>
      <c r="B106" s="226">
        <v>42519</v>
      </c>
      <c r="D106" s="274">
        <v>34229.860011574026</v>
      </c>
      <c r="E106" s="120"/>
      <c r="F106" s="292">
        <v>3.4599999999999999E-2</v>
      </c>
      <c r="G106" s="241">
        <v>760.47</v>
      </c>
      <c r="H106" s="245">
        <v>34990.364611574027</v>
      </c>
      <c r="I106" s="263">
        <v>281622.97183603578</v>
      </c>
      <c r="J106" s="120"/>
      <c r="K106" s="120"/>
      <c r="L106" s="120"/>
    </row>
    <row r="107" spans="1:12" hidden="1" outlineLevel="1" x14ac:dyDescent="0.2">
      <c r="A107" s="231">
        <v>84</v>
      </c>
      <c r="B107" s="226">
        <v>42549</v>
      </c>
      <c r="D107" s="274">
        <v>4225.2599999999993</v>
      </c>
      <c r="E107" s="120"/>
      <c r="F107" s="292">
        <v>3.4599999999999999E-2</v>
      </c>
      <c r="G107" s="241">
        <v>818.1</v>
      </c>
      <c r="H107" s="245">
        <v>5043.3945999999996</v>
      </c>
      <c r="I107" s="263">
        <v>286666.36643603578</v>
      </c>
      <c r="J107" s="120"/>
      <c r="K107" s="120"/>
      <c r="L107" s="120"/>
    </row>
    <row r="108" spans="1:12" s="230" customFormat="1" hidden="1" outlineLevel="1" x14ac:dyDescent="0.2">
      <c r="A108" s="281">
        <v>85</v>
      </c>
      <c r="B108" s="230">
        <v>42580</v>
      </c>
      <c r="D108" s="274">
        <v>76703.58</v>
      </c>
      <c r="E108" s="324"/>
      <c r="F108" s="296">
        <v>3.5000000000000003E-2</v>
      </c>
      <c r="G108" s="263">
        <v>947.97</v>
      </c>
      <c r="H108" s="274">
        <v>77651.585000000006</v>
      </c>
      <c r="I108" s="263">
        <v>364317.9514360358</v>
      </c>
      <c r="J108" s="324"/>
      <c r="K108" s="324"/>
      <c r="L108" s="324"/>
    </row>
    <row r="109" spans="1:12" hidden="1" outlineLevel="1" x14ac:dyDescent="0.2">
      <c r="A109" s="281">
        <v>86</v>
      </c>
      <c r="B109" s="226">
        <v>42611</v>
      </c>
      <c r="D109" s="274">
        <v>14126.34</v>
      </c>
      <c r="E109" s="120"/>
      <c r="F109" s="292">
        <v>3.5000000000000003E-2</v>
      </c>
      <c r="G109" s="241">
        <v>1083.19</v>
      </c>
      <c r="H109" s="245">
        <v>15209.565000000001</v>
      </c>
      <c r="I109" s="263">
        <v>379527.5164360358</v>
      </c>
      <c r="J109" s="120"/>
      <c r="K109" s="120"/>
      <c r="L109" s="120"/>
    </row>
    <row r="110" spans="1:12" hidden="1" outlineLevel="1" x14ac:dyDescent="0.2">
      <c r="A110" s="281">
        <v>87</v>
      </c>
      <c r="B110" s="226">
        <v>42641</v>
      </c>
      <c r="D110" s="274">
        <v>-2244.8200000000002</v>
      </c>
      <c r="E110" s="120"/>
      <c r="F110" s="292">
        <v>3.5000000000000003E-2</v>
      </c>
      <c r="G110" s="241">
        <v>1103.68</v>
      </c>
      <c r="H110" s="245">
        <v>-1141.1050000000002</v>
      </c>
      <c r="I110" s="263">
        <v>378386.41143603582</v>
      </c>
      <c r="J110" s="120"/>
      <c r="K110" s="120"/>
      <c r="L110" s="120"/>
    </row>
    <row r="111" spans="1:12" hidden="1" outlineLevel="1" x14ac:dyDescent="0.2">
      <c r="A111" s="281">
        <v>88</v>
      </c>
      <c r="B111" s="226">
        <v>42672</v>
      </c>
      <c r="D111" s="274">
        <v>-393.94</v>
      </c>
      <c r="E111" s="120"/>
      <c r="F111" s="292">
        <v>3.5000000000000003E-2</v>
      </c>
      <c r="G111" s="241">
        <v>1103.05</v>
      </c>
      <c r="H111" s="245">
        <v>709.14499999999998</v>
      </c>
      <c r="I111" s="263">
        <v>379095.55643603584</v>
      </c>
      <c r="J111" s="120"/>
      <c r="K111" s="120"/>
      <c r="L111" s="120"/>
    </row>
    <row r="112" spans="1:12" hidden="1" outlineLevel="1" x14ac:dyDescent="0.2">
      <c r="A112" s="281">
        <v>89</v>
      </c>
      <c r="B112" s="291">
        <v>42702</v>
      </c>
      <c r="C112" s="258">
        <v>1</v>
      </c>
      <c r="D112" s="274">
        <v>19430.43</v>
      </c>
      <c r="E112" s="313">
        <v>-381744.66</v>
      </c>
      <c r="F112" s="292">
        <v>3.5000000000000003E-2</v>
      </c>
      <c r="G112" s="241">
        <v>20.61</v>
      </c>
      <c r="H112" s="245">
        <v>-362293.62</v>
      </c>
      <c r="I112" s="263">
        <v>16801.936436035845</v>
      </c>
      <c r="J112" s="120"/>
      <c r="K112" s="120"/>
      <c r="L112" s="120"/>
    </row>
    <row r="113" spans="1:12" hidden="1" outlineLevel="1" x14ac:dyDescent="0.2">
      <c r="A113" s="281">
        <v>90</v>
      </c>
      <c r="B113" s="291">
        <v>42733</v>
      </c>
      <c r="C113" s="310"/>
      <c r="D113" s="274">
        <v>-382.87</v>
      </c>
      <c r="E113" s="313"/>
      <c r="F113" s="292">
        <v>3.5000000000000003E-2</v>
      </c>
      <c r="G113" s="241">
        <v>48.45</v>
      </c>
      <c r="H113" s="245">
        <v>-334.42</v>
      </c>
      <c r="I113" s="263">
        <v>16467.516436035847</v>
      </c>
      <c r="J113" s="120"/>
      <c r="K113" s="120"/>
      <c r="L113" s="120"/>
    </row>
    <row r="114" spans="1:12" hidden="1" outlineLevel="1" x14ac:dyDescent="0.2">
      <c r="A114" s="281">
        <v>91</v>
      </c>
      <c r="B114" s="291">
        <v>42764</v>
      </c>
      <c r="C114" s="310"/>
      <c r="D114" s="274">
        <v>68146.48</v>
      </c>
      <c r="E114" s="313"/>
      <c r="F114" s="292">
        <v>3.5000000000000003E-2</v>
      </c>
      <c r="G114" s="241">
        <v>147.41</v>
      </c>
      <c r="H114" s="245">
        <v>68293.89</v>
      </c>
      <c r="I114" s="263">
        <v>84761.406436035846</v>
      </c>
      <c r="J114" s="120"/>
      <c r="K114" s="120"/>
      <c r="L114" s="120"/>
    </row>
    <row r="115" spans="1:12" hidden="1" outlineLevel="1" x14ac:dyDescent="0.2">
      <c r="A115" s="281">
        <v>92</v>
      </c>
      <c r="B115" s="291">
        <v>42792</v>
      </c>
      <c r="C115" s="310"/>
      <c r="D115" s="274">
        <v>38400.67</v>
      </c>
      <c r="E115" s="313"/>
      <c r="F115" s="292">
        <v>3.5000000000000003E-2</v>
      </c>
      <c r="G115" s="241">
        <v>303.22000000000003</v>
      </c>
      <c r="H115" s="245">
        <v>38703.89</v>
      </c>
      <c r="I115" s="263">
        <v>123465.29643603585</v>
      </c>
      <c r="J115" s="120"/>
      <c r="K115" s="120"/>
      <c r="L115" s="120"/>
    </row>
    <row r="116" spans="1:12" hidden="1" outlineLevel="1" x14ac:dyDescent="0.2">
      <c r="A116" s="281">
        <v>93</v>
      </c>
      <c r="B116" s="291">
        <v>42823</v>
      </c>
      <c r="C116" s="310"/>
      <c r="D116" s="274">
        <v>46507.28</v>
      </c>
      <c r="E116" s="313"/>
      <c r="F116" s="292">
        <v>3.5000000000000003E-2</v>
      </c>
      <c r="G116" s="241">
        <v>427.93</v>
      </c>
      <c r="H116" s="245">
        <v>46935.21</v>
      </c>
      <c r="I116" s="263">
        <v>170400.50643603585</v>
      </c>
      <c r="J116" s="120"/>
      <c r="K116" s="120"/>
      <c r="L116" s="120"/>
    </row>
    <row r="117" spans="1:12" hidden="1" outlineLevel="1" x14ac:dyDescent="0.2">
      <c r="A117" s="281">
        <v>94</v>
      </c>
      <c r="B117" s="291">
        <v>42854</v>
      </c>
      <c r="C117" s="310"/>
      <c r="D117" s="274">
        <v>46328.51</v>
      </c>
      <c r="E117" s="313"/>
      <c r="F117" s="292">
        <v>3.7100000000000001E-2</v>
      </c>
      <c r="G117" s="241">
        <v>598.44000000000005</v>
      </c>
      <c r="H117" s="245">
        <v>46926.950000000004</v>
      </c>
      <c r="I117" s="263">
        <v>217327.45643603586</v>
      </c>
      <c r="J117" s="120"/>
      <c r="K117" s="120"/>
      <c r="L117" s="120"/>
    </row>
    <row r="118" spans="1:12" hidden="1" outlineLevel="1" x14ac:dyDescent="0.2">
      <c r="A118" s="281">
        <v>95</v>
      </c>
      <c r="B118" s="291">
        <v>42885</v>
      </c>
      <c r="C118" s="310"/>
      <c r="D118" s="274">
        <v>40101.760000000002</v>
      </c>
      <c r="E118" s="313"/>
      <c r="F118" s="292">
        <v>3.7100000000000001E-2</v>
      </c>
      <c r="G118" s="241">
        <v>733.89</v>
      </c>
      <c r="H118" s="245">
        <v>40835.65</v>
      </c>
      <c r="I118" s="263">
        <v>258163.10643603586</v>
      </c>
      <c r="J118" s="120"/>
      <c r="K118" s="120"/>
      <c r="L118" s="120"/>
    </row>
    <row r="119" spans="1:12" hidden="1" outlineLevel="1" x14ac:dyDescent="0.2">
      <c r="A119" s="281">
        <v>96</v>
      </c>
      <c r="B119" s="291">
        <v>42916</v>
      </c>
      <c r="C119" s="310"/>
      <c r="D119" s="274">
        <v>24702.05</v>
      </c>
      <c r="E119" s="313"/>
      <c r="F119" s="292">
        <v>3.7100000000000001E-2</v>
      </c>
      <c r="G119" s="241">
        <v>836.34</v>
      </c>
      <c r="H119" s="245">
        <v>25538.39</v>
      </c>
      <c r="I119" s="263">
        <v>283701.49643603584</v>
      </c>
      <c r="J119" s="120"/>
      <c r="K119" s="120"/>
      <c r="L119" s="120"/>
    </row>
    <row r="120" spans="1:12" hidden="1" outlineLevel="1" x14ac:dyDescent="0.2">
      <c r="A120" s="281">
        <v>97</v>
      </c>
      <c r="B120" s="291">
        <v>42947</v>
      </c>
      <c r="C120" s="310"/>
      <c r="D120" s="274">
        <v>35273.270000000004</v>
      </c>
      <c r="E120" s="313"/>
      <c r="F120" s="292">
        <v>3.9600000000000003E-2</v>
      </c>
      <c r="G120" s="241">
        <v>994.42</v>
      </c>
      <c r="H120" s="245">
        <v>36267.69</v>
      </c>
      <c r="I120" s="263">
        <v>319969.18643603584</v>
      </c>
      <c r="J120" s="120"/>
      <c r="K120" s="120"/>
      <c r="L120" s="120"/>
    </row>
    <row r="121" spans="1:12" hidden="1" outlineLevel="1" x14ac:dyDescent="0.2">
      <c r="A121" s="281">
        <v>98</v>
      </c>
      <c r="B121" s="291">
        <v>42978</v>
      </c>
      <c r="C121" s="258">
        <v>2</v>
      </c>
      <c r="D121" s="274">
        <v>8844.77</v>
      </c>
      <c r="E121" s="313">
        <v>-0.65</v>
      </c>
      <c r="F121" s="292">
        <v>3.9600000000000003E-2</v>
      </c>
      <c r="G121" s="241">
        <v>1070.49</v>
      </c>
      <c r="H121" s="245">
        <v>9914.61</v>
      </c>
      <c r="I121" s="263">
        <v>329883.79643603583</v>
      </c>
      <c r="J121" s="120"/>
      <c r="K121" s="120"/>
      <c r="L121" s="120"/>
    </row>
    <row r="122" spans="1:12" hidden="1" outlineLevel="1" x14ac:dyDescent="0.2">
      <c r="A122" s="281">
        <v>99</v>
      </c>
      <c r="B122" s="291">
        <v>43007</v>
      </c>
      <c r="C122" s="310"/>
      <c r="D122" s="274">
        <v>-63.739999999999782</v>
      </c>
      <c r="E122" s="313"/>
      <c r="F122" s="292">
        <v>3.9600000000000003E-2</v>
      </c>
      <c r="G122" s="241">
        <v>1088.51</v>
      </c>
      <c r="H122" s="245">
        <v>1024.7700000000002</v>
      </c>
      <c r="I122" s="263">
        <v>330908.56643603585</v>
      </c>
      <c r="J122" s="120"/>
      <c r="K122" s="120"/>
      <c r="L122" s="120"/>
    </row>
    <row r="123" spans="1:12" hidden="1" outlineLevel="1" x14ac:dyDescent="0.2">
      <c r="A123" s="281">
        <v>100</v>
      </c>
      <c r="B123" s="291">
        <v>43038</v>
      </c>
      <c r="C123" s="310"/>
      <c r="D123" s="274">
        <v>-1043.26</v>
      </c>
      <c r="E123" s="313"/>
      <c r="F123" s="292">
        <v>4.2099999999999999E-2</v>
      </c>
      <c r="G123" s="241">
        <v>1159.1099999999999</v>
      </c>
      <c r="H123" s="245">
        <v>115.84999999999991</v>
      </c>
      <c r="I123" s="263">
        <v>331024.41643603583</v>
      </c>
      <c r="J123" s="120"/>
      <c r="K123" s="120"/>
      <c r="L123" s="120"/>
    </row>
    <row r="124" spans="1:12" hidden="1" outlineLevel="1" x14ac:dyDescent="0.2">
      <c r="A124" s="281">
        <v>101</v>
      </c>
      <c r="B124" s="291">
        <v>43069</v>
      </c>
      <c r="C124" s="258">
        <v>1</v>
      </c>
      <c r="D124" s="274">
        <v>37988</v>
      </c>
      <c r="E124" s="313">
        <v>-332064.63</v>
      </c>
      <c r="F124" s="292">
        <v>4.2099999999999999E-2</v>
      </c>
      <c r="G124" s="241">
        <v>62.99</v>
      </c>
      <c r="H124" s="245">
        <v>-294013.64</v>
      </c>
      <c r="I124" s="263">
        <v>37010.776436035812</v>
      </c>
      <c r="J124" s="120"/>
      <c r="K124" s="120"/>
      <c r="L124" s="120"/>
    </row>
    <row r="125" spans="1:12" hidden="1" outlineLevel="1" x14ac:dyDescent="0.2">
      <c r="A125" s="281">
        <v>102</v>
      </c>
      <c r="B125" s="291">
        <v>43100</v>
      </c>
      <c r="C125" s="310"/>
      <c r="D125" s="274">
        <v>6129.2499999999991</v>
      </c>
      <c r="E125" s="226"/>
      <c r="F125" s="292">
        <v>4.2099999999999999E-2</v>
      </c>
      <c r="G125" s="241">
        <v>140.6</v>
      </c>
      <c r="H125" s="245">
        <v>6269.8499999999995</v>
      </c>
      <c r="I125" s="263">
        <v>43280.626436035811</v>
      </c>
      <c r="J125" s="120"/>
      <c r="K125" s="120"/>
      <c r="L125" s="120"/>
    </row>
    <row r="126" spans="1:12" hidden="1" outlineLevel="1" x14ac:dyDescent="0.2">
      <c r="A126" s="281">
        <v>103</v>
      </c>
      <c r="B126" s="291">
        <v>43101</v>
      </c>
      <c r="C126" s="310"/>
      <c r="D126" s="274">
        <v>92788</v>
      </c>
      <c r="E126" s="226"/>
      <c r="F126" s="292">
        <v>4.2500000000000003E-2</v>
      </c>
      <c r="G126" s="241">
        <v>317.60000000000002</v>
      </c>
      <c r="H126" s="245">
        <v>93105.600000000006</v>
      </c>
      <c r="I126" s="263">
        <v>136386.22643603582</v>
      </c>
      <c r="J126" s="120"/>
      <c r="K126" s="120"/>
      <c r="L126" s="120"/>
    </row>
    <row r="127" spans="1:12" hidden="1" outlineLevel="1" x14ac:dyDescent="0.2">
      <c r="A127" s="281">
        <v>104</v>
      </c>
      <c r="B127" s="291">
        <v>43132</v>
      </c>
      <c r="C127" s="310"/>
      <c r="D127" s="274">
        <v>52351.09</v>
      </c>
      <c r="E127" s="226"/>
      <c r="F127" s="292">
        <v>4.2500000000000003E-2</v>
      </c>
      <c r="G127" s="241">
        <v>575.74</v>
      </c>
      <c r="H127" s="245">
        <v>52926.829999999994</v>
      </c>
      <c r="I127" s="263">
        <v>189313.05643603581</v>
      </c>
      <c r="J127" s="120"/>
      <c r="K127" s="120"/>
      <c r="L127" s="120"/>
    </row>
    <row r="128" spans="1:12" hidden="1" outlineLevel="1" x14ac:dyDescent="0.2">
      <c r="A128" s="281">
        <v>105</v>
      </c>
      <c r="B128" s="291">
        <v>43160</v>
      </c>
      <c r="C128" s="310"/>
      <c r="D128" s="274">
        <v>50408.36</v>
      </c>
      <c r="E128" s="226"/>
      <c r="F128" s="292">
        <v>4.2500000000000003E-2</v>
      </c>
      <c r="G128" s="241">
        <v>759.75</v>
      </c>
      <c r="H128" s="245">
        <v>51168.11</v>
      </c>
      <c r="I128" s="263">
        <v>240481.16643603583</v>
      </c>
      <c r="J128" s="120"/>
      <c r="K128" s="120"/>
      <c r="L128" s="120"/>
    </row>
    <row r="129" spans="1:12" hidden="1" outlineLevel="1" x14ac:dyDescent="0.2">
      <c r="A129" s="281">
        <v>106</v>
      </c>
      <c r="B129" s="291">
        <v>43191</v>
      </c>
      <c r="C129" s="310"/>
      <c r="D129" s="274">
        <v>43082.54</v>
      </c>
      <c r="E129" s="226"/>
      <c r="F129" s="292">
        <v>4.4699999999999997E-2</v>
      </c>
      <c r="G129" s="241">
        <v>976.03</v>
      </c>
      <c r="H129" s="245">
        <v>44058.57</v>
      </c>
      <c r="I129" s="263">
        <v>284539.73643603583</v>
      </c>
      <c r="J129" s="120"/>
      <c r="K129" s="120"/>
      <c r="L129" s="120"/>
    </row>
    <row r="130" spans="1:12" hidden="1" outlineLevel="1" x14ac:dyDescent="0.2">
      <c r="A130" s="281">
        <v>107</v>
      </c>
      <c r="B130" s="291">
        <v>43221</v>
      </c>
      <c r="C130" s="310"/>
      <c r="D130" s="274">
        <v>30439.890000000003</v>
      </c>
      <c r="E130" s="226"/>
      <c r="F130" s="292">
        <v>4.4699999999999997E-2</v>
      </c>
      <c r="G130" s="241">
        <v>1116.5999999999999</v>
      </c>
      <c r="H130" s="245">
        <v>31556.49</v>
      </c>
      <c r="I130" s="263">
        <v>316096.22643603582</v>
      </c>
      <c r="J130" s="120"/>
      <c r="K130" s="120"/>
      <c r="L130" s="120"/>
    </row>
    <row r="131" spans="1:12" hidden="1" outlineLevel="1" x14ac:dyDescent="0.2">
      <c r="A131" s="281">
        <v>108</v>
      </c>
      <c r="B131" s="291">
        <v>43252</v>
      </c>
      <c r="C131" s="310"/>
      <c r="D131" s="274">
        <v>23450.43</v>
      </c>
      <c r="E131" s="226"/>
      <c r="F131" s="292">
        <v>4.4699999999999997E-2</v>
      </c>
      <c r="G131" s="241">
        <v>1221.1300000000001</v>
      </c>
      <c r="H131" s="245">
        <v>24671.56</v>
      </c>
      <c r="I131" s="263">
        <v>340767.78643603582</v>
      </c>
      <c r="J131" s="120"/>
      <c r="K131" s="120"/>
      <c r="L131" s="120"/>
    </row>
    <row r="132" spans="1:12" hidden="1" outlineLevel="1" x14ac:dyDescent="0.2">
      <c r="A132" s="281">
        <v>109</v>
      </c>
      <c r="B132" s="291">
        <v>43282</v>
      </c>
      <c r="C132" s="310"/>
      <c r="D132" s="274">
        <v>-930.54</v>
      </c>
      <c r="E132" s="226"/>
      <c r="F132" s="292">
        <v>4.6899999999999997E-2</v>
      </c>
      <c r="G132" s="241">
        <v>1330.02</v>
      </c>
      <c r="H132" s="245">
        <v>399.48</v>
      </c>
      <c r="I132" s="263">
        <v>341167.2664360358</v>
      </c>
      <c r="J132" s="120"/>
      <c r="K132" s="120"/>
      <c r="L132" s="120"/>
    </row>
    <row r="133" spans="1:12" hidden="1" outlineLevel="1" x14ac:dyDescent="0.2">
      <c r="A133" s="281">
        <v>110</v>
      </c>
      <c r="B133" s="291">
        <v>43313</v>
      </c>
      <c r="C133" s="258">
        <v>2</v>
      </c>
      <c r="D133" s="274">
        <v>19324.14</v>
      </c>
      <c r="E133" s="313">
        <v>1.07</v>
      </c>
      <c r="F133" s="292">
        <v>4.6899999999999997E-2</v>
      </c>
      <c r="G133" s="241">
        <v>1371.16</v>
      </c>
      <c r="H133" s="245">
        <v>20696.37</v>
      </c>
      <c r="I133" s="263">
        <v>361863.6364360358</v>
      </c>
      <c r="J133" s="120"/>
      <c r="K133" s="120"/>
      <c r="L133" s="120"/>
    </row>
    <row r="134" spans="1:12" hidden="1" outlineLevel="1" x14ac:dyDescent="0.2">
      <c r="A134" s="281">
        <v>111</v>
      </c>
      <c r="B134" s="291">
        <v>43344</v>
      </c>
      <c r="C134" s="310"/>
      <c r="D134" s="274">
        <v>-389.38000000000011</v>
      </c>
      <c r="E134" s="230"/>
      <c r="F134" s="292">
        <v>4.6899999999999997E-2</v>
      </c>
      <c r="G134" s="241">
        <v>1413.52</v>
      </c>
      <c r="H134" s="245">
        <v>1024.1399999999999</v>
      </c>
      <c r="I134" s="263">
        <v>362887.77643603581</v>
      </c>
      <c r="J134" s="120"/>
      <c r="K134" s="120"/>
      <c r="L134" s="120"/>
    </row>
    <row r="135" spans="1:12" hidden="1" outlineLevel="1" x14ac:dyDescent="0.2">
      <c r="A135" s="281">
        <v>112</v>
      </c>
      <c r="B135" s="291">
        <v>43374</v>
      </c>
      <c r="C135" s="310"/>
      <c r="D135" s="274">
        <v>2870.1600000000008</v>
      </c>
      <c r="E135" s="230"/>
      <c r="F135" s="292">
        <v>4.9599999999999998E-2</v>
      </c>
      <c r="G135" s="241">
        <v>1505.87</v>
      </c>
      <c r="H135" s="245">
        <v>4376.0300000000007</v>
      </c>
      <c r="I135" s="263">
        <v>367263.80643603584</v>
      </c>
      <c r="J135" s="120"/>
      <c r="K135" s="120"/>
      <c r="L135" s="120"/>
    </row>
    <row r="136" spans="1:12" collapsed="1" x14ac:dyDescent="0.2">
      <c r="A136" s="281">
        <v>113</v>
      </c>
      <c r="B136" s="291">
        <v>43405</v>
      </c>
      <c r="C136" s="258">
        <v>1</v>
      </c>
      <c r="D136" s="274">
        <v>17893.86</v>
      </c>
      <c r="E136" s="313">
        <v>-364779.46643603581</v>
      </c>
      <c r="F136" s="292">
        <v>4.9599999999999998E-2</v>
      </c>
      <c r="G136" s="241">
        <v>47.25</v>
      </c>
      <c r="H136" s="245">
        <v>-346838.35643603583</v>
      </c>
      <c r="I136" s="263">
        <v>20425.450000000012</v>
      </c>
      <c r="J136" s="120"/>
      <c r="K136" s="120"/>
      <c r="L136" s="120"/>
    </row>
    <row r="137" spans="1:12" x14ac:dyDescent="0.2">
      <c r="A137" s="281">
        <v>114</v>
      </c>
      <c r="B137" s="291">
        <v>43435</v>
      </c>
      <c r="C137" s="310"/>
      <c r="D137" s="274">
        <v>42712.58</v>
      </c>
      <c r="E137" s="230"/>
      <c r="F137" s="292">
        <v>4.9599999999999998E-2</v>
      </c>
      <c r="G137" s="241">
        <v>172.7</v>
      </c>
      <c r="H137" s="245">
        <v>42885.279999999999</v>
      </c>
      <c r="I137" s="263">
        <v>63310.73000000001</v>
      </c>
      <c r="J137" s="120"/>
      <c r="K137" s="120"/>
      <c r="L137" s="120"/>
    </row>
    <row r="138" spans="1:12" x14ac:dyDescent="0.2">
      <c r="A138" s="281">
        <v>115</v>
      </c>
      <c r="B138" s="291">
        <v>43466</v>
      </c>
      <c r="C138" s="310"/>
      <c r="D138" s="274">
        <v>38153.760000000002</v>
      </c>
      <c r="E138" s="230"/>
      <c r="F138" s="292">
        <v>5.1799999999999999E-2</v>
      </c>
      <c r="G138" s="241">
        <v>355.64</v>
      </c>
      <c r="H138" s="245">
        <v>38509.4</v>
      </c>
      <c r="I138" s="263">
        <v>101820.13</v>
      </c>
      <c r="J138" s="120"/>
      <c r="K138" s="120"/>
      <c r="L138" s="120"/>
    </row>
    <row r="139" spans="1:12" x14ac:dyDescent="0.2">
      <c r="A139" s="281">
        <v>116</v>
      </c>
      <c r="B139" s="291">
        <v>43497</v>
      </c>
      <c r="C139" s="310"/>
      <c r="D139" s="274">
        <v>31254.02</v>
      </c>
      <c r="E139" s="230"/>
      <c r="F139" s="292">
        <v>5.1799999999999999E-2</v>
      </c>
      <c r="G139" s="241">
        <v>506.98</v>
      </c>
      <c r="H139" s="245">
        <v>31761</v>
      </c>
      <c r="I139" s="263">
        <v>133581.13</v>
      </c>
      <c r="J139" s="120"/>
      <c r="K139" s="120"/>
      <c r="L139" s="120"/>
    </row>
    <row r="140" spans="1:12" x14ac:dyDescent="0.2">
      <c r="A140" s="281">
        <v>117</v>
      </c>
      <c r="B140" s="291">
        <v>43525</v>
      </c>
      <c r="C140" s="310"/>
      <c r="D140" s="274">
        <v>24815.47</v>
      </c>
      <c r="E140" s="230"/>
      <c r="F140" s="292">
        <v>5.1799999999999999E-2</v>
      </c>
      <c r="G140" s="241">
        <v>630.19000000000005</v>
      </c>
      <c r="H140" s="245">
        <v>25445.66</v>
      </c>
      <c r="I140" s="263">
        <v>159026.79</v>
      </c>
      <c r="J140" s="120"/>
      <c r="K140" s="120"/>
      <c r="L140" s="120"/>
    </row>
    <row r="141" spans="1:12" x14ac:dyDescent="0.2">
      <c r="A141" s="281">
        <v>118</v>
      </c>
      <c r="B141" s="291">
        <v>43556</v>
      </c>
      <c r="C141" s="310"/>
      <c r="D141" s="274">
        <v>43127.33</v>
      </c>
      <c r="E141" s="230"/>
      <c r="F141" s="292">
        <v>5.45E-2</v>
      </c>
      <c r="G141" s="241">
        <v>820.18</v>
      </c>
      <c r="H141" s="245">
        <v>43947.51</v>
      </c>
      <c r="I141" s="263">
        <v>202974.30000000002</v>
      </c>
      <c r="J141" s="120"/>
      <c r="K141" s="120"/>
      <c r="L141" s="120"/>
    </row>
    <row r="142" spans="1:12" x14ac:dyDescent="0.2">
      <c r="A142" s="281">
        <v>119</v>
      </c>
      <c r="B142" s="291">
        <v>43586</v>
      </c>
      <c r="C142" s="310"/>
      <c r="D142" s="274">
        <v>20111.86</v>
      </c>
      <c r="E142" s="230"/>
      <c r="F142" s="292">
        <v>5.45E-2</v>
      </c>
      <c r="G142" s="241">
        <v>967.51</v>
      </c>
      <c r="H142" s="245">
        <v>21079.37</v>
      </c>
      <c r="I142" s="263">
        <v>224053.67</v>
      </c>
      <c r="J142" s="120"/>
      <c r="K142" s="120"/>
      <c r="L142" s="120"/>
    </row>
    <row r="143" spans="1:12" x14ac:dyDescent="0.2">
      <c r="A143" s="281">
        <v>120</v>
      </c>
      <c r="B143" s="291">
        <v>43617</v>
      </c>
      <c r="C143" s="310"/>
      <c r="D143" s="274">
        <v>17183.09</v>
      </c>
      <c r="E143" s="230"/>
      <c r="F143" s="292">
        <v>5.45E-2</v>
      </c>
      <c r="G143" s="241">
        <v>1056.5999999999999</v>
      </c>
      <c r="H143" s="245">
        <v>18239.689999999999</v>
      </c>
      <c r="I143" s="263">
        <v>242293.36000000002</v>
      </c>
      <c r="J143" s="120"/>
      <c r="K143" s="120"/>
      <c r="L143" s="120"/>
    </row>
    <row r="144" spans="1:12" x14ac:dyDescent="0.2">
      <c r="A144" s="281">
        <v>121</v>
      </c>
      <c r="B144" s="291">
        <v>43647</v>
      </c>
      <c r="C144" s="310"/>
      <c r="D144" s="274">
        <v>20204.11</v>
      </c>
      <c r="E144" s="230"/>
      <c r="F144" s="292">
        <v>5.5E-2</v>
      </c>
      <c r="G144" s="241">
        <v>1156.81</v>
      </c>
      <c r="H144" s="245">
        <v>21360.920000000002</v>
      </c>
      <c r="I144" s="263">
        <v>263654.28000000003</v>
      </c>
      <c r="J144" s="120"/>
      <c r="K144" s="120"/>
      <c r="L144" s="120"/>
    </row>
    <row r="145" spans="1:12" x14ac:dyDescent="0.2">
      <c r="A145" s="281">
        <v>122</v>
      </c>
      <c r="B145" s="291">
        <v>43678</v>
      </c>
      <c r="C145" s="310"/>
      <c r="D145" s="274">
        <v>3499.43</v>
      </c>
      <c r="E145" s="230"/>
      <c r="F145" s="292">
        <v>5.5E-2</v>
      </c>
      <c r="G145" s="241">
        <v>1216.43</v>
      </c>
      <c r="H145" s="245">
        <v>4715.8599999999997</v>
      </c>
      <c r="I145" s="263">
        <v>268370.14</v>
      </c>
      <c r="J145" s="120"/>
      <c r="K145" s="120"/>
      <c r="L145" s="120"/>
    </row>
    <row r="146" spans="1:12" x14ac:dyDescent="0.2">
      <c r="A146" s="281">
        <v>123</v>
      </c>
      <c r="B146" s="291">
        <v>43709</v>
      </c>
      <c r="C146" s="310"/>
      <c r="D146" s="274"/>
      <c r="E146" s="230"/>
      <c r="F146" s="292">
        <v>5.5E-2</v>
      </c>
      <c r="G146" s="241">
        <v>1230.03</v>
      </c>
      <c r="H146" s="245">
        <v>1230.03</v>
      </c>
      <c r="I146" s="263">
        <v>269600.17000000004</v>
      </c>
      <c r="J146" s="120"/>
      <c r="K146" s="120"/>
      <c r="L146" s="120"/>
    </row>
    <row r="147" spans="1:12" x14ac:dyDescent="0.2">
      <c r="A147" s="281">
        <v>124</v>
      </c>
      <c r="B147" s="291">
        <v>43739</v>
      </c>
      <c r="C147" s="310"/>
      <c r="D147" s="274"/>
      <c r="E147" s="230"/>
      <c r="F147" s="296">
        <v>5.4199999999999998E-2</v>
      </c>
      <c r="G147" s="241">
        <v>1217.69</v>
      </c>
      <c r="H147" s="245">
        <v>1217.69</v>
      </c>
      <c r="I147" s="263">
        <v>270817.86000000004</v>
      </c>
      <c r="J147" s="120"/>
      <c r="K147" s="120"/>
      <c r="L147" s="120"/>
    </row>
    <row r="148" spans="1:12" x14ac:dyDescent="0.2">
      <c r="A148" s="281">
        <v>125</v>
      </c>
      <c r="D148" s="226"/>
      <c r="E148" s="120"/>
      <c r="F148" s="292"/>
      <c r="G148" s="241"/>
      <c r="H148" s="245"/>
      <c r="I148" s="263"/>
      <c r="J148" s="120"/>
      <c r="K148" s="120"/>
      <c r="L148" s="120"/>
    </row>
    <row r="149" spans="1:12" x14ac:dyDescent="0.2">
      <c r="A149" s="281">
        <v>126</v>
      </c>
      <c r="B149" s="297" t="s">
        <v>184</v>
      </c>
      <c r="D149" s="120"/>
      <c r="E149" s="120"/>
      <c r="F149" s="325"/>
      <c r="G149" s="120"/>
      <c r="H149" s="120"/>
      <c r="I149" s="120"/>
      <c r="J149" s="120"/>
      <c r="K149" s="120"/>
      <c r="L149" s="120"/>
    </row>
    <row r="150" spans="1:12" x14ac:dyDescent="0.2">
      <c r="A150" s="281">
        <v>127</v>
      </c>
      <c r="D150" s="120"/>
      <c r="E150" s="120"/>
      <c r="F150" s="120"/>
      <c r="H150" s="120"/>
      <c r="I150" s="120"/>
      <c r="J150" s="120"/>
      <c r="K150" s="120"/>
      <c r="L150" s="120"/>
    </row>
    <row r="151" spans="1:12" x14ac:dyDescent="0.2">
      <c r="A151" s="281">
        <v>128</v>
      </c>
      <c r="B151" s="299" t="s">
        <v>146</v>
      </c>
      <c r="D151" s="120"/>
      <c r="H151" s="120"/>
      <c r="I151" s="120"/>
      <c r="J151" s="120"/>
      <c r="K151" s="120"/>
      <c r="L151" s="120"/>
    </row>
    <row r="152" spans="1:12" x14ac:dyDescent="0.2">
      <c r="A152" s="281">
        <v>129</v>
      </c>
      <c r="B152" s="238" t="s">
        <v>196</v>
      </c>
      <c r="D152" s="120"/>
      <c r="E152" s="120"/>
      <c r="F152" s="120"/>
      <c r="H152" s="120"/>
      <c r="I152" s="120"/>
      <c r="J152" s="120"/>
      <c r="K152" s="120"/>
      <c r="L152" s="120"/>
    </row>
    <row r="153" spans="1:12" x14ac:dyDescent="0.2">
      <c r="A153" s="281"/>
      <c r="D153" s="120"/>
      <c r="E153" s="120"/>
      <c r="F153" s="325"/>
      <c r="G153" s="120"/>
      <c r="H153" s="120"/>
      <c r="I153" s="120"/>
      <c r="J153" s="120"/>
      <c r="K153" s="120"/>
      <c r="L153" s="120"/>
    </row>
    <row r="154" spans="1:12" x14ac:dyDescent="0.2">
      <c r="D154" s="120"/>
      <c r="E154" s="120"/>
      <c r="F154" s="325"/>
      <c r="G154" s="120"/>
      <c r="H154" s="120"/>
      <c r="I154" s="120"/>
      <c r="J154" s="120"/>
      <c r="K154" s="120"/>
      <c r="L154" s="120"/>
    </row>
    <row r="155" spans="1:12" x14ac:dyDescent="0.2">
      <c r="D155" s="120"/>
      <c r="E155" s="120"/>
      <c r="F155" s="325"/>
      <c r="G155" s="120"/>
      <c r="H155" s="120"/>
      <c r="I155" s="120"/>
      <c r="J155" s="120"/>
      <c r="K155" s="120"/>
      <c r="L155" s="120"/>
    </row>
    <row r="156" spans="1:12" x14ac:dyDescent="0.2">
      <c r="D156" s="120"/>
      <c r="E156" s="120"/>
      <c r="F156" s="325"/>
      <c r="G156" s="120"/>
      <c r="H156" s="120"/>
      <c r="I156" s="120"/>
      <c r="J156" s="120"/>
      <c r="K156" s="120"/>
      <c r="L156" s="120"/>
    </row>
    <row r="157" spans="1:12" x14ac:dyDescent="0.2">
      <c r="D157" s="120"/>
      <c r="E157" s="120"/>
      <c r="F157" s="325"/>
      <c r="G157" s="120"/>
      <c r="H157" s="120"/>
      <c r="I157" s="120"/>
      <c r="J157" s="120"/>
      <c r="K157" s="120"/>
      <c r="L157" s="120"/>
    </row>
  </sheetData>
  <pageMargins left="0.7" right="0.7" top="0.75" bottom="0.75" header="0.3" footer="0.3"/>
  <pageSetup scale="50" orientation="landscape" horizontalDpi="300" verticalDpi="300" r:id="rId1"/>
  <headerFooter>
    <oddHeader>&amp;RNWN's Advice 19-04
Exhibit A - Supporting Materials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showGridLines="0" view="pageLayout" zoomScaleNormal="100" workbookViewId="0">
      <selection activeCell="M4" sqref="M4"/>
    </sheetView>
  </sheetViews>
  <sheetFormatPr defaultColWidth="7.85546875" defaultRowHeight="12.75" outlineLevelRow="1" x14ac:dyDescent="0.2"/>
  <cols>
    <col min="1" max="1" width="4" style="225" customWidth="1"/>
    <col min="2" max="2" width="13.42578125" style="226" customWidth="1"/>
    <col min="3" max="3" width="10.5703125" style="226" bestFit="1" customWidth="1"/>
    <col min="4" max="9" width="13.42578125" style="234" customWidth="1"/>
    <col min="10" max="11" width="13.42578125" style="304" hidden="1" customWidth="1"/>
    <col min="12" max="13" width="13.42578125" style="226" hidden="1" customWidth="1"/>
    <col min="14" max="20" width="13.42578125" style="226" customWidth="1"/>
    <col min="21" max="16384" width="7.85546875" style="226"/>
  </cols>
  <sheetData>
    <row r="1" spans="1:10" x14ac:dyDescent="0.2">
      <c r="B1" s="226" t="s">
        <v>148</v>
      </c>
      <c r="D1" s="234" t="s">
        <v>149</v>
      </c>
    </row>
    <row r="2" spans="1:10" x14ac:dyDescent="0.2">
      <c r="B2" s="226" t="s">
        <v>150</v>
      </c>
      <c r="D2" s="234" t="s">
        <v>92</v>
      </c>
    </row>
    <row r="3" spans="1:10" x14ac:dyDescent="0.2">
      <c r="B3" s="226" t="s">
        <v>151</v>
      </c>
      <c r="D3" s="320" t="s">
        <v>197</v>
      </c>
    </row>
    <row r="4" spans="1:10" x14ac:dyDescent="0.2">
      <c r="B4" s="226" t="s">
        <v>153</v>
      </c>
      <c r="D4" s="229">
        <v>186235</v>
      </c>
    </row>
    <row r="5" spans="1:10" x14ac:dyDescent="0.2">
      <c r="D5" s="230" t="s">
        <v>194</v>
      </c>
    </row>
    <row r="6" spans="1:10" x14ac:dyDescent="0.2">
      <c r="D6" s="230" t="s">
        <v>155</v>
      </c>
    </row>
    <row r="7" spans="1:10" x14ac:dyDescent="0.2">
      <c r="D7" s="302"/>
    </row>
    <row r="8" spans="1:10" x14ac:dyDescent="0.2">
      <c r="A8" s="231">
        <v>1</v>
      </c>
      <c r="B8" s="226" t="s">
        <v>156</v>
      </c>
      <c r="G8" s="235"/>
    </row>
    <row r="9" spans="1:10" x14ac:dyDescent="0.2">
      <c r="A9" s="231">
        <v>2</v>
      </c>
      <c r="G9" s="235"/>
    </row>
    <row r="10" spans="1:10" x14ac:dyDescent="0.2">
      <c r="A10" s="231">
        <v>3</v>
      </c>
      <c r="B10" s="232"/>
      <c r="C10" s="232"/>
      <c r="D10" s="235"/>
      <c r="E10" s="235"/>
      <c r="F10" s="235"/>
      <c r="G10" s="235"/>
      <c r="H10" s="235"/>
      <c r="I10" s="235"/>
    </row>
    <row r="11" spans="1:10" x14ac:dyDescent="0.2">
      <c r="A11" s="231">
        <v>4</v>
      </c>
      <c r="B11" s="236" t="s">
        <v>158</v>
      </c>
      <c r="C11" s="236" t="s">
        <v>159</v>
      </c>
      <c r="D11" s="237" t="s">
        <v>134</v>
      </c>
      <c r="E11" s="237" t="s">
        <v>161</v>
      </c>
      <c r="F11" s="237" t="s">
        <v>198</v>
      </c>
      <c r="G11" s="237" t="s">
        <v>124</v>
      </c>
      <c r="H11" s="237" t="s">
        <v>133</v>
      </c>
      <c r="I11" s="237" t="s">
        <v>127</v>
      </c>
    </row>
    <row r="12" spans="1:10" x14ac:dyDescent="0.2">
      <c r="A12" s="231">
        <v>5</v>
      </c>
      <c r="B12" s="232" t="s">
        <v>162</v>
      </c>
      <c r="C12" s="232" t="s">
        <v>163</v>
      </c>
      <c r="D12" s="235" t="s">
        <v>164</v>
      </c>
      <c r="E12" s="235" t="s">
        <v>165</v>
      </c>
      <c r="F12" s="232" t="s">
        <v>166</v>
      </c>
      <c r="G12" s="232" t="s">
        <v>167</v>
      </c>
      <c r="H12" s="232" t="s">
        <v>173</v>
      </c>
      <c r="I12" s="232" t="s">
        <v>188</v>
      </c>
      <c r="J12" s="329"/>
    </row>
    <row r="13" spans="1:10" hidden="1" outlineLevel="1" x14ac:dyDescent="0.2">
      <c r="A13" s="231">
        <v>6</v>
      </c>
      <c r="G13" s="235"/>
    </row>
    <row r="14" spans="1:10" hidden="1" outlineLevel="1" x14ac:dyDescent="0.2">
      <c r="A14" s="231">
        <v>7</v>
      </c>
      <c r="B14" s="238" t="s">
        <v>180</v>
      </c>
    </row>
    <row r="15" spans="1:10" hidden="1" outlineLevel="1" x14ac:dyDescent="0.2">
      <c r="A15" s="231">
        <v>8</v>
      </c>
      <c r="B15" s="239">
        <v>40147</v>
      </c>
      <c r="D15" s="234">
        <v>-7109.81</v>
      </c>
      <c r="E15" s="234">
        <v>208901.45</v>
      </c>
      <c r="G15" s="241">
        <v>556.15</v>
      </c>
      <c r="H15" s="234">
        <v>202347.79</v>
      </c>
      <c r="I15" s="241">
        <v>202347.79</v>
      </c>
    </row>
    <row r="16" spans="1:10" hidden="1" outlineLevel="1" x14ac:dyDescent="0.2">
      <c r="A16" s="231">
        <v>9</v>
      </c>
      <c r="B16" s="239">
        <v>40178</v>
      </c>
      <c r="D16" s="234">
        <v>-26425.94</v>
      </c>
      <c r="G16" s="241">
        <v>512.24</v>
      </c>
      <c r="H16" s="234">
        <v>-25913.699999999997</v>
      </c>
      <c r="I16" s="241">
        <v>176434.09000000003</v>
      </c>
    </row>
    <row r="17" spans="1:12" hidden="1" outlineLevel="1" x14ac:dyDescent="0.2">
      <c r="A17" s="231">
        <v>10</v>
      </c>
      <c r="B17" s="239">
        <v>40209</v>
      </c>
      <c r="D17" s="234">
        <v>-30262.080000000002</v>
      </c>
      <c r="G17" s="241">
        <v>436.86</v>
      </c>
      <c r="H17" s="234">
        <v>-29825.22</v>
      </c>
      <c r="I17" s="241">
        <v>146608.87000000002</v>
      </c>
    </row>
    <row r="18" spans="1:12" hidden="1" outlineLevel="1" x14ac:dyDescent="0.2">
      <c r="A18" s="231">
        <v>11</v>
      </c>
      <c r="B18" s="239">
        <v>40237</v>
      </c>
      <c r="D18" s="234">
        <v>-20581.22</v>
      </c>
      <c r="G18" s="241">
        <v>369.2</v>
      </c>
      <c r="H18" s="234">
        <v>-20212.02</v>
      </c>
      <c r="I18" s="241">
        <v>126396.85000000002</v>
      </c>
    </row>
    <row r="19" spans="1:12" hidden="1" outlineLevel="1" x14ac:dyDescent="0.2">
      <c r="A19" s="231">
        <v>12</v>
      </c>
      <c r="B19" s="239">
        <v>40268</v>
      </c>
      <c r="D19" s="234">
        <v>-17609.47</v>
      </c>
      <c r="G19" s="241">
        <v>318.48</v>
      </c>
      <c r="H19" s="234">
        <v>-17290.990000000002</v>
      </c>
      <c r="I19" s="241">
        <v>109105.86000000002</v>
      </c>
    </row>
    <row r="20" spans="1:12" hidden="1" outlineLevel="1" x14ac:dyDescent="0.2">
      <c r="A20" s="231">
        <v>13</v>
      </c>
      <c r="B20" s="239">
        <v>40298</v>
      </c>
      <c r="D20" s="234">
        <v>-16342.97</v>
      </c>
      <c r="G20" s="241">
        <v>273.36</v>
      </c>
      <c r="H20" s="234">
        <v>-16069.609999999999</v>
      </c>
      <c r="I20" s="241">
        <v>93036.250000000015</v>
      </c>
    </row>
    <row r="21" spans="1:12" hidden="1" outlineLevel="1" x14ac:dyDescent="0.2">
      <c r="A21" s="231">
        <v>14</v>
      </c>
      <c r="B21" s="239">
        <v>40329</v>
      </c>
      <c r="D21" s="234">
        <v>-12421.95</v>
      </c>
      <c r="G21" s="241">
        <v>235.15</v>
      </c>
      <c r="H21" s="234">
        <v>-12186.800000000001</v>
      </c>
      <c r="I21" s="241">
        <v>80849.450000000012</v>
      </c>
    </row>
    <row r="22" spans="1:12" hidden="1" outlineLevel="1" x14ac:dyDescent="0.2">
      <c r="A22" s="231">
        <v>15</v>
      </c>
      <c r="B22" s="239">
        <v>40359</v>
      </c>
      <c r="D22" s="234">
        <v>-9436.8700000000008</v>
      </c>
      <c r="G22" s="241">
        <v>206.19</v>
      </c>
      <c r="H22" s="234">
        <v>-9230.68</v>
      </c>
      <c r="I22" s="241">
        <v>71618.770000000019</v>
      </c>
    </row>
    <row r="23" spans="1:12" hidden="1" outlineLevel="1" x14ac:dyDescent="0.2">
      <c r="A23" s="231">
        <v>16</v>
      </c>
      <c r="B23" s="239">
        <v>40390</v>
      </c>
      <c r="D23" s="234">
        <v>-6526.64</v>
      </c>
      <c r="G23" s="241">
        <v>185.13</v>
      </c>
      <c r="H23" s="234">
        <v>-6341.51</v>
      </c>
      <c r="I23" s="241">
        <v>65277.260000000017</v>
      </c>
      <c r="K23" s="304">
        <v>1</v>
      </c>
    </row>
    <row r="24" spans="1:12" hidden="1" outlineLevel="1" x14ac:dyDescent="0.2">
      <c r="A24" s="231">
        <v>17</v>
      </c>
      <c r="B24" s="239">
        <v>40420</v>
      </c>
      <c r="D24" s="234">
        <v>-5260.77</v>
      </c>
      <c r="G24" s="241">
        <v>169.67</v>
      </c>
      <c r="H24" s="234">
        <v>-5091.1000000000004</v>
      </c>
      <c r="I24" s="241">
        <v>60186.160000000018</v>
      </c>
      <c r="K24" s="304">
        <f>+K23+7</f>
        <v>8</v>
      </c>
    </row>
    <row r="25" spans="1:12" hidden="1" outlineLevel="1" x14ac:dyDescent="0.2">
      <c r="A25" s="231">
        <v>18</v>
      </c>
      <c r="B25" s="239">
        <v>40450</v>
      </c>
      <c r="D25" s="234">
        <v>-5673.5299999999988</v>
      </c>
      <c r="G25" s="241">
        <v>155.32</v>
      </c>
      <c r="H25" s="234">
        <v>-5518.2099999999991</v>
      </c>
      <c r="I25" s="241">
        <v>54667.950000000019</v>
      </c>
      <c r="K25" s="304">
        <f>+K24+7</f>
        <v>15</v>
      </c>
    </row>
    <row r="26" spans="1:12" hidden="1" outlineLevel="1" x14ac:dyDescent="0.2">
      <c r="A26" s="231">
        <v>19</v>
      </c>
      <c r="B26" s="239">
        <v>40481</v>
      </c>
      <c r="D26" s="234">
        <v>-7020.44</v>
      </c>
      <c r="E26" s="245"/>
      <c r="F26" s="245"/>
      <c r="G26" s="241">
        <v>138.55000000000001</v>
      </c>
      <c r="H26" s="234">
        <v>-6881.8899999999994</v>
      </c>
      <c r="I26" s="241">
        <v>47786.060000000019</v>
      </c>
      <c r="J26" s="304">
        <v>47786.16</v>
      </c>
      <c r="K26" s="304">
        <f>+K25+7</f>
        <v>22</v>
      </c>
    </row>
    <row r="27" spans="1:12" hidden="1" outlineLevel="1" x14ac:dyDescent="0.2">
      <c r="A27" s="231">
        <v>20</v>
      </c>
      <c r="B27" s="239">
        <v>40511</v>
      </c>
      <c r="C27" s="226" t="s">
        <v>189</v>
      </c>
      <c r="D27" s="234">
        <v>-6849.33</v>
      </c>
      <c r="E27" s="245"/>
      <c r="F27" s="245"/>
      <c r="G27" s="241">
        <v>120.15</v>
      </c>
      <c r="H27" s="234">
        <v>-6729.18</v>
      </c>
      <c r="I27" s="241">
        <v>41056.880000000019</v>
      </c>
      <c r="L27" s="226" t="s">
        <v>199</v>
      </c>
    </row>
    <row r="28" spans="1:12" hidden="1" outlineLevel="1" x14ac:dyDescent="0.2">
      <c r="A28" s="231">
        <v>21</v>
      </c>
      <c r="C28" s="226" t="s">
        <v>200</v>
      </c>
      <c r="D28" s="234">
        <v>-17588.38</v>
      </c>
      <c r="E28" s="234">
        <v>509308.20500000002</v>
      </c>
      <c r="G28" s="241">
        <v>-23.82</v>
      </c>
      <c r="H28" s="234">
        <v>491696.005</v>
      </c>
      <c r="I28" s="241">
        <v>532752.88500000001</v>
      </c>
    </row>
    <row r="29" spans="1:12" hidden="1" outlineLevel="1" x14ac:dyDescent="0.2">
      <c r="A29" s="231">
        <v>22</v>
      </c>
      <c r="B29" s="239">
        <v>40542</v>
      </c>
      <c r="D29" s="234">
        <v>-81146.06</v>
      </c>
      <c r="G29" s="241">
        <v>1332.99</v>
      </c>
      <c r="H29" s="234">
        <v>-79813.069999999992</v>
      </c>
      <c r="I29" s="241">
        <v>452939.815</v>
      </c>
    </row>
    <row r="30" spans="1:12" hidden="1" outlineLevel="1" x14ac:dyDescent="0.2">
      <c r="A30" s="231">
        <v>23</v>
      </c>
      <c r="B30" s="239">
        <v>40573</v>
      </c>
      <c r="D30" s="234">
        <v>-96003.65</v>
      </c>
      <c r="F30" s="319">
        <v>3.2500000000000001E-2</v>
      </c>
      <c r="G30" s="241">
        <v>1096.71</v>
      </c>
      <c r="H30" s="234">
        <v>-94906.907499999987</v>
      </c>
      <c r="I30" s="241">
        <v>358032.90750000003</v>
      </c>
    </row>
    <row r="31" spans="1:12" hidden="1" outlineLevel="1" x14ac:dyDescent="0.2">
      <c r="A31" s="231">
        <v>24</v>
      </c>
      <c r="B31" s="239">
        <v>40602</v>
      </c>
      <c r="D31" s="234">
        <v>-76052.36</v>
      </c>
      <c r="F31" s="319">
        <v>3.2500000000000001E-2</v>
      </c>
      <c r="G31" s="241">
        <v>866.68</v>
      </c>
      <c r="H31" s="234">
        <v>-75185.647500000006</v>
      </c>
      <c r="I31" s="241">
        <v>282847.26</v>
      </c>
    </row>
    <row r="32" spans="1:12" hidden="1" outlineLevel="1" x14ac:dyDescent="0.2">
      <c r="A32" s="231">
        <v>25</v>
      </c>
      <c r="B32" s="239">
        <v>40633</v>
      </c>
      <c r="D32" s="234">
        <v>-79509.63</v>
      </c>
      <c r="F32" s="319">
        <v>3.2500000000000001E-2</v>
      </c>
      <c r="G32" s="241">
        <v>658.38</v>
      </c>
      <c r="H32" s="234">
        <v>-78851.217499999999</v>
      </c>
      <c r="I32" s="241">
        <v>203996.04250000001</v>
      </c>
    </row>
    <row r="33" spans="1:15" hidden="1" outlineLevel="1" x14ac:dyDescent="0.2">
      <c r="A33" s="231">
        <v>26</v>
      </c>
      <c r="B33" s="239">
        <v>40663</v>
      </c>
      <c r="D33" s="234">
        <v>-59005.65</v>
      </c>
      <c r="F33" s="319">
        <v>3.2500000000000001E-2</v>
      </c>
      <c r="G33" s="241">
        <v>472.59</v>
      </c>
      <c r="H33" s="234">
        <v>-58533.027500000004</v>
      </c>
      <c r="I33" s="241">
        <v>145463.01500000001</v>
      </c>
    </row>
    <row r="34" spans="1:15" hidden="1" outlineLevel="1" x14ac:dyDescent="0.2">
      <c r="A34" s="231">
        <v>27</v>
      </c>
      <c r="B34" s="239">
        <v>40694</v>
      </c>
      <c r="D34" s="234">
        <v>-45890.720000000001</v>
      </c>
      <c r="F34" s="319">
        <v>3.2500000000000001E-2</v>
      </c>
      <c r="G34" s="241">
        <v>331.82</v>
      </c>
      <c r="H34" s="234">
        <v>-45558.8675</v>
      </c>
      <c r="I34" s="241">
        <v>99904.147500000021</v>
      </c>
    </row>
    <row r="35" spans="1:15" hidden="1" outlineLevel="1" x14ac:dyDescent="0.2">
      <c r="A35" s="231">
        <v>28</v>
      </c>
      <c r="B35" s="239">
        <v>40724</v>
      </c>
      <c r="D35" s="234">
        <v>-28446.28</v>
      </c>
      <c r="F35" s="319">
        <v>3.2500000000000001E-2</v>
      </c>
      <c r="G35" s="241">
        <v>232.05</v>
      </c>
      <c r="H35" s="234">
        <v>-28214.197499999998</v>
      </c>
      <c r="I35" s="241">
        <v>71689.950000000026</v>
      </c>
    </row>
    <row r="36" spans="1:15" hidden="1" outlineLevel="1" x14ac:dyDescent="0.2">
      <c r="A36" s="231">
        <v>29</v>
      </c>
      <c r="B36" s="239">
        <v>40755</v>
      </c>
      <c r="D36" s="234">
        <v>-18949.82</v>
      </c>
      <c r="F36" s="319">
        <v>3.2500000000000001E-2</v>
      </c>
      <c r="G36" s="241">
        <v>168.5</v>
      </c>
      <c r="H36" s="234">
        <v>-18781.287499999999</v>
      </c>
      <c r="I36" s="241">
        <v>52908.662500000028</v>
      </c>
    </row>
    <row r="37" spans="1:15" hidden="1" outlineLevel="1" x14ac:dyDescent="0.2">
      <c r="A37" s="231">
        <v>30</v>
      </c>
      <c r="B37" s="239">
        <v>40785</v>
      </c>
      <c r="D37" s="234">
        <v>-15668.59</v>
      </c>
      <c r="F37" s="319">
        <v>3.2500000000000001E-2</v>
      </c>
      <c r="G37" s="241">
        <v>122.08</v>
      </c>
      <c r="H37" s="234">
        <v>-15546.477500000001</v>
      </c>
      <c r="I37" s="241">
        <v>37362.185000000027</v>
      </c>
    </row>
    <row r="38" spans="1:15" hidden="1" outlineLevel="1" x14ac:dyDescent="0.2">
      <c r="A38" s="231">
        <v>31</v>
      </c>
      <c r="B38" s="239">
        <v>40815</v>
      </c>
      <c r="D38" s="337">
        <v>-16158.96</v>
      </c>
      <c r="F38" s="319">
        <v>3.2500000000000001E-2</v>
      </c>
      <c r="G38" s="241">
        <v>79.31</v>
      </c>
      <c r="H38" s="234">
        <v>-16079.6175</v>
      </c>
      <c r="I38" s="241">
        <v>21282.567500000026</v>
      </c>
    </row>
    <row r="39" spans="1:15" hidden="1" outlineLevel="1" x14ac:dyDescent="0.2">
      <c r="A39" s="231">
        <v>32</v>
      </c>
      <c r="B39" s="239">
        <v>40846</v>
      </c>
      <c r="D39" s="337">
        <v>-21525.4</v>
      </c>
      <c r="F39" s="319">
        <v>3.2500000000000001E-2</v>
      </c>
      <c r="G39" s="241">
        <v>28.49</v>
      </c>
      <c r="H39" s="234">
        <v>-21496.877499999999</v>
      </c>
      <c r="I39" s="241">
        <v>-214.30999999997221</v>
      </c>
    </row>
    <row r="40" spans="1:15" hidden="1" outlineLevel="1" x14ac:dyDescent="0.2">
      <c r="A40" s="231">
        <v>33</v>
      </c>
      <c r="B40" s="239">
        <v>40876</v>
      </c>
      <c r="C40" s="226" t="s">
        <v>189</v>
      </c>
      <c r="D40" s="120">
        <v>-24831.07</v>
      </c>
      <c r="E40" s="120"/>
      <c r="F40" s="319">
        <v>3.2500000000000001E-2</v>
      </c>
      <c r="G40" s="241">
        <v>-34.21</v>
      </c>
      <c r="H40" s="234">
        <v>-24865.279999999999</v>
      </c>
      <c r="I40" s="241">
        <v>-25079.589999999971</v>
      </c>
      <c r="J40" s="102"/>
      <c r="K40" s="102"/>
      <c r="L40" s="2"/>
    </row>
    <row r="41" spans="1:15" hidden="1" outlineLevel="1" x14ac:dyDescent="0.2">
      <c r="A41" s="231">
        <v>34</v>
      </c>
      <c r="B41" s="239">
        <v>40876</v>
      </c>
      <c r="C41" s="226" t="s">
        <v>190</v>
      </c>
      <c r="D41" s="120">
        <v>-16076.45</v>
      </c>
      <c r="E41" s="120">
        <v>431427.25</v>
      </c>
      <c r="F41" s="319">
        <v>3.2500000000000001E-2</v>
      </c>
      <c r="G41" s="263">
        <v>1146.68</v>
      </c>
      <c r="H41" s="234">
        <v>416497.48</v>
      </c>
      <c r="I41" s="241">
        <v>391417.89</v>
      </c>
      <c r="J41" s="102"/>
      <c r="K41" s="102"/>
      <c r="L41" s="2"/>
    </row>
    <row r="42" spans="1:15" hidden="1" outlineLevel="1" x14ac:dyDescent="0.2">
      <c r="A42" s="231">
        <v>35</v>
      </c>
      <c r="B42" s="239">
        <v>40907</v>
      </c>
      <c r="D42" s="327">
        <v>-66133.84</v>
      </c>
      <c r="E42" s="120"/>
      <c r="F42" s="319">
        <v>3.2500000000000001E-2</v>
      </c>
      <c r="G42" s="241">
        <v>970.53</v>
      </c>
      <c r="H42" s="234">
        <v>-65163.31</v>
      </c>
      <c r="I42" s="241">
        <v>326254.58</v>
      </c>
      <c r="J42" s="102"/>
      <c r="K42" s="102"/>
      <c r="L42" s="2"/>
    </row>
    <row r="43" spans="1:15" hidden="1" outlineLevel="1" x14ac:dyDescent="0.2">
      <c r="A43" s="231">
        <v>36</v>
      </c>
      <c r="B43" s="239">
        <v>40938</v>
      </c>
      <c r="D43" s="327">
        <v>-73122.570000000007</v>
      </c>
      <c r="E43" s="120"/>
      <c r="F43" s="319">
        <v>3.2500000000000001E-2</v>
      </c>
      <c r="G43" s="241">
        <v>784.59</v>
      </c>
      <c r="H43" s="234">
        <v>-72337.98000000001</v>
      </c>
      <c r="I43" s="241">
        <v>253916.6</v>
      </c>
      <c r="J43" s="102"/>
      <c r="K43" s="102"/>
      <c r="L43" s="2"/>
    </row>
    <row r="44" spans="1:15" hidden="1" outlineLevel="1" x14ac:dyDescent="0.2">
      <c r="A44" s="231">
        <v>37</v>
      </c>
      <c r="B44" s="239">
        <v>40967</v>
      </c>
      <c r="D44" s="327">
        <v>-61110.009999999987</v>
      </c>
      <c r="E44" s="120"/>
      <c r="F44" s="319">
        <v>3.2500000000000001E-2</v>
      </c>
      <c r="G44" s="241">
        <v>604.94000000000005</v>
      </c>
      <c r="H44" s="234">
        <v>-60505.069999999985</v>
      </c>
      <c r="I44" s="241">
        <v>193411.53000000003</v>
      </c>
      <c r="J44" s="102"/>
      <c r="K44" s="102"/>
      <c r="L44" s="2"/>
    </row>
    <row r="45" spans="1:15" hidden="1" outlineLevel="1" x14ac:dyDescent="0.2">
      <c r="A45" s="231">
        <v>38</v>
      </c>
      <c r="B45" s="239">
        <v>40998</v>
      </c>
      <c r="D45" s="120">
        <v>-57555.930000000015</v>
      </c>
      <c r="E45" s="120"/>
      <c r="F45" s="319">
        <v>3.2500000000000001E-2</v>
      </c>
      <c r="G45" s="241">
        <v>445.88</v>
      </c>
      <c r="H45" s="234">
        <v>-57110.050000000017</v>
      </c>
      <c r="I45" s="241">
        <v>136301.48000000001</v>
      </c>
      <c r="J45" s="102"/>
      <c r="K45" s="102"/>
      <c r="L45" s="2"/>
    </row>
    <row r="46" spans="1:15" hidden="1" outlineLevel="1" x14ac:dyDescent="0.2">
      <c r="A46" s="231">
        <v>39</v>
      </c>
      <c r="B46" s="239">
        <v>41028</v>
      </c>
      <c r="D46" s="120">
        <v>-44561.479999999989</v>
      </c>
      <c r="E46" s="120"/>
      <c r="F46" s="319">
        <v>3.2500000000000001E-2</v>
      </c>
      <c r="G46" s="241">
        <v>308.81</v>
      </c>
      <c r="H46" s="234">
        <v>-44252.669999999991</v>
      </c>
      <c r="I46" s="241">
        <v>92048.810000000027</v>
      </c>
      <c r="J46" s="102"/>
      <c r="K46" s="102"/>
      <c r="L46" s="2"/>
    </row>
    <row r="47" spans="1:15" hidden="1" outlineLevel="1" x14ac:dyDescent="0.2">
      <c r="A47" s="231">
        <v>40</v>
      </c>
      <c r="B47" s="239">
        <v>41059</v>
      </c>
      <c r="D47" s="120">
        <v>-27028.079999999998</v>
      </c>
      <c r="E47" s="120"/>
      <c r="F47" s="319">
        <v>3.2500000000000001E-2</v>
      </c>
      <c r="G47" s="241">
        <v>212.7</v>
      </c>
      <c r="H47" s="234">
        <v>-26815.379999999997</v>
      </c>
      <c r="I47" s="241">
        <v>65233.430000000029</v>
      </c>
      <c r="J47" s="102"/>
      <c r="K47" s="102"/>
      <c r="L47" s="2"/>
    </row>
    <row r="48" spans="1:15" hidden="1" outlineLevel="1" x14ac:dyDescent="0.2">
      <c r="A48" s="231">
        <v>41</v>
      </c>
      <c r="B48" s="239">
        <v>41089</v>
      </c>
      <c r="C48" s="258">
        <v>2</v>
      </c>
      <c r="D48" s="120">
        <v>-19503.910000000003</v>
      </c>
      <c r="E48" s="120">
        <v>7.7</v>
      </c>
      <c r="F48" s="319">
        <v>3.2500000000000001E-2</v>
      </c>
      <c r="G48" s="241">
        <v>150.28</v>
      </c>
      <c r="H48" s="234">
        <v>-19345.930000000004</v>
      </c>
      <c r="I48" s="241">
        <v>45887.500000000029</v>
      </c>
      <c r="J48" s="102"/>
      <c r="K48" s="102"/>
      <c r="L48" s="2"/>
      <c r="N48" s="298"/>
      <c r="O48" s="298"/>
    </row>
    <row r="49" spans="1:12" hidden="1" outlineLevel="1" x14ac:dyDescent="0.2">
      <c r="A49" s="231">
        <v>42</v>
      </c>
      <c r="B49" s="239">
        <v>41120</v>
      </c>
      <c r="D49" s="120">
        <v>-14631.76</v>
      </c>
      <c r="E49" s="120"/>
      <c r="F49" s="319">
        <v>3.2500000000000001E-2</v>
      </c>
      <c r="G49" s="241">
        <v>104.46</v>
      </c>
      <c r="H49" s="234">
        <v>-14527.300000000001</v>
      </c>
      <c r="I49" s="241">
        <v>31360.200000000026</v>
      </c>
      <c r="J49" s="102"/>
      <c r="K49" s="102"/>
      <c r="L49" s="2"/>
    </row>
    <row r="50" spans="1:12" hidden="1" outlineLevel="1" x14ac:dyDescent="0.2">
      <c r="A50" s="231">
        <v>43</v>
      </c>
      <c r="B50" s="239">
        <v>41150</v>
      </c>
      <c r="D50" s="120">
        <v>-11756.500000000002</v>
      </c>
      <c r="E50" s="120"/>
      <c r="F50" s="319">
        <v>3.2500000000000001E-2</v>
      </c>
      <c r="G50" s="241">
        <v>69.010000000000005</v>
      </c>
      <c r="H50" s="234">
        <v>-11687.490000000002</v>
      </c>
      <c r="I50" s="241">
        <v>19672.710000000025</v>
      </c>
      <c r="J50" s="102"/>
      <c r="K50" s="102"/>
      <c r="L50" s="2"/>
    </row>
    <row r="51" spans="1:12" hidden="1" outlineLevel="1" x14ac:dyDescent="0.2">
      <c r="A51" s="231">
        <v>44</v>
      </c>
      <c r="B51" s="239">
        <v>41180</v>
      </c>
      <c r="D51" s="120">
        <v>-12467.360000000002</v>
      </c>
      <c r="E51" s="120"/>
      <c r="F51" s="319">
        <v>3.2500000000000001E-2</v>
      </c>
      <c r="G51" s="241">
        <v>36.4</v>
      </c>
      <c r="H51" s="234">
        <v>-12430.960000000003</v>
      </c>
      <c r="I51" s="241">
        <v>7241.7500000000218</v>
      </c>
      <c r="J51" s="102"/>
      <c r="K51" s="102"/>
      <c r="L51" s="2"/>
    </row>
    <row r="52" spans="1:12" hidden="1" outlineLevel="1" x14ac:dyDescent="0.2">
      <c r="A52" s="231">
        <v>45</v>
      </c>
      <c r="B52" s="239">
        <v>41211</v>
      </c>
      <c r="D52" s="120">
        <v>-16349.989999999998</v>
      </c>
      <c r="E52" s="120"/>
      <c r="F52" s="319">
        <v>3.2500000000000001E-2</v>
      </c>
      <c r="G52" s="241">
        <v>-2.5299999999999998</v>
      </c>
      <c r="H52" s="234">
        <v>-16352.519999999999</v>
      </c>
      <c r="I52" s="241">
        <v>-9110.7699999999768</v>
      </c>
      <c r="J52" s="102"/>
      <c r="K52" s="102"/>
      <c r="L52" s="2"/>
    </row>
    <row r="53" spans="1:12" hidden="1" outlineLevel="1" x14ac:dyDescent="0.2">
      <c r="A53" s="231">
        <v>46</v>
      </c>
      <c r="B53" s="239">
        <v>41241</v>
      </c>
      <c r="C53" s="226" t="s">
        <v>189</v>
      </c>
      <c r="D53" s="120">
        <v>-17264.370000000006</v>
      </c>
      <c r="E53" s="120"/>
      <c r="F53" s="319">
        <v>3.2500000000000001E-2</v>
      </c>
      <c r="G53" s="241">
        <v>-48.05</v>
      </c>
      <c r="H53" s="234">
        <v>-17312.420000000006</v>
      </c>
      <c r="I53" s="241">
        <v>-26423.189999999981</v>
      </c>
      <c r="J53" s="102"/>
      <c r="K53" s="102"/>
      <c r="L53" s="2"/>
    </row>
    <row r="54" spans="1:12" hidden="1" outlineLevel="1" x14ac:dyDescent="0.2">
      <c r="A54" s="231">
        <v>47</v>
      </c>
      <c r="B54" s="239">
        <v>41241</v>
      </c>
      <c r="C54" s="226" t="s">
        <v>190</v>
      </c>
      <c r="D54" s="120">
        <v>-14377.55</v>
      </c>
      <c r="E54" s="120">
        <v>478659.12</v>
      </c>
      <c r="F54" s="319">
        <v>3.2500000000000001E-2</v>
      </c>
      <c r="G54" s="263">
        <v>1276.9000000000001</v>
      </c>
      <c r="H54" s="234">
        <v>465558.47</v>
      </c>
      <c r="I54" s="241">
        <v>439135.27999999997</v>
      </c>
      <c r="J54" s="102"/>
      <c r="K54" s="102"/>
      <c r="L54" s="2"/>
    </row>
    <row r="55" spans="1:12" hidden="1" outlineLevel="1" x14ac:dyDescent="0.2">
      <c r="A55" s="231">
        <v>48</v>
      </c>
      <c r="B55" s="239">
        <v>41272</v>
      </c>
      <c r="D55" s="120">
        <v>-60003.21</v>
      </c>
      <c r="E55" s="120"/>
      <c r="F55" s="319">
        <v>3.2500000000000001E-2</v>
      </c>
      <c r="G55" s="241">
        <v>1108.07</v>
      </c>
      <c r="H55" s="234">
        <v>-58895.14</v>
      </c>
      <c r="I55" s="241">
        <v>380240.13999999996</v>
      </c>
      <c r="J55" s="102"/>
      <c r="K55" s="102"/>
      <c r="L55" s="2"/>
    </row>
    <row r="56" spans="1:12" hidden="1" outlineLevel="1" x14ac:dyDescent="0.2">
      <c r="A56" s="231">
        <v>49</v>
      </c>
      <c r="B56" s="247">
        <v>41303</v>
      </c>
      <c r="D56" s="120">
        <v>-90115.460000000021</v>
      </c>
      <c r="E56" s="120"/>
      <c r="F56" s="319">
        <v>3.2500000000000001E-2</v>
      </c>
      <c r="G56" s="241">
        <v>907.79</v>
      </c>
      <c r="H56" s="234">
        <v>-89207.670000000027</v>
      </c>
      <c r="I56" s="241">
        <v>291032.46999999991</v>
      </c>
      <c r="J56" s="102"/>
      <c r="K56" s="102"/>
      <c r="L56" s="2"/>
    </row>
    <row r="57" spans="1:12" hidden="1" outlineLevel="1" x14ac:dyDescent="0.2">
      <c r="A57" s="231">
        <v>50</v>
      </c>
      <c r="B57" s="239">
        <v>41331</v>
      </c>
      <c r="D57" s="120">
        <v>-72920.960000000006</v>
      </c>
      <c r="E57" s="120"/>
      <c r="F57" s="319">
        <v>3.2500000000000001E-2</v>
      </c>
      <c r="G57" s="241">
        <v>689.47</v>
      </c>
      <c r="H57" s="234">
        <v>-72231.490000000005</v>
      </c>
      <c r="I57" s="241">
        <v>218800.97999999992</v>
      </c>
      <c r="J57" s="102"/>
      <c r="K57" s="102"/>
      <c r="L57" s="2"/>
    </row>
    <row r="58" spans="1:12" hidden="1" outlineLevel="1" x14ac:dyDescent="0.2">
      <c r="A58" s="231">
        <v>51</v>
      </c>
      <c r="B58" s="239">
        <v>41362</v>
      </c>
      <c r="D58" s="338">
        <v>-57119.12999999999</v>
      </c>
      <c r="E58" s="120"/>
      <c r="F58" s="319">
        <v>3.2500000000000001E-2</v>
      </c>
      <c r="G58" s="241">
        <v>515.24</v>
      </c>
      <c r="H58" s="234">
        <v>-56603.889999999992</v>
      </c>
      <c r="I58" s="241">
        <v>162197.08999999994</v>
      </c>
      <c r="J58" s="102"/>
      <c r="K58" s="102"/>
      <c r="L58" s="2"/>
    </row>
    <row r="59" spans="1:12" hidden="1" outlineLevel="1" x14ac:dyDescent="0.2">
      <c r="A59" s="231">
        <v>52</v>
      </c>
      <c r="B59" s="226">
        <v>41392</v>
      </c>
      <c r="D59" s="338">
        <v>-40724.699999999997</v>
      </c>
      <c r="E59" s="120"/>
      <c r="F59" s="319">
        <v>3.2500000000000001E-2</v>
      </c>
      <c r="G59" s="241">
        <v>384.14</v>
      </c>
      <c r="H59" s="234">
        <v>-40340.559999999998</v>
      </c>
      <c r="I59" s="241">
        <v>121856.52999999994</v>
      </c>
      <c r="J59" s="102"/>
      <c r="K59" s="102"/>
      <c r="L59" s="2"/>
    </row>
    <row r="60" spans="1:12" hidden="1" outlineLevel="1" x14ac:dyDescent="0.2">
      <c r="A60" s="231">
        <v>53</v>
      </c>
      <c r="B60" s="226">
        <v>41423</v>
      </c>
      <c r="D60" s="338">
        <v>-27131.350000000006</v>
      </c>
      <c r="E60" s="120"/>
      <c r="F60" s="319">
        <v>3.2500000000000001E-2</v>
      </c>
      <c r="G60" s="241">
        <v>293.29000000000002</v>
      </c>
      <c r="H60" s="234">
        <v>-26838.060000000005</v>
      </c>
      <c r="I60" s="241">
        <v>95018.469999999943</v>
      </c>
      <c r="J60" s="102"/>
      <c r="K60" s="102"/>
      <c r="L60" s="2"/>
    </row>
    <row r="61" spans="1:12" hidden="1" outlineLevel="1" x14ac:dyDescent="0.2">
      <c r="A61" s="231">
        <v>54</v>
      </c>
      <c r="B61" s="226">
        <v>41453</v>
      </c>
      <c r="D61" s="120">
        <v>-21216.35</v>
      </c>
      <c r="E61" s="120"/>
      <c r="F61" s="319">
        <v>3.2500000000000001E-2</v>
      </c>
      <c r="G61" s="241">
        <v>228.61</v>
      </c>
      <c r="H61" s="234">
        <v>-20987.739999999998</v>
      </c>
      <c r="I61" s="241">
        <v>74030.729999999952</v>
      </c>
      <c r="J61" s="102"/>
      <c r="K61" s="102"/>
      <c r="L61" s="2"/>
    </row>
    <row r="62" spans="1:12" hidden="1" outlineLevel="1" x14ac:dyDescent="0.2">
      <c r="A62" s="231">
        <v>55</v>
      </c>
      <c r="B62" s="226">
        <v>41484</v>
      </c>
      <c r="D62" s="120">
        <v>-15300.959999999997</v>
      </c>
      <c r="E62" s="120"/>
      <c r="F62" s="319">
        <v>3.2500000000000001E-2</v>
      </c>
      <c r="G62" s="241">
        <v>179.78</v>
      </c>
      <c r="H62" s="234">
        <v>-15121.179999999997</v>
      </c>
      <c r="I62" s="241">
        <v>58909.549999999959</v>
      </c>
      <c r="J62" s="102"/>
      <c r="K62" s="102"/>
      <c r="L62" s="2"/>
    </row>
    <row r="63" spans="1:12" hidden="1" outlineLevel="1" x14ac:dyDescent="0.2">
      <c r="A63" s="231">
        <v>56</v>
      </c>
      <c r="B63" s="226">
        <v>41515</v>
      </c>
      <c r="D63" s="120">
        <v>-13326.330000000002</v>
      </c>
      <c r="E63" s="120"/>
      <c r="F63" s="319">
        <v>3.2500000000000001E-2</v>
      </c>
      <c r="G63" s="241">
        <v>141.5</v>
      </c>
      <c r="H63" s="234">
        <v>-13184.830000000002</v>
      </c>
      <c r="I63" s="241">
        <v>45724.719999999958</v>
      </c>
      <c r="J63" s="102"/>
      <c r="K63" s="102"/>
      <c r="L63" s="2"/>
    </row>
    <row r="64" spans="1:12" hidden="1" outlineLevel="1" x14ac:dyDescent="0.2">
      <c r="A64" s="231">
        <v>57</v>
      </c>
      <c r="B64" s="226">
        <v>41545</v>
      </c>
      <c r="D64" s="120">
        <v>-13497.579999999998</v>
      </c>
      <c r="E64" s="120"/>
      <c r="F64" s="319">
        <v>3.2500000000000001E-2</v>
      </c>
      <c r="G64" s="241">
        <v>105.56</v>
      </c>
      <c r="H64" s="234">
        <v>-13392.019999999999</v>
      </c>
      <c r="I64" s="241">
        <v>32332.699999999961</v>
      </c>
      <c r="J64" s="102"/>
      <c r="K64" s="102"/>
      <c r="L64" s="2"/>
    </row>
    <row r="65" spans="1:15" hidden="1" outlineLevel="1" x14ac:dyDescent="0.2">
      <c r="A65" s="231">
        <v>58</v>
      </c>
      <c r="B65" s="226">
        <v>41576</v>
      </c>
      <c r="D65" s="120">
        <v>-25073.130000000005</v>
      </c>
      <c r="E65" s="120"/>
      <c r="F65" s="319">
        <v>3.2500000000000001E-2</v>
      </c>
      <c r="G65" s="241">
        <v>53.61</v>
      </c>
      <c r="H65" s="234">
        <v>-25019.520000000004</v>
      </c>
      <c r="I65" s="241">
        <v>7313.1799999999566</v>
      </c>
      <c r="J65" s="102"/>
      <c r="K65" s="102"/>
      <c r="L65" s="2"/>
    </row>
    <row r="66" spans="1:15" hidden="1" outlineLevel="1" x14ac:dyDescent="0.2">
      <c r="A66" s="231">
        <v>59</v>
      </c>
      <c r="B66" s="226">
        <v>41606</v>
      </c>
      <c r="C66" s="226" t="s">
        <v>189</v>
      </c>
      <c r="D66" s="120">
        <v>-21943.89</v>
      </c>
      <c r="E66" s="120"/>
      <c r="F66" s="319">
        <v>3.2500000000000001E-2</v>
      </c>
      <c r="G66" s="241">
        <v>-9.91</v>
      </c>
      <c r="H66" s="234">
        <v>-21953.8</v>
      </c>
      <c r="I66" s="241">
        <v>-14640.620000000043</v>
      </c>
      <c r="J66" s="102"/>
      <c r="K66" s="102"/>
      <c r="L66" s="2"/>
    </row>
    <row r="67" spans="1:15" hidden="1" outlineLevel="1" x14ac:dyDescent="0.2">
      <c r="A67" s="231">
        <v>60</v>
      </c>
      <c r="B67" s="226">
        <v>41606</v>
      </c>
      <c r="C67" s="226" t="s">
        <v>190</v>
      </c>
      <c r="D67" s="120">
        <v>-12875.789999999997</v>
      </c>
      <c r="E67" s="120">
        <v>384772.64999999997</v>
      </c>
      <c r="F67" s="319">
        <v>3.2500000000000001E-2</v>
      </c>
      <c r="G67" s="241">
        <v>1024.6600000000001</v>
      </c>
      <c r="H67" s="234">
        <v>372921.51999999996</v>
      </c>
      <c r="I67" s="241">
        <v>358280.89999999991</v>
      </c>
      <c r="J67" s="102"/>
      <c r="K67" s="102"/>
      <c r="L67" s="2"/>
      <c r="O67" s="304"/>
    </row>
    <row r="68" spans="1:15" hidden="1" outlineLevel="1" x14ac:dyDescent="0.2">
      <c r="A68" s="231">
        <v>61</v>
      </c>
      <c r="B68" s="226">
        <v>41637</v>
      </c>
      <c r="D68" s="120">
        <v>-66302.770000000033</v>
      </c>
      <c r="E68" s="120"/>
      <c r="F68" s="319">
        <v>3.2500000000000001E-2</v>
      </c>
      <c r="G68" s="241">
        <v>880.56</v>
      </c>
      <c r="H68" s="234">
        <v>-65422.210000000036</v>
      </c>
      <c r="I68" s="241">
        <v>292858.68999999989</v>
      </c>
      <c r="J68" s="102"/>
      <c r="K68" s="102"/>
      <c r="L68" s="2"/>
      <c r="O68" s="304"/>
    </row>
    <row r="69" spans="1:15" hidden="1" outlineLevel="1" x14ac:dyDescent="0.2">
      <c r="A69" s="231">
        <v>62</v>
      </c>
      <c r="B69" s="247">
        <v>41668</v>
      </c>
      <c r="D69" s="120">
        <v>-72723.000000000015</v>
      </c>
      <c r="E69" s="120"/>
      <c r="F69" s="319">
        <v>3.2500000000000001E-2</v>
      </c>
      <c r="G69" s="241">
        <v>694.68</v>
      </c>
      <c r="H69" s="234">
        <v>-72028.320000000022</v>
      </c>
      <c r="I69" s="241">
        <v>220830.36999999988</v>
      </c>
      <c r="J69" s="102"/>
      <c r="K69" s="102"/>
      <c r="L69" s="2"/>
      <c r="O69" s="304"/>
    </row>
    <row r="70" spans="1:15" hidden="1" outlineLevel="1" x14ac:dyDescent="0.2">
      <c r="A70" s="231">
        <v>63</v>
      </c>
      <c r="B70" s="239">
        <v>41696</v>
      </c>
      <c r="D70" s="120">
        <v>-66915.86</v>
      </c>
      <c r="E70" s="120"/>
      <c r="F70" s="319">
        <v>3.2500000000000001E-2</v>
      </c>
      <c r="G70" s="241">
        <v>507.47</v>
      </c>
      <c r="H70" s="234">
        <v>-66408.39</v>
      </c>
      <c r="I70" s="241">
        <v>154421.97999999986</v>
      </c>
      <c r="J70" s="102"/>
      <c r="K70" s="102"/>
      <c r="L70" s="2"/>
      <c r="O70" s="304"/>
    </row>
    <row r="71" spans="1:15" hidden="1" outlineLevel="1" x14ac:dyDescent="0.2">
      <c r="A71" s="231">
        <v>64</v>
      </c>
      <c r="B71" s="239">
        <v>41727</v>
      </c>
      <c r="D71" s="120">
        <v>-47979.740000000013</v>
      </c>
      <c r="E71" s="120"/>
      <c r="F71" s="319">
        <v>3.2500000000000001E-2</v>
      </c>
      <c r="G71" s="241">
        <v>353.25</v>
      </c>
      <c r="H71" s="234">
        <v>-47626.490000000013</v>
      </c>
      <c r="I71" s="241">
        <v>106795.48999999985</v>
      </c>
      <c r="J71" s="102"/>
      <c r="K71" s="102"/>
      <c r="L71" s="2"/>
      <c r="O71" s="304"/>
    </row>
    <row r="72" spans="1:15" hidden="1" outlineLevel="1" x14ac:dyDescent="0.2">
      <c r="A72" s="231">
        <v>65</v>
      </c>
      <c r="B72" s="226">
        <v>41757</v>
      </c>
      <c r="D72" s="120">
        <v>-33441.32</v>
      </c>
      <c r="E72" s="120"/>
      <c r="F72" s="319">
        <v>3.2500000000000001E-2</v>
      </c>
      <c r="G72" s="241">
        <v>243.95</v>
      </c>
      <c r="H72" s="234">
        <v>-33197.370000000003</v>
      </c>
      <c r="I72" s="241">
        <v>73598.11999999985</v>
      </c>
      <c r="J72" s="102"/>
      <c r="K72" s="102"/>
      <c r="L72" s="2"/>
      <c r="O72" s="304"/>
    </row>
    <row r="73" spans="1:15" hidden="1" outlineLevel="1" x14ac:dyDescent="0.2">
      <c r="A73" s="231">
        <v>66</v>
      </c>
      <c r="B73" s="226">
        <v>41788</v>
      </c>
      <c r="D73" s="120">
        <v>-22171.77</v>
      </c>
      <c r="E73" s="120"/>
      <c r="F73" s="319">
        <v>3.2500000000000001E-2</v>
      </c>
      <c r="G73" s="241">
        <v>169.3</v>
      </c>
      <c r="H73" s="234">
        <v>-22002.47</v>
      </c>
      <c r="I73" s="241">
        <v>51595.649999999849</v>
      </c>
      <c r="J73" s="102"/>
      <c r="K73" s="102"/>
      <c r="L73" s="2"/>
      <c r="O73" s="304"/>
    </row>
    <row r="74" spans="1:15" hidden="1" outlineLevel="1" x14ac:dyDescent="0.2">
      <c r="A74" s="231">
        <v>67</v>
      </c>
      <c r="B74" s="226">
        <v>41818</v>
      </c>
      <c r="D74" s="120">
        <v>-14886.45</v>
      </c>
      <c r="E74" s="120"/>
      <c r="F74" s="319">
        <v>3.2500000000000001E-2</v>
      </c>
      <c r="G74" s="241">
        <v>119.58</v>
      </c>
      <c r="H74" s="234">
        <v>-14766.87</v>
      </c>
      <c r="I74" s="241">
        <v>36828.779999999846</v>
      </c>
      <c r="J74" s="102"/>
      <c r="K74" s="102"/>
      <c r="L74" s="2"/>
      <c r="O74" s="304"/>
    </row>
    <row r="75" spans="1:15" hidden="1" outlineLevel="1" x14ac:dyDescent="0.2">
      <c r="A75" s="231">
        <v>68</v>
      </c>
      <c r="B75" s="226">
        <v>41849</v>
      </c>
      <c r="D75" s="120">
        <v>-13033.410000000002</v>
      </c>
      <c r="E75" s="120"/>
      <c r="F75" s="319">
        <v>3.2500000000000001E-2</v>
      </c>
      <c r="G75" s="241">
        <v>82.1</v>
      </c>
      <c r="H75" s="234">
        <v>-12951.310000000001</v>
      </c>
      <c r="I75" s="241">
        <v>23877.469999999845</v>
      </c>
      <c r="J75" s="102"/>
      <c r="K75" s="102"/>
      <c r="L75" s="2"/>
      <c r="O75" s="304"/>
    </row>
    <row r="76" spans="1:15" hidden="1" outlineLevel="1" x14ac:dyDescent="0.2">
      <c r="A76" s="231">
        <v>69</v>
      </c>
      <c r="B76" s="226">
        <v>41880</v>
      </c>
      <c r="D76" s="120">
        <v>-10536.23</v>
      </c>
      <c r="E76" s="120"/>
      <c r="F76" s="319">
        <v>3.2500000000000001E-2</v>
      </c>
      <c r="G76" s="241">
        <v>50.4</v>
      </c>
      <c r="H76" s="234">
        <v>-10485.83</v>
      </c>
      <c r="I76" s="241">
        <v>13391.639999999845</v>
      </c>
      <c r="J76" s="102"/>
      <c r="K76" s="102"/>
      <c r="L76" s="2"/>
      <c r="O76" s="304"/>
    </row>
    <row r="77" spans="1:15" hidden="1" outlineLevel="1" x14ac:dyDescent="0.2">
      <c r="A77" s="231">
        <v>70</v>
      </c>
      <c r="B77" s="226">
        <v>41910</v>
      </c>
      <c r="D77" s="120">
        <v>-10976.909999999998</v>
      </c>
      <c r="E77" s="120"/>
      <c r="F77" s="319">
        <v>3.2500000000000001E-2</v>
      </c>
      <c r="G77" s="241">
        <v>21.4</v>
      </c>
      <c r="H77" s="234">
        <v>-10955.509999999998</v>
      </c>
      <c r="I77" s="241">
        <v>2436.1299999998464</v>
      </c>
      <c r="J77" s="102"/>
      <c r="K77" s="102"/>
      <c r="L77" s="2"/>
      <c r="O77" s="304"/>
    </row>
    <row r="78" spans="1:15" hidden="1" outlineLevel="1" x14ac:dyDescent="0.2">
      <c r="A78" s="231">
        <v>71</v>
      </c>
      <c r="B78" s="226">
        <v>41941</v>
      </c>
      <c r="D78" s="120">
        <v>-12849.21</v>
      </c>
      <c r="E78" s="120"/>
      <c r="F78" s="319">
        <v>3.2500000000000001E-2</v>
      </c>
      <c r="G78" s="241">
        <v>-10.8</v>
      </c>
      <c r="H78" s="234">
        <v>-12860.009999999998</v>
      </c>
      <c r="I78" s="241">
        <v>-10423.880000000152</v>
      </c>
      <c r="J78" s="102"/>
      <c r="K78" s="102"/>
      <c r="L78" s="2"/>
      <c r="O78" s="304"/>
    </row>
    <row r="79" spans="1:15" hidden="1" outlineLevel="1" x14ac:dyDescent="0.2">
      <c r="A79" s="231">
        <v>72</v>
      </c>
      <c r="B79" s="226">
        <v>41971</v>
      </c>
      <c r="C79" s="226" t="s">
        <v>189</v>
      </c>
      <c r="D79" s="120">
        <v>-14124.31</v>
      </c>
      <c r="E79" s="120"/>
      <c r="F79" s="319">
        <v>3.2500000000000001E-2</v>
      </c>
      <c r="G79" s="241">
        <v>-47.36</v>
      </c>
      <c r="H79" s="234">
        <v>-14171.67</v>
      </c>
      <c r="I79" s="241">
        <v>-24595.550000000152</v>
      </c>
      <c r="J79" s="102"/>
      <c r="K79" s="102"/>
      <c r="L79" s="2"/>
      <c r="O79" s="304"/>
    </row>
    <row r="80" spans="1:15" hidden="1" outlineLevel="1" x14ac:dyDescent="0.2">
      <c r="A80" s="231">
        <v>73</v>
      </c>
      <c r="B80" s="226">
        <v>41971</v>
      </c>
      <c r="C80" s="226" t="s">
        <v>190</v>
      </c>
      <c r="D80" s="120">
        <v>-11673.580000000002</v>
      </c>
      <c r="E80" s="120">
        <v>360681.96</v>
      </c>
      <c r="F80" s="319">
        <v>3.2500000000000001E-2</v>
      </c>
      <c r="G80" s="241">
        <v>961.04</v>
      </c>
      <c r="H80" s="234">
        <v>349969.42000000004</v>
      </c>
      <c r="I80" s="263">
        <v>325373.86999999988</v>
      </c>
      <c r="J80" s="102"/>
      <c r="K80" s="102"/>
      <c r="L80" s="2"/>
      <c r="O80" s="304"/>
    </row>
    <row r="81" spans="1:15" hidden="1" outlineLevel="1" x14ac:dyDescent="0.2">
      <c r="A81" s="231">
        <v>74</v>
      </c>
      <c r="B81" s="226">
        <v>42002</v>
      </c>
      <c r="D81" s="120">
        <v>-47467.96</v>
      </c>
      <c r="E81" s="120"/>
      <c r="F81" s="319">
        <v>3.2500000000000001E-2</v>
      </c>
      <c r="G81" s="241">
        <v>816.94</v>
      </c>
      <c r="H81" s="234">
        <v>-46651.02</v>
      </c>
      <c r="I81" s="241">
        <v>278722.84999999986</v>
      </c>
      <c r="J81" s="102"/>
      <c r="K81" s="102"/>
      <c r="L81" s="2"/>
      <c r="O81" s="304"/>
    </row>
    <row r="82" spans="1:15" hidden="1" outlineLevel="1" x14ac:dyDescent="0.2">
      <c r="A82" s="231">
        <v>75</v>
      </c>
      <c r="B82" s="226">
        <v>42033</v>
      </c>
      <c r="D82" s="120">
        <v>-52030.600000000006</v>
      </c>
      <c r="E82" s="120"/>
      <c r="F82" s="319">
        <v>3.2500000000000001E-2</v>
      </c>
      <c r="G82" s="241">
        <v>684.42</v>
      </c>
      <c r="H82" s="234">
        <v>-51346.180000000008</v>
      </c>
      <c r="I82" s="241">
        <v>227376.66999999987</v>
      </c>
      <c r="J82" s="102"/>
      <c r="K82" s="102"/>
      <c r="L82" s="2"/>
      <c r="O82" s="304"/>
    </row>
    <row r="83" spans="1:15" hidden="1" outlineLevel="1" x14ac:dyDescent="0.2">
      <c r="A83" s="231">
        <v>76</v>
      </c>
      <c r="B83" s="226">
        <v>42061</v>
      </c>
      <c r="D83" s="120">
        <v>-38529.93</v>
      </c>
      <c r="E83" s="120"/>
      <c r="F83" s="319">
        <v>3.2500000000000001E-2</v>
      </c>
      <c r="G83" s="241">
        <v>563.64</v>
      </c>
      <c r="H83" s="234">
        <v>-37966.29</v>
      </c>
      <c r="I83" s="241">
        <v>189410.37999999986</v>
      </c>
      <c r="J83" s="102"/>
      <c r="K83" s="102"/>
      <c r="L83" s="2"/>
      <c r="O83" s="304"/>
    </row>
    <row r="84" spans="1:15" hidden="1" outlineLevel="1" x14ac:dyDescent="0.2">
      <c r="A84" s="231">
        <v>77</v>
      </c>
      <c r="B84" s="226">
        <v>42092</v>
      </c>
      <c r="D84" s="120">
        <v>-30448.640000000003</v>
      </c>
      <c r="E84" s="120"/>
      <c r="F84" s="319">
        <v>3.2500000000000001E-2</v>
      </c>
      <c r="G84" s="241">
        <v>471.75</v>
      </c>
      <c r="H84" s="234">
        <v>-29976.890000000003</v>
      </c>
      <c r="I84" s="241">
        <v>159433.48999999985</v>
      </c>
      <c r="J84" s="102"/>
      <c r="K84" s="102"/>
      <c r="L84" s="2"/>
      <c r="O84" s="304"/>
    </row>
    <row r="85" spans="1:15" hidden="1" outlineLevel="1" x14ac:dyDescent="0.2">
      <c r="A85" s="231">
        <v>78</v>
      </c>
      <c r="B85" s="226">
        <v>42122</v>
      </c>
      <c r="D85" s="120">
        <v>-24750.560000000005</v>
      </c>
      <c r="E85" s="120"/>
      <c r="F85" s="319">
        <v>3.2500000000000001E-2</v>
      </c>
      <c r="G85" s="241">
        <v>398.28</v>
      </c>
      <c r="H85" s="234">
        <v>-24352.280000000006</v>
      </c>
      <c r="I85" s="241">
        <v>135081.20999999985</v>
      </c>
      <c r="J85" s="102"/>
      <c r="K85" s="102"/>
      <c r="L85" s="2"/>
      <c r="O85" s="304"/>
    </row>
    <row r="86" spans="1:15" hidden="1" outlineLevel="1" x14ac:dyDescent="0.2">
      <c r="A86" s="231">
        <v>79</v>
      </c>
      <c r="B86" s="226">
        <v>42153</v>
      </c>
      <c r="D86" s="120">
        <v>-18515.749999999996</v>
      </c>
      <c r="E86" s="120"/>
      <c r="F86" s="319">
        <v>3.2500000000000001E-2</v>
      </c>
      <c r="G86" s="241">
        <v>340.77</v>
      </c>
      <c r="H86" s="234">
        <v>-18174.979999999996</v>
      </c>
      <c r="I86" s="241">
        <v>116906.22999999985</v>
      </c>
      <c r="J86" s="102"/>
      <c r="K86" s="102"/>
      <c r="L86" s="2"/>
      <c r="O86" s="304"/>
    </row>
    <row r="87" spans="1:15" hidden="1" outlineLevel="1" x14ac:dyDescent="0.2">
      <c r="A87" s="231">
        <v>80</v>
      </c>
      <c r="B87" s="226">
        <v>42183</v>
      </c>
      <c r="D87" s="120">
        <v>-12501.400000000001</v>
      </c>
      <c r="E87" s="120"/>
      <c r="F87" s="319">
        <v>3.2500000000000001E-2</v>
      </c>
      <c r="G87" s="241">
        <v>299.69</v>
      </c>
      <c r="H87" s="234">
        <v>-12201.710000000001</v>
      </c>
      <c r="I87" s="241">
        <v>104704.51999999984</v>
      </c>
      <c r="J87" s="102"/>
      <c r="K87" s="102"/>
      <c r="L87" s="2"/>
      <c r="O87" s="304"/>
    </row>
    <row r="88" spans="1:15" hidden="1" outlineLevel="1" x14ac:dyDescent="0.2">
      <c r="A88" s="231">
        <v>81</v>
      </c>
      <c r="B88" s="226">
        <v>42214</v>
      </c>
      <c r="D88" s="120">
        <v>-9305.4100000000017</v>
      </c>
      <c r="E88" s="120"/>
      <c r="F88" s="319">
        <v>3.2500000000000001E-2</v>
      </c>
      <c r="G88" s="241">
        <v>270.97000000000003</v>
      </c>
      <c r="H88" s="234">
        <v>-9034.4400000000023</v>
      </c>
      <c r="I88" s="241">
        <v>95670.079999999842</v>
      </c>
      <c r="J88" s="102"/>
      <c r="K88" s="102"/>
      <c r="L88" s="2"/>
      <c r="N88" s="228"/>
      <c r="O88" s="228"/>
    </row>
    <row r="89" spans="1:15" hidden="1" outlineLevel="1" x14ac:dyDescent="0.2">
      <c r="A89" s="231">
        <v>82</v>
      </c>
      <c r="B89" s="226">
        <v>42245</v>
      </c>
      <c r="C89" s="278"/>
      <c r="D89" s="120">
        <v>-8749.8700000000008</v>
      </c>
      <c r="E89" s="120"/>
      <c r="F89" s="319">
        <v>3.2500000000000001E-2</v>
      </c>
      <c r="G89" s="263">
        <v>247.26</v>
      </c>
      <c r="H89" s="302">
        <v>-8502.61</v>
      </c>
      <c r="I89" s="263">
        <v>87167.469999999841</v>
      </c>
      <c r="J89" s="102"/>
      <c r="K89" s="102"/>
      <c r="L89" s="2"/>
      <c r="O89" s="304"/>
    </row>
    <row r="90" spans="1:15" hidden="1" outlineLevel="1" x14ac:dyDescent="0.2">
      <c r="A90" s="231">
        <v>83</v>
      </c>
      <c r="B90" s="226">
        <v>42275</v>
      </c>
      <c r="C90" s="278"/>
      <c r="D90" s="120">
        <v>-10086.370000000001</v>
      </c>
      <c r="E90" s="120"/>
      <c r="F90" s="319">
        <v>3.2500000000000001E-2</v>
      </c>
      <c r="G90" s="263">
        <v>222.42</v>
      </c>
      <c r="H90" s="302">
        <v>-9863.9500000000007</v>
      </c>
      <c r="I90" s="263">
        <v>77303.519999999844</v>
      </c>
      <c r="J90" s="102"/>
      <c r="K90" s="102"/>
      <c r="L90" s="2"/>
      <c r="O90" s="304"/>
    </row>
    <row r="91" spans="1:15" hidden="1" outlineLevel="1" x14ac:dyDescent="0.2">
      <c r="A91" s="231">
        <v>84</v>
      </c>
      <c r="B91" s="226">
        <v>42306</v>
      </c>
      <c r="C91" s="278"/>
      <c r="D91" s="120">
        <v>-12072.76</v>
      </c>
      <c r="E91" s="120"/>
      <c r="F91" s="319">
        <v>3.2500000000000001E-2</v>
      </c>
      <c r="G91" s="263">
        <v>193.02</v>
      </c>
      <c r="H91" s="302">
        <v>-11879.74</v>
      </c>
      <c r="I91" s="263">
        <v>65423.779999999846</v>
      </c>
      <c r="J91" s="102"/>
      <c r="K91" s="102"/>
      <c r="L91" s="2"/>
      <c r="O91" s="304"/>
    </row>
    <row r="92" spans="1:15" hidden="1" outlineLevel="1" x14ac:dyDescent="0.2">
      <c r="A92" s="231">
        <v>85</v>
      </c>
      <c r="B92" s="226">
        <v>42336</v>
      </c>
      <c r="C92" s="226" t="s">
        <v>189</v>
      </c>
      <c r="D92" s="120">
        <v>-11131.02</v>
      </c>
      <c r="E92" s="120"/>
      <c r="F92" s="319">
        <v>3.2500000000000001E-2</v>
      </c>
      <c r="G92" s="241">
        <v>162.12</v>
      </c>
      <c r="H92" s="234">
        <v>-10968.9</v>
      </c>
      <c r="I92" s="241">
        <v>54454.879999999845</v>
      </c>
      <c r="J92" s="102"/>
      <c r="K92" s="102"/>
      <c r="L92" s="2"/>
      <c r="O92" s="304"/>
    </row>
    <row r="93" spans="1:15" hidden="1" outlineLevel="1" x14ac:dyDescent="0.2">
      <c r="A93" s="231">
        <v>86</v>
      </c>
      <c r="B93" s="226">
        <v>42336</v>
      </c>
      <c r="C93" s="226" t="s">
        <v>190</v>
      </c>
      <c r="D93" s="120">
        <v>-12141.71</v>
      </c>
      <c r="E93" s="120">
        <v>341126.88</v>
      </c>
      <c r="F93" s="319">
        <v>3.2500000000000001E-2</v>
      </c>
      <c r="G93" s="241">
        <v>907.44</v>
      </c>
      <c r="H93" s="234">
        <v>329892.61</v>
      </c>
      <c r="I93" s="263">
        <v>384347.48999999982</v>
      </c>
      <c r="J93" s="102"/>
      <c r="K93" s="102"/>
      <c r="L93" s="2"/>
      <c r="O93" s="304"/>
    </row>
    <row r="94" spans="1:15" hidden="1" outlineLevel="1" x14ac:dyDescent="0.2">
      <c r="A94" s="231">
        <v>87</v>
      </c>
      <c r="B94" s="226">
        <v>42367</v>
      </c>
      <c r="C94" s="278"/>
      <c r="D94" s="120">
        <v>-59962.99</v>
      </c>
      <c r="E94" s="120"/>
      <c r="F94" s="319">
        <v>3.2500000000000001E-2</v>
      </c>
      <c r="G94" s="263">
        <v>959.74</v>
      </c>
      <c r="H94" s="302">
        <v>-59003.25</v>
      </c>
      <c r="I94" s="263">
        <v>325344.23999999982</v>
      </c>
      <c r="J94" s="102"/>
      <c r="K94" s="102"/>
      <c r="L94" s="2"/>
      <c r="O94" s="304"/>
    </row>
    <row r="95" spans="1:15" hidden="1" outlineLevel="1" x14ac:dyDescent="0.2">
      <c r="A95" s="231">
        <v>88</v>
      </c>
      <c r="B95" s="226">
        <v>42398</v>
      </c>
      <c r="C95" s="278"/>
      <c r="D95" s="120">
        <v>-72294.720000000001</v>
      </c>
      <c r="E95" s="120"/>
      <c r="F95" s="319">
        <v>3.2500000000000001E-2</v>
      </c>
      <c r="G95" s="263">
        <v>783.24</v>
      </c>
      <c r="H95" s="302">
        <v>-71511.48</v>
      </c>
      <c r="I95" s="263">
        <v>253832.75999999983</v>
      </c>
      <c r="J95" s="102"/>
      <c r="K95" s="102"/>
      <c r="L95" s="2"/>
      <c r="O95" s="304"/>
    </row>
    <row r="96" spans="1:15" hidden="1" outlineLevel="1" x14ac:dyDescent="0.2">
      <c r="A96" s="231">
        <v>89</v>
      </c>
      <c r="B96" s="226">
        <v>42427</v>
      </c>
      <c r="C96" s="278"/>
      <c r="D96" s="120">
        <v>-47932.23</v>
      </c>
      <c r="E96" s="120"/>
      <c r="F96" s="319">
        <v>3.2500000000000001E-2</v>
      </c>
      <c r="G96" s="263">
        <v>622.55999999999995</v>
      </c>
      <c r="H96" s="302">
        <v>-47309.670000000006</v>
      </c>
      <c r="I96" s="263">
        <v>206523.08999999982</v>
      </c>
      <c r="J96" s="102"/>
      <c r="K96" s="102"/>
      <c r="L96" s="2"/>
      <c r="O96" s="304"/>
    </row>
    <row r="97" spans="1:15" hidden="1" outlineLevel="1" x14ac:dyDescent="0.2">
      <c r="A97" s="231">
        <v>90</v>
      </c>
      <c r="B97" s="226">
        <v>42458</v>
      </c>
      <c r="C97" s="278"/>
      <c r="D97" s="120">
        <v>-40693.46</v>
      </c>
      <c r="E97" s="120"/>
      <c r="F97" s="319">
        <v>3.2500000000000001E-2</v>
      </c>
      <c r="G97" s="263">
        <v>504.23</v>
      </c>
      <c r="H97" s="302">
        <v>-40189.229999999996</v>
      </c>
      <c r="I97" s="263">
        <v>166333.85999999981</v>
      </c>
      <c r="J97" s="102"/>
      <c r="K97" s="102"/>
      <c r="L97" s="2"/>
      <c r="O97" s="304"/>
    </row>
    <row r="98" spans="1:15" hidden="1" outlineLevel="1" x14ac:dyDescent="0.2">
      <c r="A98" s="231">
        <v>91</v>
      </c>
      <c r="B98" s="226">
        <v>42488</v>
      </c>
      <c r="C98" s="278"/>
      <c r="D98" s="120">
        <v>-30033.64</v>
      </c>
      <c r="E98" s="120"/>
      <c r="F98" s="319">
        <v>3.4599999999999999E-2</v>
      </c>
      <c r="G98" s="263">
        <v>436.3</v>
      </c>
      <c r="H98" s="302">
        <v>-29597.34</v>
      </c>
      <c r="I98" s="263">
        <v>136736.51999999981</v>
      </c>
      <c r="J98" s="102"/>
      <c r="K98" s="102"/>
      <c r="L98" s="2"/>
      <c r="O98" s="304"/>
    </row>
    <row r="99" spans="1:15" hidden="1" outlineLevel="1" x14ac:dyDescent="0.2">
      <c r="A99" s="231">
        <v>92</v>
      </c>
      <c r="B99" s="226">
        <v>42519</v>
      </c>
      <c r="C99" s="278"/>
      <c r="D99" s="120">
        <v>-18358.919999999998</v>
      </c>
      <c r="E99" s="120"/>
      <c r="F99" s="319">
        <v>3.4599999999999999E-2</v>
      </c>
      <c r="G99" s="263">
        <v>367.79</v>
      </c>
      <c r="H99" s="302">
        <v>-17991.129999999997</v>
      </c>
      <c r="I99" s="263">
        <v>118745.38999999981</v>
      </c>
      <c r="J99" s="102"/>
      <c r="K99" s="102"/>
      <c r="L99" s="2"/>
      <c r="O99" s="304"/>
    </row>
    <row r="100" spans="1:15" hidden="1" outlineLevel="1" x14ac:dyDescent="0.2">
      <c r="A100" s="231">
        <v>93</v>
      </c>
      <c r="B100" s="226">
        <v>42549</v>
      </c>
      <c r="C100" s="278"/>
      <c r="D100" s="120">
        <v>-15899.17</v>
      </c>
      <c r="E100" s="120"/>
      <c r="F100" s="319">
        <v>3.4599999999999999E-2</v>
      </c>
      <c r="G100" s="263">
        <v>319.45999999999998</v>
      </c>
      <c r="H100" s="302">
        <v>-15579.710000000001</v>
      </c>
      <c r="I100" s="263">
        <v>103165.6799999998</v>
      </c>
      <c r="J100" s="102"/>
      <c r="K100" s="102"/>
      <c r="L100" s="2"/>
      <c r="O100" s="304"/>
    </row>
    <row r="101" spans="1:15" s="230" customFormat="1" hidden="1" outlineLevel="1" x14ac:dyDescent="0.2">
      <c r="A101" s="231">
        <v>94</v>
      </c>
      <c r="B101" s="230">
        <v>42580</v>
      </c>
      <c r="C101" s="316"/>
      <c r="D101" s="324">
        <v>-12611.6</v>
      </c>
      <c r="E101" s="324"/>
      <c r="F101" s="330">
        <v>3.5000000000000003E-2</v>
      </c>
      <c r="G101" s="263">
        <v>282.51</v>
      </c>
      <c r="H101" s="302">
        <v>-12329.09</v>
      </c>
      <c r="I101" s="263">
        <v>90836.589999999807</v>
      </c>
      <c r="J101" s="331"/>
      <c r="K101" s="331"/>
      <c r="L101" s="9"/>
      <c r="O101" s="332"/>
    </row>
    <row r="102" spans="1:15" hidden="1" outlineLevel="1" x14ac:dyDescent="0.2">
      <c r="A102" s="231">
        <v>95</v>
      </c>
      <c r="B102" s="226">
        <v>42611</v>
      </c>
      <c r="C102" s="278"/>
      <c r="D102" s="120">
        <v>-11013.77</v>
      </c>
      <c r="E102" s="120"/>
      <c r="F102" s="319">
        <v>3.5000000000000003E-2</v>
      </c>
      <c r="G102" s="263">
        <v>248.88</v>
      </c>
      <c r="H102" s="302">
        <v>-10764.890000000001</v>
      </c>
      <c r="I102" s="263">
        <v>80071.699999999808</v>
      </c>
      <c r="J102" s="102"/>
      <c r="K102" s="102"/>
      <c r="L102" s="2"/>
      <c r="O102" s="304"/>
    </row>
    <row r="103" spans="1:15" hidden="1" outlineLevel="1" x14ac:dyDescent="0.2">
      <c r="A103" s="231">
        <v>96</v>
      </c>
      <c r="B103" s="226">
        <v>42641</v>
      </c>
      <c r="C103" s="278"/>
      <c r="D103" s="120">
        <v>-11950.34</v>
      </c>
      <c r="E103" s="324"/>
      <c r="F103" s="333">
        <v>3.5000000000000003E-2</v>
      </c>
      <c r="G103" s="334">
        <v>216.11</v>
      </c>
      <c r="H103" s="313">
        <v>-11734.23</v>
      </c>
      <c r="I103" s="314">
        <v>68337.469999999812</v>
      </c>
      <c r="J103" s="102"/>
      <c r="K103" s="102"/>
      <c r="L103" s="2"/>
      <c r="O103" s="304"/>
    </row>
    <row r="104" spans="1:15" hidden="1" outlineLevel="1" x14ac:dyDescent="0.2">
      <c r="A104" s="231">
        <v>97</v>
      </c>
      <c r="B104" s="226">
        <v>42672</v>
      </c>
      <c r="C104" s="278"/>
      <c r="D104" s="120">
        <v>-17367.149999999998</v>
      </c>
      <c r="E104" s="324"/>
      <c r="F104" s="333">
        <v>3.5000000000000003E-2</v>
      </c>
      <c r="G104" s="334">
        <v>173.99</v>
      </c>
      <c r="H104" s="313">
        <v>-17193.159999999996</v>
      </c>
      <c r="I104" s="314">
        <v>51144.309999999816</v>
      </c>
      <c r="J104" s="102"/>
      <c r="K104" s="102"/>
      <c r="L104" s="2"/>
      <c r="O104" s="304"/>
    </row>
    <row r="105" spans="1:15" hidden="1" outlineLevel="1" x14ac:dyDescent="0.2">
      <c r="A105" s="231">
        <v>98</v>
      </c>
      <c r="B105" s="291">
        <v>42702</v>
      </c>
      <c r="C105" s="310" t="s">
        <v>189</v>
      </c>
      <c r="D105" s="120">
        <v>-15385.52</v>
      </c>
      <c r="E105" s="313"/>
      <c r="F105" s="333">
        <v>3.5000000000000003E-2</v>
      </c>
      <c r="G105" s="334">
        <v>126.73</v>
      </c>
      <c r="H105" s="313">
        <v>-15258.79</v>
      </c>
      <c r="I105" s="314">
        <v>35885.519999999815</v>
      </c>
      <c r="J105" s="102"/>
      <c r="K105" s="102"/>
      <c r="L105" s="2"/>
      <c r="O105" s="304"/>
    </row>
    <row r="106" spans="1:15" hidden="1" outlineLevel="1" x14ac:dyDescent="0.2">
      <c r="A106" s="231">
        <v>99</v>
      </c>
      <c r="B106" s="291">
        <v>42702</v>
      </c>
      <c r="C106" s="226" t="s">
        <v>190</v>
      </c>
      <c r="D106" s="120">
        <v>-11964.440000000004</v>
      </c>
      <c r="E106" s="313">
        <v>381744.66</v>
      </c>
      <c r="F106" s="333">
        <v>3.5000000000000003E-2</v>
      </c>
      <c r="G106" s="334">
        <v>1095.97</v>
      </c>
      <c r="H106" s="313">
        <v>370876.18999999994</v>
      </c>
      <c r="I106" s="314">
        <v>406761.70999999973</v>
      </c>
      <c r="J106" s="102"/>
      <c r="K106" s="102"/>
      <c r="L106" s="2"/>
      <c r="O106" s="304"/>
    </row>
    <row r="107" spans="1:15" hidden="1" outlineLevel="1" x14ac:dyDescent="0.2">
      <c r="A107" s="231">
        <v>100</v>
      </c>
      <c r="B107" s="291">
        <v>42733</v>
      </c>
      <c r="C107" s="310"/>
      <c r="D107" s="120">
        <v>-61086.84</v>
      </c>
      <c r="E107" s="313"/>
      <c r="F107" s="333">
        <v>3.5000000000000003E-2</v>
      </c>
      <c r="G107" s="334">
        <v>1097.3</v>
      </c>
      <c r="H107" s="313">
        <v>-59989.539999999994</v>
      </c>
      <c r="I107" s="314">
        <v>346772.16999999975</v>
      </c>
      <c r="J107" s="102"/>
      <c r="K107" s="102"/>
      <c r="L107" s="2"/>
    </row>
    <row r="108" spans="1:15" hidden="1" outlineLevel="1" x14ac:dyDescent="0.2">
      <c r="A108" s="231">
        <v>101</v>
      </c>
      <c r="B108" s="291">
        <v>42764</v>
      </c>
      <c r="C108" s="310"/>
      <c r="D108" s="120">
        <v>-105335.61000000003</v>
      </c>
      <c r="E108" s="313"/>
      <c r="F108" s="333">
        <v>3.5000000000000003E-2</v>
      </c>
      <c r="G108" s="334">
        <v>857.8</v>
      </c>
      <c r="H108" s="313">
        <v>-104477.81000000003</v>
      </c>
      <c r="I108" s="314">
        <v>242294.35999999972</v>
      </c>
      <c r="J108" s="102"/>
      <c r="K108" s="102"/>
      <c r="L108" s="2"/>
    </row>
    <row r="109" spans="1:15" hidden="1" outlineLevel="1" x14ac:dyDescent="0.2">
      <c r="A109" s="231">
        <v>102</v>
      </c>
      <c r="B109" s="291">
        <v>42793</v>
      </c>
      <c r="C109" s="310"/>
      <c r="D109" s="120">
        <v>-79203.05</v>
      </c>
      <c r="E109" s="313"/>
      <c r="F109" s="333">
        <v>3.5000000000000003E-2</v>
      </c>
      <c r="G109" s="334">
        <v>591.19000000000005</v>
      </c>
      <c r="H109" s="313">
        <v>-78611.86</v>
      </c>
      <c r="I109" s="314">
        <v>163682.49999999971</v>
      </c>
      <c r="J109" s="102"/>
      <c r="K109" s="102"/>
      <c r="L109" s="2"/>
    </row>
    <row r="110" spans="1:15" hidden="1" outlineLevel="1" x14ac:dyDescent="0.2">
      <c r="A110" s="231">
        <v>103</v>
      </c>
      <c r="B110" s="291">
        <v>42824</v>
      </c>
      <c r="C110" s="310"/>
      <c r="D110" s="120">
        <v>-61529.619999999995</v>
      </c>
      <c r="E110" s="313"/>
      <c r="F110" s="333">
        <v>3.5000000000000003E-2</v>
      </c>
      <c r="G110" s="334">
        <v>387.68</v>
      </c>
      <c r="H110" s="313">
        <v>-61141.939999999995</v>
      </c>
      <c r="I110" s="314">
        <v>102540.55999999971</v>
      </c>
      <c r="J110" s="102"/>
      <c r="K110" s="102"/>
      <c r="L110" s="2"/>
    </row>
    <row r="111" spans="1:15" hidden="1" outlineLevel="1" x14ac:dyDescent="0.2">
      <c r="A111" s="231">
        <v>104</v>
      </c>
      <c r="B111" s="291">
        <v>42855</v>
      </c>
      <c r="C111" s="310"/>
      <c r="D111" s="120">
        <v>-43944.859999999993</v>
      </c>
      <c r="E111" s="313"/>
      <c r="F111" s="333">
        <v>3.7100000000000001E-2</v>
      </c>
      <c r="G111" s="334">
        <v>249.09</v>
      </c>
      <c r="H111" s="313">
        <v>-43695.77</v>
      </c>
      <c r="I111" s="314">
        <v>58844.78999999971</v>
      </c>
      <c r="J111" s="102"/>
      <c r="K111" s="102"/>
      <c r="L111" s="2"/>
    </row>
    <row r="112" spans="1:15" hidden="1" outlineLevel="1" x14ac:dyDescent="0.2">
      <c r="A112" s="231">
        <v>105</v>
      </c>
      <c r="B112" s="291">
        <v>42886</v>
      </c>
      <c r="C112" s="310"/>
      <c r="D112" s="120">
        <v>-31415.65</v>
      </c>
      <c r="E112" s="313"/>
      <c r="F112" s="333">
        <v>3.7100000000000001E-2</v>
      </c>
      <c r="G112" s="334">
        <v>133.37</v>
      </c>
      <c r="H112" s="313">
        <v>-31282.280000000002</v>
      </c>
      <c r="I112" s="314">
        <v>27562.509999999707</v>
      </c>
      <c r="J112" s="102"/>
      <c r="K112" s="102"/>
      <c r="L112" s="2"/>
    </row>
    <row r="113" spans="1:16" hidden="1" outlineLevel="1" x14ac:dyDescent="0.2">
      <c r="A113" s="231">
        <v>106</v>
      </c>
      <c r="B113" s="291">
        <v>42915</v>
      </c>
      <c r="C113" s="310"/>
      <c r="D113" s="120">
        <v>-19094.349999999995</v>
      </c>
      <c r="E113" s="313"/>
      <c r="F113" s="333">
        <v>3.7100000000000001E-2</v>
      </c>
      <c r="G113" s="334">
        <v>55.7</v>
      </c>
      <c r="H113" s="313">
        <v>-19038.649999999994</v>
      </c>
      <c r="I113" s="314">
        <v>8523.8599999997132</v>
      </c>
      <c r="J113" s="102"/>
      <c r="K113" s="102"/>
      <c r="L113" s="2"/>
    </row>
    <row r="114" spans="1:16" hidden="1" outlineLevel="1" x14ac:dyDescent="0.2">
      <c r="A114" s="231">
        <v>107</v>
      </c>
      <c r="B114" s="291">
        <v>42946</v>
      </c>
      <c r="C114" s="335" t="s">
        <v>183</v>
      </c>
      <c r="D114" s="324">
        <v>-14169.090000000002</v>
      </c>
      <c r="E114" s="313">
        <v>-1.36</v>
      </c>
      <c r="F114" s="333">
        <v>3.9600000000000003E-2</v>
      </c>
      <c r="G114" s="334">
        <v>4.75</v>
      </c>
      <c r="H114" s="313">
        <v>-14165.700000000003</v>
      </c>
      <c r="I114" s="314">
        <v>-5641.8400000002894</v>
      </c>
      <c r="J114" s="102"/>
      <c r="K114" s="102"/>
      <c r="L114" s="2"/>
      <c r="O114" s="336"/>
      <c r="P114" s="228"/>
    </row>
    <row r="115" spans="1:16" hidden="1" outlineLevel="1" x14ac:dyDescent="0.2">
      <c r="A115" s="231">
        <v>108</v>
      </c>
      <c r="B115" s="291">
        <v>42977</v>
      </c>
      <c r="C115" s="310"/>
      <c r="D115" s="324">
        <v>-11752.639999999998</v>
      </c>
      <c r="E115" s="313"/>
      <c r="F115" s="333">
        <v>3.9600000000000003E-2</v>
      </c>
      <c r="G115" s="334">
        <v>-38.01</v>
      </c>
      <c r="H115" s="313">
        <v>-11790.649999999998</v>
      </c>
      <c r="I115" s="314">
        <v>-17432.490000000289</v>
      </c>
      <c r="J115" s="102"/>
      <c r="K115" s="102"/>
      <c r="L115" s="2"/>
    </row>
    <row r="116" spans="1:16" hidden="1" outlineLevel="1" x14ac:dyDescent="0.2">
      <c r="A116" s="231">
        <v>109</v>
      </c>
      <c r="B116" s="291">
        <v>43008</v>
      </c>
      <c r="C116" s="310"/>
      <c r="D116" s="120">
        <v>-12592.569999999998</v>
      </c>
      <c r="E116" s="313"/>
      <c r="F116" s="333">
        <v>3.9600000000000003E-2</v>
      </c>
      <c r="G116" s="334">
        <v>-78.3</v>
      </c>
      <c r="H116" s="313">
        <v>-12670.869999999997</v>
      </c>
      <c r="I116" s="314">
        <v>-30103.360000000284</v>
      </c>
      <c r="J116" s="102"/>
      <c r="K116" s="102"/>
      <c r="L116" s="2"/>
    </row>
    <row r="117" spans="1:16" hidden="1" outlineLevel="1" x14ac:dyDescent="0.2">
      <c r="A117" s="231">
        <v>110</v>
      </c>
      <c r="B117" s="291">
        <v>43039</v>
      </c>
      <c r="C117" s="310"/>
      <c r="D117" s="120">
        <v>-20752.650000000001</v>
      </c>
      <c r="E117" s="313"/>
      <c r="F117" s="333">
        <v>4.2099999999999999E-2</v>
      </c>
      <c r="G117" s="334">
        <v>-142.02000000000001</v>
      </c>
      <c r="H117" s="313">
        <v>-20894.670000000002</v>
      </c>
      <c r="I117" s="314">
        <v>-50998.03000000029</v>
      </c>
      <c r="J117" s="102"/>
      <c r="K117" s="102"/>
      <c r="L117" s="2"/>
    </row>
    <row r="118" spans="1:16" hidden="1" outlineLevel="1" x14ac:dyDescent="0.2">
      <c r="A118" s="231">
        <v>111</v>
      </c>
      <c r="B118" s="291">
        <v>43069</v>
      </c>
      <c r="C118" s="310" t="s">
        <v>189</v>
      </c>
      <c r="D118" s="120">
        <v>-22728.679999999997</v>
      </c>
      <c r="E118" s="313"/>
      <c r="F118" s="333">
        <v>4.2099999999999999E-2</v>
      </c>
      <c r="G118" s="334">
        <v>-218.79</v>
      </c>
      <c r="H118" s="313">
        <v>-22947.469999999998</v>
      </c>
      <c r="I118" s="314">
        <v>-73945.500000000291</v>
      </c>
      <c r="J118" s="102"/>
      <c r="K118" s="102"/>
      <c r="L118" s="2"/>
    </row>
    <row r="119" spans="1:16" hidden="1" outlineLevel="1" x14ac:dyDescent="0.2">
      <c r="A119" s="231">
        <v>112</v>
      </c>
      <c r="B119" s="291">
        <v>43069</v>
      </c>
      <c r="C119" s="226" t="s">
        <v>190</v>
      </c>
      <c r="D119" s="120">
        <v>-9937.4000000000015</v>
      </c>
      <c r="E119" s="313">
        <v>332064.63</v>
      </c>
      <c r="F119" s="333">
        <v>4.2099999999999999E-2</v>
      </c>
      <c r="G119" s="334">
        <v>1147.56</v>
      </c>
      <c r="H119" s="313">
        <v>323274.78999999998</v>
      </c>
      <c r="I119" s="314">
        <v>249329.28999999969</v>
      </c>
      <c r="J119" s="102"/>
      <c r="K119" s="102"/>
      <c r="L119" s="2"/>
    </row>
    <row r="120" spans="1:16" hidden="1" outlineLevel="1" x14ac:dyDescent="0.2">
      <c r="A120" s="231">
        <v>113</v>
      </c>
      <c r="B120" s="291">
        <v>43100</v>
      </c>
      <c r="C120" s="310"/>
      <c r="D120" s="120">
        <v>-39780.330000000009</v>
      </c>
      <c r="E120" s="313"/>
      <c r="F120" s="333">
        <v>4.2099999999999999E-2</v>
      </c>
      <c r="G120" s="334">
        <v>804.95</v>
      </c>
      <c r="H120" s="313">
        <v>-38975.380000000012</v>
      </c>
      <c r="I120" s="314">
        <v>210353.90999999968</v>
      </c>
      <c r="J120" s="102"/>
      <c r="K120" s="102"/>
      <c r="L120" s="2"/>
    </row>
    <row r="121" spans="1:16" hidden="1" outlineLevel="1" x14ac:dyDescent="0.2">
      <c r="A121" s="231">
        <v>114</v>
      </c>
      <c r="B121" s="291">
        <v>43101</v>
      </c>
      <c r="C121" s="310"/>
      <c r="D121" s="120">
        <v>-51715.549999999988</v>
      </c>
      <c r="E121" s="313"/>
      <c r="F121" s="333">
        <v>4.2500000000000003E-2</v>
      </c>
      <c r="G121" s="334">
        <v>653.41999999999996</v>
      </c>
      <c r="H121" s="313">
        <v>-51062.12999999999</v>
      </c>
      <c r="I121" s="314">
        <v>159291.77999999968</v>
      </c>
      <c r="J121" s="102"/>
      <c r="K121" s="102"/>
      <c r="L121" s="2"/>
    </row>
    <row r="122" spans="1:16" hidden="1" outlineLevel="1" x14ac:dyDescent="0.2">
      <c r="A122" s="231">
        <v>115</v>
      </c>
      <c r="B122" s="291">
        <v>43132</v>
      </c>
      <c r="C122" s="310"/>
      <c r="D122" s="120">
        <v>-37015.55999999999</v>
      </c>
      <c r="E122" s="313"/>
      <c r="F122" s="333">
        <v>4.2500000000000003E-2</v>
      </c>
      <c r="G122" s="334">
        <v>498.61</v>
      </c>
      <c r="H122" s="313">
        <v>-36516.94999999999</v>
      </c>
      <c r="I122" s="314">
        <v>122774.8299999997</v>
      </c>
      <c r="J122" s="102"/>
      <c r="K122" s="102"/>
      <c r="L122" s="2"/>
    </row>
    <row r="123" spans="1:16" hidden="1" outlineLevel="1" x14ac:dyDescent="0.2">
      <c r="A123" s="231">
        <v>116</v>
      </c>
      <c r="B123" s="291">
        <v>43160</v>
      </c>
      <c r="C123" s="310"/>
      <c r="D123" s="120">
        <v>-40979.800000000003</v>
      </c>
      <c r="E123" s="313"/>
      <c r="F123" s="333">
        <v>4.2500000000000003E-2</v>
      </c>
      <c r="G123" s="334">
        <v>362.26</v>
      </c>
      <c r="H123" s="313">
        <v>-40617.54</v>
      </c>
      <c r="I123" s="314">
        <v>82157.289999999688</v>
      </c>
      <c r="J123" s="102"/>
      <c r="K123" s="102"/>
      <c r="L123" s="2"/>
    </row>
    <row r="124" spans="1:16" hidden="1" outlineLevel="1" x14ac:dyDescent="0.2">
      <c r="A124" s="231">
        <v>117</v>
      </c>
      <c r="B124" s="291">
        <v>43191</v>
      </c>
      <c r="C124" s="310"/>
      <c r="D124" s="120">
        <v>-29802.2</v>
      </c>
      <c r="E124" s="313"/>
      <c r="F124" s="333">
        <v>4.4699999999999997E-2</v>
      </c>
      <c r="G124" s="334">
        <v>250.53</v>
      </c>
      <c r="H124" s="313">
        <v>-29551.670000000002</v>
      </c>
      <c r="I124" s="314">
        <v>52605.61999999969</v>
      </c>
      <c r="J124" s="102"/>
      <c r="K124" s="102"/>
      <c r="L124" s="2"/>
    </row>
    <row r="125" spans="1:16" hidden="1" outlineLevel="1" x14ac:dyDescent="0.2">
      <c r="A125" s="231">
        <v>118</v>
      </c>
      <c r="B125" s="291">
        <v>43221</v>
      </c>
      <c r="C125" s="310"/>
      <c r="D125" s="120">
        <v>-15997.570000000002</v>
      </c>
      <c r="E125" s="313"/>
      <c r="F125" s="333">
        <v>4.4699999999999997E-2</v>
      </c>
      <c r="G125" s="334">
        <v>166.16</v>
      </c>
      <c r="H125" s="313">
        <v>-15831.410000000002</v>
      </c>
      <c r="I125" s="314">
        <v>36774.209999999686</v>
      </c>
      <c r="J125" s="102"/>
      <c r="K125" s="102"/>
      <c r="L125" s="2"/>
    </row>
    <row r="126" spans="1:16" hidden="1" outlineLevel="1" x14ac:dyDescent="0.2">
      <c r="A126" s="231">
        <v>119</v>
      </c>
      <c r="B126" s="291">
        <v>43252</v>
      </c>
      <c r="C126" s="310"/>
      <c r="D126" s="120">
        <v>-10833.609999999999</v>
      </c>
      <c r="E126" s="313"/>
      <c r="F126" s="333">
        <v>4.4699999999999997E-2</v>
      </c>
      <c r="G126" s="334">
        <v>116.81</v>
      </c>
      <c r="H126" s="313">
        <v>-10716.8</v>
      </c>
      <c r="I126" s="314">
        <v>26057.409999999687</v>
      </c>
      <c r="J126" s="102"/>
      <c r="K126" s="102"/>
      <c r="L126" s="2"/>
    </row>
    <row r="127" spans="1:16" hidden="1" outlineLevel="1" x14ac:dyDescent="0.2">
      <c r="A127" s="231">
        <v>120</v>
      </c>
      <c r="B127" s="291">
        <v>43282</v>
      </c>
      <c r="C127" s="310"/>
      <c r="D127" s="120">
        <v>-9026.31</v>
      </c>
      <c r="E127" s="313"/>
      <c r="F127" s="333">
        <v>4.6899999999999997E-2</v>
      </c>
      <c r="G127" s="334">
        <v>84.2</v>
      </c>
      <c r="H127" s="313">
        <v>-8942.1099999999988</v>
      </c>
      <c r="I127" s="314">
        <v>17115.29999999969</v>
      </c>
      <c r="J127" s="102"/>
      <c r="K127" s="102"/>
      <c r="L127" s="2"/>
    </row>
    <row r="128" spans="1:16" hidden="1" outlineLevel="1" x14ac:dyDescent="0.2">
      <c r="A128" s="231">
        <v>121</v>
      </c>
      <c r="B128" s="291">
        <v>43313</v>
      </c>
      <c r="C128" s="310"/>
      <c r="D128" s="324">
        <v>-7520.4600000000009</v>
      </c>
      <c r="E128" s="313"/>
      <c r="F128" s="333">
        <v>4.6899999999999997E-2</v>
      </c>
      <c r="G128" s="334">
        <v>52.2</v>
      </c>
      <c r="H128" s="313">
        <v>-7468.2600000000011</v>
      </c>
      <c r="I128" s="314">
        <v>9647.039999999688</v>
      </c>
      <c r="J128" s="102"/>
      <c r="K128" s="102"/>
      <c r="L128" s="2"/>
    </row>
    <row r="129" spans="1:12" hidden="1" outlineLevel="1" x14ac:dyDescent="0.2">
      <c r="A129" s="231">
        <v>122</v>
      </c>
      <c r="B129" s="291">
        <v>43344</v>
      </c>
      <c r="D129" s="324">
        <v>-8352.3900000000031</v>
      </c>
      <c r="E129" s="313"/>
      <c r="F129" s="333">
        <v>4.6899999999999997E-2</v>
      </c>
      <c r="G129" s="334">
        <v>21.38</v>
      </c>
      <c r="H129" s="313">
        <v>-8331.0100000000039</v>
      </c>
      <c r="I129" s="314">
        <v>1316.0299999996842</v>
      </c>
      <c r="J129" s="102"/>
      <c r="K129" s="102"/>
      <c r="L129" s="2"/>
    </row>
    <row r="130" spans="1:12" hidden="1" outlineLevel="1" x14ac:dyDescent="0.2">
      <c r="A130" s="231">
        <v>123</v>
      </c>
      <c r="B130" s="291">
        <v>43374</v>
      </c>
      <c r="D130" s="324">
        <v>-12138.409999999998</v>
      </c>
      <c r="E130" s="313"/>
      <c r="F130" s="292">
        <v>4.9599999999999998E-2</v>
      </c>
      <c r="G130" s="334">
        <v>-19.649999999999999</v>
      </c>
      <c r="H130" s="313">
        <v>-12158.059999999998</v>
      </c>
      <c r="I130" s="314">
        <v>-10842.030000000314</v>
      </c>
      <c r="J130" s="102"/>
      <c r="K130" s="102"/>
      <c r="L130" s="2"/>
    </row>
    <row r="131" spans="1:12" hidden="1" outlineLevel="1" x14ac:dyDescent="0.2">
      <c r="A131" s="231">
        <v>124</v>
      </c>
      <c r="B131" s="291">
        <v>43405</v>
      </c>
      <c r="C131" s="310" t="s">
        <v>189</v>
      </c>
      <c r="D131" s="324">
        <v>-12462.42</v>
      </c>
      <c r="E131" s="313"/>
      <c r="F131" s="292">
        <v>4.9599999999999998E-2</v>
      </c>
      <c r="G131" s="334">
        <v>-70.569999999999993</v>
      </c>
      <c r="H131" s="313">
        <v>-12532.99</v>
      </c>
      <c r="I131" s="314">
        <v>-23375.020000000313</v>
      </c>
      <c r="J131" s="102"/>
      <c r="K131" s="102"/>
      <c r="L131" s="2"/>
    </row>
    <row r="132" spans="1:12" collapsed="1" x14ac:dyDescent="0.2">
      <c r="A132" s="231"/>
      <c r="B132" s="291">
        <v>43405</v>
      </c>
      <c r="C132" s="226" t="s">
        <v>190</v>
      </c>
      <c r="D132" s="120">
        <v>-10709.730000000001</v>
      </c>
      <c r="E132" s="313">
        <v>364779.46643603581</v>
      </c>
      <c r="F132" s="292">
        <v>4.9599999999999998E-2</v>
      </c>
      <c r="G132" s="334">
        <v>1485.62</v>
      </c>
      <c r="H132" s="313">
        <v>355555.35643603583</v>
      </c>
      <c r="I132" s="314">
        <v>332180.33643603552</v>
      </c>
      <c r="J132" s="102"/>
      <c r="K132" s="102"/>
      <c r="L132" s="2"/>
    </row>
    <row r="133" spans="1:12" x14ac:dyDescent="0.2">
      <c r="A133" s="231">
        <v>125</v>
      </c>
      <c r="B133" s="291">
        <v>43435</v>
      </c>
      <c r="C133" s="316"/>
      <c r="D133" s="120">
        <v>-48722.229999999981</v>
      </c>
      <c r="E133" s="313"/>
      <c r="F133" s="292">
        <v>4.9599999999999998E-2</v>
      </c>
      <c r="G133" s="334">
        <v>1272.32</v>
      </c>
      <c r="H133" s="313">
        <v>-47449.909999999982</v>
      </c>
      <c r="I133" s="314">
        <v>284730.42643603554</v>
      </c>
      <c r="J133" s="102"/>
      <c r="K133" s="102"/>
      <c r="L133" s="2"/>
    </row>
    <row r="134" spans="1:12" x14ac:dyDescent="0.2">
      <c r="A134" s="231">
        <v>126</v>
      </c>
      <c r="B134" s="291">
        <v>43466</v>
      </c>
      <c r="C134" s="316"/>
      <c r="D134" s="120">
        <v>-56647.869999999995</v>
      </c>
      <c r="E134" s="313"/>
      <c r="F134" s="292">
        <v>5.1799999999999999E-2</v>
      </c>
      <c r="G134" s="334">
        <v>1106.82</v>
      </c>
      <c r="H134" s="313">
        <v>-55541.049999999996</v>
      </c>
      <c r="I134" s="314">
        <v>229189.37643603556</v>
      </c>
      <c r="J134" s="102"/>
      <c r="K134" s="102"/>
      <c r="L134" s="2"/>
    </row>
    <row r="135" spans="1:12" x14ac:dyDescent="0.2">
      <c r="A135" s="231">
        <v>127</v>
      </c>
      <c r="B135" s="291">
        <v>43497</v>
      </c>
      <c r="C135" s="316"/>
      <c r="D135" s="120">
        <v>-55968.39</v>
      </c>
      <c r="E135" s="313"/>
      <c r="F135" s="292">
        <v>5.1799999999999999E-2</v>
      </c>
      <c r="G135" s="334">
        <v>868.54</v>
      </c>
      <c r="H135" s="313">
        <v>-55099.85</v>
      </c>
      <c r="I135" s="314">
        <v>174089.52643603555</v>
      </c>
      <c r="J135" s="102"/>
      <c r="K135" s="102"/>
      <c r="L135" s="2"/>
    </row>
    <row r="136" spans="1:12" x14ac:dyDescent="0.2">
      <c r="A136" s="231">
        <v>128</v>
      </c>
      <c r="B136" s="291">
        <v>43525</v>
      </c>
      <c r="C136" s="316"/>
      <c r="D136" s="120">
        <v>-60457.81</v>
      </c>
      <c r="E136" s="313"/>
      <c r="F136" s="292">
        <v>5.1799999999999999E-2</v>
      </c>
      <c r="G136" s="334">
        <v>621</v>
      </c>
      <c r="H136" s="313">
        <v>-59836.81</v>
      </c>
      <c r="I136" s="314">
        <v>114252.71643603555</v>
      </c>
      <c r="J136" s="102"/>
      <c r="K136" s="102"/>
      <c r="L136" s="2"/>
    </row>
    <row r="137" spans="1:12" x14ac:dyDescent="0.2">
      <c r="A137" s="231">
        <v>129</v>
      </c>
      <c r="B137" s="291">
        <v>43556</v>
      </c>
      <c r="C137" s="316"/>
      <c r="D137" s="120">
        <v>-29351.720000000005</v>
      </c>
      <c r="E137" s="313"/>
      <c r="F137" s="292">
        <v>5.45E-2</v>
      </c>
      <c r="G137" s="334">
        <v>452.24</v>
      </c>
      <c r="H137" s="313">
        <v>-28899.480000000003</v>
      </c>
      <c r="I137" s="314">
        <v>85353.236436035542</v>
      </c>
      <c r="J137" s="102"/>
      <c r="K137" s="102"/>
      <c r="L137" s="2"/>
    </row>
    <row r="138" spans="1:12" x14ac:dyDescent="0.2">
      <c r="A138" s="231">
        <v>130</v>
      </c>
      <c r="B138" s="291">
        <v>43586</v>
      </c>
      <c r="C138" s="316"/>
      <c r="D138" s="120">
        <v>-20104.88</v>
      </c>
      <c r="E138" s="313"/>
      <c r="F138" s="292">
        <v>5.45E-2</v>
      </c>
      <c r="G138" s="334">
        <v>341.99</v>
      </c>
      <c r="H138" s="313">
        <v>-19762.89</v>
      </c>
      <c r="I138" s="314">
        <v>65590.346436035543</v>
      </c>
      <c r="J138" s="102"/>
      <c r="K138" s="102"/>
      <c r="L138" s="2"/>
    </row>
    <row r="139" spans="1:12" x14ac:dyDescent="0.2">
      <c r="A139" s="231">
        <v>131</v>
      </c>
      <c r="B139" s="291">
        <v>43617</v>
      </c>
      <c r="C139" s="316"/>
      <c r="D139" s="120">
        <v>-13348.130000000003</v>
      </c>
      <c r="E139" s="313"/>
      <c r="F139" s="292">
        <v>5.45E-2</v>
      </c>
      <c r="G139" s="334">
        <v>267.58</v>
      </c>
      <c r="H139" s="313">
        <v>-13080.550000000003</v>
      </c>
      <c r="I139" s="314">
        <v>52509.79643603554</v>
      </c>
      <c r="J139" s="102"/>
      <c r="K139" s="102"/>
      <c r="L139" s="2"/>
    </row>
    <row r="140" spans="1:12" x14ac:dyDescent="0.2">
      <c r="A140" s="231">
        <v>132</v>
      </c>
      <c r="B140" s="291">
        <v>43647</v>
      </c>
      <c r="C140" s="316"/>
      <c r="D140" s="120">
        <v>-11504.290000000003</v>
      </c>
      <c r="E140" s="313"/>
      <c r="F140" s="292">
        <v>5.5E-2</v>
      </c>
      <c r="G140" s="334">
        <v>214.31</v>
      </c>
      <c r="H140" s="313">
        <v>-11289.980000000003</v>
      </c>
      <c r="I140" s="314">
        <v>41219.816436035537</v>
      </c>
      <c r="J140" s="102"/>
      <c r="K140" s="102"/>
      <c r="L140" s="2"/>
    </row>
    <row r="141" spans="1:12" x14ac:dyDescent="0.2">
      <c r="A141" s="231">
        <v>133</v>
      </c>
      <c r="B141" s="291">
        <v>43678</v>
      </c>
      <c r="C141" s="316"/>
      <c r="D141" s="324">
        <v>-9392.2099999999991</v>
      </c>
      <c r="E141" s="313"/>
      <c r="F141" s="292">
        <v>5.5E-2</v>
      </c>
      <c r="G141" s="334">
        <v>167.4</v>
      </c>
      <c r="H141" s="313">
        <v>-9224.81</v>
      </c>
      <c r="I141" s="314">
        <v>31995.006436035539</v>
      </c>
      <c r="J141" s="102"/>
      <c r="K141" s="102"/>
      <c r="L141" s="2"/>
    </row>
    <row r="142" spans="1:12" x14ac:dyDescent="0.2">
      <c r="A142" s="231">
        <v>134</v>
      </c>
      <c r="B142" s="291">
        <v>43709</v>
      </c>
      <c r="C142" s="316" t="s">
        <v>191</v>
      </c>
      <c r="D142" s="120">
        <v>-11056.619999999999</v>
      </c>
      <c r="E142" s="313"/>
      <c r="F142" s="292">
        <v>5.5E-2</v>
      </c>
      <c r="G142" s="334">
        <v>121.31</v>
      </c>
      <c r="H142" s="313">
        <v>-10935.31</v>
      </c>
      <c r="I142" s="314">
        <v>21059.696436035541</v>
      </c>
      <c r="J142" s="102"/>
      <c r="K142" s="102"/>
      <c r="L142" s="2"/>
    </row>
    <row r="143" spans="1:12" x14ac:dyDescent="0.2">
      <c r="A143" s="231">
        <v>135</v>
      </c>
      <c r="B143" s="291">
        <v>43739</v>
      </c>
      <c r="C143" s="316" t="s">
        <v>191</v>
      </c>
      <c r="D143" s="120">
        <v>-22850.420000000009</v>
      </c>
      <c r="E143" s="313"/>
      <c r="F143" s="292">
        <v>5.4199999999999998E-2</v>
      </c>
      <c r="G143" s="334">
        <v>43.52</v>
      </c>
      <c r="H143" s="313">
        <v>-22806.900000000009</v>
      </c>
      <c r="I143" s="314">
        <v>-1747.2035639644673</v>
      </c>
      <c r="J143" s="102"/>
      <c r="K143" s="102"/>
      <c r="L143" s="2"/>
    </row>
    <row r="144" spans="1:12" x14ac:dyDescent="0.2">
      <c r="A144" s="231">
        <v>136</v>
      </c>
      <c r="B144" s="291"/>
      <c r="C144" s="316"/>
      <c r="D144" s="120"/>
      <c r="E144" s="313"/>
      <c r="F144" s="292"/>
      <c r="G144" s="334"/>
      <c r="H144" s="313"/>
      <c r="I144" s="314"/>
      <c r="J144" s="102"/>
      <c r="K144" s="102"/>
      <c r="L144" s="2"/>
    </row>
    <row r="145" spans="1:12" x14ac:dyDescent="0.2">
      <c r="A145" s="231">
        <v>137</v>
      </c>
      <c r="B145" s="291"/>
      <c r="C145" s="310"/>
      <c r="D145" s="120"/>
      <c r="E145" s="313"/>
      <c r="F145" s="333"/>
      <c r="G145" s="334"/>
      <c r="H145" s="313"/>
      <c r="I145" s="314"/>
      <c r="J145" s="102"/>
      <c r="K145" s="102"/>
      <c r="L145" s="2"/>
    </row>
    <row r="146" spans="1:12" x14ac:dyDescent="0.2">
      <c r="A146" s="231">
        <v>138</v>
      </c>
      <c r="B146" s="297" t="s">
        <v>184</v>
      </c>
      <c r="D146" s="120"/>
      <c r="E146" s="120"/>
      <c r="F146" s="120"/>
      <c r="G146" s="120"/>
      <c r="H146" s="120"/>
      <c r="I146" s="120"/>
      <c r="J146" s="102"/>
      <c r="K146" s="102"/>
      <c r="L146" s="2"/>
    </row>
    <row r="147" spans="1:12" x14ac:dyDescent="0.2">
      <c r="A147" s="231">
        <v>139</v>
      </c>
      <c r="D147" s="120"/>
      <c r="E147" s="120"/>
      <c r="F147" s="120"/>
      <c r="G147" s="120"/>
      <c r="H147" s="120"/>
      <c r="I147" s="120"/>
      <c r="J147" s="102"/>
      <c r="K147" s="102"/>
      <c r="L147" s="2"/>
    </row>
    <row r="148" spans="1:12" x14ac:dyDescent="0.2">
      <c r="A148" s="231">
        <v>140</v>
      </c>
      <c r="B148" s="299" t="s">
        <v>146</v>
      </c>
      <c r="D148" s="120"/>
      <c r="E148" s="120"/>
      <c r="F148" s="120"/>
      <c r="G148" s="120"/>
      <c r="H148" s="120"/>
      <c r="I148" s="120"/>
      <c r="J148" s="102"/>
      <c r="K148" s="102"/>
      <c r="L148" s="2"/>
    </row>
    <row r="149" spans="1:12" x14ac:dyDescent="0.2">
      <c r="A149" s="231">
        <v>141</v>
      </c>
      <c r="B149" s="226" t="s">
        <v>201</v>
      </c>
      <c r="D149" s="120"/>
      <c r="E149" s="120"/>
      <c r="F149" s="120"/>
      <c r="G149" s="120"/>
      <c r="H149" s="120"/>
      <c r="I149" s="120"/>
      <c r="J149" s="102"/>
      <c r="K149" s="102"/>
      <c r="L149" s="2"/>
    </row>
    <row r="150" spans="1:12" x14ac:dyDescent="0.2">
      <c r="A150" s="231"/>
      <c r="B150" s="300"/>
      <c r="D150" s="120"/>
      <c r="E150" s="120"/>
      <c r="F150" s="120"/>
      <c r="G150" s="120"/>
      <c r="H150" s="120"/>
      <c r="I150" s="120"/>
      <c r="J150" s="102"/>
      <c r="K150" s="102"/>
      <c r="L150" s="2"/>
    </row>
    <row r="151" spans="1:12" x14ac:dyDescent="0.2">
      <c r="D151" s="120"/>
      <c r="E151" s="120"/>
      <c r="F151" s="120"/>
      <c r="G151" s="120"/>
      <c r="H151" s="120"/>
      <c r="I151" s="120"/>
      <c r="J151" s="102"/>
      <c r="K151" s="102"/>
      <c r="L151" s="2"/>
    </row>
    <row r="152" spans="1:12" x14ac:dyDescent="0.2">
      <c r="D152" s="120"/>
      <c r="E152" s="120"/>
      <c r="F152" s="120"/>
      <c r="G152" s="120"/>
      <c r="H152" s="120"/>
      <c r="I152" s="120"/>
      <c r="J152" s="102"/>
      <c r="K152" s="102"/>
      <c r="L152" s="2"/>
    </row>
    <row r="153" spans="1:12" x14ac:dyDescent="0.2">
      <c r="D153" s="120"/>
      <c r="E153" s="120"/>
      <c r="F153" s="120"/>
      <c r="G153" s="120"/>
      <c r="H153" s="120"/>
      <c r="I153" s="120"/>
      <c r="J153" s="102"/>
      <c r="K153" s="102"/>
      <c r="L153" s="2"/>
    </row>
    <row r="154" spans="1:12" x14ac:dyDescent="0.2">
      <c r="D154" s="120"/>
      <c r="E154" s="120"/>
      <c r="F154" s="120"/>
      <c r="G154" s="120"/>
      <c r="H154" s="120"/>
      <c r="I154" s="120"/>
      <c r="J154" s="102"/>
      <c r="K154" s="102"/>
      <c r="L154" s="2"/>
    </row>
  </sheetData>
  <pageMargins left="0.7" right="0.7" top="0.75" bottom="0.75" header="0.3" footer="0.3"/>
  <pageSetup scale="50" orientation="landscape" horizontalDpi="300" verticalDpi="300" r:id="rId1"/>
  <headerFooter>
    <oddHeader>&amp;RNWN's Advice 19-04
Exhibit A - Supporting Materials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M4" sqref="M4"/>
    </sheetView>
  </sheetViews>
  <sheetFormatPr defaultColWidth="9" defaultRowHeight="15" x14ac:dyDescent="0.25"/>
  <cols>
    <col min="1" max="4" width="9" style="350"/>
    <col min="5" max="5" width="25.7109375" style="350" customWidth="1"/>
    <col min="6" max="6" width="15.28515625" style="350" customWidth="1"/>
    <col min="7" max="7" width="4.5703125" style="350" customWidth="1"/>
    <col min="8" max="8" width="42.140625" style="350" customWidth="1"/>
    <col min="9" max="16384" width="9" style="350"/>
  </cols>
  <sheetData>
    <row r="1" spans="1:8" x14ac:dyDescent="0.25">
      <c r="A1" s="1" t="s">
        <v>0</v>
      </c>
      <c r="B1" s="2"/>
      <c r="C1" s="2"/>
      <c r="D1" s="2"/>
      <c r="E1" s="2"/>
      <c r="F1" s="2"/>
      <c r="G1" s="2"/>
      <c r="H1" s="2"/>
    </row>
    <row r="2" spans="1:8" x14ac:dyDescent="0.25">
      <c r="A2" s="1" t="s">
        <v>1</v>
      </c>
      <c r="B2" s="2"/>
      <c r="C2" s="2"/>
      <c r="D2" s="2"/>
      <c r="E2" s="2"/>
      <c r="F2" s="2"/>
      <c r="G2" s="2"/>
      <c r="H2" s="2"/>
    </row>
    <row r="3" spans="1:8" x14ac:dyDescent="0.25">
      <c r="A3" s="1" t="s">
        <v>202</v>
      </c>
      <c r="B3" s="2"/>
      <c r="C3" s="2"/>
      <c r="D3" s="2"/>
      <c r="E3" s="2"/>
      <c r="F3" s="2"/>
      <c r="G3" s="2"/>
      <c r="H3" s="2"/>
    </row>
    <row r="4" spans="1:8" x14ac:dyDescent="0.25">
      <c r="A4" s="351" t="s">
        <v>203</v>
      </c>
      <c r="B4" s="9"/>
      <c r="C4" s="9"/>
      <c r="D4" s="9"/>
      <c r="E4" s="9"/>
      <c r="F4" s="2"/>
      <c r="G4" s="2"/>
      <c r="H4" s="2"/>
    </row>
    <row r="5" spans="1:8" x14ac:dyDescent="0.25">
      <c r="A5" s="339"/>
      <c r="B5" s="2"/>
      <c r="C5" s="2"/>
      <c r="D5" s="2"/>
      <c r="E5" s="2"/>
      <c r="F5" s="2"/>
      <c r="G5" s="2"/>
      <c r="H5" s="2"/>
    </row>
    <row r="6" spans="1:8" x14ac:dyDescent="0.25">
      <c r="A6" s="2"/>
      <c r="B6" s="2"/>
      <c r="C6" s="2"/>
      <c r="D6" s="2"/>
      <c r="E6" s="2"/>
      <c r="F6" s="2"/>
      <c r="G6" s="2"/>
      <c r="H6" s="2"/>
    </row>
    <row r="7" spans="1:8" x14ac:dyDescent="0.25">
      <c r="A7" s="12">
        <v>1</v>
      </c>
      <c r="B7" s="2"/>
      <c r="C7" s="2"/>
      <c r="D7" s="2"/>
      <c r="E7" s="2"/>
      <c r="F7" s="340" t="s">
        <v>204</v>
      </c>
      <c r="G7" s="2"/>
      <c r="H7" s="340"/>
    </row>
    <row r="8" spans="1:8" x14ac:dyDescent="0.25">
      <c r="A8" s="12">
        <f>+A7+1</f>
        <v>2</v>
      </c>
      <c r="B8" s="2"/>
      <c r="C8" s="2"/>
      <c r="D8" s="2"/>
      <c r="E8" s="2"/>
      <c r="F8" s="102"/>
      <c r="G8" s="2"/>
      <c r="H8" s="111"/>
    </row>
    <row r="9" spans="1:8" x14ac:dyDescent="0.25">
      <c r="A9" s="12">
        <f t="shared" ref="A9:A24" si="0">+A8+1</f>
        <v>3</v>
      </c>
      <c r="B9" s="105" t="s">
        <v>14</v>
      </c>
      <c r="C9" s="2"/>
      <c r="D9" s="2"/>
      <c r="E9" s="2"/>
      <c r="F9" s="102"/>
      <c r="G9" s="2"/>
      <c r="H9" s="111"/>
    </row>
    <row r="10" spans="1:8" x14ac:dyDescent="0.25">
      <c r="A10" s="12">
        <f t="shared" si="0"/>
        <v>4</v>
      </c>
      <c r="B10" s="105"/>
      <c r="C10" s="2"/>
      <c r="D10" s="2"/>
      <c r="E10" s="2"/>
      <c r="F10" s="102"/>
      <c r="G10" s="2"/>
      <c r="H10" s="111"/>
    </row>
    <row r="11" spans="1:8" x14ac:dyDescent="0.25">
      <c r="A11" s="12">
        <f t="shared" si="0"/>
        <v>5</v>
      </c>
      <c r="B11" s="341" t="s">
        <v>205</v>
      </c>
      <c r="C11" s="2"/>
      <c r="D11" s="2"/>
      <c r="E11" s="2"/>
      <c r="F11" s="2"/>
      <c r="G11" s="2"/>
      <c r="H11" s="111"/>
    </row>
    <row r="12" spans="1:8" x14ac:dyDescent="0.25">
      <c r="A12" s="12">
        <f t="shared" si="0"/>
        <v>6</v>
      </c>
      <c r="B12" s="9" t="s">
        <v>206</v>
      </c>
      <c r="C12" s="2"/>
      <c r="D12" s="2"/>
      <c r="E12" s="2"/>
      <c r="F12" s="331">
        <v>-457230</v>
      </c>
      <c r="G12" s="2"/>
      <c r="H12" s="343"/>
    </row>
    <row r="13" spans="1:8" x14ac:dyDescent="0.25">
      <c r="A13" s="12">
        <f t="shared" si="0"/>
        <v>7</v>
      </c>
      <c r="B13" s="2"/>
      <c r="C13" s="2"/>
      <c r="D13" s="2"/>
      <c r="E13" s="2"/>
      <c r="F13" s="102"/>
      <c r="G13" s="2"/>
      <c r="H13" s="111"/>
    </row>
    <row r="14" spans="1:8" x14ac:dyDescent="0.25">
      <c r="A14" s="12">
        <f t="shared" si="0"/>
        <v>8</v>
      </c>
      <c r="B14" s="341" t="s">
        <v>207</v>
      </c>
      <c r="C14" s="2"/>
      <c r="D14" s="2"/>
      <c r="E14" s="2"/>
      <c r="F14" s="2"/>
      <c r="G14" s="2"/>
      <c r="H14" s="111"/>
    </row>
    <row r="15" spans="1:8" x14ac:dyDescent="0.25">
      <c r="A15" s="12">
        <f t="shared" si="0"/>
        <v>9</v>
      </c>
      <c r="B15" s="9" t="s">
        <v>206</v>
      </c>
      <c r="C15" s="2"/>
      <c r="D15" s="2"/>
      <c r="E15" s="2"/>
      <c r="F15" s="342">
        <f>'[2]Revenue Senstive'!C6</f>
        <v>380297</v>
      </c>
      <c r="G15" s="2"/>
      <c r="H15" s="343"/>
    </row>
    <row r="16" spans="1:8" x14ac:dyDescent="0.25">
      <c r="A16" s="12">
        <f t="shared" si="0"/>
        <v>10</v>
      </c>
      <c r="B16" s="2"/>
      <c r="C16" s="2"/>
      <c r="D16" s="2"/>
      <c r="E16" s="2"/>
      <c r="F16" s="102"/>
      <c r="G16" s="2"/>
      <c r="H16" s="2"/>
    </row>
    <row r="17" spans="1:8" x14ac:dyDescent="0.25">
      <c r="A17" s="12">
        <f t="shared" si="0"/>
        <v>11</v>
      </c>
      <c r="B17" s="339"/>
      <c r="C17" s="2"/>
      <c r="D17" s="2"/>
      <c r="E17" s="2"/>
      <c r="F17" s="102"/>
      <c r="G17" s="2"/>
      <c r="H17" s="2"/>
    </row>
    <row r="18" spans="1:8" ht="15.75" thickBot="1" x14ac:dyDescent="0.3">
      <c r="A18" s="12">
        <f t="shared" si="0"/>
        <v>12</v>
      </c>
      <c r="B18" s="339" t="s">
        <v>208</v>
      </c>
      <c r="C18" s="2"/>
      <c r="D18" s="2"/>
      <c r="E18" s="2"/>
      <c r="F18" s="344">
        <f>SUM(F12:F15)</f>
        <v>-76933</v>
      </c>
      <c r="G18" s="2"/>
      <c r="H18" s="2"/>
    </row>
    <row r="19" spans="1:8" ht="15.75" thickTop="1" x14ac:dyDescent="0.25">
      <c r="A19" s="12">
        <f t="shared" si="0"/>
        <v>13</v>
      </c>
      <c r="B19" s="2"/>
      <c r="C19" s="2"/>
      <c r="D19" s="2"/>
      <c r="E19" s="2"/>
      <c r="F19" s="102"/>
      <c r="G19" s="2"/>
      <c r="H19" s="2"/>
    </row>
    <row r="20" spans="1:8" x14ac:dyDescent="0.25">
      <c r="A20" s="12">
        <f t="shared" si="0"/>
        <v>14</v>
      </c>
      <c r="B20" s="2"/>
      <c r="C20" s="2"/>
      <c r="D20" s="2"/>
      <c r="E20" s="2"/>
      <c r="F20" s="102"/>
      <c r="G20" s="2"/>
      <c r="H20" s="2"/>
    </row>
    <row r="21" spans="1:8" x14ac:dyDescent="0.25">
      <c r="A21" s="12">
        <f t="shared" si="0"/>
        <v>15</v>
      </c>
      <c r="B21" s="2"/>
      <c r="C21" s="2"/>
      <c r="D21" s="2"/>
      <c r="E21" s="2"/>
      <c r="F21" s="102"/>
      <c r="G21" s="2"/>
      <c r="H21" s="2"/>
    </row>
    <row r="22" spans="1:8" x14ac:dyDescent="0.25">
      <c r="A22" s="12">
        <f t="shared" si="0"/>
        <v>16</v>
      </c>
      <c r="B22" s="345" t="str">
        <f>+'[2]19-07 Combined'!B32</f>
        <v>2018 Washington CBR Normalized Total Revenues</v>
      </c>
      <c r="C22" s="346"/>
      <c r="D22" s="346"/>
      <c r="E22" s="2"/>
      <c r="F22" s="347">
        <f>+'[2]19-07 Combined'!F32</f>
        <v>66182522</v>
      </c>
      <c r="G22" s="2"/>
      <c r="H22" s="2"/>
    </row>
    <row r="23" spans="1:8" x14ac:dyDescent="0.25">
      <c r="A23" s="12">
        <f t="shared" si="0"/>
        <v>17</v>
      </c>
      <c r="B23" s="339"/>
      <c r="C23" s="2"/>
      <c r="D23" s="2"/>
      <c r="E23" s="2"/>
      <c r="F23" s="348"/>
      <c r="G23" s="2"/>
      <c r="H23" s="2"/>
    </row>
    <row r="24" spans="1:8" x14ac:dyDescent="0.25">
      <c r="A24" s="12">
        <f t="shared" si="0"/>
        <v>18</v>
      </c>
      <c r="B24" s="339" t="s">
        <v>209</v>
      </c>
      <c r="C24" s="2"/>
      <c r="D24" s="2"/>
      <c r="E24" s="2"/>
      <c r="F24" s="349">
        <f>ROUND(F18/F22,4)</f>
        <v>-1.1999999999999999E-3</v>
      </c>
      <c r="G24" s="2"/>
      <c r="H24" s="2"/>
    </row>
  </sheetData>
  <pageMargins left="0.7" right="0.7" top="0.75" bottom="0.75" header="0.3" footer="0.3"/>
  <pageSetup scale="50" orientation="portrait" r:id="rId1"/>
  <headerFooter>
    <oddHeader>&amp;RNWN's Advice 19-04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2019-09-12T07:00:00+00:00</OpenedDate>
    <SignificantOrder xmlns="dc463f71-b30c-4ab2-9473-d307f9d35888">false</SignificantOrder>
    <Date1 xmlns="dc463f71-b30c-4ab2-9473-d307f9d35888">2019-09-12T07:00:00+00:00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190771</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46CFB3DB7F990449282B0C9809CB49A" ma:contentTypeVersion="56" ma:contentTypeDescription="" ma:contentTypeScope="" ma:versionID="f67461dbd6fc2dcf2f1c5cfb8434ac8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2AB74-F65C-412F-A7EE-4FCAD312646A}"/>
</file>

<file path=customXml/itemProps2.xml><?xml version="1.0" encoding="utf-8"?>
<ds:datastoreItem xmlns:ds="http://schemas.openxmlformats.org/officeDocument/2006/customXml" ds:itemID="{DF460C02-0261-4C9F-90C3-8E944C1E4AFA}"/>
</file>

<file path=customXml/itemProps3.xml><?xml version="1.0" encoding="utf-8"?>
<ds:datastoreItem xmlns:ds="http://schemas.openxmlformats.org/officeDocument/2006/customXml" ds:itemID="{4A4AE365-9112-42B3-839D-53EE91CA1252}"/>
</file>

<file path=customXml/itemProps4.xml><?xml version="1.0" encoding="utf-8"?>
<ds:datastoreItem xmlns:ds="http://schemas.openxmlformats.org/officeDocument/2006/customXml" ds:itemID="{CAFC92E5-B133-4564-B0E8-79D3F09BD2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Calc of Increments</vt:lpstr>
      <vt:lpstr>Effects on Avg. Bill</vt:lpstr>
      <vt:lpstr>Summary of Def. Accts.</vt:lpstr>
      <vt:lpstr>186314</vt:lpstr>
      <vt:lpstr>186315</vt:lpstr>
      <vt:lpstr>186234</vt:lpstr>
      <vt:lpstr>186235</vt:lpstr>
      <vt:lpstr>Effects on Revenue</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Allen, Autry</cp:lastModifiedBy>
  <cp:lastPrinted>2019-09-12T04:36:04Z</cp:lastPrinted>
  <dcterms:created xsi:type="dcterms:W3CDTF">2019-09-11T21:16:28Z</dcterms:created>
  <dcterms:modified xsi:type="dcterms:W3CDTF">2019-09-12T18:05:27Z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0x0101006E56B4D1795A2E4DB2F0B01679ED314A00646CFB3DB7F990449282B0C9809CB49A</vt:lpwstr>
  </property>
  <property fmtid="{D5CDD505-2E9C-101B-9397-08002B2CF9AE}" pid="3" name="_docset_NoMedatataSyncRequired">
    <vt:lpwstr>False</vt:lpwstr>
  </property>
  <property fmtid="{D5CDD505-2E9C-101B-9397-08002B2CF9AE}" pid="4" name="IsEFSEC">
    <vt:bool>false</vt:bool>
  </property>
</Properties>
</file>