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Regulatory_Affairs\PGA - WASHINGTON\2019\1 - September Filing\UG-XXXXX_19-03_EE\"/>
    </mc:Choice>
  </mc:AlternateContent>
  <bookViews>
    <workbookView xWindow="0" yWindow="0" windowWidth="28800" windowHeight="11835" activeTab="6"/>
  </bookViews>
  <sheets>
    <sheet name="Calc of Increments" sheetId="1" r:id="rId1"/>
    <sheet name="Effct of Avg. Bill" sheetId="2" r:id="rId2"/>
    <sheet name="Summary of Def. Accts." sheetId="6" r:id="rId3"/>
    <sheet name="186310" sheetId="3" r:id="rId4"/>
    <sheet name="186312" sheetId="4" r:id="rId5"/>
    <sheet name="186316" sheetId="5" r:id="rId6"/>
    <sheet name="Effects on Revenue" sheetId="7" r:id="rId7"/>
  </sheets>
  <externalReferences>
    <externalReference r:id="rId8"/>
    <externalReference r:id="rId9"/>
    <externalReference r:id="rId10"/>
  </externalReferences>
  <definedNames>
    <definedName name="EFFDATE">[1]Inputs!$B$56</definedName>
    <definedName name="_xlnm.Print_Area" localSheetId="3">'186310'!$A$1:$AC$153</definedName>
    <definedName name="_xlnm.Print_Area" localSheetId="4">'186312'!$A$1:$AC$179</definedName>
    <definedName name="_xlnm.Print_Area" localSheetId="5">'186316'!$A$1:$I$188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7" l="1"/>
  <c r="B22" i="7"/>
  <c r="F18" i="7"/>
  <c r="F24" i="7" s="1"/>
  <c r="F15" i="7"/>
  <c r="A8" i="7"/>
  <c r="A9" i="7" s="1"/>
  <c r="A10" i="7" s="1"/>
  <c r="A11" i="7" s="1"/>
  <c r="A12" i="7" s="1"/>
  <c r="A13" i="7" s="1"/>
  <c r="A14" i="7" s="1"/>
  <c r="A15" i="7" s="1"/>
  <c r="A16" i="7" s="1"/>
  <c r="A17" i="7" s="1"/>
  <c r="A18" i="7" s="1"/>
  <c r="A19" i="7" s="1"/>
  <c r="A20" i="7" s="1"/>
  <c r="A21" i="7" s="1"/>
  <c r="A22" i="7" s="1"/>
  <c r="A23" i="7" s="1"/>
  <c r="A24" i="7" s="1"/>
  <c r="A9" i="3" l="1"/>
  <c r="A14" i="3"/>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4" i="6"/>
  <c r="A15" i="6" s="1"/>
  <c r="A16" i="6" s="1"/>
  <c r="A17" i="6" s="1"/>
  <c r="A18" i="6" s="1"/>
  <c r="A19" i="6" s="1"/>
  <c r="A20" i="6" s="1"/>
  <c r="A13" i="6"/>
  <c r="H159" i="5" l="1"/>
  <c r="G159" i="5"/>
  <c r="H146" i="5"/>
  <c r="G146" i="5"/>
  <c r="G133" i="5"/>
  <c r="H133" i="5" s="1"/>
  <c r="E120" i="5"/>
  <c r="E107" i="5"/>
  <c r="E94" i="5"/>
  <c r="G94" i="5" s="1"/>
  <c r="H86" i="5"/>
  <c r="G81" i="5"/>
  <c r="H81" i="5" s="1"/>
  <c r="H68" i="5"/>
  <c r="K66" i="5"/>
  <c r="K64" i="5"/>
  <c r="K65" i="5" s="1"/>
  <c r="H55" i="5"/>
  <c r="G55" i="5"/>
  <c r="E41" i="5"/>
  <c r="H29" i="5"/>
  <c r="G29" i="5"/>
  <c r="E28" i="5"/>
  <c r="H23" i="5"/>
  <c r="H16" i="5"/>
  <c r="I16" i="5" s="1"/>
  <c r="G16" i="5"/>
  <c r="D16" i="5"/>
  <c r="B16" i="5"/>
  <c r="B17" i="5" s="1"/>
  <c r="B18" i="5" s="1"/>
  <c r="B19" i="5" s="1"/>
  <c r="B20" i="5" s="1"/>
  <c r="B21" i="5" s="1"/>
  <c r="B22" i="5" s="1"/>
  <c r="B23" i="5" s="1"/>
  <c r="B24" i="5" s="1"/>
  <c r="B25" i="5" s="1"/>
  <c r="B26" i="5" s="1"/>
  <c r="B27" i="5" s="1"/>
  <c r="B28"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A12" i="5"/>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9" i="5"/>
  <c r="A10" i="5" s="1"/>
  <c r="A11" i="5" s="1"/>
  <c r="D73" i="4"/>
  <c r="D70" i="4"/>
  <c r="R57" i="4"/>
  <c r="H57" i="4"/>
  <c r="R50" i="4"/>
  <c r="R49" i="4"/>
  <c r="R48" i="4"/>
  <c r="S48" i="4" s="1"/>
  <c r="S49" i="4" s="1"/>
  <c r="S50" i="4" s="1"/>
  <c r="R23" i="4"/>
  <c r="R22" i="4"/>
  <c r="R21" i="4"/>
  <c r="R20" i="4"/>
  <c r="R19" i="4"/>
  <c r="R18" i="4"/>
  <c r="R17" i="4"/>
  <c r="R16" i="4"/>
  <c r="S16" i="4" s="1"/>
  <c r="S17" i="4" s="1"/>
  <c r="B16" i="4"/>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R15" i="4"/>
  <c r="A10" i="4"/>
  <c r="A11" i="4" s="1"/>
  <c r="A12" i="4" s="1"/>
  <c r="A13" i="4" s="1"/>
  <c r="A14" i="4" s="1"/>
  <c r="A9" i="4"/>
  <c r="D98" i="3"/>
  <c r="R33" i="3"/>
  <c r="H33" i="3"/>
  <c r="R32" i="3"/>
  <c r="H32" i="3"/>
  <c r="R31" i="3"/>
  <c r="H31" i="3"/>
  <c r="R30" i="3"/>
  <c r="H30" i="3"/>
  <c r="D21" i="3"/>
  <c r="R21" i="3" s="1"/>
  <c r="R20" i="3"/>
  <c r="R19" i="3"/>
  <c r="R18" i="3"/>
  <c r="R17" i="3"/>
  <c r="R16" i="3"/>
  <c r="S16" i="3" s="1"/>
  <c r="B16" i="3"/>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A12" i="3"/>
  <c r="A13" i="3" s="1"/>
  <c r="A11" i="3"/>
  <c r="A10" i="3"/>
  <c r="S17" i="3" l="1"/>
  <c r="S18" i="3" s="1"/>
  <c r="S19" i="3" s="1"/>
  <c r="S20" i="3" s="1"/>
  <c r="S21" i="3" s="1"/>
  <c r="G120" i="5"/>
  <c r="H120" i="5" s="1"/>
  <c r="B54" i="5"/>
  <c r="B56" i="5"/>
  <c r="B57" i="5" s="1"/>
  <c r="B58" i="5" s="1"/>
  <c r="B59" i="5" s="1"/>
  <c r="B60" i="5" s="1"/>
  <c r="B61" i="5" s="1"/>
  <c r="B62" i="5" s="1"/>
  <c r="B63" i="5" s="1"/>
  <c r="B64" i="5" s="1"/>
  <c r="B65" i="5" s="1"/>
  <c r="B66" i="5" s="1"/>
  <c r="B67" i="5" s="1"/>
  <c r="B69" i="5" s="1"/>
  <c r="B70" i="5" s="1"/>
  <c r="B71" i="5" s="1"/>
  <c r="B72" i="5" s="1"/>
  <c r="B73" i="5" s="1"/>
  <c r="B74" i="5" s="1"/>
  <c r="B75" i="5" s="1"/>
  <c r="B76" i="5" s="1"/>
  <c r="B77" i="5" s="1"/>
  <c r="B78" i="5" s="1"/>
  <c r="B79" i="5" s="1"/>
  <c r="B80"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G17" i="5"/>
  <c r="H17" i="5" s="1"/>
  <c r="I17" i="5"/>
  <c r="H94" i="5"/>
  <c r="G107" i="5"/>
  <c r="H107" i="5" s="1"/>
  <c r="B54" i="4"/>
  <c r="B55" i="4"/>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A15" i="4"/>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G51" i="4"/>
  <c r="R51" i="4" s="1"/>
  <c r="S51" i="4" s="1"/>
  <c r="S18" i="4"/>
  <c r="S19" i="4" s="1"/>
  <c r="S20" i="4" s="1"/>
  <c r="S21" i="4" s="1"/>
  <c r="S22" i="4" s="1"/>
  <c r="S23" i="4" s="1"/>
  <c r="G18" i="5" l="1"/>
  <c r="H18" i="5" s="1"/>
  <c r="I18" i="5" s="1"/>
  <c r="B108" i="5"/>
  <c r="B109" i="5" s="1"/>
  <c r="B110" i="5" s="1"/>
  <c r="B111" i="5" s="1"/>
  <c r="B112" i="5" s="1"/>
  <c r="B113" i="5" s="1"/>
  <c r="B114" i="5" s="1"/>
  <c r="B115" i="5" s="1"/>
  <c r="B116" i="5" s="1"/>
  <c r="B117" i="5" s="1"/>
  <c r="B118" i="5" s="1"/>
  <c r="B119" i="5" s="1"/>
  <c r="B120" i="5" s="1"/>
  <c r="B121" i="5" s="1"/>
  <c r="B122" i="5" s="1"/>
  <c r="B123" i="5" s="1"/>
  <c r="B124" i="5" s="1"/>
  <c r="B125" i="5" s="1"/>
  <c r="B126" i="5" s="1"/>
  <c r="B127" i="5" s="1"/>
  <c r="B128" i="5" s="1"/>
  <c r="B129" i="5" s="1"/>
  <c r="B130" i="5" s="1"/>
  <c r="B131" i="5" s="1"/>
  <c r="B132" i="5" s="1"/>
  <c r="B107" i="5"/>
  <c r="G52" i="4"/>
  <c r="R52" i="4" s="1"/>
  <c r="S52" i="4" s="1"/>
  <c r="G24" i="4"/>
  <c r="R24" i="4" s="1"/>
  <c r="S24" i="4" s="1"/>
  <c r="G22" i="3"/>
  <c r="R22" i="3" s="1"/>
  <c r="S22" i="3" s="1"/>
  <c r="G19" i="5" l="1"/>
  <c r="H19" i="5" s="1"/>
  <c r="I19" i="5" s="1"/>
  <c r="B134" i="5"/>
  <c r="B135" i="5" s="1"/>
  <c r="B136" i="5" s="1"/>
  <c r="B137" i="5" s="1"/>
  <c r="B138" i="5" s="1"/>
  <c r="B139" i="5" s="1"/>
  <c r="B140" i="5" s="1"/>
  <c r="B141" i="5" s="1"/>
  <c r="B142" i="5" s="1"/>
  <c r="B143" i="5" s="1"/>
  <c r="B144" i="5" s="1"/>
  <c r="B145" i="5" s="1"/>
  <c r="B146" i="5" s="1"/>
  <c r="B147" i="5" s="1"/>
  <c r="B148" i="5" s="1"/>
  <c r="B149" i="5" s="1"/>
  <c r="B150" i="5" s="1"/>
  <c r="B151" i="5" s="1"/>
  <c r="B152" i="5" s="1"/>
  <c r="B153" i="5" s="1"/>
  <c r="B154" i="5" s="1"/>
  <c r="B155" i="5" s="1"/>
  <c r="B156" i="5" s="1"/>
  <c r="B157" i="5" s="1"/>
  <c r="B158" i="5" s="1"/>
  <c r="B160" i="5" s="1"/>
  <c r="B133" i="5"/>
  <c r="G25" i="4"/>
  <c r="R25" i="4" s="1"/>
  <c r="S25" i="4" s="1"/>
  <c r="G53" i="4"/>
  <c r="R53" i="4" s="1"/>
  <c r="S53" i="4"/>
  <c r="G23" i="3"/>
  <c r="R23" i="3" s="1"/>
  <c r="S23" i="3" s="1"/>
  <c r="G20" i="5" l="1"/>
  <c r="H20" i="5" s="1"/>
  <c r="I20" i="5" s="1"/>
  <c r="G26" i="4"/>
  <c r="R26" i="4" s="1"/>
  <c r="S26" i="4" s="1"/>
  <c r="G55" i="4"/>
  <c r="G24" i="3"/>
  <c r="R24" i="3" s="1"/>
  <c r="S24" i="3" s="1"/>
  <c r="G21" i="5" l="1"/>
  <c r="H21" i="5" s="1"/>
  <c r="I21" i="5" s="1"/>
  <c r="G27" i="4"/>
  <c r="R27" i="4" s="1"/>
  <c r="S27" i="4" s="1"/>
  <c r="R55" i="4"/>
  <c r="S55" i="4" s="1"/>
  <c r="H55" i="4"/>
  <c r="G25" i="3"/>
  <c r="R25" i="3" s="1"/>
  <c r="S25" i="3" s="1"/>
  <c r="G22" i="5" l="1"/>
  <c r="H22" i="5" s="1"/>
  <c r="I22" i="5" s="1"/>
  <c r="I23" i="5" s="1"/>
  <c r="E28" i="4"/>
  <c r="G56" i="4"/>
  <c r="G26" i="3"/>
  <c r="R26" i="3" s="1"/>
  <c r="S26" i="3" s="1"/>
  <c r="G24" i="5" l="1"/>
  <c r="H24" i="5" s="1"/>
  <c r="I24" i="5" s="1"/>
  <c r="H56" i="4"/>
  <c r="R56" i="4"/>
  <c r="S56" i="4" s="1"/>
  <c r="S57" i="4" s="1"/>
  <c r="G28" i="4"/>
  <c r="R28" i="4" s="1"/>
  <c r="S28" i="4" s="1"/>
  <c r="G27" i="3"/>
  <c r="R27" i="3" s="1"/>
  <c r="S27" i="3" s="1"/>
  <c r="G25" i="5" l="1"/>
  <c r="H25" i="5" s="1"/>
  <c r="I25" i="5"/>
  <c r="G29" i="4"/>
  <c r="R29" i="4" s="1"/>
  <c r="S29" i="4" s="1"/>
  <c r="G58" i="4"/>
  <c r="G28" i="3"/>
  <c r="R28" i="3" s="1"/>
  <c r="S28" i="3" s="1"/>
  <c r="G26" i="5" l="1"/>
  <c r="H26" i="5" s="1"/>
  <c r="I26" i="5"/>
  <c r="G30" i="4"/>
  <c r="R30" i="4" s="1"/>
  <c r="S30" i="4" s="1"/>
  <c r="H58" i="4"/>
  <c r="R58" i="4"/>
  <c r="S58" i="4" s="1"/>
  <c r="G29" i="3"/>
  <c r="R29" i="3" s="1"/>
  <c r="S29" i="3" s="1"/>
  <c r="S30" i="3" s="1"/>
  <c r="S31" i="3" s="1"/>
  <c r="S32" i="3" s="1"/>
  <c r="S33" i="3" s="1"/>
  <c r="G27" i="5" l="1"/>
  <c r="H27" i="5" s="1"/>
  <c r="I27" i="5" s="1"/>
  <c r="G31" i="4"/>
  <c r="R31" i="4" s="1"/>
  <c r="S31" i="4" s="1"/>
  <c r="G59" i="4"/>
  <c r="G34" i="3"/>
  <c r="G28" i="5" l="1"/>
  <c r="H28" i="5" s="1"/>
  <c r="I28" i="5" s="1"/>
  <c r="I29" i="5" s="1"/>
  <c r="G32" i="4"/>
  <c r="R32" i="4" s="1"/>
  <c r="S32" i="4"/>
  <c r="H59" i="4"/>
  <c r="R59" i="4"/>
  <c r="S59" i="4" s="1"/>
  <c r="R34" i="3"/>
  <c r="S34" i="3" s="1"/>
  <c r="H34" i="3"/>
  <c r="G30" i="5" l="1"/>
  <c r="H30" i="5" s="1"/>
  <c r="I30" i="5" s="1"/>
  <c r="G60" i="4"/>
  <c r="G33" i="4"/>
  <c r="R33" i="4" s="1"/>
  <c r="S33" i="4" s="1"/>
  <c r="G35" i="3"/>
  <c r="G31" i="5" l="1"/>
  <c r="H31" i="5" s="1"/>
  <c r="I31" i="5" s="1"/>
  <c r="G34" i="4"/>
  <c r="R34" i="4" s="1"/>
  <c r="S34" i="4" s="1"/>
  <c r="R60" i="4"/>
  <c r="S60" i="4" s="1"/>
  <c r="H60" i="4"/>
  <c r="R35" i="3"/>
  <c r="S35" i="3" s="1"/>
  <c r="H35" i="3"/>
  <c r="G32" i="5" l="1"/>
  <c r="H32" i="5" s="1"/>
  <c r="I32" i="5" s="1"/>
  <c r="G35" i="4"/>
  <c r="R35" i="4" s="1"/>
  <c r="S35" i="4" s="1"/>
  <c r="G61" i="4"/>
  <c r="T60" i="4"/>
  <c r="G36" i="3"/>
  <c r="T35" i="3"/>
  <c r="G33" i="5" l="1"/>
  <c r="H33" i="5" s="1"/>
  <c r="I33" i="5" s="1"/>
  <c r="G36" i="4"/>
  <c r="R36" i="4" s="1"/>
  <c r="S36" i="4" s="1"/>
  <c r="R61" i="4"/>
  <c r="S61" i="4" s="1"/>
  <c r="H61" i="4"/>
  <c r="R36" i="3"/>
  <c r="S36" i="3" s="1"/>
  <c r="H36" i="3"/>
  <c r="G34" i="5" l="1"/>
  <c r="H34" i="5" s="1"/>
  <c r="I34" i="5" s="1"/>
  <c r="G37" i="4"/>
  <c r="R37" i="4" s="1"/>
  <c r="S37" i="4" s="1"/>
  <c r="G62" i="4"/>
  <c r="T61" i="4"/>
  <c r="G37" i="3"/>
  <c r="T36" i="3"/>
  <c r="G35" i="5" l="1"/>
  <c r="H35" i="5" s="1"/>
  <c r="I35" i="5" s="1"/>
  <c r="G38" i="4"/>
  <c r="R38" i="4" s="1"/>
  <c r="S38" i="4" s="1"/>
  <c r="R62" i="4"/>
  <c r="S62" i="4" s="1"/>
  <c r="H62" i="4"/>
  <c r="H37" i="3"/>
  <c r="R37" i="3"/>
  <c r="S37" i="3" s="1"/>
  <c r="G36" i="5" l="1"/>
  <c r="H36" i="5" s="1"/>
  <c r="I36" i="5" s="1"/>
  <c r="G39" i="4"/>
  <c r="R39" i="4" s="1"/>
  <c r="S39" i="4" s="1"/>
  <c r="G63" i="4"/>
  <c r="T62" i="4"/>
  <c r="T37" i="3"/>
  <c r="G38" i="3"/>
  <c r="G37" i="5" l="1"/>
  <c r="H37" i="5" s="1"/>
  <c r="I37" i="5" s="1"/>
  <c r="G40" i="4"/>
  <c r="E40" i="4"/>
  <c r="R40" i="4" s="1"/>
  <c r="S40" i="4" s="1"/>
  <c r="R63" i="4"/>
  <c r="S63" i="4" s="1"/>
  <c r="H63" i="4"/>
  <c r="R38" i="3"/>
  <c r="S38" i="3" s="1"/>
  <c r="H38" i="3"/>
  <c r="G38" i="5" l="1"/>
  <c r="H38" i="5" s="1"/>
  <c r="I38" i="5" s="1"/>
  <c r="G41" i="4"/>
  <c r="R41" i="4" s="1"/>
  <c r="S41" i="4" s="1"/>
  <c r="T63" i="4"/>
  <c r="G64" i="4"/>
  <c r="G39" i="3"/>
  <c r="T38" i="3"/>
  <c r="G39" i="5" l="1"/>
  <c r="H39" i="5" s="1"/>
  <c r="I39" i="5" s="1"/>
  <c r="G42" i="4"/>
  <c r="R42" i="4" s="1"/>
  <c r="S42" i="4" s="1"/>
  <c r="H64" i="4"/>
  <c r="R64" i="4"/>
  <c r="S64" i="4" s="1"/>
  <c r="R39" i="3"/>
  <c r="S39" i="3" s="1"/>
  <c r="H39" i="3"/>
  <c r="G40" i="5" l="1"/>
  <c r="H40" i="5" s="1"/>
  <c r="I40" i="5" s="1"/>
  <c r="G43" i="4"/>
  <c r="R43" i="4" s="1"/>
  <c r="S43" i="4" s="1"/>
  <c r="T64" i="4"/>
  <c r="G65" i="4"/>
  <c r="H65" i="4" s="1"/>
  <c r="E65" i="4"/>
  <c r="G40" i="3"/>
  <c r="H40" i="3" s="1"/>
  <c r="E40" i="3"/>
  <c r="T39" i="3"/>
  <c r="R40" i="3" l="1"/>
  <c r="S40" i="3" s="1"/>
  <c r="G41" i="5"/>
  <c r="H41" i="5" s="1"/>
  <c r="I41" i="5" s="1"/>
  <c r="G44" i="4"/>
  <c r="R44" i="4" s="1"/>
  <c r="S44" i="4" s="1"/>
  <c r="R65" i="4"/>
  <c r="S65" i="4" s="1"/>
  <c r="T40" i="3"/>
  <c r="G41" i="3"/>
  <c r="G42" i="5" l="1"/>
  <c r="H42" i="5" s="1"/>
  <c r="I42" i="5" s="1"/>
  <c r="G45" i="4"/>
  <c r="R45" i="4" s="1"/>
  <c r="S45" i="4" s="1"/>
  <c r="E77" i="4"/>
  <c r="G66" i="4"/>
  <c r="T65" i="4"/>
  <c r="R41" i="3"/>
  <c r="S41" i="3" s="1"/>
  <c r="H41" i="3"/>
  <c r="G43" i="5" l="1"/>
  <c r="H43" i="5" s="1"/>
  <c r="I43" i="5" s="1"/>
  <c r="G46" i="4"/>
  <c r="R46" i="4" s="1"/>
  <c r="S46" i="4" s="1"/>
  <c r="R66" i="4"/>
  <c r="S66" i="4" s="1"/>
  <c r="H66" i="4"/>
  <c r="G42" i="3"/>
  <c r="T41" i="3"/>
  <c r="E52" i="3"/>
  <c r="G44" i="5" l="1"/>
  <c r="H44" i="5" s="1"/>
  <c r="I44" i="5" s="1"/>
  <c r="G67" i="4"/>
  <c r="T66" i="4"/>
  <c r="R42" i="3"/>
  <c r="S42" i="3" s="1"/>
  <c r="H42" i="3"/>
  <c r="I42" i="3" s="1"/>
  <c r="G45" i="5" l="1"/>
  <c r="H45" i="5" s="1"/>
  <c r="I45" i="5" s="1"/>
  <c r="H67" i="4"/>
  <c r="T67" i="4" s="1"/>
  <c r="R67" i="4"/>
  <c r="S67" i="4" s="1"/>
  <c r="I67" i="4"/>
  <c r="T42" i="3"/>
  <c r="U42" i="3" s="1"/>
  <c r="G43" i="3"/>
  <c r="G46" i="5" l="1"/>
  <c r="H46" i="5" s="1"/>
  <c r="I46" i="5" s="1"/>
  <c r="T68" i="4"/>
  <c r="H68" i="4"/>
  <c r="G68" i="4"/>
  <c r="U67" i="4"/>
  <c r="R43" i="3"/>
  <c r="S43" i="3" s="1"/>
  <c r="H43" i="3"/>
  <c r="I43" i="3" s="1"/>
  <c r="G47" i="5" l="1"/>
  <c r="H47" i="5" s="1"/>
  <c r="I47" i="5" s="1"/>
  <c r="I68" i="4"/>
  <c r="R68" i="4"/>
  <c r="S68" i="4" s="1"/>
  <c r="H69" i="4"/>
  <c r="T69" i="4"/>
  <c r="T43" i="3"/>
  <c r="U43" i="3" s="1"/>
  <c r="G44" i="3"/>
  <c r="G48" i="5" l="1"/>
  <c r="H48" i="5" s="1"/>
  <c r="I48" i="5" s="1"/>
  <c r="H70" i="4"/>
  <c r="T70" i="4" s="1"/>
  <c r="U68" i="4"/>
  <c r="G69" i="4"/>
  <c r="R44" i="3"/>
  <c r="S44" i="3" s="1"/>
  <c r="H44" i="3"/>
  <c r="I44" i="3" s="1"/>
  <c r="G49" i="5" l="1"/>
  <c r="H49" i="5" s="1"/>
  <c r="I49" i="5" s="1"/>
  <c r="H71" i="4"/>
  <c r="T71" i="4" s="1"/>
  <c r="R69" i="4"/>
  <c r="S69" i="4" s="1"/>
  <c r="I69" i="4"/>
  <c r="T44" i="3"/>
  <c r="U44" i="3"/>
  <c r="G45" i="3"/>
  <c r="G50" i="5" l="1"/>
  <c r="H50" i="5" s="1"/>
  <c r="I50" i="5" s="1"/>
  <c r="T72" i="4"/>
  <c r="H72" i="4"/>
  <c r="U69" i="4"/>
  <c r="G70" i="4"/>
  <c r="R45" i="3"/>
  <c r="S45" i="3" s="1"/>
  <c r="H45" i="3"/>
  <c r="I45" i="3" s="1"/>
  <c r="G51" i="5" l="1"/>
  <c r="H51" i="5" s="1"/>
  <c r="I51" i="5" s="1"/>
  <c r="R70" i="4"/>
  <c r="S70" i="4" s="1"/>
  <c r="I70" i="4"/>
  <c r="H73" i="4"/>
  <c r="T73" i="4"/>
  <c r="T45" i="3"/>
  <c r="G46" i="3"/>
  <c r="U45" i="3"/>
  <c r="G52" i="5" l="1"/>
  <c r="H52" i="5" s="1"/>
  <c r="I52" i="5" s="1"/>
  <c r="G71" i="4"/>
  <c r="U70" i="4"/>
  <c r="H74" i="4"/>
  <c r="T74" i="4"/>
  <c r="R46" i="3"/>
  <c r="S46" i="3" s="1"/>
  <c r="H46" i="3"/>
  <c r="I46" i="3" s="1"/>
  <c r="G53" i="5" l="1"/>
  <c r="H53" i="5" s="1"/>
  <c r="I53" i="5" s="1"/>
  <c r="I55" i="5" s="1"/>
  <c r="H75" i="4"/>
  <c r="T75" i="4" s="1"/>
  <c r="R71" i="4"/>
  <c r="S71" i="4" s="1"/>
  <c r="I71" i="4"/>
  <c r="T46" i="3"/>
  <c r="G47" i="3"/>
  <c r="G56" i="5" l="1"/>
  <c r="H56" i="5" s="1"/>
  <c r="I56" i="5" s="1"/>
  <c r="H76" i="4"/>
  <c r="T76" i="4" s="1"/>
  <c r="U71" i="4"/>
  <c r="G72" i="4"/>
  <c r="R47" i="3"/>
  <c r="S47" i="3" s="1"/>
  <c r="H47" i="3"/>
  <c r="I47" i="3" s="1"/>
  <c r="U46" i="3"/>
  <c r="G57" i="5" l="1"/>
  <c r="H57" i="5" s="1"/>
  <c r="I57" i="5" s="1"/>
  <c r="I72" i="4"/>
  <c r="R72" i="4"/>
  <c r="S72" i="4" s="1"/>
  <c r="T47" i="3"/>
  <c r="U47" i="3"/>
  <c r="G48" i="3"/>
  <c r="G58" i="5" l="1"/>
  <c r="H58" i="5" s="1"/>
  <c r="I58" i="5" s="1"/>
  <c r="G73" i="4"/>
  <c r="U72" i="4"/>
  <c r="R48" i="3"/>
  <c r="S48" i="3" s="1"/>
  <c r="H48" i="3"/>
  <c r="I48" i="3" s="1"/>
  <c r="G59" i="5" l="1"/>
  <c r="H59" i="5" s="1"/>
  <c r="I59" i="5" s="1"/>
  <c r="I73" i="4"/>
  <c r="R73" i="4"/>
  <c r="S73" i="4" s="1"/>
  <c r="T48" i="3"/>
  <c r="G49" i="3"/>
  <c r="U48" i="3"/>
  <c r="G60" i="5" l="1"/>
  <c r="H60" i="5" s="1"/>
  <c r="I60" i="5" s="1"/>
  <c r="U73" i="4"/>
  <c r="G74" i="4"/>
  <c r="R49" i="3"/>
  <c r="S49" i="3" s="1"/>
  <c r="H49" i="3"/>
  <c r="I49" i="3" s="1"/>
  <c r="G61" i="5" l="1"/>
  <c r="H61" i="5" s="1"/>
  <c r="I61" i="5" s="1"/>
  <c r="I74" i="4"/>
  <c r="R74" i="4"/>
  <c r="S74" i="4" s="1"/>
  <c r="T49" i="3"/>
  <c r="G50" i="3"/>
  <c r="G62" i="5" l="1"/>
  <c r="H62" i="5" s="1"/>
  <c r="I62" i="5" s="1"/>
  <c r="U74" i="4"/>
  <c r="G75" i="4"/>
  <c r="H50" i="3"/>
  <c r="T50" i="3" s="1"/>
  <c r="U49" i="3"/>
  <c r="R50" i="3"/>
  <c r="S50" i="3" s="1"/>
  <c r="I50" i="3" l="1"/>
  <c r="G63" i="5"/>
  <c r="H63" i="5" s="1"/>
  <c r="I63" i="5" s="1"/>
  <c r="I75" i="4"/>
  <c r="R75" i="4"/>
  <c r="S75" i="4" s="1"/>
  <c r="G51" i="3"/>
  <c r="U50" i="3"/>
  <c r="H51" i="3"/>
  <c r="T51" i="3" s="1"/>
  <c r="G64" i="5" l="1"/>
  <c r="H64" i="5" s="1"/>
  <c r="I64" i="5" s="1"/>
  <c r="G76" i="4"/>
  <c r="U75" i="4"/>
  <c r="R51" i="3"/>
  <c r="S51" i="3" s="1"/>
  <c r="I51" i="3"/>
  <c r="G65" i="5" l="1"/>
  <c r="H65" i="5" s="1"/>
  <c r="I65" i="5" s="1"/>
  <c r="R76" i="4"/>
  <c r="S76" i="4" s="1"/>
  <c r="I76" i="4"/>
  <c r="G52" i="3"/>
  <c r="U51" i="3"/>
  <c r="G66" i="5" l="1"/>
  <c r="H66" i="5" s="1"/>
  <c r="I66" i="5" s="1"/>
  <c r="G77" i="4"/>
  <c r="U76" i="4"/>
  <c r="I52" i="3"/>
  <c r="R52" i="3"/>
  <c r="S52" i="3" s="1"/>
  <c r="G67" i="5" l="1"/>
  <c r="H67" i="5" s="1"/>
  <c r="I67" i="5" s="1"/>
  <c r="I68" i="5" s="1"/>
  <c r="I77" i="4"/>
  <c r="R77" i="4"/>
  <c r="S77" i="4" s="1"/>
  <c r="U52" i="3"/>
  <c r="G53" i="3"/>
  <c r="G69" i="5" l="1"/>
  <c r="H69" i="5" s="1"/>
  <c r="I69" i="5" s="1"/>
  <c r="G78" i="4"/>
  <c r="U77" i="4"/>
  <c r="I53" i="3"/>
  <c r="R53" i="3"/>
  <c r="S53" i="3" s="1"/>
  <c r="G70" i="5" l="1"/>
  <c r="H70" i="5" s="1"/>
  <c r="I70" i="5" s="1"/>
  <c r="I78" i="4"/>
  <c r="R78" i="4"/>
  <c r="S78" i="4" s="1"/>
  <c r="G54" i="3"/>
  <c r="U53" i="3"/>
  <c r="G71" i="5" l="1"/>
  <c r="H71" i="5" s="1"/>
  <c r="I71" i="5" s="1"/>
  <c r="G79" i="4"/>
  <c r="U78" i="4"/>
  <c r="I54" i="3"/>
  <c r="U54" i="3" s="1"/>
  <c r="R54" i="3"/>
  <c r="S54" i="3" s="1"/>
  <c r="G72" i="5" l="1"/>
  <c r="H72" i="5" s="1"/>
  <c r="I72" i="5" s="1"/>
  <c r="I79" i="4"/>
  <c r="U79" i="4" s="1"/>
  <c r="R79" i="4"/>
  <c r="S79" i="4" s="1"/>
  <c r="J79" i="4"/>
  <c r="I55" i="3"/>
  <c r="U55" i="3" s="1"/>
  <c r="G55" i="3"/>
  <c r="V54" i="3"/>
  <c r="J54" i="3"/>
  <c r="G73" i="5" l="1"/>
  <c r="H73" i="5" s="1"/>
  <c r="I73" i="5" s="1"/>
  <c r="I80" i="4"/>
  <c r="U80" i="4" s="1"/>
  <c r="V79" i="4"/>
  <c r="G80" i="4"/>
  <c r="I56" i="3"/>
  <c r="U56" i="3" s="1"/>
  <c r="R55" i="3"/>
  <c r="S55" i="3" s="1"/>
  <c r="J55" i="3"/>
  <c r="G74" i="5" l="1"/>
  <c r="H74" i="5" s="1"/>
  <c r="I74" i="5" s="1"/>
  <c r="I81" i="4"/>
  <c r="U81" i="4" s="1"/>
  <c r="R80" i="4"/>
  <c r="S80" i="4" s="1"/>
  <c r="J80" i="4"/>
  <c r="I57" i="3"/>
  <c r="U57" i="3"/>
  <c r="V55" i="3"/>
  <c r="G56" i="3"/>
  <c r="G75" i="5" l="1"/>
  <c r="H75" i="5" s="1"/>
  <c r="I75" i="5" s="1"/>
  <c r="I82" i="4"/>
  <c r="U82" i="4" s="1"/>
  <c r="G81" i="4"/>
  <c r="V80" i="4"/>
  <c r="J56" i="3"/>
  <c r="R56" i="3"/>
  <c r="S56" i="3" s="1"/>
  <c r="I58" i="3"/>
  <c r="U58" i="3" s="1"/>
  <c r="G76" i="5" l="1"/>
  <c r="H76" i="5" s="1"/>
  <c r="I76" i="5" s="1"/>
  <c r="I83" i="4"/>
  <c r="U83" i="4"/>
  <c r="R81" i="4"/>
  <c r="S81" i="4" s="1"/>
  <c r="J81" i="4"/>
  <c r="I59" i="3"/>
  <c r="U59" i="3" s="1"/>
  <c r="G57" i="3"/>
  <c r="V56" i="3"/>
  <c r="G77" i="5" l="1"/>
  <c r="H77" i="5" s="1"/>
  <c r="I77" i="5" s="1"/>
  <c r="V81" i="4"/>
  <c r="G82" i="4"/>
  <c r="I84" i="4"/>
  <c r="U84" i="4" s="1"/>
  <c r="I60" i="3"/>
  <c r="U60" i="3" s="1"/>
  <c r="R57" i="3"/>
  <c r="S57" i="3" s="1"/>
  <c r="J57" i="3"/>
  <c r="G78" i="5" l="1"/>
  <c r="H78" i="5" s="1"/>
  <c r="I78" i="5" s="1"/>
  <c r="I85" i="4"/>
  <c r="U85" i="4" s="1"/>
  <c r="J82" i="4"/>
  <c r="R82" i="4"/>
  <c r="S82" i="4" s="1"/>
  <c r="I61" i="3"/>
  <c r="U61" i="3" s="1"/>
  <c r="G58" i="3"/>
  <c r="V57" i="3"/>
  <c r="G79" i="5" l="1"/>
  <c r="H79" i="5" s="1"/>
  <c r="I79" i="5" s="1"/>
  <c r="I86" i="4"/>
  <c r="U86" i="4"/>
  <c r="G83" i="4"/>
  <c r="V82" i="4"/>
  <c r="I62" i="3"/>
  <c r="U62" i="3" s="1"/>
  <c r="R58" i="3"/>
  <c r="S58" i="3" s="1"/>
  <c r="J58" i="3"/>
  <c r="G80" i="5" l="1"/>
  <c r="H80" i="5" s="1"/>
  <c r="I80" i="5" s="1"/>
  <c r="I81" i="5" s="1"/>
  <c r="I87" i="4"/>
  <c r="U87" i="4" s="1"/>
  <c r="R83" i="4"/>
  <c r="S83" i="4" s="1"/>
  <c r="J83" i="4"/>
  <c r="I63" i="3"/>
  <c r="U63" i="3" s="1"/>
  <c r="G59" i="3"/>
  <c r="V58" i="3"/>
  <c r="G82" i="5" l="1"/>
  <c r="H82" i="5" s="1"/>
  <c r="I82" i="5" s="1"/>
  <c r="I88" i="4"/>
  <c r="U88" i="4" s="1"/>
  <c r="G84" i="4"/>
  <c r="V83" i="4"/>
  <c r="I64" i="3"/>
  <c r="E64" i="3"/>
  <c r="J59" i="3"/>
  <c r="R59" i="3"/>
  <c r="S59" i="3" s="1"/>
  <c r="G83" i="5" l="1"/>
  <c r="H83" i="5" s="1"/>
  <c r="I83" i="5" s="1"/>
  <c r="I89" i="4"/>
  <c r="E89" i="4"/>
  <c r="R84" i="4"/>
  <c r="S84" i="4" s="1"/>
  <c r="J84" i="4"/>
  <c r="G60" i="3"/>
  <c r="V59" i="3"/>
  <c r="G84" i="5" l="1"/>
  <c r="H84" i="5" s="1"/>
  <c r="I84" i="5" s="1"/>
  <c r="V84" i="4"/>
  <c r="G85" i="4"/>
  <c r="R60" i="3"/>
  <c r="S60" i="3" s="1"/>
  <c r="J60" i="3"/>
  <c r="G85" i="5" l="1"/>
  <c r="H85" i="5" s="1"/>
  <c r="I85" i="5" s="1"/>
  <c r="I86" i="5" s="1"/>
  <c r="J85" i="4"/>
  <c r="R85" i="4"/>
  <c r="S85" i="4" s="1"/>
  <c r="G61" i="3"/>
  <c r="V60" i="3"/>
  <c r="G87" i="5" l="1"/>
  <c r="H87" i="5" s="1"/>
  <c r="I87" i="5" s="1"/>
  <c r="V85" i="4"/>
  <c r="G86" i="4"/>
  <c r="R61" i="3"/>
  <c r="S61" i="3" s="1"/>
  <c r="J61" i="3"/>
  <c r="G88" i="5" l="1"/>
  <c r="H88" i="5" s="1"/>
  <c r="I88" i="5" s="1"/>
  <c r="J86" i="4"/>
  <c r="R86" i="4"/>
  <c r="S86" i="4" s="1"/>
  <c r="G62" i="3"/>
  <c r="V61" i="3"/>
  <c r="G89" i="5" l="1"/>
  <c r="H89" i="5" s="1"/>
  <c r="I89" i="5" s="1"/>
  <c r="G87" i="4"/>
  <c r="V86" i="4"/>
  <c r="R62" i="3"/>
  <c r="S62" i="3" s="1"/>
  <c r="J62" i="3"/>
  <c r="G90" i="5" l="1"/>
  <c r="H90" i="5" s="1"/>
  <c r="I90" i="5" s="1"/>
  <c r="R87" i="4"/>
  <c r="S87" i="4" s="1"/>
  <c r="J87" i="4"/>
  <c r="V62" i="3"/>
  <c r="G63" i="3"/>
  <c r="G91" i="5" l="1"/>
  <c r="H91" i="5" s="1"/>
  <c r="I91" i="5" s="1"/>
  <c r="V87" i="4"/>
  <c r="G88" i="4"/>
  <c r="R63" i="3"/>
  <c r="S63" i="3" s="1"/>
  <c r="J63" i="3"/>
  <c r="G92" i="5" l="1"/>
  <c r="H92" i="5" s="1"/>
  <c r="I92" i="5" s="1"/>
  <c r="R88" i="4"/>
  <c r="S88" i="4" s="1"/>
  <c r="J88" i="4"/>
  <c r="V63" i="3"/>
  <c r="G64" i="3"/>
  <c r="G93" i="5" l="1"/>
  <c r="H93" i="5" s="1"/>
  <c r="I93" i="5" s="1"/>
  <c r="I94" i="5" s="1"/>
  <c r="V88" i="4"/>
  <c r="G89" i="4"/>
  <c r="J64" i="3"/>
  <c r="R64" i="3"/>
  <c r="S64" i="3" s="1"/>
  <c r="G95" i="5" l="1"/>
  <c r="H95" i="5" s="1"/>
  <c r="I95" i="5" s="1"/>
  <c r="J89" i="4"/>
  <c r="R89" i="4"/>
  <c r="S89" i="4" s="1"/>
  <c r="V64" i="3"/>
  <c r="G65" i="3"/>
  <c r="G96" i="5" l="1"/>
  <c r="H96" i="5" s="1"/>
  <c r="I96" i="5" s="1"/>
  <c r="V89" i="4"/>
  <c r="G90" i="4"/>
  <c r="J65" i="3"/>
  <c r="R65" i="3"/>
  <c r="S65" i="3" s="1"/>
  <c r="G97" i="5" l="1"/>
  <c r="H97" i="5" s="1"/>
  <c r="I97" i="5" s="1"/>
  <c r="R90" i="4"/>
  <c r="S90" i="4" s="1"/>
  <c r="J90" i="4"/>
  <c r="V65" i="3"/>
  <c r="G66" i="3"/>
  <c r="G98" i="5" l="1"/>
  <c r="H98" i="5" s="1"/>
  <c r="I98" i="5" s="1"/>
  <c r="V90" i="4"/>
  <c r="G91" i="4"/>
  <c r="R66" i="3"/>
  <c r="S66" i="3" s="1"/>
  <c r="J66" i="3"/>
  <c r="K66" i="3" s="1"/>
  <c r="G99" i="5" l="1"/>
  <c r="H99" i="5" s="1"/>
  <c r="I99" i="5" s="1"/>
  <c r="R91" i="4"/>
  <c r="S91" i="4" s="1"/>
  <c r="J91" i="4"/>
  <c r="K91" i="4" s="1"/>
  <c r="G67" i="3"/>
  <c r="V66" i="3"/>
  <c r="G100" i="5" l="1"/>
  <c r="H100" i="5" s="1"/>
  <c r="I100" i="5" s="1"/>
  <c r="V91" i="4"/>
  <c r="W91" i="4"/>
  <c r="G92" i="4"/>
  <c r="J67" i="3"/>
  <c r="V67" i="3"/>
  <c r="R67" i="3"/>
  <c r="S67" i="3" s="1"/>
  <c r="K67" i="3"/>
  <c r="W66" i="3"/>
  <c r="G101" i="5" l="1"/>
  <c r="H101" i="5" s="1"/>
  <c r="I101" i="5" s="1"/>
  <c r="R92" i="4"/>
  <c r="S92" i="4" s="1"/>
  <c r="J92" i="4"/>
  <c r="K92" i="4" s="1"/>
  <c r="J68" i="3"/>
  <c r="V68" i="3" s="1"/>
  <c r="G68" i="3"/>
  <c r="W67" i="3"/>
  <c r="G102" i="5" l="1"/>
  <c r="H102" i="5" s="1"/>
  <c r="I102" i="5" s="1"/>
  <c r="V92" i="4"/>
  <c r="W92" i="4"/>
  <c r="G93" i="4"/>
  <c r="J69" i="3"/>
  <c r="V69" i="3" s="1"/>
  <c r="R68" i="3"/>
  <c r="S68" i="3" s="1"/>
  <c r="K68" i="3"/>
  <c r="G103" i="5" l="1"/>
  <c r="H103" i="5" s="1"/>
  <c r="I103" i="5" s="1"/>
  <c r="R93" i="4"/>
  <c r="S93" i="4" s="1"/>
  <c r="J93" i="4"/>
  <c r="K93" i="4" s="1"/>
  <c r="J70" i="3"/>
  <c r="V70" i="3"/>
  <c r="G69" i="3"/>
  <c r="W68" i="3"/>
  <c r="G104" i="5" l="1"/>
  <c r="H104" i="5" s="1"/>
  <c r="I104" i="5" s="1"/>
  <c r="V93" i="4"/>
  <c r="G94" i="4"/>
  <c r="W93" i="4"/>
  <c r="J71" i="3"/>
  <c r="V71" i="3" s="1"/>
  <c r="K69" i="3"/>
  <c r="R69" i="3"/>
  <c r="S69" i="3" s="1"/>
  <c r="G105" i="5" l="1"/>
  <c r="H105" i="5" s="1"/>
  <c r="I105" i="5" s="1"/>
  <c r="R94" i="4"/>
  <c r="S94" i="4" s="1"/>
  <c r="J94" i="4"/>
  <c r="K94" i="4" s="1"/>
  <c r="J72" i="3"/>
  <c r="V72" i="3" s="1"/>
  <c r="W69" i="3"/>
  <c r="G70" i="3"/>
  <c r="G106" i="5" l="1"/>
  <c r="H106" i="5" s="1"/>
  <c r="I106" i="5" s="1"/>
  <c r="I107" i="5" s="1"/>
  <c r="V94" i="4"/>
  <c r="G95" i="4"/>
  <c r="W94" i="4"/>
  <c r="J73" i="3"/>
  <c r="V73" i="3" s="1"/>
  <c r="R70" i="3"/>
  <c r="S70" i="3" s="1"/>
  <c r="K70" i="3"/>
  <c r="G108" i="5" l="1"/>
  <c r="H108" i="5" s="1"/>
  <c r="I108" i="5" s="1"/>
  <c r="R95" i="4"/>
  <c r="S95" i="4" s="1"/>
  <c r="J95" i="4"/>
  <c r="K95" i="4" s="1"/>
  <c r="W70" i="3"/>
  <c r="G71" i="3"/>
  <c r="J74" i="3"/>
  <c r="V74" i="3" s="1"/>
  <c r="G109" i="5" l="1"/>
  <c r="H109" i="5" s="1"/>
  <c r="I109" i="5" s="1"/>
  <c r="V95" i="4"/>
  <c r="W95" i="4"/>
  <c r="G96" i="4"/>
  <c r="J75" i="3"/>
  <c r="V75" i="3"/>
  <c r="E76" i="3" s="1"/>
  <c r="R71" i="3"/>
  <c r="S71" i="3" s="1"/>
  <c r="K71" i="3"/>
  <c r="G110" i="5" l="1"/>
  <c r="H110" i="5" s="1"/>
  <c r="I110" i="5" s="1"/>
  <c r="R96" i="4"/>
  <c r="S96" i="4" s="1"/>
  <c r="J96" i="4"/>
  <c r="K96" i="4" s="1"/>
  <c r="G72" i="3"/>
  <c r="W71" i="3"/>
  <c r="G111" i="5" l="1"/>
  <c r="H111" i="5" s="1"/>
  <c r="I111" i="5" s="1"/>
  <c r="V96" i="4"/>
  <c r="W96" i="4"/>
  <c r="G97" i="4"/>
  <c r="R72" i="3"/>
  <c r="S72" i="3" s="1"/>
  <c r="K72" i="3"/>
  <c r="G112" i="5" l="1"/>
  <c r="H112" i="5" s="1"/>
  <c r="I112" i="5" s="1"/>
  <c r="R97" i="4"/>
  <c r="S97" i="4" s="1"/>
  <c r="J97" i="4"/>
  <c r="K97" i="4" s="1"/>
  <c r="G73" i="3"/>
  <c r="W72" i="3"/>
  <c r="G113" i="5" l="1"/>
  <c r="H113" i="5" s="1"/>
  <c r="I113" i="5" s="1"/>
  <c r="V97" i="4"/>
  <c r="G98" i="4"/>
  <c r="W97" i="4"/>
  <c r="R73" i="3"/>
  <c r="S73" i="3" s="1"/>
  <c r="K73" i="3"/>
  <c r="G114" i="5" l="1"/>
  <c r="H114" i="5" s="1"/>
  <c r="I114" i="5" s="1"/>
  <c r="R98" i="4"/>
  <c r="S98" i="4" s="1"/>
  <c r="J98" i="4"/>
  <c r="K98" i="4" s="1"/>
  <c r="W73" i="3"/>
  <c r="G74" i="3"/>
  <c r="G115" i="5" l="1"/>
  <c r="H115" i="5" s="1"/>
  <c r="I115" i="5" s="1"/>
  <c r="V98" i="4"/>
  <c r="G99" i="4"/>
  <c r="W98" i="4"/>
  <c r="K74" i="3"/>
  <c r="R74" i="3"/>
  <c r="S74" i="3" s="1"/>
  <c r="G116" i="5" l="1"/>
  <c r="H116" i="5" s="1"/>
  <c r="I116" i="5" s="1"/>
  <c r="R99" i="4"/>
  <c r="S99" i="4" s="1"/>
  <c r="J99" i="4"/>
  <c r="K99" i="4" s="1"/>
  <c r="G75" i="3"/>
  <c r="W74" i="3"/>
  <c r="G117" i="5" l="1"/>
  <c r="H117" i="5" s="1"/>
  <c r="I117" i="5" s="1"/>
  <c r="V99" i="4"/>
  <c r="W99" i="4"/>
  <c r="G100" i="4"/>
  <c r="K75" i="3"/>
  <c r="R75" i="3"/>
  <c r="S75" i="3" s="1"/>
  <c r="G118" i="5" l="1"/>
  <c r="H118" i="5" s="1"/>
  <c r="I118" i="5" s="1"/>
  <c r="R100" i="4"/>
  <c r="S100" i="4" s="1"/>
  <c r="J100" i="4"/>
  <c r="K100" i="4" s="1"/>
  <c r="W75" i="3"/>
  <c r="G76" i="3"/>
  <c r="G119" i="5" l="1"/>
  <c r="H119" i="5" s="1"/>
  <c r="I119" i="5" s="1"/>
  <c r="I120" i="5" s="1"/>
  <c r="V100" i="4"/>
  <c r="E101" i="4" s="1"/>
  <c r="G101" i="4" s="1"/>
  <c r="K101" i="4" s="1"/>
  <c r="K76" i="3"/>
  <c r="R76" i="3"/>
  <c r="S76" i="3" s="1"/>
  <c r="G121" i="5" l="1"/>
  <c r="H121" i="5" s="1"/>
  <c r="I121" i="5" s="1"/>
  <c r="W100" i="4"/>
  <c r="R101" i="4"/>
  <c r="S101" i="4" s="1"/>
  <c r="G77" i="3"/>
  <c r="W76" i="3"/>
  <c r="G122" i="5" l="1"/>
  <c r="H122" i="5" s="1"/>
  <c r="I122" i="5" s="1"/>
  <c r="W101" i="4"/>
  <c r="G102" i="4"/>
  <c r="R77" i="3"/>
  <c r="S77" i="3" s="1"/>
  <c r="K77" i="3"/>
  <c r="G123" i="5" l="1"/>
  <c r="H123" i="5" s="1"/>
  <c r="I123" i="5" s="1"/>
  <c r="R102" i="4"/>
  <c r="S102" i="4" s="1"/>
  <c r="K102" i="4"/>
  <c r="W77" i="3"/>
  <c r="G78" i="3"/>
  <c r="G124" i="5" l="1"/>
  <c r="H124" i="5" s="1"/>
  <c r="I124" i="5" s="1"/>
  <c r="W102" i="4"/>
  <c r="G103" i="4"/>
  <c r="R78" i="3"/>
  <c r="S78" i="3" s="1"/>
  <c r="K78" i="3"/>
  <c r="W78" i="3" s="1"/>
  <c r="G125" i="5" l="1"/>
  <c r="H125" i="5" s="1"/>
  <c r="I125" i="5" s="1"/>
  <c r="R103" i="4"/>
  <c r="S103" i="4" s="1"/>
  <c r="K103" i="4"/>
  <c r="W103" i="4" s="1"/>
  <c r="K79" i="3"/>
  <c r="W79" i="3" s="1"/>
  <c r="L78" i="3"/>
  <c r="G79" i="3"/>
  <c r="X78" i="3"/>
  <c r="G126" i="5" l="1"/>
  <c r="H126" i="5" s="1"/>
  <c r="I126" i="5" s="1"/>
  <c r="K104" i="4"/>
  <c r="W104" i="4" s="1"/>
  <c r="L103" i="4"/>
  <c r="X103" i="4"/>
  <c r="G104" i="4"/>
  <c r="K80" i="3"/>
  <c r="W80" i="3" s="1"/>
  <c r="R79" i="3"/>
  <c r="S79" i="3" s="1"/>
  <c r="L79" i="3"/>
  <c r="G127" i="5" l="1"/>
  <c r="H127" i="5" s="1"/>
  <c r="I127" i="5" s="1"/>
  <c r="K105" i="4"/>
  <c r="W105" i="4"/>
  <c r="L104" i="4"/>
  <c r="R104" i="4"/>
  <c r="S104" i="4" s="1"/>
  <c r="K81" i="3"/>
  <c r="W81" i="3" s="1"/>
  <c r="X79" i="3"/>
  <c r="G80" i="3"/>
  <c r="G128" i="5" l="1"/>
  <c r="H128" i="5" s="1"/>
  <c r="I128" i="5" s="1"/>
  <c r="K106" i="4"/>
  <c r="W106" i="4" s="1"/>
  <c r="G105" i="4"/>
  <c r="X104" i="4"/>
  <c r="K82" i="3"/>
  <c r="W82" i="3" s="1"/>
  <c r="L80" i="3"/>
  <c r="R80" i="3"/>
  <c r="S80" i="3" s="1"/>
  <c r="G129" i="5" l="1"/>
  <c r="H129" i="5" s="1"/>
  <c r="I129" i="5" s="1"/>
  <c r="K107" i="4"/>
  <c r="W107" i="4" s="1"/>
  <c r="R105" i="4"/>
  <c r="S105" i="4" s="1"/>
  <c r="L105" i="4"/>
  <c r="K83" i="3"/>
  <c r="W83" i="3" s="1"/>
  <c r="X80" i="3"/>
  <c r="G81" i="3"/>
  <c r="G130" i="5" l="1"/>
  <c r="H130" i="5" s="1"/>
  <c r="I130" i="5" s="1"/>
  <c r="K108" i="4"/>
  <c r="W108" i="4"/>
  <c r="G106" i="4"/>
  <c r="X105" i="4"/>
  <c r="R81" i="3"/>
  <c r="S81" i="3" s="1"/>
  <c r="L81" i="3"/>
  <c r="K84" i="3"/>
  <c r="W84" i="3" s="1"/>
  <c r="G131" i="5" l="1"/>
  <c r="H131" i="5" s="1"/>
  <c r="I131" i="5" s="1"/>
  <c r="K109" i="4"/>
  <c r="W109" i="4" s="1"/>
  <c r="R106" i="4"/>
  <c r="S106" i="4" s="1"/>
  <c r="L106" i="4"/>
  <c r="K85" i="3"/>
  <c r="W85" i="3" s="1"/>
  <c r="X81" i="3"/>
  <c r="G82" i="3"/>
  <c r="G132" i="5" l="1"/>
  <c r="H132" i="5" s="1"/>
  <c r="I132" i="5" s="1"/>
  <c r="I133" i="5" s="1"/>
  <c r="K110" i="4"/>
  <c r="W110" i="4" s="1"/>
  <c r="G107" i="4"/>
  <c r="X106" i="4"/>
  <c r="K86" i="3"/>
  <c r="W86" i="3" s="1"/>
  <c r="R82" i="3"/>
  <c r="S82" i="3" s="1"/>
  <c r="L82" i="3"/>
  <c r="G134" i="5" l="1"/>
  <c r="H134" i="5" s="1"/>
  <c r="I134" i="5" s="1"/>
  <c r="K111" i="4"/>
  <c r="W111" i="4" s="1"/>
  <c r="L107" i="4"/>
  <c r="R107" i="4"/>
  <c r="S107" i="4" s="1"/>
  <c r="G83" i="3"/>
  <c r="X82" i="3"/>
  <c r="K87" i="3"/>
  <c r="W87" i="3" s="1"/>
  <c r="E88" i="3" s="1"/>
  <c r="G135" i="5" l="1"/>
  <c r="H135" i="5" s="1"/>
  <c r="I135" i="5" s="1"/>
  <c r="K112" i="4"/>
  <c r="W112" i="4" s="1"/>
  <c r="E113" i="4" s="1"/>
  <c r="X107" i="4"/>
  <c r="G108" i="4"/>
  <c r="R83" i="3"/>
  <c r="S83" i="3" s="1"/>
  <c r="L83" i="3"/>
  <c r="G136" i="5" l="1"/>
  <c r="H136" i="5" s="1"/>
  <c r="I136" i="5" s="1"/>
  <c r="R108" i="4"/>
  <c r="S108" i="4" s="1"/>
  <c r="L108" i="4"/>
  <c r="G84" i="3"/>
  <c r="X83" i="3"/>
  <c r="G137" i="5" l="1"/>
  <c r="H137" i="5" s="1"/>
  <c r="I137" i="5" s="1"/>
  <c r="G109" i="4"/>
  <c r="X108" i="4"/>
  <c r="R84" i="3"/>
  <c r="S84" i="3" s="1"/>
  <c r="L84" i="3"/>
  <c r="G138" i="5" l="1"/>
  <c r="H138" i="5" s="1"/>
  <c r="I138" i="5" s="1"/>
  <c r="R109" i="4"/>
  <c r="S109" i="4" s="1"/>
  <c r="L109" i="4"/>
  <c r="X84" i="3"/>
  <c r="G85" i="3"/>
  <c r="G139" i="5" l="1"/>
  <c r="H139" i="5" s="1"/>
  <c r="I139" i="5" s="1"/>
  <c r="G110" i="4"/>
  <c r="X109" i="4"/>
  <c r="L85" i="3"/>
  <c r="R85" i="3"/>
  <c r="S85" i="3" s="1"/>
  <c r="G140" i="5" l="1"/>
  <c r="H140" i="5" s="1"/>
  <c r="I140" i="5" s="1"/>
  <c r="R110" i="4"/>
  <c r="S110" i="4" s="1"/>
  <c r="L110" i="4"/>
  <c r="X85" i="3"/>
  <c r="G86" i="3"/>
  <c r="G141" i="5" l="1"/>
  <c r="H141" i="5" s="1"/>
  <c r="I141" i="5" s="1"/>
  <c r="G111" i="4"/>
  <c r="X110" i="4"/>
  <c r="L86" i="3"/>
  <c r="R86" i="3"/>
  <c r="S86" i="3" s="1"/>
  <c r="G142" i="5" l="1"/>
  <c r="H142" i="5" s="1"/>
  <c r="I142" i="5" s="1"/>
  <c r="R111" i="4"/>
  <c r="S111" i="4" s="1"/>
  <c r="L111" i="4"/>
  <c r="G87" i="3"/>
  <c r="X86" i="3"/>
  <c r="G143" i="5" l="1"/>
  <c r="H143" i="5" s="1"/>
  <c r="I143" i="5" s="1"/>
  <c r="X111" i="4"/>
  <c r="G112" i="4"/>
  <c r="R87" i="3"/>
  <c r="S87" i="3" s="1"/>
  <c r="L87" i="3"/>
  <c r="G144" i="5" l="1"/>
  <c r="H144" i="5" s="1"/>
  <c r="I144" i="5" s="1"/>
  <c r="L112" i="4"/>
  <c r="R112" i="4"/>
  <c r="S112" i="4" s="1"/>
  <c r="X87" i="3"/>
  <c r="G88" i="3"/>
  <c r="G145" i="5" l="1"/>
  <c r="H145" i="5" s="1"/>
  <c r="I145" i="5" s="1"/>
  <c r="I146" i="5" s="1"/>
  <c r="G113" i="4"/>
  <c r="X112" i="4"/>
  <c r="L88" i="3"/>
  <c r="R88" i="3"/>
  <c r="S88" i="3" s="1"/>
  <c r="G147" i="5" l="1"/>
  <c r="H147" i="5" s="1"/>
  <c r="I147" i="5" s="1"/>
  <c r="L113" i="4"/>
  <c r="R113" i="4"/>
  <c r="S113" i="4" s="1"/>
  <c r="G89" i="3"/>
  <c r="X88" i="3"/>
  <c r="G148" i="5" l="1"/>
  <c r="H148" i="5" s="1"/>
  <c r="I148" i="5" s="1"/>
  <c r="G114" i="4"/>
  <c r="X113" i="4"/>
  <c r="R89" i="3"/>
  <c r="S89" i="3" s="1"/>
  <c r="L89" i="3"/>
  <c r="G149" i="5" l="1"/>
  <c r="H149" i="5" s="1"/>
  <c r="I149" i="5" s="1"/>
  <c r="L114" i="4"/>
  <c r="R114" i="4"/>
  <c r="S114" i="4" s="1"/>
  <c r="G90" i="3"/>
  <c r="X89" i="3"/>
  <c r="G150" i="5" l="1"/>
  <c r="H150" i="5" s="1"/>
  <c r="I150" i="5" s="1"/>
  <c r="X114" i="4"/>
  <c r="G115" i="4"/>
  <c r="L90" i="3"/>
  <c r="X90" i="3" s="1"/>
  <c r="R90" i="3"/>
  <c r="S90" i="3" s="1"/>
  <c r="G151" i="5" l="1"/>
  <c r="H151" i="5" s="1"/>
  <c r="I151" i="5" s="1"/>
  <c r="R115" i="4"/>
  <c r="S115" i="4" s="1"/>
  <c r="L115" i="4"/>
  <c r="M115" i="4" s="1"/>
  <c r="L91" i="3"/>
  <c r="X91" i="3" s="1"/>
  <c r="M90" i="3"/>
  <c r="G91" i="3"/>
  <c r="Y90" i="3"/>
  <c r="G152" i="5" l="1"/>
  <c r="H152" i="5" s="1"/>
  <c r="I152" i="5" s="1"/>
  <c r="G116" i="4"/>
  <c r="X115" i="4"/>
  <c r="Y115" i="4" s="1"/>
  <c r="L92" i="3"/>
  <c r="X92" i="3" s="1"/>
  <c r="M91" i="3"/>
  <c r="R91" i="3"/>
  <c r="S91" i="3" s="1"/>
  <c r="G153" i="5" l="1"/>
  <c r="H153" i="5" s="1"/>
  <c r="I153" i="5" s="1"/>
  <c r="R116" i="4"/>
  <c r="S116" i="4" s="1"/>
  <c r="L116" i="4"/>
  <c r="M116" i="4" s="1"/>
  <c r="L93" i="3"/>
  <c r="X93" i="3" s="1"/>
  <c r="Y91" i="3"/>
  <c r="G92" i="3"/>
  <c r="G154" i="5" l="1"/>
  <c r="H154" i="5" s="1"/>
  <c r="I154" i="5" s="1"/>
  <c r="X116" i="4"/>
  <c r="G117" i="4"/>
  <c r="Y116" i="4"/>
  <c r="L94" i="3"/>
  <c r="X94" i="3" s="1"/>
  <c r="M92" i="3"/>
  <c r="R92" i="3"/>
  <c r="S92" i="3" s="1"/>
  <c r="G155" i="5" l="1"/>
  <c r="H155" i="5" s="1"/>
  <c r="I155" i="5" s="1"/>
  <c r="R117" i="4"/>
  <c r="S117" i="4" s="1"/>
  <c r="L117" i="4"/>
  <c r="X117" i="4" s="1"/>
  <c r="L95" i="3"/>
  <c r="X95" i="3"/>
  <c r="Y92" i="3"/>
  <c r="G93" i="3"/>
  <c r="G156" i="5" l="1"/>
  <c r="H156" i="5" s="1"/>
  <c r="I156" i="5" s="1"/>
  <c r="L118" i="4"/>
  <c r="X118" i="4" s="1"/>
  <c r="M117" i="4"/>
  <c r="G118" i="4"/>
  <c r="Y117" i="4"/>
  <c r="L96" i="3"/>
  <c r="X96" i="3" s="1"/>
  <c r="R93" i="3"/>
  <c r="S93" i="3" s="1"/>
  <c r="M93" i="3"/>
  <c r="G157" i="5" l="1"/>
  <c r="H157" i="5" s="1"/>
  <c r="I157" i="5" s="1"/>
  <c r="L119" i="4"/>
  <c r="X119" i="4"/>
  <c r="M118" i="4"/>
  <c r="R118" i="4"/>
  <c r="S118" i="4" s="1"/>
  <c r="L97" i="3"/>
  <c r="X97" i="3" s="1"/>
  <c r="G94" i="3"/>
  <c r="Y93" i="3"/>
  <c r="G158" i="5" l="1"/>
  <c r="H158" i="5" s="1"/>
  <c r="I158" i="5" s="1"/>
  <c r="I159" i="5" s="1"/>
  <c r="Y118" i="4"/>
  <c r="G119" i="4"/>
  <c r="L120" i="4"/>
  <c r="X120" i="4" s="1"/>
  <c r="R94" i="3"/>
  <c r="S94" i="3" s="1"/>
  <c r="M94" i="3"/>
  <c r="L98" i="3"/>
  <c r="X98" i="3" s="1"/>
  <c r="G160" i="5" l="1"/>
  <c r="H160" i="5" s="1"/>
  <c r="I160" i="5" s="1"/>
  <c r="L121" i="4"/>
  <c r="X121" i="4" s="1"/>
  <c r="R119" i="4"/>
  <c r="S119" i="4" s="1"/>
  <c r="M119" i="4"/>
  <c r="L99" i="3"/>
  <c r="X99" i="3" s="1"/>
  <c r="G95" i="3"/>
  <c r="Y94" i="3"/>
  <c r="G161" i="5" l="1"/>
  <c r="H161" i="5" s="1"/>
  <c r="I161" i="5" s="1"/>
  <c r="L122" i="4"/>
  <c r="X122" i="4"/>
  <c r="G120" i="4"/>
  <c r="Y119" i="4"/>
  <c r="R95" i="3"/>
  <c r="S95" i="3" s="1"/>
  <c r="M95" i="3"/>
  <c r="G162" i="5" l="1"/>
  <c r="H162" i="5" s="1"/>
  <c r="I162" i="5" s="1"/>
  <c r="L123" i="4"/>
  <c r="X123" i="4" s="1"/>
  <c r="M120" i="4"/>
  <c r="R120" i="4"/>
  <c r="S120" i="4" s="1"/>
  <c r="Y95" i="3"/>
  <c r="G96" i="3"/>
  <c r="G163" i="5" l="1"/>
  <c r="H163" i="5" s="1"/>
  <c r="I163" i="5" s="1"/>
  <c r="L124" i="4"/>
  <c r="X124" i="4"/>
  <c r="G121" i="4"/>
  <c r="Y120" i="4"/>
  <c r="M96" i="3"/>
  <c r="R96" i="3"/>
  <c r="S96" i="3" s="1"/>
  <c r="G164" i="5" l="1"/>
  <c r="H164" i="5" s="1"/>
  <c r="I164" i="5" s="1"/>
  <c r="R121" i="4"/>
  <c r="S121" i="4" s="1"/>
  <c r="M121" i="4"/>
  <c r="G97" i="3"/>
  <c r="Y96" i="3"/>
  <c r="G165" i="5" l="1"/>
  <c r="H165" i="5" s="1"/>
  <c r="I165" i="5" s="1"/>
  <c r="Y121" i="4"/>
  <c r="G122" i="4"/>
  <c r="M97" i="3"/>
  <c r="R97" i="3"/>
  <c r="S97" i="3" s="1"/>
  <c r="G166" i="5" l="1"/>
  <c r="H166" i="5" s="1"/>
  <c r="I166" i="5" s="1"/>
  <c r="R122" i="4"/>
  <c r="S122" i="4" s="1"/>
  <c r="M122" i="4"/>
  <c r="Y97" i="3"/>
  <c r="G98" i="3"/>
  <c r="G167" i="5" l="1"/>
  <c r="H167" i="5" s="1"/>
  <c r="I167" i="5" s="1"/>
  <c r="Y122" i="4"/>
  <c r="G123" i="4"/>
  <c r="M98" i="3"/>
  <c r="R98" i="3"/>
  <c r="S98" i="3" s="1"/>
  <c r="G168" i="5" l="1"/>
  <c r="H168" i="5" s="1"/>
  <c r="I168" i="5" s="1"/>
  <c r="M123" i="4"/>
  <c r="R123" i="4"/>
  <c r="S123" i="4" s="1"/>
  <c r="G99" i="3"/>
  <c r="Y98" i="3"/>
  <c r="G169" i="5" l="1"/>
  <c r="H169" i="5" s="1"/>
  <c r="I169" i="5" s="1"/>
  <c r="G124" i="4"/>
  <c r="Y123" i="4"/>
  <c r="R99" i="3"/>
  <c r="S99" i="3" s="1"/>
  <c r="M99" i="3"/>
  <c r="G170" i="5" l="1"/>
  <c r="H170" i="5" s="1"/>
  <c r="I170" i="5" s="1"/>
  <c r="R124" i="4"/>
  <c r="S124" i="4" s="1"/>
  <c r="M124" i="4"/>
  <c r="Y99" i="3"/>
  <c r="G100" i="3"/>
  <c r="G171" i="5" l="1"/>
  <c r="H171" i="5" s="1"/>
  <c r="I171" i="5" s="1"/>
  <c r="G125" i="4"/>
  <c r="Y124" i="4"/>
  <c r="M100" i="3"/>
  <c r="R100" i="3"/>
  <c r="S100" i="3" s="1"/>
  <c r="M125" i="4" l="1"/>
  <c r="R125" i="4"/>
  <c r="S125" i="4" s="1"/>
  <c r="G101" i="3"/>
  <c r="Y100" i="3"/>
  <c r="G126" i="4" l="1"/>
  <c r="Y125" i="4"/>
  <c r="M101" i="3"/>
  <c r="R101" i="3"/>
  <c r="S101" i="3" s="1"/>
  <c r="M126" i="4" l="1"/>
  <c r="R126" i="4"/>
  <c r="S126" i="4" s="1"/>
  <c r="G102" i="3"/>
  <c r="Y101" i="3"/>
  <c r="Y126" i="4" l="1"/>
  <c r="G127" i="4"/>
  <c r="M102" i="3"/>
  <c r="Y102" i="3"/>
  <c r="N102" i="3"/>
  <c r="R102" i="3"/>
  <c r="S102" i="3" s="1"/>
  <c r="R127" i="4" l="1"/>
  <c r="S127" i="4" s="1"/>
  <c r="M127" i="4"/>
  <c r="N127" i="4" s="1"/>
  <c r="M103" i="3"/>
  <c r="Y103" i="3" s="1"/>
  <c r="G103" i="3"/>
  <c r="Z102" i="3"/>
  <c r="Y127" i="4" l="1"/>
  <c r="G128" i="4"/>
  <c r="Z127" i="4"/>
  <c r="M104" i="3"/>
  <c r="Y104" i="3" s="1"/>
  <c r="N103" i="3"/>
  <c r="R103" i="3"/>
  <c r="S103" i="3" s="1"/>
  <c r="R128" i="4" l="1"/>
  <c r="S128" i="4" s="1"/>
  <c r="M128" i="4"/>
  <c r="N128" i="4" s="1"/>
  <c r="Y128" i="4"/>
  <c r="M105" i="3"/>
  <c r="Y105" i="3" s="1"/>
  <c r="Z103" i="3"/>
  <c r="G104" i="3"/>
  <c r="M129" i="4" l="1"/>
  <c r="Y129" i="4"/>
  <c r="G129" i="4"/>
  <c r="Z128" i="4"/>
  <c r="R104" i="3"/>
  <c r="S104" i="3" s="1"/>
  <c r="N104" i="3"/>
  <c r="M106" i="3"/>
  <c r="Y106" i="3" s="1"/>
  <c r="M130" i="4" l="1"/>
  <c r="Y130" i="4" s="1"/>
  <c r="R129" i="4"/>
  <c r="S129" i="4" s="1"/>
  <c r="N129" i="4"/>
  <c r="M107" i="3"/>
  <c r="Y107" i="3" s="1"/>
  <c r="Z104" i="3"/>
  <c r="G105" i="3"/>
  <c r="M131" i="4" l="1"/>
  <c r="Y131" i="4"/>
  <c r="Z129" i="4"/>
  <c r="G130" i="4"/>
  <c r="M108" i="3"/>
  <c r="Y108" i="3"/>
  <c r="R105" i="3"/>
  <c r="S105" i="3" s="1"/>
  <c r="N105" i="3"/>
  <c r="M132" i="4" l="1"/>
  <c r="Y132" i="4" s="1"/>
  <c r="N130" i="4"/>
  <c r="R130" i="4"/>
  <c r="S130" i="4" s="1"/>
  <c r="M109" i="3"/>
  <c r="Y109" i="3" s="1"/>
  <c r="Z105" i="3"/>
  <c r="G106" i="3"/>
  <c r="M133" i="4" l="1"/>
  <c r="Y133" i="4" s="1"/>
  <c r="Z130" i="4"/>
  <c r="G131" i="4"/>
  <c r="M110" i="3"/>
  <c r="Y110" i="3" s="1"/>
  <c r="R106" i="3"/>
  <c r="S106" i="3" s="1"/>
  <c r="N106" i="3"/>
  <c r="M134" i="4" l="1"/>
  <c r="Y134" i="4" s="1"/>
  <c r="N131" i="4"/>
  <c r="R131" i="4"/>
  <c r="S131" i="4" s="1"/>
  <c r="M111" i="3"/>
  <c r="Y111" i="3" s="1"/>
  <c r="Z106" i="3"/>
  <c r="G107" i="3"/>
  <c r="M135" i="4" l="1"/>
  <c r="Y135" i="4" s="1"/>
  <c r="G132" i="4"/>
  <c r="Z131" i="4"/>
  <c r="N107" i="3"/>
  <c r="R107" i="3"/>
  <c r="S107" i="3" s="1"/>
  <c r="M136" i="4" l="1"/>
  <c r="Y136" i="4"/>
  <c r="E137" i="4" s="1"/>
  <c r="R132" i="4"/>
  <c r="S132" i="4" s="1"/>
  <c r="N132" i="4"/>
  <c r="G108" i="3"/>
  <c r="Z107" i="3"/>
  <c r="Z132" i="4" l="1"/>
  <c r="G133" i="4"/>
  <c r="R108" i="3"/>
  <c r="S108" i="3" s="1"/>
  <c r="N108" i="3"/>
  <c r="R133" i="4" l="1"/>
  <c r="S133" i="4" s="1"/>
  <c r="N133" i="4"/>
  <c r="G109" i="3"/>
  <c r="Z108" i="3"/>
  <c r="G134" i="4" l="1"/>
  <c r="Z133" i="4"/>
  <c r="N109" i="3"/>
  <c r="R109" i="3"/>
  <c r="S109" i="3" s="1"/>
  <c r="R134" i="4" l="1"/>
  <c r="S134" i="4" s="1"/>
  <c r="N134" i="4"/>
  <c r="G110" i="3"/>
  <c r="Z109" i="3"/>
  <c r="Z134" i="4" l="1"/>
  <c r="G135" i="4"/>
  <c r="N110" i="3"/>
  <c r="R110" i="3"/>
  <c r="S110" i="3" s="1"/>
  <c r="N135" i="4" l="1"/>
  <c r="R135" i="4"/>
  <c r="S135" i="4" s="1"/>
  <c r="G111" i="3"/>
  <c r="Z110" i="3"/>
  <c r="G136" i="4" l="1"/>
  <c r="Z135" i="4"/>
  <c r="N111" i="3"/>
  <c r="R111" i="3"/>
  <c r="S111" i="3" s="1"/>
  <c r="R136" i="4" l="1"/>
  <c r="S136" i="4" s="1"/>
  <c r="N136" i="4"/>
  <c r="Z111" i="3"/>
  <c r="G112" i="3"/>
  <c r="G137" i="4" l="1"/>
  <c r="Z136" i="4"/>
  <c r="R112" i="3"/>
  <c r="S112" i="3" s="1"/>
  <c r="N112" i="3"/>
  <c r="H112" i="3"/>
  <c r="I112" i="3" s="1"/>
  <c r="N137" i="4" l="1"/>
  <c r="R137" i="4"/>
  <c r="S137" i="4" s="1"/>
  <c r="G113" i="3"/>
  <c r="Z112" i="3"/>
  <c r="G138" i="4" l="1"/>
  <c r="Z137" i="4"/>
  <c r="R113" i="3"/>
  <c r="S113" i="3" s="1"/>
  <c r="N113" i="3"/>
  <c r="H113" i="3"/>
  <c r="I113" i="3" s="1"/>
  <c r="R138" i="4" l="1"/>
  <c r="S138" i="4" s="1"/>
  <c r="N138" i="4"/>
  <c r="Z113" i="3"/>
  <c r="G114" i="3"/>
  <c r="G139" i="4" l="1"/>
  <c r="Z138" i="4"/>
  <c r="R114" i="3"/>
  <c r="S114" i="3" s="1"/>
  <c r="N114" i="3"/>
  <c r="Z114" i="3" s="1"/>
  <c r="R139" i="4" l="1"/>
  <c r="S139" i="4" s="1"/>
  <c r="N139" i="4"/>
  <c r="O139" i="4" s="1"/>
  <c r="N115" i="3"/>
  <c r="Z115" i="3" s="1"/>
  <c r="O114" i="3"/>
  <c r="AA114" i="3"/>
  <c r="G115" i="3"/>
  <c r="Z139" i="4" l="1"/>
  <c r="G140" i="4"/>
  <c r="AA139" i="4"/>
  <c r="O115" i="3"/>
  <c r="R115" i="3"/>
  <c r="S115" i="3" s="1"/>
  <c r="N116" i="3"/>
  <c r="Z116" i="3" s="1"/>
  <c r="R140" i="4" l="1"/>
  <c r="S140" i="4" s="1"/>
  <c r="N140" i="4"/>
  <c r="O140" i="4" s="1"/>
  <c r="N117" i="3"/>
  <c r="Z117" i="3" s="1"/>
  <c r="G116" i="3"/>
  <c r="AA115" i="3"/>
  <c r="Z140" i="4" l="1"/>
  <c r="G141" i="4"/>
  <c r="AA140" i="4"/>
  <c r="N118" i="3"/>
  <c r="Z118" i="3" s="1"/>
  <c r="R116" i="3"/>
  <c r="S116" i="3" s="1"/>
  <c r="O116" i="3"/>
  <c r="R141" i="4" l="1"/>
  <c r="S141" i="4" s="1"/>
  <c r="N141" i="4"/>
  <c r="O141" i="4" s="1"/>
  <c r="N119" i="3"/>
  <c r="Z119" i="3" s="1"/>
  <c r="G117" i="3"/>
  <c r="AA116" i="3"/>
  <c r="Z141" i="4" l="1"/>
  <c r="AA141" i="4"/>
  <c r="G142" i="4"/>
  <c r="N120" i="3"/>
  <c r="Z120" i="3" s="1"/>
  <c r="O117" i="3"/>
  <c r="R117" i="3"/>
  <c r="S117" i="3" s="1"/>
  <c r="R142" i="4" l="1"/>
  <c r="S142" i="4" s="1"/>
  <c r="N142" i="4"/>
  <c r="O142" i="4" s="1"/>
  <c r="N121" i="3"/>
  <c r="Z121" i="3" s="1"/>
  <c r="AA117" i="3"/>
  <c r="G118" i="3"/>
  <c r="Z142" i="4" l="1"/>
  <c r="G143" i="4"/>
  <c r="AA142" i="4"/>
  <c r="N122" i="3"/>
  <c r="Z122" i="3" s="1"/>
  <c r="O118" i="3"/>
  <c r="R118" i="3"/>
  <c r="S118" i="3" s="1"/>
  <c r="R143" i="4" l="1"/>
  <c r="S143" i="4" s="1"/>
  <c r="N143" i="4"/>
  <c r="Z143" i="4" s="1"/>
  <c r="N123" i="3"/>
  <c r="Z123" i="3" s="1"/>
  <c r="G119" i="3"/>
  <c r="AA118" i="3"/>
  <c r="N144" i="4" l="1"/>
  <c r="Z144" i="4" s="1"/>
  <c r="O143" i="4"/>
  <c r="AA143" i="4"/>
  <c r="G144" i="4"/>
  <c r="R119" i="3"/>
  <c r="S119" i="3" s="1"/>
  <c r="O119" i="3"/>
  <c r="N145" i="4" l="1"/>
  <c r="Z145" i="4"/>
  <c r="R144" i="4"/>
  <c r="S144" i="4" s="1"/>
  <c r="O144" i="4"/>
  <c r="AA119" i="3"/>
  <c r="G120" i="3"/>
  <c r="N146" i="4" l="1"/>
  <c r="Z146" i="4" s="1"/>
  <c r="G145" i="4"/>
  <c r="AA144" i="4"/>
  <c r="R120" i="3"/>
  <c r="S120" i="3" s="1"/>
  <c r="O120" i="3"/>
  <c r="N147" i="4" l="1"/>
  <c r="Z147" i="4"/>
  <c r="R145" i="4"/>
  <c r="S145" i="4" s="1"/>
  <c r="O145" i="4"/>
  <c r="AA120" i="3"/>
  <c r="G121" i="3"/>
  <c r="N148" i="4" l="1"/>
  <c r="Z148" i="4" s="1"/>
  <c r="AA145" i="4"/>
  <c r="G146" i="4"/>
  <c r="R121" i="3"/>
  <c r="S121" i="3" s="1"/>
  <c r="O121" i="3"/>
  <c r="O146" i="4" l="1"/>
  <c r="R146" i="4"/>
  <c r="S146" i="4" s="1"/>
  <c r="AA121" i="3"/>
  <c r="G122" i="3"/>
  <c r="G147" i="4" l="1"/>
  <c r="AA146" i="4"/>
  <c r="R122" i="3"/>
  <c r="S122" i="3" s="1"/>
  <c r="O122" i="3"/>
  <c r="O147" i="4" l="1"/>
  <c r="R147" i="4"/>
  <c r="S147" i="4" s="1"/>
  <c r="AA122" i="3"/>
  <c r="G123" i="3"/>
  <c r="G148" i="4" l="1"/>
  <c r="AA147" i="4"/>
  <c r="O123" i="3"/>
  <c r="R123" i="3"/>
  <c r="S123" i="3" s="1"/>
  <c r="R148" i="4" l="1"/>
  <c r="S148" i="4" s="1"/>
  <c r="O148" i="4"/>
  <c r="G124" i="3"/>
  <c r="AA123" i="3"/>
  <c r="G149" i="4" l="1"/>
  <c r="AA148" i="4"/>
  <c r="O124" i="3"/>
  <c r="R124" i="3"/>
  <c r="S124" i="3" s="1"/>
  <c r="R149" i="4" l="1"/>
  <c r="S149" i="4" s="1"/>
  <c r="O149" i="4"/>
  <c r="AA124" i="3"/>
  <c r="G125" i="3"/>
  <c r="G150" i="4" l="1"/>
  <c r="AA149" i="4"/>
  <c r="R125" i="3"/>
  <c r="S125" i="3" s="1"/>
  <c r="O125" i="3"/>
  <c r="R150" i="4" l="1"/>
  <c r="S150" i="4" s="1"/>
  <c r="O150" i="4"/>
  <c r="AA125" i="3"/>
  <c r="G151" i="4" l="1"/>
  <c r="AA150" i="4"/>
  <c r="R151" i="4" l="1"/>
  <c r="S151" i="4" s="1"/>
  <c r="O151" i="4"/>
  <c r="P151" i="4" s="1"/>
  <c r="G152" i="4" l="1"/>
  <c r="AA151" i="4"/>
  <c r="O152" i="4" l="1"/>
  <c r="AA152" i="4" s="1"/>
  <c r="AB151" i="4"/>
  <c r="P152" i="4"/>
  <c r="R152" i="4"/>
  <c r="S152" i="4" s="1"/>
  <c r="O153" i="4" l="1"/>
  <c r="AA153" i="4" s="1"/>
  <c r="G153" i="4"/>
  <c r="AB152" i="4"/>
  <c r="O154" i="4" l="1"/>
  <c r="AA154" i="4" s="1"/>
  <c r="P153" i="4"/>
  <c r="R153" i="4"/>
  <c r="S153" i="4" s="1"/>
  <c r="O155" i="4" l="1"/>
  <c r="AA155" i="4" s="1"/>
  <c r="AB153" i="4"/>
  <c r="G154" i="4"/>
  <c r="O156" i="4" l="1"/>
  <c r="AA156" i="4" s="1"/>
  <c r="P154" i="4"/>
  <c r="R154" i="4"/>
  <c r="S154" i="4" s="1"/>
  <c r="O157" i="4" l="1"/>
  <c r="AA157" i="4" s="1"/>
  <c r="AB154" i="4"/>
  <c r="G155" i="4"/>
  <c r="O158" i="4" l="1"/>
  <c r="AA158" i="4" s="1"/>
  <c r="P155" i="4"/>
  <c r="R155" i="4"/>
  <c r="S155" i="4" s="1"/>
  <c r="O159" i="4" l="1"/>
  <c r="AA159" i="4" s="1"/>
  <c r="G156" i="4"/>
  <c r="AB155" i="4"/>
  <c r="O160" i="4" l="1"/>
  <c r="AA160" i="4" s="1"/>
  <c r="P156" i="4"/>
  <c r="R156" i="4"/>
  <c r="S156" i="4" s="1"/>
  <c r="AB156" i="4" l="1"/>
  <c r="G157" i="4"/>
  <c r="R157" i="4" l="1"/>
  <c r="S157" i="4" s="1"/>
  <c r="P157" i="4"/>
  <c r="AB157" i="4" l="1"/>
  <c r="G158" i="4"/>
  <c r="R158" i="4" l="1"/>
  <c r="S158" i="4" s="1"/>
  <c r="P158" i="4"/>
  <c r="G159" i="4" l="1"/>
  <c r="AB158" i="4"/>
  <c r="R159" i="4" l="1"/>
  <c r="S159" i="4" s="1"/>
  <c r="P159" i="4"/>
  <c r="G160" i="4" l="1"/>
  <c r="AB159" i="4"/>
  <c r="R160" i="4" l="1"/>
  <c r="S160" i="4" s="1"/>
  <c r="P160" i="4"/>
  <c r="G161" i="4" l="1"/>
  <c r="AB160" i="4"/>
  <c r="R161" i="4" l="1"/>
  <c r="S161" i="4" s="1"/>
  <c r="P161" i="4"/>
  <c r="G162" i="4" l="1"/>
  <c r="AB161" i="4"/>
  <c r="P162" i="4" l="1"/>
  <c r="R162" i="4"/>
  <c r="S162" i="4" s="1"/>
  <c r="AB162" i="4" l="1"/>
  <c r="G163" i="4"/>
  <c r="R163" i="4" l="1"/>
  <c r="S163" i="4" s="1"/>
  <c r="P163" i="4"/>
  <c r="Q163" i="4" s="1"/>
  <c r="AB163" i="4" l="1"/>
  <c r="AC163" i="4"/>
  <c r="G164" i="4"/>
  <c r="R164" i="4" s="1"/>
  <c r="S164" i="4" s="1"/>
  <c r="G165" i="4" l="1"/>
  <c r="R165" i="4" s="1"/>
  <c r="S165" i="4"/>
  <c r="P164" i="4"/>
  <c r="AB164" i="4" s="1"/>
  <c r="P165" i="4" l="1"/>
  <c r="AB165" i="4" s="1"/>
  <c r="AC164" i="4"/>
  <c r="G166" i="4"/>
  <c r="R166" i="4" s="1"/>
  <c r="S166" i="4" s="1"/>
  <c r="G167" i="4" l="1"/>
  <c r="R167" i="4" s="1"/>
  <c r="S167" i="4"/>
  <c r="P166" i="4"/>
  <c r="AB166" i="4" s="1"/>
  <c r="AC165" i="4"/>
  <c r="P167" i="4" l="1"/>
  <c r="AB167" i="4" s="1"/>
  <c r="AC166" i="4"/>
  <c r="G168" i="4"/>
  <c r="R168" i="4" s="1"/>
  <c r="S168" i="4" s="1"/>
  <c r="G169" i="4" l="1"/>
  <c r="R169" i="4" s="1"/>
  <c r="S169" i="4" s="1"/>
  <c r="P168" i="4"/>
  <c r="AB168" i="4" s="1"/>
  <c r="AC167" i="4"/>
  <c r="P169" i="4" l="1"/>
  <c r="AB169" i="4" s="1"/>
  <c r="AC168" i="4"/>
  <c r="G170" i="4"/>
  <c r="R170" i="4" s="1"/>
  <c r="S170" i="4" s="1"/>
  <c r="G171" i="4" l="1"/>
  <c r="R171" i="4" s="1"/>
  <c r="S171" i="4" s="1"/>
  <c r="P170" i="4"/>
  <c r="AB170" i="4" s="1"/>
  <c r="AC169" i="4"/>
  <c r="P171" i="4" l="1"/>
  <c r="AB171" i="4" s="1"/>
  <c r="AC170" i="4"/>
  <c r="G172" i="4"/>
  <c r="R172" i="4" s="1"/>
  <c r="S172" i="4" s="1"/>
  <c r="P172" i="4" l="1"/>
  <c r="AB172" i="4" s="1"/>
  <c r="AC172" i="4" s="1"/>
  <c r="AC171" i="4"/>
</calcChain>
</file>

<file path=xl/sharedStrings.xml><?xml version="1.0" encoding="utf-8"?>
<sst xmlns="http://schemas.openxmlformats.org/spreadsheetml/2006/main" count="580" uniqueCount="201">
  <si>
    <t>NW Natural</t>
  </si>
  <si>
    <t>Rates &amp; Regulatory Affairs</t>
  </si>
  <si>
    <t>2019-2020 PGA Filing - Washington: September Filing</t>
  </si>
  <si>
    <t>Calculation of Increments Allocated on the EQUAL PERCENTAGE OF MARGIN BASIS</t>
  </si>
  <si>
    <t>Billing</t>
  </si>
  <si>
    <t>WACOG &amp;</t>
  </si>
  <si>
    <t>Temps from</t>
  </si>
  <si>
    <t>R&amp;C Energy Efficiency Programs</t>
  </si>
  <si>
    <t>PGA</t>
  </si>
  <si>
    <t>Rate from</t>
  </si>
  <si>
    <t>Demand from</t>
  </si>
  <si>
    <t>Temporary</t>
  </si>
  <si>
    <t>Proposed Amount:</t>
  </si>
  <si>
    <t>Temporary Increments</t>
  </si>
  <si>
    <t>Volumes page,</t>
  </si>
  <si>
    <t>Rates page,</t>
  </si>
  <si>
    <t>Increment  page,</t>
  </si>
  <si>
    <t>MARGIN</t>
  </si>
  <si>
    <t>Volumetric</t>
  </si>
  <si>
    <t>Customer</t>
  </si>
  <si>
    <t>Total</t>
  </si>
  <si>
    <t>Revenue Sensitive Multiplier:</t>
  </si>
  <si>
    <t>add revenue sensitive factor</t>
  </si>
  <si>
    <t>Column D</t>
  </si>
  <si>
    <t>Column A</t>
  </si>
  <si>
    <t>Column B+C+D</t>
  </si>
  <si>
    <t>Rate</t>
  </si>
  <si>
    <t>Margin</t>
  </si>
  <si>
    <t>Charge</t>
  </si>
  <si>
    <t>Customers</t>
  </si>
  <si>
    <t>Amount to Amortize:</t>
  </si>
  <si>
    <t>to all residential &amp; commercial sales</t>
  </si>
  <si>
    <t>E=B-C-D</t>
  </si>
  <si>
    <t>I = (G*H*12)+F</t>
  </si>
  <si>
    <t>Multiplier</t>
  </si>
  <si>
    <t>Allocation to RS</t>
  </si>
  <si>
    <t>Increment</t>
  </si>
  <si>
    <t>Schedule</t>
  </si>
  <si>
    <t>Block</t>
  </si>
  <si>
    <t>A</t>
  </si>
  <si>
    <t>B</t>
  </si>
  <si>
    <t>C</t>
  </si>
  <si>
    <t>D</t>
  </si>
  <si>
    <t>E</t>
  </si>
  <si>
    <t>F = E * A</t>
  </si>
  <si>
    <t>G</t>
  </si>
  <si>
    <t>H</t>
  </si>
  <si>
    <t>J</t>
  </si>
  <si>
    <t>K</t>
  </si>
  <si>
    <t>L</t>
  </si>
  <si>
    <t>1R</t>
  </si>
  <si>
    <t>1C</t>
  </si>
  <si>
    <t>2R</t>
  </si>
  <si>
    <t>3 CFS</t>
  </si>
  <si>
    <t>3 IFS</t>
  </si>
  <si>
    <t>41C Firm Sales</t>
  </si>
  <si>
    <t>Block 1</t>
  </si>
  <si>
    <t>Block 2</t>
  </si>
  <si>
    <t>41C Interr Sales</t>
  </si>
  <si>
    <t>41 Firm Trans</t>
  </si>
  <si>
    <t>41I Firm Sales</t>
  </si>
  <si>
    <t>41I Interr Sales</t>
  </si>
  <si>
    <t>42C Firm Sales</t>
  </si>
  <si>
    <t>Block 3</t>
  </si>
  <si>
    <t>Block 4</t>
  </si>
  <si>
    <t>Block 5</t>
  </si>
  <si>
    <t>Block 6</t>
  </si>
  <si>
    <t>42I Firm Sales</t>
  </si>
  <si>
    <t>42 Firm Trans</t>
  </si>
  <si>
    <t>42C Interr Sales</t>
  </si>
  <si>
    <t>42I Interr Sales</t>
  </si>
  <si>
    <t>42 Inter Trans</t>
  </si>
  <si>
    <t>43 Firm Trans</t>
  </si>
  <si>
    <t>43 Interr Trans</t>
  </si>
  <si>
    <t>Intentionally blank</t>
  </si>
  <si>
    <t>Totals</t>
  </si>
  <si>
    <t>Sources for line 2 above:</t>
  </si>
  <si>
    <t>Inputs page</t>
  </si>
  <si>
    <t>Column G</t>
  </si>
  <si>
    <t>Line 37</t>
  </si>
  <si>
    <t>Tariff Schedules:</t>
  </si>
  <si>
    <t>Schedule #</t>
  </si>
  <si>
    <t>Sched 215</t>
  </si>
  <si>
    <t>Note: Allocation to rate schedules or blocks with zero volumes is calculated on an overall margin percentage change basis.</t>
  </si>
  <si>
    <t>PGA Effects on Average Bill by Rate Schedule</t>
  </si>
  <si>
    <t>Calculation of Effect on Customer Average Bill by Rate Schedule [1]</t>
  </si>
  <si>
    <t>Washington</t>
  </si>
  <si>
    <t>Normal</t>
  </si>
  <si>
    <t>Current</t>
  </si>
  <si>
    <t>Proposed</t>
  </si>
  <si>
    <t>PGA Normalized</t>
  </si>
  <si>
    <t>Therms</t>
  </si>
  <si>
    <t>Minimum</t>
  </si>
  <si>
    <t>Therms in</t>
  </si>
  <si>
    <t>Monthly</t>
  </si>
  <si>
    <t>R&amp;C Energy Eff.</t>
  </si>
  <si>
    <t>Average use</t>
  </si>
  <si>
    <t>Rates</t>
  </si>
  <si>
    <t>Average Bill</t>
  </si>
  <si>
    <t>Rates [2]</t>
  </si>
  <si>
    <t>% Bill Change</t>
  </si>
  <si>
    <t>F=D+(C * E)</t>
  </si>
  <si>
    <t>H=D+(C * G)</t>
  </si>
  <si>
    <t>F</t>
  </si>
  <si>
    <t>I</t>
  </si>
  <si>
    <t>N/A</t>
  </si>
  <si>
    <t>all additional</t>
  </si>
  <si>
    <t>TOTAL</t>
  </si>
  <si>
    <t>[1] Rate Schedule 41 and 42 customers may choose demand charges at a volumetric rate or based on MDDV.  For convenience of presentation, demand charges are not included in the calculations for those schedules.</t>
  </si>
  <si>
    <t xml:space="preserve">[2] Proposed rates include the effect of removing the current Schedule 215 adjustment and applying the proposed Schedule 215 adjustment.  The rate shown is for illustrative purposes only and assumes no other changes to rates occur November 1.   </t>
  </si>
  <si>
    <t>Rates in summary</t>
  </si>
  <si>
    <t>Sources:</t>
  </si>
  <si>
    <t>Direct Inputs</t>
  </si>
  <si>
    <t>per Tariff</t>
  </si>
  <si>
    <t>Company:</t>
  </si>
  <si>
    <t>Northwest Natural Gas Company</t>
  </si>
  <si>
    <t>State:</t>
  </si>
  <si>
    <t>Description:</t>
  </si>
  <si>
    <t>Washington Energy Efficiency Programs - General Admin</t>
  </si>
  <si>
    <t>Account Number:</t>
  </si>
  <si>
    <t>Other Info:</t>
  </si>
  <si>
    <t>Program under Schedule G</t>
  </si>
  <si>
    <t>Temp Increment under Schedule 215</t>
  </si>
  <si>
    <t>Debit    (Credit)</t>
  </si>
  <si>
    <t>Interest</t>
  </si>
  <si>
    <t>Calendar</t>
  </si>
  <si>
    <t xml:space="preserve">Month/Year </t>
  </si>
  <si>
    <t>Note</t>
  </si>
  <si>
    <t>Deferral</t>
  </si>
  <si>
    <t>Transfers</t>
  </si>
  <si>
    <t>Activity</t>
  </si>
  <si>
    <t>Balance</t>
  </si>
  <si>
    <t>(a)</t>
  </si>
  <si>
    <t>(b)</t>
  </si>
  <si>
    <t>(c)</t>
  </si>
  <si>
    <t>(d)</t>
  </si>
  <si>
    <t>(e1)</t>
  </si>
  <si>
    <t>(e2)</t>
  </si>
  <si>
    <t>(e3)</t>
  </si>
  <si>
    <t>(e4)</t>
  </si>
  <si>
    <t>(e5)</t>
  </si>
  <si>
    <t>(e6)</t>
  </si>
  <si>
    <t>(e7)</t>
  </si>
  <si>
    <t>(f)</t>
  </si>
  <si>
    <t>(g1)</t>
  </si>
  <si>
    <t>(g2)</t>
  </si>
  <si>
    <t>(g3)</t>
  </si>
  <si>
    <t>(g4)</t>
  </si>
  <si>
    <t>(g5)</t>
  </si>
  <si>
    <t>(g6)</t>
  </si>
  <si>
    <t>Beginning Balance</t>
  </si>
  <si>
    <t>1</t>
  </si>
  <si>
    <t>2</t>
  </si>
  <si>
    <t>History truncated for ease of viewing</t>
  </si>
  <si>
    <t>Notes:</t>
  </si>
  <si>
    <r>
      <rPr>
        <b/>
        <sz val="10"/>
        <rFont val="Tahoma"/>
        <family val="2"/>
      </rPr>
      <t xml:space="preserve">1 - </t>
    </r>
    <r>
      <rPr>
        <sz val="10"/>
        <rFont val="Tahoma"/>
        <family val="2"/>
      </rPr>
      <t xml:space="preserve">Transferred Dec 2017 deferral balance plus 2018 interest on the balance to account 186316 for amortization </t>
    </r>
  </si>
  <si>
    <t>Washington Energy Efficiency - Res &amp; Comm</t>
  </si>
  <si>
    <t>Program under Schedules G</t>
  </si>
  <si>
    <t>Accumulation</t>
  </si>
  <si>
    <t>Washington DSM Amortization</t>
  </si>
  <si>
    <t>Amortization</t>
  </si>
  <si>
    <t>Interest Rate</t>
  </si>
  <si>
    <t>(g)</t>
  </si>
  <si>
    <t>old rates \a</t>
  </si>
  <si>
    <t>new rates</t>
  </si>
  <si>
    <t>old rates</t>
  </si>
  <si>
    <r>
      <t xml:space="preserve">new rates </t>
    </r>
    <r>
      <rPr>
        <b/>
        <sz val="10"/>
        <rFont val="Tahoma"/>
        <family val="2"/>
      </rPr>
      <t>(1)</t>
    </r>
  </si>
  <si>
    <r>
      <t xml:space="preserve">new </t>
    </r>
    <r>
      <rPr>
        <b/>
        <sz val="10"/>
        <rFont val="Tahoma"/>
        <family val="2"/>
      </rPr>
      <t>(1)</t>
    </r>
  </si>
  <si>
    <t>old</t>
  </si>
  <si>
    <t>OLD</t>
  </si>
  <si>
    <t>Forecasted</t>
  </si>
  <si>
    <t>Notes</t>
  </si>
  <si>
    <r>
      <rPr>
        <b/>
        <sz val="10"/>
        <rFont val="Tahoma"/>
        <family val="2"/>
      </rPr>
      <t>1</t>
    </r>
    <r>
      <rPr>
        <sz val="10"/>
        <rFont val="Tahoma"/>
        <family val="2"/>
      </rPr>
      <t xml:space="preserve"> - Transfer in amounts from accounts 186310 and 186312 approved for amortization.</t>
    </r>
  </si>
  <si>
    <t>Summary of Deferred Accounts</t>
  </si>
  <si>
    <t>Estimated</t>
  </si>
  <si>
    <t>Sep-Oct</t>
  </si>
  <si>
    <t>Amount for</t>
  </si>
  <si>
    <t>Amounts</t>
  </si>
  <si>
    <t>During</t>
  </si>
  <si>
    <t>(Refund) or</t>
  </si>
  <si>
    <t>Excluded from</t>
  </si>
  <si>
    <t>Included in</t>
  </si>
  <si>
    <t>Account</t>
  </si>
  <si>
    <t>Collection</t>
  </si>
  <si>
    <t>PGA Filing</t>
  </si>
  <si>
    <t>E = sum B thru D</t>
  </si>
  <si>
    <t>G = E + F</t>
  </si>
  <si>
    <t>Excl. Rev Sens</t>
  </si>
  <si>
    <t>DSM &amp; LOW INCOME PROGRAMS</t>
  </si>
  <si>
    <t>186310 WA Energy Efficiency General (2018 calendar only)</t>
  </si>
  <si>
    <t>186312 WA Energy Efficiency Res &amp; Comm (2018 calendar only)</t>
  </si>
  <si>
    <t>186316  WA DSM AMORTIZATION</t>
  </si>
  <si>
    <t>Please refer to NWN workpapers or electronic file "NWN 2019-20 Washington PGA rate development file September filing.xls" for application of revenue sensitive effect and calculation of rate increments.</t>
  </si>
  <si>
    <t>2019-20 Washington: September Filing Updating Energy Efficiency Schedule 215</t>
  </si>
  <si>
    <t>Tariff Advice 19-03: Schedule 215 Effects on Revenue</t>
  </si>
  <si>
    <t>Amount</t>
  </si>
  <si>
    <t>Removal of Current Temporary Increments</t>
  </si>
  <si>
    <t>Amortization of Energy Efficiency Programs</t>
  </si>
  <si>
    <t>Addition of Proposed Temporary Increments</t>
  </si>
  <si>
    <t>TOTAL OF ALL COMPONENTS OF RATE CHANGES</t>
  </si>
  <si>
    <t xml:space="preserve">Effect of this filing, as a percentage change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</si>
</sst>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7" formatCode="&quot;$&quot;#,##0.00_);\(&quot;$&quot;#,##0.00\)"/>
    <numFmt numFmtId="44" formatCode="_(&quot;$&quot;* #,##0.00_);_(&quot;$&quot;* \(#,##0.00\);_(&quot;$&quot;* &quot;-&quot;??_);_(@_)"/>
    <numFmt numFmtId="43" formatCode="_(* #,##0.00_);_(* \(#,##0.00\);_(* &quot;-&quot;??_);_(@_)"/>
    <numFmt numFmtId="164" formatCode="#,##0.00000_);\(#,##0.00000\)"/>
    <numFmt numFmtId="165" formatCode="0.000%"/>
    <numFmt numFmtId="166" formatCode="&quot;$&quot;#,##0.00000"/>
    <numFmt numFmtId="167" formatCode="&quot;$&quot;#,##0"/>
    <numFmt numFmtId="168" formatCode="#,##0.0_);\(#,##0.0\)"/>
    <numFmt numFmtId="169" formatCode="&quot;$&quot;#,##0.00000_);\(&quot;$&quot;#,##0.00000\)"/>
    <numFmt numFmtId="170" formatCode="0.00_);\(0.00\)"/>
    <numFmt numFmtId="171" formatCode="&quot;$&quot;#,##0.00"/>
    <numFmt numFmtId="172" formatCode="0.0%"/>
    <numFmt numFmtId="173" formatCode="[$-409]mmm\-yy;@"/>
    <numFmt numFmtId="174" formatCode="0_);\(0\)"/>
    <numFmt numFmtId="175" formatCode="0.0000%"/>
  </numFmts>
  <fonts count="23" x14ac:knownFonts="1">
    <font>
      <sz val="11"/>
      <color theme="1"/>
      <name val="Calibri"/>
      <family val="2"/>
      <scheme val="minor"/>
    </font>
    <font>
      <sz val="11"/>
      <color theme="1"/>
      <name val="Calibri"/>
      <family val="2"/>
      <scheme val="minor"/>
    </font>
    <font>
      <b/>
      <sz val="11"/>
      <name val="Tahoma"/>
      <family val="2"/>
    </font>
    <font>
      <sz val="10"/>
      <name val="Tahoma"/>
      <family val="2"/>
    </font>
    <font>
      <sz val="10"/>
      <color indexed="12"/>
      <name val="Tahoma"/>
      <family val="2"/>
    </font>
    <font>
      <b/>
      <sz val="10"/>
      <color indexed="48"/>
      <name val="Tahoma"/>
      <family val="2"/>
    </font>
    <font>
      <b/>
      <sz val="10"/>
      <name val="Tahoma"/>
      <family val="2"/>
    </font>
    <font>
      <sz val="10"/>
      <name val="Times New Roman"/>
      <family val="1"/>
    </font>
    <font>
      <sz val="9"/>
      <name val="Tahoma"/>
      <family val="2"/>
    </font>
    <font>
      <sz val="8"/>
      <name val="Tahoma"/>
      <family val="2"/>
    </font>
    <font>
      <b/>
      <u/>
      <sz val="10"/>
      <name val="Tahoma"/>
      <family val="2"/>
    </font>
    <font>
      <sz val="11"/>
      <name val="Tahoma"/>
      <family val="2"/>
    </font>
    <font>
      <sz val="10"/>
      <color rgb="FF0000FF"/>
      <name val="Tahoma"/>
      <family val="2"/>
    </font>
    <font>
      <b/>
      <sz val="9"/>
      <name val="Tahoma"/>
      <family val="2"/>
    </font>
    <font>
      <b/>
      <sz val="8"/>
      <name val="Tahoma"/>
      <family val="2"/>
    </font>
    <font>
      <sz val="8"/>
      <name val="Times New Roman"/>
      <family val="1"/>
    </font>
    <font>
      <sz val="8"/>
      <color indexed="12"/>
      <name val="Tahoma"/>
      <family val="2"/>
    </font>
    <font>
      <sz val="10"/>
      <name val="MS Sans Serif"/>
      <family val="2"/>
    </font>
    <font>
      <sz val="10"/>
      <name val="Arial"/>
      <family val="2"/>
    </font>
    <font>
      <sz val="10"/>
      <color rgb="FF3333FF"/>
      <name val="Tahoma"/>
      <family val="2"/>
    </font>
    <font>
      <sz val="10"/>
      <color rgb="FFFF0000"/>
      <name val="Tahoma"/>
      <family val="2"/>
    </font>
    <font>
      <i/>
      <sz val="10"/>
      <name val="Tahoma"/>
      <family val="2"/>
    </font>
    <font>
      <u/>
      <sz val="10"/>
      <name val="Tahoma"/>
      <family val="2"/>
    </font>
  </fonts>
  <fills count="4">
    <fill>
      <patternFill patternType="none"/>
    </fill>
    <fill>
      <patternFill patternType="gray125"/>
    </fill>
    <fill>
      <patternFill patternType="solid">
        <fgColor indexed="22"/>
        <bgColor indexed="64"/>
      </patternFill>
    </fill>
    <fill>
      <patternFill patternType="solid">
        <fgColor rgb="FFFFC000"/>
        <bgColor indexed="64"/>
      </patternFill>
    </fill>
  </fills>
  <borders count="32">
    <border>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double">
        <color indexed="64"/>
      </bottom>
      <diagonal/>
    </border>
  </borders>
  <cellStyleXfs count="17">
    <xf numFmtId="0" fontId="0" fillId="0" borderId="0"/>
    <xf numFmtId="9" fontId="1" fillId="0" borderId="0" applyFont="0" applyFill="0" applyBorder="0" applyAlignment="0" applyProtection="0"/>
    <xf numFmtId="0" fontId="7" fillId="0" borderId="0"/>
    <xf numFmtId="43" fontId="1" fillId="0" borderId="0" applyFont="0" applyFill="0" applyBorder="0" applyAlignment="0" applyProtection="0"/>
    <xf numFmtId="173" fontId="17" fillId="0" borderId="0"/>
    <xf numFmtId="173" fontId="18" fillId="0" borderId="0"/>
    <xf numFmtId="173" fontId="18" fillId="0" borderId="0"/>
    <xf numFmtId="0" fontId="18" fillId="0" borderId="0"/>
    <xf numFmtId="0" fontId="18" fillId="0" borderId="0"/>
    <xf numFmtId="0" fontId="17" fillId="0" borderId="0"/>
    <xf numFmtId="9" fontId="7" fillId="0" borderId="0" applyFont="0" applyFill="0" applyBorder="0" applyAlignment="0" applyProtection="0"/>
    <xf numFmtId="43" fontId="18" fillId="0" borderId="0" applyFont="0" applyFill="0" applyBorder="0" applyAlignment="0" applyProtection="0"/>
    <xf numFmtId="173" fontId="18" fillId="0" borderId="0"/>
    <xf numFmtId="0" fontId="17" fillId="0" borderId="0"/>
    <xf numFmtId="173" fontId="18" fillId="0" borderId="0"/>
    <xf numFmtId="173" fontId="18" fillId="0" borderId="0">
      <alignment vertical="top"/>
    </xf>
    <xf numFmtId="44" fontId="1" fillId="0" borderId="0" applyFont="0" applyFill="0" applyBorder="0" applyAlignment="0" applyProtection="0"/>
  </cellStyleXfs>
  <cellXfs count="368">
    <xf numFmtId="0" fontId="0" fillId="0" borderId="0" xfId="0"/>
    <xf numFmtId="0" fontId="2" fillId="0" borderId="0" xfId="0" applyFont="1" applyBorder="1"/>
    <xf numFmtId="0" fontId="3" fillId="0" borderId="0" xfId="0" applyFont="1"/>
    <xf numFmtId="0" fontId="4" fillId="0" borderId="0" xfId="0" applyFont="1"/>
    <xf numFmtId="164" fontId="3" fillId="0" borderId="0" xfId="0" applyNumberFormat="1" applyFont="1"/>
    <xf numFmtId="0" fontId="3" fillId="0" borderId="0" xfId="0" applyFont="1" applyBorder="1"/>
    <xf numFmtId="37" fontId="4" fillId="0" borderId="0" xfId="0" applyNumberFormat="1" applyFont="1"/>
    <xf numFmtId="0" fontId="5" fillId="0" borderId="0" xfId="0" applyFont="1" applyFill="1" applyBorder="1"/>
    <xf numFmtId="0" fontId="5" fillId="0" borderId="0" xfId="0" applyFont="1" applyFill="1"/>
    <xf numFmtId="0" fontId="3" fillId="0" borderId="0" xfId="0" applyFont="1" applyFill="1"/>
    <xf numFmtId="0" fontId="6" fillId="0" borderId="0" xfId="0" quotePrefix="1" applyFont="1" applyAlignment="1">
      <alignment horizontal="center"/>
    </xf>
    <xf numFmtId="0" fontId="3" fillId="0" borderId="0" xfId="0" applyFont="1" applyBorder="1" applyAlignment="1">
      <alignment horizontal="center"/>
    </xf>
    <xf numFmtId="0" fontId="3" fillId="0" borderId="0" xfId="0" applyFont="1" applyAlignment="1">
      <alignment horizontal="center"/>
    </xf>
    <xf numFmtId="0" fontId="6" fillId="0" borderId="0" xfId="0" applyFont="1" applyAlignment="1">
      <alignment horizontal="center"/>
    </xf>
    <xf numFmtId="37" fontId="6" fillId="0" borderId="1" xfId="0" applyNumberFormat="1" applyFont="1" applyBorder="1" applyAlignment="1">
      <alignment horizontal="centerContinuous"/>
    </xf>
    <xf numFmtId="0" fontId="6" fillId="0" borderId="2" xfId="0" applyNumberFormat="1" applyFont="1" applyBorder="1" applyAlignment="1">
      <alignment horizontal="centerContinuous"/>
    </xf>
    <xf numFmtId="164" fontId="6" fillId="0" borderId="3" xfId="0" applyNumberFormat="1" applyFont="1" applyBorder="1" applyAlignment="1">
      <alignment horizontal="centerContinuous"/>
    </xf>
    <xf numFmtId="0" fontId="3" fillId="0" borderId="5" xfId="0" applyFont="1" applyBorder="1"/>
    <xf numFmtId="37" fontId="3" fillId="0" borderId="6" xfId="0" applyNumberFormat="1" applyFont="1" applyBorder="1"/>
    <xf numFmtId="0" fontId="3" fillId="0" borderId="7" xfId="0" applyFont="1" applyBorder="1"/>
    <xf numFmtId="164" fontId="3" fillId="0" borderId="8" xfId="0" applyNumberFormat="1" applyFont="1" applyBorder="1"/>
    <xf numFmtId="0" fontId="6" fillId="0" borderId="0" xfId="0" applyFont="1" applyBorder="1" applyAlignment="1">
      <alignment horizontal="center"/>
    </xf>
    <xf numFmtId="165" fontId="3" fillId="0" borderId="6" xfId="1" applyNumberFormat="1" applyFont="1" applyBorder="1" applyAlignment="1">
      <alignment horizontal="right"/>
    </xf>
    <xf numFmtId="0" fontId="3" fillId="0" borderId="7" xfId="0" applyFont="1" applyBorder="1" applyAlignment="1">
      <alignment horizontal="left"/>
    </xf>
    <xf numFmtId="164" fontId="3" fillId="0" borderId="8" xfId="0" applyNumberFormat="1" applyFont="1" applyBorder="1" applyAlignment="1">
      <alignment horizontal="left"/>
    </xf>
    <xf numFmtId="0" fontId="3" fillId="0" borderId="9" xfId="0" applyFont="1" applyBorder="1" applyAlignment="1">
      <alignment horizontal="center"/>
    </xf>
    <xf numFmtId="0" fontId="6" fillId="0" borderId="9" xfId="0" applyFont="1" applyBorder="1" applyAlignment="1">
      <alignment horizontal="center"/>
    </xf>
    <xf numFmtId="0" fontId="3" fillId="0" borderId="10" xfId="0" applyFont="1" applyBorder="1"/>
    <xf numFmtId="37" fontId="6" fillId="0" borderId="11" xfId="0" applyNumberFormat="1" applyFont="1" applyBorder="1"/>
    <xf numFmtId="37" fontId="8" fillId="0" borderId="12" xfId="0" applyNumberFormat="1" applyFont="1" applyBorder="1"/>
    <xf numFmtId="164" fontId="3" fillId="0" borderId="13" xfId="0" applyNumberFormat="1" applyFont="1" applyBorder="1"/>
    <xf numFmtId="0" fontId="6" fillId="0" borderId="0" xfId="0" applyFont="1" applyBorder="1" applyAlignment="1">
      <alignment horizontal="right"/>
    </xf>
    <xf numFmtId="0" fontId="6" fillId="0" borderId="0" xfId="0" applyFont="1" applyAlignment="1">
      <alignment horizontal="right"/>
    </xf>
    <xf numFmtId="0" fontId="6" fillId="2" borderId="15" xfId="0" applyFont="1" applyFill="1" applyBorder="1" applyAlignment="1">
      <alignment horizontal="right"/>
    </xf>
    <xf numFmtId="0" fontId="6" fillId="0" borderId="16" xfId="0" applyFont="1" applyBorder="1" applyAlignment="1">
      <alignment horizontal="center"/>
    </xf>
    <xf numFmtId="164" fontId="3" fillId="0" borderId="17" xfId="0" applyNumberFormat="1" applyFont="1" applyBorder="1" applyAlignment="1">
      <alignment horizontal="center"/>
    </xf>
    <xf numFmtId="0" fontId="3" fillId="0" borderId="4" xfId="0" applyFont="1" applyFill="1" applyBorder="1" applyAlignment="1">
      <alignment horizontal="center"/>
    </xf>
    <xf numFmtId="0" fontId="8" fillId="0" borderId="4" xfId="0" applyFont="1" applyFill="1" applyBorder="1" applyAlignment="1">
      <alignment horizontal="center"/>
    </xf>
    <xf numFmtId="0" fontId="6" fillId="0" borderId="18" xfId="0" applyFont="1" applyBorder="1" applyAlignment="1">
      <alignment horizontal="center"/>
    </xf>
    <xf numFmtId="0" fontId="6" fillId="0" borderId="18" xfId="0" applyFont="1" applyFill="1" applyBorder="1" applyAlignment="1">
      <alignment horizontal="center"/>
    </xf>
    <xf numFmtId="0" fontId="6" fillId="2" borderId="19" xfId="0" applyFont="1" applyFill="1" applyBorder="1" applyAlignment="1">
      <alignment horizontal="center"/>
    </xf>
    <xf numFmtId="0" fontId="6" fillId="0" borderId="20" xfId="0" applyFont="1" applyBorder="1" applyAlignment="1">
      <alignment horizontal="center"/>
    </xf>
    <xf numFmtId="164" fontId="6" fillId="0" borderId="21" xfId="0" applyNumberFormat="1" applyFont="1" applyBorder="1" applyAlignment="1">
      <alignment horizontal="center"/>
    </xf>
    <xf numFmtId="0" fontId="3" fillId="0" borderId="22" xfId="0" applyFont="1" applyFill="1" applyBorder="1" applyAlignment="1">
      <alignment horizontal="center"/>
    </xf>
    <xf numFmtId="0" fontId="8" fillId="0" borderId="22" xfId="0" applyFont="1" applyFill="1" applyBorder="1" applyAlignment="1">
      <alignment horizontal="center"/>
    </xf>
    <xf numFmtId="37" fontId="3" fillId="0" borderId="18" xfId="0" applyNumberFormat="1" applyFont="1" applyBorder="1"/>
    <xf numFmtId="166" fontId="3" fillId="0" borderId="18" xfId="0" applyNumberFormat="1" applyFont="1" applyFill="1" applyBorder="1"/>
    <xf numFmtId="167" fontId="3" fillId="0" borderId="18" xfId="0" applyNumberFormat="1" applyFont="1" applyFill="1" applyBorder="1"/>
    <xf numFmtId="7" fontId="3" fillId="0" borderId="18" xfId="0" applyNumberFormat="1" applyFont="1" applyFill="1" applyBorder="1"/>
    <xf numFmtId="167" fontId="3" fillId="0" borderId="18" xfId="0" applyNumberFormat="1" applyFont="1" applyBorder="1"/>
    <xf numFmtId="164" fontId="3" fillId="2" borderId="19" xfId="0" applyNumberFormat="1" applyFont="1" applyFill="1" applyBorder="1"/>
    <xf numFmtId="5" fontId="3" fillId="0" borderId="18" xfId="0" applyNumberFormat="1" applyFont="1" applyBorder="1"/>
    <xf numFmtId="169" fontId="3" fillId="0" borderId="21" xfId="0" applyNumberFormat="1" applyFont="1" applyBorder="1"/>
    <xf numFmtId="166" fontId="3" fillId="0" borderId="18" xfId="0" applyNumberFormat="1" applyFont="1" applyBorder="1"/>
    <xf numFmtId="7" fontId="3" fillId="0" borderId="18" xfId="0" applyNumberFormat="1" applyFont="1" applyBorder="1"/>
    <xf numFmtId="0" fontId="3" fillId="0" borderId="18" xfId="0" applyFont="1" applyFill="1" applyBorder="1" applyAlignment="1">
      <alignment horizontal="center"/>
    </xf>
    <xf numFmtId="0" fontId="8" fillId="0" borderId="18" xfId="0" applyFont="1" applyFill="1" applyBorder="1" applyAlignment="1">
      <alignment horizontal="center"/>
    </xf>
    <xf numFmtId="0" fontId="3" fillId="0" borderId="0" xfId="0" applyFont="1" applyFill="1" applyBorder="1" applyAlignment="1">
      <alignment horizontal="center"/>
    </xf>
    <xf numFmtId="170" fontId="8" fillId="0" borderId="0" xfId="0" applyNumberFormat="1" applyFont="1" applyFill="1" applyBorder="1" applyAlignment="1">
      <alignment horizontal="center"/>
    </xf>
    <xf numFmtId="37" fontId="3" fillId="0" borderId="0" xfId="0" applyNumberFormat="1" applyFont="1" applyBorder="1"/>
    <xf numFmtId="166" fontId="3" fillId="0" borderId="0" xfId="0" applyNumberFormat="1" applyFont="1" applyBorder="1"/>
    <xf numFmtId="167" fontId="3" fillId="0" borderId="0" xfId="2" quotePrefix="1" applyNumberFormat="1" applyFont="1" applyBorder="1"/>
    <xf numFmtId="7" fontId="3" fillId="0" borderId="0" xfId="0" applyNumberFormat="1" applyFont="1" applyBorder="1"/>
    <xf numFmtId="164" fontId="3" fillId="2" borderId="23" xfId="0" applyNumberFormat="1" applyFont="1" applyFill="1" applyBorder="1"/>
    <xf numFmtId="5" fontId="3" fillId="0" borderId="0" xfId="2" applyNumberFormat="1" applyFont="1" applyBorder="1"/>
    <xf numFmtId="169" fontId="3" fillId="0" borderId="17" xfId="2" applyNumberFormat="1" applyFont="1" applyBorder="1"/>
    <xf numFmtId="170" fontId="8" fillId="0" borderId="18" xfId="0" applyNumberFormat="1" applyFont="1" applyFill="1" applyBorder="1" applyAlignment="1">
      <alignment horizontal="center"/>
    </xf>
    <xf numFmtId="167" fontId="3" fillId="0" borderId="0" xfId="2" applyNumberFormat="1" applyFont="1" applyBorder="1"/>
    <xf numFmtId="5" fontId="3" fillId="0" borderId="0" xfId="2" quotePrefix="1" applyNumberFormat="1" applyFont="1" applyBorder="1"/>
    <xf numFmtId="169" fontId="3" fillId="0" borderId="17" xfId="2" quotePrefix="1" applyNumberFormat="1" applyFont="1" applyBorder="1"/>
    <xf numFmtId="167" fontId="3" fillId="0" borderId="0" xfId="0" applyNumberFormat="1" applyFont="1" applyBorder="1"/>
    <xf numFmtId="5" fontId="3" fillId="0" borderId="0" xfId="0" applyNumberFormat="1" applyFont="1" applyBorder="1"/>
    <xf numFmtId="169" fontId="3" fillId="0" borderId="17" xfId="0" applyNumberFormat="1" applyFont="1" applyBorder="1"/>
    <xf numFmtId="166" fontId="3" fillId="0" borderId="0" xfId="0" applyNumberFormat="1" applyFont="1" applyBorder="1" applyAlignment="1"/>
    <xf numFmtId="7" fontId="3" fillId="0" borderId="0" xfId="0" applyNumberFormat="1" applyFont="1" applyBorder="1" applyAlignment="1"/>
    <xf numFmtId="164" fontId="3" fillId="2" borderId="23" xfId="0" applyNumberFormat="1" applyFont="1" applyFill="1" applyBorder="1" applyAlignment="1"/>
    <xf numFmtId="166" fontId="3" fillId="0" borderId="0" xfId="0" applyNumberFormat="1" applyFont="1" applyFill="1" applyBorder="1" applyAlignment="1"/>
    <xf numFmtId="7" fontId="3" fillId="0" borderId="0" xfId="0" applyNumberFormat="1" applyFont="1" applyFill="1" applyBorder="1" applyAlignment="1"/>
    <xf numFmtId="166" fontId="3" fillId="0" borderId="18" xfId="0" applyNumberFormat="1" applyFont="1" applyFill="1" applyBorder="1" applyAlignment="1"/>
    <xf numFmtId="7" fontId="3" fillId="0" borderId="18" xfId="0" applyNumberFormat="1" applyFont="1" applyFill="1" applyBorder="1" applyAlignment="1"/>
    <xf numFmtId="164" fontId="3" fillId="2" borderId="19" xfId="0" applyNumberFormat="1" applyFont="1" applyFill="1" applyBorder="1" applyAlignment="1"/>
    <xf numFmtId="166" fontId="3" fillId="0" borderId="22" xfId="0" applyNumberFormat="1" applyFont="1" applyFill="1" applyBorder="1" applyAlignment="1"/>
    <xf numFmtId="7" fontId="3" fillId="0" borderId="22" xfId="0" applyNumberFormat="1" applyFont="1" applyFill="1" applyBorder="1" applyAlignment="1"/>
    <xf numFmtId="164" fontId="3" fillId="2" borderId="24" xfId="0" applyNumberFormat="1" applyFont="1" applyFill="1" applyBorder="1" applyAlignment="1"/>
    <xf numFmtId="0" fontId="9" fillId="0" borderId="22" xfId="0" applyFont="1" applyFill="1" applyBorder="1" applyAlignment="1">
      <alignment horizontal="center"/>
    </xf>
    <xf numFmtId="166" fontId="3" fillId="0" borderId="18" xfId="0" applyNumberFormat="1" applyFont="1" applyBorder="1" applyAlignment="1"/>
    <xf numFmtId="7" fontId="3" fillId="0" borderId="18" xfId="0" applyNumberFormat="1" applyFont="1" applyBorder="1" applyAlignment="1"/>
    <xf numFmtId="171" fontId="3" fillId="0" borderId="18" xfId="0" applyNumberFormat="1" applyFont="1" applyBorder="1"/>
    <xf numFmtId="39" fontId="3" fillId="0" borderId="21" xfId="0" applyNumberFormat="1" applyFont="1" applyBorder="1"/>
    <xf numFmtId="166" fontId="4" fillId="0" borderId="0" xfId="0" applyNumberFormat="1" applyFont="1"/>
    <xf numFmtId="171" fontId="4" fillId="0" borderId="0" xfId="0" applyNumberFormat="1" applyFont="1"/>
    <xf numFmtId="37" fontId="3" fillId="0" borderId="0" xfId="0" applyNumberFormat="1" applyFont="1"/>
    <xf numFmtId="167" fontId="3" fillId="0" borderId="0" xfId="0" applyNumberFormat="1" applyFont="1"/>
    <xf numFmtId="5" fontId="3" fillId="0" borderId="0" xfId="0" applyNumberFormat="1" applyFont="1"/>
    <xf numFmtId="0" fontId="10" fillId="0" borderId="0" xfId="0" applyFont="1"/>
    <xf numFmtId="0" fontId="6" fillId="0" borderId="25" xfId="0" applyFont="1" applyBorder="1"/>
    <xf numFmtId="0" fontId="3" fillId="2" borderId="7" xfId="0" applyFont="1" applyFill="1" applyBorder="1"/>
    <xf numFmtId="0" fontId="3" fillId="0" borderId="7" xfId="0" applyFont="1" applyFill="1" applyBorder="1" applyAlignment="1">
      <alignment horizontal="center"/>
    </xf>
    <xf numFmtId="164" fontId="3" fillId="2" borderId="7" xfId="0" applyNumberFormat="1" applyFont="1" applyFill="1" applyBorder="1"/>
    <xf numFmtId="0" fontId="9" fillId="0" borderId="0" xfId="0" applyFont="1"/>
    <xf numFmtId="168" fontId="3" fillId="0" borderId="0" xfId="0" applyNumberFormat="1" applyFont="1"/>
    <xf numFmtId="168" fontId="3" fillId="0" borderId="0" xfId="0" applyNumberFormat="1" applyFont="1" applyBorder="1"/>
    <xf numFmtId="168" fontId="3" fillId="0" borderId="20" xfId="0" applyNumberFormat="1" applyFont="1" applyBorder="1" applyAlignment="1">
      <alignment horizontal="center"/>
    </xf>
    <xf numFmtId="168" fontId="3" fillId="0" borderId="16" xfId="0" applyNumberFormat="1" applyFont="1" applyBorder="1" applyAlignment="1">
      <alignment horizontal="center"/>
    </xf>
    <xf numFmtId="168" fontId="3" fillId="0" borderId="0" xfId="0" applyNumberFormat="1" applyFont="1" applyAlignment="1">
      <alignment horizontal="center"/>
    </xf>
    <xf numFmtId="5" fontId="3" fillId="0" borderId="0" xfId="0" applyNumberFormat="1" applyFont="1" applyAlignment="1">
      <alignment horizontal="center"/>
    </xf>
    <xf numFmtId="10" fontId="3" fillId="0" borderId="0" xfId="1" applyNumberFormat="1" applyFont="1" applyAlignment="1">
      <alignment horizontal="center"/>
    </xf>
    <xf numFmtId="39" fontId="3" fillId="0" borderId="0" xfId="0" applyNumberFormat="1" applyFont="1"/>
    <xf numFmtId="39" fontId="3" fillId="0" borderId="0" xfId="0" applyNumberFormat="1" applyFont="1" applyFill="1"/>
    <xf numFmtId="7" fontId="3" fillId="0" borderId="0" xfId="0" applyNumberFormat="1" applyFont="1" applyFill="1"/>
    <xf numFmtId="0" fontId="2" fillId="0" borderId="0" xfId="0" applyFont="1" applyBorder="1" applyAlignment="1">
      <alignment horizontal="left"/>
    </xf>
    <xf numFmtId="0" fontId="2" fillId="0" borderId="0" xfId="0" applyFont="1" applyBorder="1" applyAlignment="1">
      <alignment horizontal="centerContinuous"/>
    </xf>
    <xf numFmtId="7" fontId="2" fillId="0" borderId="0" xfId="0" applyNumberFormat="1" applyFont="1" applyBorder="1" applyAlignment="1">
      <alignment horizontal="centerContinuous"/>
    </xf>
    <xf numFmtId="7" fontId="2" fillId="0" borderId="0" xfId="0" applyNumberFormat="1" applyFont="1" applyBorder="1" applyAlignment="1">
      <alignment horizontal="center"/>
    </xf>
    <xf numFmtId="0" fontId="11" fillId="0" borderId="0" xfId="0" applyFont="1" applyBorder="1"/>
    <xf numFmtId="0" fontId="11" fillId="0" borderId="0" xfId="0" applyFont="1"/>
    <xf numFmtId="14" fontId="3" fillId="0" borderId="0" xfId="0" applyNumberFormat="1" applyFont="1" applyAlignment="1">
      <alignment horizontal="center"/>
    </xf>
    <xf numFmtId="14" fontId="3" fillId="0" borderId="26" xfId="0" applyNumberFormat="1" applyFont="1" applyBorder="1" applyAlignment="1">
      <alignment horizontal="center"/>
    </xf>
    <xf numFmtId="14" fontId="3" fillId="0" borderId="27" xfId="0" applyNumberFormat="1" applyFont="1" applyBorder="1" applyAlignment="1">
      <alignment horizontal="center"/>
    </xf>
    <xf numFmtId="0" fontId="6" fillId="0" borderId="27" xfId="0" applyFont="1" applyBorder="1" applyAlignment="1">
      <alignment horizontal="center"/>
    </xf>
    <xf numFmtId="0" fontId="6" fillId="0" borderId="28" xfId="0" applyFont="1" applyBorder="1" applyAlignment="1">
      <alignment horizontal="center"/>
    </xf>
    <xf numFmtId="0" fontId="6" fillId="0" borderId="0" xfId="0" applyFont="1" applyFill="1" applyBorder="1" applyAlignment="1">
      <alignment horizontal="right"/>
    </xf>
    <xf numFmtId="0" fontId="6" fillId="0" borderId="0" xfId="0" applyFont="1" applyFill="1" applyAlignment="1">
      <alignment horizontal="center"/>
    </xf>
    <xf numFmtId="0" fontId="6" fillId="0" borderId="27" xfId="0" applyFont="1" applyFill="1" applyBorder="1" applyAlignment="1">
      <alignment horizontal="center"/>
    </xf>
    <xf numFmtId="0" fontId="6" fillId="0" borderId="29" xfId="0" applyFont="1" applyFill="1" applyBorder="1" applyAlignment="1">
      <alignment horizontal="center"/>
    </xf>
    <xf numFmtId="164" fontId="3" fillId="0" borderId="18" xfId="0" applyNumberFormat="1" applyFont="1" applyBorder="1" applyAlignment="1">
      <alignment horizontal="center"/>
    </xf>
    <xf numFmtId="168" fontId="3" fillId="0" borderId="18" xfId="0" applyNumberFormat="1" applyFont="1" applyBorder="1"/>
    <xf numFmtId="169" fontId="3" fillId="0" borderId="18" xfId="0" applyNumberFormat="1" applyFont="1" applyBorder="1"/>
    <xf numFmtId="172" fontId="3" fillId="0" borderId="29" xfId="1" applyNumberFormat="1" applyFont="1" applyBorder="1"/>
    <xf numFmtId="172" fontId="3" fillId="0" borderId="0" xfId="0" applyNumberFormat="1" applyFont="1" applyBorder="1"/>
    <xf numFmtId="39" fontId="3" fillId="0" borderId="18" xfId="0" applyNumberFormat="1" applyFont="1" applyBorder="1"/>
    <xf numFmtId="4" fontId="3" fillId="0" borderId="0" xfId="0" applyNumberFormat="1" applyFont="1" applyBorder="1"/>
    <xf numFmtId="37" fontId="3" fillId="0" borderId="0" xfId="0" applyNumberFormat="1" applyFont="1" applyBorder="1" applyAlignment="1">
      <alignment horizontal="center"/>
    </xf>
    <xf numFmtId="169" fontId="3" fillId="0" borderId="0" xfId="0" applyNumberFormat="1" applyFont="1" applyBorder="1"/>
    <xf numFmtId="172" fontId="3" fillId="0" borderId="27" xfId="1" applyNumberFormat="1" applyFont="1" applyBorder="1"/>
    <xf numFmtId="170" fontId="13" fillId="0" borderId="18" xfId="0" applyNumberFormat="1" applyFont="1" applyFill="1" applyBorder="1" applyAlignment="1">
      <alignment horizontal="center"/>
    </xf>
    <xf numFmtId="37" fontId="6" fillId="0" borderId="18" xfId="0" applyNumberFormat="1" applyFont="1" applyBorder="1"/>
    <xf numFmtId="37" fontId="6" fillId="0" borderId="18" xfId="0" applyNumberFormat="1" applyFont="1" applyBorder="1" applyAlignment="1">
      <alignment horizontal="center"/>
    </xf>
    <xf numFmtId="168" fontId="6" fillId="0" borderId="18" xfId="0" applyNumberFormat="1" applyFont="1" applyBorder="1"/>
    <xf numFmtId="169" fontId="6" fillId="0" borderId="18" xfId="0" applyNumberFormat="1" applyFont="1" applyBorder="1"/>
    <xf numFmtId="7" fontId="6" fillId="0" borderId="18" xfId="0" applyNumberFormat="1" applyFont="1" applyBorder="1"/>
    <xf numFmtId="172" fontId="6" fillId="0" borderId="29" xfId="1" applyNumberFormat="1" applyFont="1" applyFill="1" applyBorder="1"/>
    <xf numFmtId="172" fontId="6" fillId="0" borderId="29" xfId="1" applyNumberFormat="1" applyFont="1" applyBorder="1"/>
    <xf numFmtId="172" fontId="6" fillId="0" borderId="27" xfId="1" applyNumberFormat="1" applyFont="1" applyBorder="1"/>
    <xf numFmtId="168" fontId="6" fillId="0" borderId="0" xfId="0" applyNumberFormat="1" applyFont="1" applyBorder="1"/>
    <xf numFmtId="37" fontId="3" fillId="0" borderId="0" xfId="0" applyNumberFormat="1" applyFont="1" applyBorder="1" applyAlignment="1"/>
    <xf numFmtId="168" fontId="3" fillId="0" borderId="0" xfId="0" applyNumberFormat="1" applyFont="1" applyBorder="1" applyAlignment="1"/>
    <xf numFmtId="169" fontId="3" fillId="0" borderId="0" xfId="0" applyNumberFormat="1" applyFont="1" applyBorder="1" applyAlignment="1"/>
    <xf numFmtId="37" fontId="3" fillId="0" borderId="0" xfId="0" applyNumberFormat="1" applyFont="1" applyFill="1" applyBorder="1" applyAlignment="1"/>
    <xf numFmtId="168" fontId="3" fillId="0" borderId="0" xfId="0" applyNumberFormat="1" applyFont="1" applyFill="1" applyBorder="1" applyAlignment="1"/>
    <xf numFmtId="169" fontId="3" fillId="0" borderId="0" xfId="0" applyNumberFormat="1" applyFont="1" applyFill="1" applyBorder="1" applyAlignment="1"/>
    <xf numFmtId="169" fontId="6" fillId="0" borderId="0" xfId="0" applyNumberFormat="1" applyFont="1" applyBorder="1"/>
    <xf numFmtId="37" fontId="3" fillId="0" borderId="22" xfId="0" applyNumberFormat="1" applyFont="1" applyFill="1" applyBorder="1" applyAlignment="1"/>
    <xf numFmtId="164" fontId="3" fillId="0" borderId="22" xfId="0" applyNumberFormat="1" applyFont="1" applyFill="1" applyBorder="1" applyAlignment="1">
      <alignment horizontal="center"/>
    </xf>
    <xf numFmtId="168" fontId="3" fillId="0" borderId="22" xfId="0" applyNumberFormat="1" applyFont="1" applyFill="1" applyBorder="1" applyAlignment="1"/>
    <xf numFmtId="169" fontId="3" fillId="0" borderId="22" xfId="0" applyNumberFormat="1" applyFont="1" applyFill="1" applyBorder="1" applyAlignment="1"/>
    <xf numFmtId="169" fontId="3" fillId="0" borderId="22" xfId="0" applyNumberFormat="1" applyFont="1" applyBorder="1"/>
    <xf numFmtId="172" fontId="3" fillId="0" borderId="30" xfId="1" applyNumberFormat="1" applyFont="1" applyBorder="1"/>
    <xf numFmtId="37" fontId="3" fillId="0" borderId="18" xfId="0" applyNumberFormat="1" applyFont="1" applyFill="1" applyBorder="1" applyAlignment="1"/>
    <xf numFmtId="168" fontId="3" fillId="0" borderId="18" xfId="0" applyNumberFormat="1" applyFont="1" applyFill="1" applyBorder="1" applyAlignment="1"/>
    <xf numFmtId="169" fontId="3" fillId="0" borderId="18" xfId="0" applyNumberFormat="1" applyFont="1" applyFill="1" applyBorder="1" applyAlignment="1"/>
    <xf numFmtId="37" fontId="3" fillId="0" borderId="18" xfId="0" applyNumberFormat="1" applyFont="1" applyBorder="1" applyAlignment="1"/>
    <xf numFmtId="168" fontId="3" fillId="0" borderId="18" xfId="0" applyNumberFormat="1" applyFont="1" applyBorder="1" applyAlignment="1"/>
    <xf numFmtId="164" fontId="3" fillId="0" borderId="18" xfId="0" applyNumberFormat="1" applyFont="1" applyBorder="1" applyAlignment="1"/>
    <xf numFmtId="39" fontId="3" fillId="0" borderId="28" xfId="0" applyNumberFormat="1" applyFont="1" applyBorder="1"/>
    <xf numFmtId="0" fontId="3" fillId="0" borderId="25" xfId="0" applyFont="1" applyBorder="1"/>
    <xf numFmtId="0" fontId="4" fillId="2" borderId="7" xfId="0" applyFont="1" applyFill="1" applyBorder="1" applyAlignment="1">
      <alignment horizontal="center"/>
    </xf>
    <xf numFmtId="0" fontId="16" fillId="2" borderId="7" xfId="0" applyFont="1" applyFill="1" applyBorder="1" applyAlignment="1">
      <alignment horizontal="center"/>
    </xf>
    <xf numFmtId="0" fontId="3" fillId="2" borderId="7" xfId="0" applyFont="1" applyFill="1" applyBorder="1" applyAlignment="1">
      <alignment horizontal="center"/>
    </xf>
    <xf numFmtId="37" fontId="9" fillId="0" borderId="0" xfId="4" applyNumberFormat="1" applyFont="1"/>
    <xf numFmtId="173" fontId="3" fillId="0" borderId="0" xfId="4" applyFont="1"/>
    <xf numFmtId="39" fontId="3" fillId="0" borderId="0" xfId="4" applyNumberFormat="1" applyFont="1"/>
    <xf numFmtId="39" fontId="3" fillId="0" borderId="0" xfId="4" applyNumberFormat="1" applyFont="1" applyAlignment="1">
      <alignment horizontal="left"/>
    </xf>
    <xf numFmtId="0" fontId="3" fillId="0" borderId="0" xfId="4" applyNumberFormat="1" applyFont="1" applyAlignment="1">
      <alignment horizontal="left"/>
    </xf>
    <xf numFmtId="173" fontId="3" fillId="0" borderId="0" xfId="4" applyFont="1" applyFill="1"/>
    <xf numFmtId="39" fontId="6" fillId="0" borderId="0" xfId="4" applyNumberFormat="1" applyFont="1"/>
    <xf numFmtId="37" fontId="9" fillId="0" borderId="0" xfId="4" applyNumberFormat="1" applyFont="1" applyAlignment="1">
      <alignment horizontal="center"/>
    </xf>
    <xf numFmtId="39" fontId="3" fillId="0" borderId="0" xfId="4" applyNumberFormat="1" applyFont="1" applyAlignment="1">
      <alignment horizontal="center"/>
    </xf>
    <xf numFmtId="174" fontId="3" fillId="0" borderId="0" xfId="4" applyNumberFormat="1" applyFont="1" applyAlignment="1">
      <alignment horizontal="center"/>
    </xf>
    <xf numFmtId="173" fontId="3" fillId="0" borderId="0" xfId="4" applyFont="1" applyAlignment="1">
      <alignment horizontal="center"/>
    </xf>
    <xf numFmtId="173" fontId="3" fillId="0" borderId="18" xfId="4" applyFont="1" applyBorder="1" applyAlignment="1">
      <alignment horizontal="center"/>
    </xf>
    <xf numFmtId="39" fontId="3" fillId="0" borderId="18" xfId="4" applyNumberFormat="1" applyFont="1" applyBorder="1" applyAlignment="1">
      <alignment horizontal="center"/>
    </xf>
    <xf numFmtId="173" fontId="3" fillId="0" borderId="0" xfId="4" applyFont="1" applyAlignment="1">
      <alignment horizontal="left"/>
    </xf>
    <xf numFmtId="39" fontId="3" fillId="0" borderId="0" xfId="4" applyNumberFormat="1" applyFont="1" applyBorder="1"/>
    <xf numFmtId="173" fontId="3" fillId="0" borderId="0" xfId="4" applyNumberFormat="1" applyFont="1"/>
    <xf numFmtId="39" fontId="4" fillId="0" borderId="0" xfId="4" applyNumberFormat="1" applyFont="1"/>
    <xf numFmtId="39" fontId="3" fillId="0" borderId="0" xfId="3" applyNumberFormat="1" applyFont="1"/>
    <xf numFmtId="39" fontId="4" fillId="0" borderId="0" xfId="3" applyNumberFormat="1" applyFont="1"/>
    <xf numFmtId="173" fontId="4" fillId="0" borderId="0" xfId="4" applyFont="1"/>
    <xf numFmtId="173" fontId="3" fillId="0" borderId="9" xfId="4" applyNumberFormat="1" applyFont="1" applyBorder="1"/>
    <xf numFmtId="173" fontId="3" fillId="0" borderId="9" xfId="4" applyFont="1" applyBorder="1"/>
    <xf numFmtId="39" fontId="3" fillId="0" borderId="9" xfId="4" applyNumberFormat="1" applyFont="1" applyBorder="1"/>
    <xf numFmtId="39" fontId="3" fillId="0" borderId="9" xfId="3" applyNumberFormat="1" applyFont="1" applyBorder="1"/>
    <xf numFmtId="39" fontId="3" fillId="0" borderId="9" xfId="0" applyNumberFormat="1" applyFont="1" applyBorder="1"/>
    <xf numFmtId="10" fontId="4" fillId="0" borderId="0" xfId="1" applyNumberFormat="1" applyFont="1"/>
    <xf numFmtId="39" fontId="3" fillId="0" borderId="0" xfId="3" applyNumberFormat="1" applyFont="1" applyBorder="1"/>
    <xf numFmtId="10" fontId="4" fillId="0" borderId="9" xfId="1" applyNumberFormat="1" applyFont="1" applyBorder="1"/>
    <xf numFmtId="39" fontId="3" fillId="0" borderId="0" xfId="3" applyNumberFormat="1" applyFont="1" applyFill="1"/>
    <xf numFmtId="39" fontId="3" fillId="0" borderId="0" xfId="3" applyNumberFormat="1" applyFont="1" applyFill="1" applyBorder="1"/>
    <xf numFmtId="39" fontId="3" fillId="0" borderId="9" xfId="3" applyNumberFormat="1" applyFont="1" applyFill="1" applyBorder="1"/>
    <xf numFmtId="3" fontId="6" fillId="0" borderId="0" xfId="4" applyNumberFormat="1" applyFont="1" applyAlignment="1">
      <alignment horizontal="center"/>
    </xf>
    <xf numFmtId="3" fontId="6" fillId="0" borderId="9" xfId="4" applyNumberFormat="1" applyFont="1" applyBorder="1" applyAlignment="1">
      <alignment horizontal="center"/>
    </xf>
    <xf numFmtId="173" fontId="3" fillId="0" borderId="0" xfId="4" applyFont="1" applyBorder="1"/>
    <xf numFmtId="43" fontId="3" fillId="0" borderId="0" xfId="3" applyFont="1"/>
    <xf numFmtId="173" fontId="20" fillId="0" borderId="0" xfId="4" applyFont="1"/>
    <xf numFmtId="39" fontId="3" fillId="0" borderId="9" xfId="0" applyNumberFormat="1" applyFont="1" applyFill="1" applyBorder="1"/>
    <xf numFmtId="43" fontId="3" fillId="0" borderId="9" xfId="3" applyFont="1" applyBorder="1"/>
    <xf numFmtId="173" fontId="20" fillId="0" borderId="9" xfId="4" applyFont="1" applyBorder="1"/>
    <xf numFmtId="10" fontId="3" fillId="0" borderId="0" xfId="1" applyNumberFormat="1" applyFont="1"/>
    <xf numFmtId="10" fontId="3" fillId="0" borderId="0" xfId="1" applyNumberFormat="1" applyFont="1" applyFill="1"/>
    <xf numFmtId="39" fontId="3" fillId="0" borderId="0" xfId="4" applyNumberFormat="1" applyFont="1" applyFill="1" applyBorder="1"/>
    <xf numFmtId="43" fontId="3" fillId="0" borderId="0" xfId="3" applyFont="1" applyFill="1"/>
    <xf numFmtId="173" fontId="6" fillId="0" borderId="0" xfId="4" quotePrefix="1" applyFont="1" applyAlignment="1">
      <alignment horizontal="center"/>
    </xf>
    <xf numFmtId="10" fontId="3" fillId="0" borderId="9" xfId="1" applyNumberFormat="1" applyFont="1" applyFill="1" applyBorder="1"/>
    <xf numFmtId="39" fontId="3" fillId="0" borderId="9" xfId="4" applyNumberFormat="1" applyFont="1" applyFill="1" applyBorder="1"/>
    <xf numFmtId="173" fontId="3" fillId="0" borderId="9" xfId="4" applyFont="1" applyFill="1" applyBorder="1"/>
    <xf numFmtId="43" fontId="3" fillId="0" borderId="9" xfId="3" applyFont="1" applyFill="1" applyBorder="1"/>
    <xf numFmtId="39" fontId="3" fillId="3" borderId="0" xfId="3" applyNumberFormat="1" applyFont="1" applyFill="1"/>
    <xf numFmtId="39" fontId="3" fillId="0" borderId="0" xfId="1" applyNumberFormat="1" applyFont="1" applyFill="1" applyBorder="1"/>
    <xf numFmtId="39" fontId="3" fillId="0" borderId="0" xfId="4" applyNumberFormat="1" applyFont="1" applyFill="1"/>
    <xf numFmtId="173" fontId="6" fillId="0" borderId="0" xfId="4" quotePrefix="1" applyFont="1" applyBorder="1" applyAlignment="1">
      <alignment horizontal="center"/>
    </xf>
    <xf numFmtId="173" fontId="21" fillId="0" borderId="0" xfId="4" applyFont="1"/>
    <xf numFmtId="173" fontId="3" fillId="0" borderId="0" xfId="9" applyNumberFormat="1" applyFont="1" applyFill="1"/>
    <xf numFmtId="10" fontId="3" fillId="0" borderId="0" xfId="10" applyNumberFormat="1" applyFont="1" applyFill="1" applyBorder="1"/>
    <xf numFmtId="39" fontId="3" fillId="0" borderId="0" xfId="9" applyNumberFormat="1" applyFont="1" applyFill="1" applyBorder="1"/>
    <xf numFmtId="39" fontId="3" fillId="0" borderId="0" xfId="11" applyNumberFormat="1" applyFont="1" applyFill="1"/>
    <xf numFmtId="39" fontId="3" fillId="0" borderId="9" xfId="11" applyNumberFormat="1" applyFont="1" applyFill="1" applyBorder="1"/>
    <xf numFmtId="0" fontId="3" fillId="0" borderId="0" xfId="9" applyFont="1" applyFill="1"/>
    <xf numFmtId="173" fontId="3" fillId="0" borderId="9" xfId="9" applyNumberFormat="1" applyFont="1" applyFill="1" applyBorder="1"/>
    <xf numFmtId="0" fontId="3" fillId="0" borderId="9" xfId="9" applyFont="1" applyFill="1" applyBorder="1"/>
    <xf numFmtId="10" fontId="3" fillId="0" borderId="9" xfId="10" applyNumberFormat="1" applyFont="1" applyFill="1" applyBorder="1"/>
    <xf numFmtId="39" fontId="3" fillId="0" borderId="9" xfId="9" applyNumberFormat="1" applyFont="1" applyFill="1" applyBorder="1"/>
    <xf numFmtId="39" fontId="3" fillId="0" borderId="9" xfId="1" applyNumberFormat="1" applyFont="1" applyFill="1" applyBorder="1"/>
    <xf numFmtId="10" fontId="3" fillId="0" borderId="0" xfId="3" applyNumberFormat="1" applyFont="1" applyBorder="1"/>
    <xf numFmtId="173" fontId="3" fillId="0" borderId="18" xfId="9" applyNumberFormat="1" applyFont="1" applyFill="1" applyBorder="1"/>
    <xf numFmtId="0" fontId="3" fillId="0" borderId="18" xfId="9" applyFont="1" applyFill="1" applyBorder="1"/>
    <xf numFmtId="39" fontId="3" fillId="0" borderId="18" xfId="0" applyNumberFormat="1" applyFont="1" applyFill="1" applyBorder="1"/>
    <xf numFmtId="10" fontId="3" fillId="0" borderId="18" xfId="3" applyNumberFormat="1" applyFont="1" applyBorder="1"/>
    <xf numFmtId="39" fontId="3" fillId="0" borderId="18" xfId="3" applyNumberFormat="1" applyFont="1" applyFill="1" applyBorder="1"/>
    <xf numFmtId="39" fontId="3" fillId="0" borderId="18" xfId="9" applyNumberFormat="1" applyFont="1" applyFill="1" applyBorder="1"/>
    <xf numFmtId="39" fontId="3" fillId="0" borderId="18" xfId="11" applyNumberFormat="1" applyFont="1" applyFill="1" applyBorder="1"/>
    <xf numFmtId="39" fontId="3" fillId="0" borderId="18" xfId="1" applyNumberFormat="1" applyFont="1" applyFill="1" applyBorder="1"/>
    <xf numFmtId="39" fontId="3" fillId="0" borderId="18" xfId="4" applyNumberFormat="1" applyFont="1" applyFill="1" applyBorder="1"/>
    <xf numFmtId="173" fontId="3" fillId="0" borderId="18" xfId="4" applyFont="1" applyFill="1" applyBorder="1"/>
    <xf numFmtId="43" fontId="3" fillId="0" borderId="18" xfId="3" applyFont="1" applyFill="1" applyBorder="1"/>
    <xf numFmtId="173" fontId="3" fillId="0" borderId="18" xfId="4" applyFont="1" applyBorder="1"/>
    <xf numFmtId="10" fontId="3" fillId="0" borderId="0" xfId="3" applyNumberFormat="1" applyFont="1" applyFill="1" applyBorder="1"/>
    <xf numFmtId="173" fontId="6" fillId="0" borderId="0" xfId="4" applyNumberFormat="1" applyFont="1"/>
    <xf numFmtId="39" fontId="20" fillId="0" borderId="0" xfId="0" applyNumberFormat="1" applyFont="1"/>
    <xf numFmtId="173" fontId="10" fillId="0" borderId="0" xfId="4" applyFont="1"/>
    <xf numFmtId="173" fontId="3" fillId="0" borderId="0" xfId="4" quotePrefix="1" applyFont="1" applyAlignment="1">
      <alignment horizontal="left"/>
    </xf>
    <xf numFmtId="173" fontId="3" fillId="0" borderId="0" xfId="4" quotePrefix="1" applyFont="1"/>
    <xf numFmtId="39" fontId="3" fillId="0" borderId="0" xfId="4" applyNumberFormat="1" applyFont="1" applyBorder="1" applyAlignment="1">
      <alignment horizontal="center"/>
    </xf>
    <xf numFmtId="174" fontId="3" fillId="0" borderId="0" xfId="4" applyNumberFormat="1" applyFont="1" applyBorder="1" applyAlignment="1">
      <alignment horizontal="center"/>
    </xf>
    <xf numFmtId="10" fontId="4" fillId="0" borderId="0" xfId="10" applyNumberFormat="1" applyFont="1"/>
    <xf numFmtId="39" fontId="4" fillId="0" borderId="0" xfId="10" applyNumberFormat="1" applyFont="1"/>
    <xf numFmtId="39" fontId="4" fillId="0" borderId="0" xfId="10" applyNumberFormat="1" applyFont="1" applyBorder="1"/>
    <xf numFmtId="10" fontId="4" fillId="0" borderId="0" xfId="10" applyNumberFormat="1" applyFont="1" applyBorder="1"/>
    <xf numFmtId="39" fontId="3" fillId="0" borderId="0" xfId="12" applyNumberFormat="1" applyFont="1" applyAlignment="1">
      <alignment horizontal="right"/>
    </xf>
    <xf numFmtId="39" fontId="4" fillId="0" borderId="0" xfId="3" applyNumberFormat="1" applyFont="1" applyBorder="1"/>
    <xf numFmtId="10" fontId="4" fillId="0" borderId="9" xfId="10" applyNumberFormat="1" applyFont="1" applyBorder="1"/>
    <xf numFmtId="39" fontId="4" fillId="0" borderId="9" xfId="10" applyNumberFormat="1" applyFont="1" applyBorder="1"/>
    <xf numFmtId="39" fontId="3" fillId="0" borderId="0" xfId="10" applyNumberFormat="1" applyFont="1" applyBorder="1"/>
    <xf numFmtId="39" fontId="3" fillId="0" borderId="9" xfId="10" applyNumberFormat="1" applyFont="1" applyFill="1" applyBorder="1"/>
    <xf numFmtId="39" fontId="3" fillId="0" borderId="9" xfId="10" applyNumberFormat="1" applyFont="1" applyBorder="1"/>
    <xf numFmtId="39" fontId="3" fillId="0" borderId="0" xfId="10" applyNumberFormat="1" applyFont="1" applyFill="1" applyBorder="1"/>
    <xf numFmtId="10" fontId="3" fillId="0" borderId="0" xfId="10" applyNumberFormat="1" applyFont="1" applyBorder="1"/>
    <xf numFmtId="170" fontId="3" fillId="0" borderId="0" xfId="4" applyNumberFormat="1" applyFont="1" applyBorder="1"/>
    <xf numFmtId="0" fontId="21" fillId="0" borderId="0" xfId="9" applyFont="1"/>
    <xf numFmtId="173" fontId="3" fillId="0" borderId="0" xfId="4" applyFont="1" applyFill="1" applyBorder="1"/>
    <xf numFmtId="0" fontId="21" fillId="0" borderId="0" xfId="9" applyFont="1" applyFill="1"/>
    <xf numFmtId="39" fontId="12" fillId="0" borderId="0" xfId="4" applyNumberFormat="1" applyFont="1"/>
    <xf numFmtId="37" fontId="9" fillId="0" borderId="9" xfId="4" applyNumberFormat="1" applyFont="1" applyBorder="1" applyAlignment="1">
      <alignment horizontal="center"/>
    </xf>
    <xf numFmtId="43" fontId="3" fillId="0" borderId="0" xfId="11" applyFont="1" applyFill="1" applyBorder="1"/>
    <xf numFmtId="173" fontId="21" fillId="0" borderId="9" xfId="4" applyFont="1" applyBorder="1"/>
    <xf numFmtId="173" fontId="21" fillId="0" borderId="18" xfId="4" applyFont="1" applyBorder="1"/>
    <xf numFmtId="39" fontId="3" fillId="0" borderId="18" xfId="10" applyNumberFormat="1" applyFont="1" applyBorder="1"/>
    <xf numFmtId="39" fontId="3" fillId="0" borderId="18" xfId="10" applyNumberFormat="1" applyFont="1" applyFill="1" applyBorder="1"/>
    <xf numFmtId="39" fontId="3" fillId="0" borderId="0" xfId="5" applyNumberFormat="1" applyFont="1"/>
    <xf numFmtId="39" fontId="3" fillId="0" borderId="0" xfId="6" applyNumberFormat="1" applyFont="1"/>
    <xf numFmtId="39" fontId="3" fillId="0" borderId="0" xfId="7" applyNumberFormat="1" applyFont="1" applyFill="1"/>
    <xf numFmtId="39" fontId="3" fillId="0" borderId="0" xfId="8" applyNumberFormat="1" applyFont="1" applyFill="1"/>
    <xf numFmtId="14" fontId="3" fillId="0" borderId="0" xfId="0" applyNumberFormat="1" applyFont="1" applyFill="1" applyAlignment="1">
      <alignment horizontal="center"/>
    </xf>
    <xf numFmtId="7" fontId="3" fillId="0" borderId="0" xfId="0" applyNumberFormat="1" applyFont="1" applyFill="1" applyBorder="1"/>
    <xf numFmtId="7" fontId="6" fillId="0" borderId="18" xfId="0" applyNumberFormat="1" applyFont="1" applyFill="1" applyBorder="1"/>
    <xf numFmtId="7" fontId="6" fillId="0" borderId="0" xfId="0" applyNumberFormat="1" applyFont="1" applyFill="1" applyBorder="1"/>
    <xf numFmtId="39" fontId="3" fillId="0" borderId="18" xfId="0" applyNumberFormat="1" applyFont="1" applyBorder="1" applyAlignment="1"/>
    <xf numFmtId="0" fontId="9" fillId="2" borderId="7" xfId="0" applyFont="1" applyFill="1" applyBorder="1" applyAlignment="1">
      <alignment horizontal="center"/>
    </xf>
    <xf numFmtId="39" fontId="3" fillId="0" borderId="0" xfId="12" applyNumberFormat="1" applyFont="1"/>
    <xf numFmtId="39" fontId="3" fillId="0" borderId="18" xfId="4" applyNumberFormat="1" applyFont="1" applyBorder="1"/>
    <xf numFmtId="173" fontId="4" fillId="0" borderId="0" xfId="4" applyFont="1" applyAlignment="1">
      <alignment horizontal="center"/>
    </xf>
    <xf numFmtId="39" fontId="3" fillId="0" borderId="0" xfId="4" quotePrefix="1" applyNumberFormat="1" applyFont="1" applyBorder="1"/>
    <xf numFmtId="37" fontId="3" fillId="0" borderId="0" xfId="4" applyNumberFormat="1" applyFont="1"/>
    <xf numFmtId="39" fontId="12" fillId="0" borderId="0" xfId="3" applyNumberFormat="1" applyFont="1" applyBorder="1"/>
    <xf numFmtId="10" fontId="3" fillId="0" borderId="0" xfId="4" applyNumberFormat="1" applyFont="1"/>
    <xf numFmtId="4" fontId="3" fillId="0" borderId="0" xfId="4" applyNumberFormat="1" applyFont="1"/>
    <xf numFmtId="39" fontId="3" fillId="0" borderId="0" xfId="13" applyNumberFormat="1" applyFont="1"/>
    <xf numFmtId="173" fontId="12" fillId="0" borderId="0" xfId="4" applyFont="1"/>
    <xf numFmtId="39" fontId="19" fillId="0" borderId="0" xfId="3" applyNumberFormat="1" applyFont="1" applyBorder="1"/>
    <xf numFmtId="173" fontId="12" fillId="0" borderId="0" xfId="4" applyFont="1" applyFill="1"/>
    <xf numFmtId="10" fontId="3" fillId="0" borderId="0" xfId="4" applyNumberFormat="1" applyFont="1" applyFill="1"/>
    <xf numFmtId="39" fontId="3" fillId="0" borderId="0" xfId="9" applyNumberFormat="1" applyFont="1" applyFill="1"/>
    <xf numFmtId="2" fontId="3" fillId="0" borderId="0" xfId="4" applyNumberFormat="1" applyFont="1"/>
    <xf numFmtId="10" fontId="19" fillId="0" borderId="0" xfId="4" applyNumberFormat="1" applyFont="1" applyFill="1"/>
    <xf numFmtId="39" fontId="3" fillId="0" borderId="0" xfId="13" applyNumberFormat="1" applyFont="1" applyFill="1"/>
    <xf numFmtId="173" fontId="6" fillId="0" borderId="0" xfId="14" applyFont="1" applyFill="1"/>
    <xf numFmtId="173" fontId="3" fillId="0" borderId="0" xfId="14" applyFont="1" applyFill="1"/>
    <xf numFmtId="10" fontId="3" fillId="0" borderId="0" xfId="14" applyNumberFormat="1" applyFont="1" applyFill="1" applyAlignment="1">
      <alignment horizontal="center"/>
    </xf>
    <xf numFmtId="173" fontId="6" fillId="0" borderId="0" xfId="14" applyFont="1" applyFill="1" applyAlignment="1">
      <alignment horizontal="center"/>
    </xf>
    <xf numFmtId="173" fontId="6" fillId="0" borderId="0" xfId="14" applyFont="1" applyFill="1" applyBorder="1"/>
    <xf numFmtId="173" fontId="6" fillId="0" borderId="0" xfId="14" applyFont="1" applyFill="1" applyBorder="1" applyAlignment="1">
      <alignment horizontal="center"/>
    </xf>
    <xf numFmtId="173" fontId="6" fillId="0" borderId="0" xfId="14" quotePrefix="1" applyFont="1" applyFill="1" applyBorder="1" applyAlignment="1">
      <alignment horizontal="center"/>
    </xf>
    <xf numFmtId="173" fontId="6" fillId="0" borderId="0" xfId="14" applyNumberFormat="1" applyFont="1" applyFill="1" applyAlignment="1">
      <alignment horizontal="center"/>
    </xf>
    <xf numFmtId="14" fontId="6" fillId="0" borderId="18" xfId="14" quotePrefix="1" applyNumberFormat="1" applyFont="1" applyFill="1" applyBorder="1" applyAlignment="1">
      <alignment horizontal="center"/>
    </xf>
    <xf numFmtId="173" fontId="6" fillId="0" borderId="18" xfId="14" applyFont="1" applyFill="1" applyBorder="1" applyAlignment="1">
      <alignment horizontal="center"/>
    </xf>
    <xf numFmtId="14" fontId="6" fillId="0" borderId="18" xfId="14" applyNumberFormat="1" applyFont="1" applyFill="1" applyBorder="1" applyAlignment="1">
      <alignment horizontal="center"/>
    </xf>
    <xf numFmtId="173" fontId="6" fillId="0" borderId="18" xfId="14" applyNumberFormat="1" applyFont="1" applyFill="1" applyBorder="1" applyAlignment="1">
      <alignment horizontal="center"/>
    </xf>
    <xf numFmtId="14" fontId="6" fillId="0" borderId="0" xfId="14" applyNumberFormat="1" applyFont="1" applyFill="1" applyBorder="1" applyAlignment="1">
      <alignment horizontal="center"/>
    </xf>
    <xf numFmtId="173" fontId="3" fillId="0" borderId="0" xfId="14" applyFont="1" applyFill="1" applyBorder="1"/>
    <xf numFmtId="173" fontId="9" fillId="0" borderId="0" xfId="14" applyFont="1" applyFill="1" applyAlignment="1">
      <alignment horizontal="center"/>
    </xf>
    <xf numFmtId="37" fontId="3" fillId="0" borderId="0" xfId="14" applyNumberFormat="1" applyFont="1" applyFill="1" applyBorder="1"/>
    <xf numFmtId="37" fontId="3" fillId="0" borderId="0" xfId="14" applyNumberFormat="1" applyFont="1" applyFill="1"/>
    <xf numFmtId="37" fontId="3" fillId="0" borderId="18" xfId="14" applyNumberFormat="1" applyFont="1" applyFill="1" applyBorder="1"/>
    <xf numFmtId="37" fontId="3" fillId="0" borderId="0" xfId="14" quotePrefix="1" applyNumberFormat="1" applyFont="1" applyFill="1" applyBorder="1"/>
    <xf numFmtId="37" fontId="3" fillId="0" borderId="0" xfId="15" applyNumberFormat="1" applyFont="1" applyFill="1" applyBorder="1">
      <alignment vertical="top"/>
    </xf>
    <xf numFmtId="37" fontId="3" fillId="0" borderId="18" xfId="15" applyNumberFormat="1" applyFont="1" applyFill="1" applyBorder="1">
      <alignment vertical="top"/>
    </xf>
    <xf numFmtId="37" fontId="3" fillId="0" borderId="18" xfId="14" quotePrefix="1" applyNumberFormat="1" applyFont="1" applyFill="1" applyBorder="1"/>
    <xf numFmtId="37" fontId="3" fillId="0" borderId="0" xfId="15" quotePrefix="1" applyNumberFormat="1" applyFont="1" applyFill="1" applyBorder="1">
      <alignment vertical="top"/>
    </xf>
    <xf numFmtId="37" fontId="9" fillId="0" borderId="0" xfId="14" applyNumberFormat="1" applyFont="1" applyFill="1" applyBorder="1" applyAlignment="1">
      <alignment horizontal="center"/>
    </xf>
    <xf numFmtId="37" fontId="6" fillId="0" borderId="0" xfId="14" applyNumberFormat="1" applyFont="1" applyFill="1" applyBorder="1"/>
    <xf numFmtId="173" fontId="8" fillId="0" borderId="0" xfId="14" applyFont="1" applyFill="1"/>
    <xf numFmtId="0" fontId="3" fillId="0" borderId="0" xfId="14" applyNumberFormat="1" applyFont="1" applyFill="1"/>
    <xf numFmtId="173" fontId="2" fillId="0" borderId="0" xfId="14" applyFont="1" applyFill="1" applyBorder="1"/>
    <xf numFmtId="15" fontId="6" fillId="0" borderId="0" xfId="14" applyNumberFormat="1" applyFont="1" applyFill="1"/>
    <xf numFmtId="15" fontId="6" fillId="0" borderId="0" xfId="14" quotePrefix="1" applyNumberFormat="1" applyFont="1" applyFill="1"/>
    <xf numFmtId="15" fontId="6" fillId="0" borderId="0" xfId="14" quotePrefix="1" applyNumberFormat="1" applyFont="1" applyFill="1" applyBorder="1"/>
    <xf numFmtId="10" fontId="14" fillId="0" borderId="24" xfId="10" applyNumberFormat="1" applyFont="1" applyFill="1" applyBorder="1" applyAlignment="1">
      <alignment horizontal="center"/>
    </xf>
    <xf numFmtId="173" fontId="6" fillId="0" borderId="22" xfId="14" applyFont="1" applyFill="1" applyBorder="1" applyAlignment="1">
      <alignment horizontal="left" indent="1"/>
    </xf>
    <xf numFmtId="173" fontId="22" fillId="0" borderId="0" xfId="14" applyFont="1" applyFill="1"/>
    <xf numFmtId="39" fontId="3" fillId="0" borderId="0" xfId="14" applyNumberFormat="1" applyFont="1" applyFill="1"/>
    <xf numFmtId="4" fontId="6" fillId="0" borderId="0" xfId="14" applyNumberFormat="1" applyFont="1" applyFill="1" applyBorder="1"/>
    <xf numFmtId="0" fontId="6" fillId="0" borderId="0" xfId="14" applyNumberFormat="1" applyFont="1" applyFill="1" applyBorder="1"/>
    <xf numFmtId="173" fontId="9" fillId="0" borderId="0" xfId="14" applyFont="1" applyFill="1" applyBorder="1" applyAlignment="1">
      <alignment horizontal="center"/>
    </xf>
    <xf numFmtId="0" fontId="3" fillId="0" borderId="0" xfId="14" applyNumberFormat="1" applyFont="1" applyFill="1" applyBorder="1" applyAlignment="1">
      <alignment horizontal="left" indent="1"/>
    </xf>
    <xf numFmtId="0" fontId="3" fillId="0" borderId="0" xfId="14" applyNumberFormat="1" applyFont="1" applyFill="1" applyBorder="1"/>
    <xf numFmtId="173" fontId="3" fillId="0" borderId="0" xfId="14" applyFont="1" applyFill="1" applyBorder="1" applyAlignment="1">
      <alignment horizontal="left" indent="1"/>
    </xf>
    <xf numFmtId="0" fontId="6" fillId="0" borderId="0" xfId="0" applyFont="1"/>
    <xf numFmtId="0" fontId="10" fillId="0" borderId="0" xfId="0" applyFont="1" applyAlignment="1">
      <alignment horizontal="center"/>
    </xf>
    <xf numFmtId="44" fontId="3" fillId="0" borderId="0" xfId="16" applyFont="1"/>
    <xf numFmtId="0" fontId="22" fillId="0" borderId="0" xfId="0" applyFont="1"/>
    <xf numFmtId="175" fontId="3" fillId="0" borderId="0" xfId="10" applyNumberFormat="1" applyFont="1"/>
    <xf numFmtId="0" fontId="9" fillId="0" borderId="0" xfId="0" applyFont="1" applyFill="1"/>
    <xf numFmtId="37" fontId="3" fillId="0" borderId="18" xfId="0" applyNumberFormat="1" applyFont="1" applyFill="1" applyBorder="1"/>
    <xf numFmtId="44" fontId="3" fillId="0" borderId="0" xfId="0" applyNumberFormat="1" applyFont="1"/>
    <xf numFmtId="5" fontId="6" fillId="0" borderId="31" xfId="0" applyNumberFormat="1" applyFont="1" applyBorder="1"/>
    <xf numFmtId="0" fontId="6" fillId="0" borderId="0" xfId="0" quotePrefix="1" applyFont="1"/>
    <xf numFmtId="0" fontId="3" fillId="0" borderId="0" xfId="0" quotePrefix="1" applyFont="1"/>
    <xf numFmtId="5" fontId="6" fillId="0" borderId="0" xfId="16" applyNumberFormat="1" applyFont="1" applyFill="1"/>
    <xf numFmtId="37" fontId="6" fillId="0" borderId="0" xfId="0" applyNumberFormat="1" applyFont="1"/>
    <xf numFmtId="10" fontId="6" fillId="0" borderId="0" xfId="10" applyNumberFormat="1" applyFont="1"/>
    <xf numFmtId="0" fontId="2" fillId="0" borderId="0" xfId="0" applyFont="1" applyFill="1" applyBorder="1"/>
    <xf numFmtId="37" fontId="3" fillId="0" borderId="0" xfId="0" applyNumberFormat="1" applyFont="1" applyFill="1"/>
    <xf numFmtId="0" fontId="6" fillId="0" borderId="14" xfId="0" applyFont="1" applyBorder="1" applyAlignment="1">
      <alignment horizontal="center" wrapText="1"/>
    </xf>
    <xf numFmtId="0" fontId="0" fillId="0" borderId="17" xfId="0" applyBorder="1" applyAlignment="1">
      <alignment horizontal="center" wrapText="1"/>
    </xf>
    <xf numFmtId="37" fontId="14" fillId="0" borderId="0" xfId="0" applyNumberFormat="1" applyFont="1" applyAlignment="1" applyProtection="1">
      <alignment horizontal="left" wrapText="1"/>
    </xf>
    <xf numFmtId="0" fontId="0" fillId="0" borderId="0" xfId="0" applyAlignment="1">
      <alignment wrapText="1"/>
    </xf>
    <xf numFmtId="0" fontId="14" fillId="0" borderId="0" xfId="0" applyFont="1" applyBorder="1" applyAlignment="1">
      <alignment wrapText="1"/>
    </xf>
    <xf numFmtId="0" fontId="15" fillId="0" borderId="0" xfId="0" applyFont="1" applyAlignment="1">
      <alignment wrapText="1"/>
    </xf>
  </cellXfs>
  <cellStyles count="17">
    <cellStyle name="Comma" xfId="3" builtinId="3"/>
    <cellStyle name="Comma 10 2" xfId="11"/>
    <cellStyle name="Currency" xfId="16" builtinId="4"/>
    <cellStyle name="Normal" xfId="0" builtinId="0"/>
    <cellStyle name="Normal 147" xfId="8"/>
    <cellStyle name="Normal 43" xfId="7"/>
    <cellStyle name="Normal_186312" xfId="12"/>
    <cellStyle name="Normal_186365" xfId="5"/>
    <cellStyle name="Normal_191432" xfId="6"/>
    <cellStyle name="Normal_4th quarter corrections with staff expanded" xfId="4"/>
    <cellStyle name="Normal_4th quarter corrections with staff expanded 2 3" xfId="9"/>
    <cellStyle name="Normal_4th quarter corrections with staff expanded 3" xfId="13"/>
    <cellStyle name="Normal_Book3" xfId="2"/>
    <cellStyle name="Normal_Deferred Accounts Summary 02qtr06" xfId="14"/>
    <cellStyle name="Normal_oregon technical incr for August 2002 filing" xfId="15"/>
    <cellStyle name="Percent" xfId="1" builtinId="5"/>
    <cellStyle name="Percent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_Affairs/PGA%20-%20WASHINGTON/2019/5%20-%20Rate%20Development/NWN%202019-20%20Washington%20PGA%20rate%20development%20file%20September%20fil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gulatory_Affairs/PGA%20-%20WASHINGTON/2019/5%20-%20Rate%20Development/Proposed_Temps_2019-2020_Washington_Sept_fil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gulatory_Affairs/PGA%20-%20WASHINGTON/2019/5%20-%20Rate%20Development/NWN%202019-20%20Washington%20PGA%20summary%20effects%20September%20fil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amp; Documentation"/>
      <sheetName val="Inputs"/>
      <sheetName val="Washington volumes"/>
      <sheetName val="Avg Bill by RS"/>
      <sheetName val="Rates in summary"/>
      <sheetName val="Rates in detail"/>
      <sheetName val="Temporaries"/>
      <sheetName val="Allocation equal ¢ per therm"/>
      <sheetName val="Allocation = % of margin"/>
      <sheetName val="Inputs for FCST MGN"/>
      <sheetName val="Amortization"/>
      <sheetName val="Rates for MAS GS"/>
      <sheetName val="Cover"/>
      <sheetName val="WA Index"/>
      <sheetName val="F Goldenrod"/>
      <sheetName val="Statement of Rates"/>
      <sheetName val="Summary of Sales Rates"/>
      <sheetName val="Summary of Transportation Rates"/>
      <sheetName val="Summary of Changes in Rate"/>
      <sheetName val="Adjs. to Residential Rates"/>
      <sheetName val="Rate Case History"/>
      <sheetName val="Annual WACOG History"/>
      <sheetName val="Winter WACOG History"/>
      <sheetName val="RS 1 BR History"/>
      <sheetName val="RS 2 BR History"/>
      <sheetName val="RS 3 BR History"/>
      <sheetName val="RS 19 BR History"/>
      <sheetName val="RS 27 BR History"/>
      <sheetName val="RS 41 Firm BR History"/>
      <sheetName val="RS 41 Intp BR History"/>
      <sheetName val="RS 42 FS BR History"/>
      <sheetName val="RS42 IS BR History"/>
      <sheetName val="RS 41T BR History"/>
      <sheetName val="RS 42T BR History"/>
      <sheetName val="RS 43T BR History"/>
      <sheetName val="BREAK"/>
      <sheetName val="RS 1 PR History"/>
      <sheetName val="RS 2 PR History"/>
      <sheetName val="RS 3 PR History"/>
      <sheetName val="RS 21 BR History"/>
      <sheetName val="RS 54 BR History"/>
      <sheetName val="wacog purch history 1988-2007"/>
      <sheetName val="Chgs in Rates by RS 1995-2004"/>
      <sheetName val="RS 3T BR History"/>
    </sheetNames>
    <sheetDataSet>
      <sheetData sheetId="0"/>
      <sheetData sheetId="1">
        <row r="56">
          <cell r="B56">
            <v>43770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A Summary"/>
      <sheetName val="WA Amort Rates  1819"/>
      <sheetName val="PGA Summary by Month"/>
      <sheetName val="186234 GREAT"/>
      <sheetName val="186235 GREAT AMORT"/>
      <sheetName val="186314 WA-LIEE"/>
      <sheetName val="186315 WA-LIEE  AMORT"/>
      <sheetName val="186310 Energy Eff General"/>
      <sheetName val="186312 Energy Eff Res &amp; Comm"/>
      <sheetName val="186311 Furnace Program"/>
      <sheetName val="186316 DSM Amort"/>
      <sheetName val="254307 PROP SALES"/>
      <sheetName val="254317 PROP SLS AMORT"/>
      <sheetName val="191420 Defer WACOG"/>
      <sheetName val="191421 Amort WACOG"/>
      <sheetName val="191430 Defer Demand"/>
      <sheetName val="191431 Amort Demand"/>
      <sheetName val="191432"/>
      <sheetName val="254302 Storage Sharing"/>
    </sheetNames>
    <sheetDataSet>
      <sheetData sheetId="0"/>
      <sheetData sheetId="1"/>
      <sheetData sheetId="2"/>
      <sheetData sheetId="3"/>
      <sheetData sheetId="4"/>
      <sheetData sheetId="5">
        <row r="28">
          <cell r="E28">
            <v>-67893.209999999992</v>
          </cell>
        </row>
      </sheetData>
      <sheetData sheetId="6"/>
      <sheetData sheetId="7">
        <row r="64">
          <cell r="E64">
            <v>-49776.71</v>
          </cell>
        </row>
        <row r="76">
          <cell r="E76">
            <v>-12465.980000000005</v>
          </cell>
        </row>
        <row r="88">
          <cell r="E88">
            <v>-11695.31</v>
          </cell>
        </row>
      </sheetData>
      <sheetData sheetId="8">
        <row r="28">
          <cell r="E28">
            <v>-43056.75</v>
          </cell>
        </row>
        <row r="40">
          <cell r="E40">
            <v>-112229.84000000001</v>
          </cell>
        </row>
        <row r="89">
          <cell r="E89">
            <v>-676612.3324999999</v>
          </cell>
        </row>
        <row r="101">
          <cell r="E101">
            <v>-1319584.1399999994</v>
          </cell>
        </row>
        <row r="113">
          <cell r="E113">
            <v>-1348262.7399999995</v>
          </cell>
        </row>
      </sheetData>
      <sheetData sheetId="9">
        <row r="28">
          <cell r="E28">
            <v>-118171.66999999998</v>
          </cell>
        </row>
        <row r="40">
          <cell r="E40">
            <v>-62495.56</v>
          </cell>
        </row>
      </sheetData>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4A PGA"/>
      <sheetName val="19-03 R&amp;C Eng. Effic."/>
      <sheetName val="19-04 GREAT &amp; WA-LIEE"/>
      <sheetName val="19-06 Sch. 201 &amp; 203"/>
      <sheetName val="19-05 HoldCo Credit"/>
      <sheetName val="19-07 Combined"/>
      <sheetName val="Revenue Senstive"/>
    </sheetNames>
    <sheetDataSet>
      <sheetData sheetId="0"/>
      <sheetData sheetId="1"/>
      <sheetData sheetId="2"/>
      <sheetData sheetId="3"/>
      <sheetData sheetId="4"/>
      <sheetData sheetId="5">
        <row r="32">
          <cell r="B32" t="str">
            <v>2018 Washington CBR Normalized Total Revenues</v>
          </cell>
          <cell r="F32">
            <v>66182522</v>
          </cell>
        </row>
      </sheetData>
      <sheetData sheetId="6">
        <row r="5">
          <cell r="D5">
            <v>3102783.7482523317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0"/>
  <sheetViews>
    <sheetView showGridLines="0" view="pageLayout" topLeftCell="E1" zoomScaleNormal="100" workbookViewId="0">
      <selection activeCell="S2" sqref="S2"/>
    </sheetView>
  </sheetViews>
  <sheetFormatPr defaultColWidth="8" defaultRowHeight="12.75" x14ac:dyDescent="0.2"/>
  <cols>
    <col min="1" max="1" width="4.85546875" style="5" customWidth="1"/>
    <col min="2" max="2" width="12.7109375" style="2" customWidth="1"/>
    <col min="3" max="3" width="7.140625" style="2" customWidth="1"/>
    <col min="4" max="4" width="14.140625" style="3" bestFit="1" customWidth="1"/>
    <col min="5" max="5" width="11.42578125" style="3" bestFit="1" customWidth="1"/>
    <col min="6" max="6" width="14.28515625" style="3" bestFit="1" customWidth="1"/>
    <col min="7" max="7" width="16.7109375" style="3" bestFit="1" customWidth="1"/>
    <col min="8" max="8" width="9.5703125" style="3" bestFit="1" customWidth="1"/>
    <col min="9" max="9" width="12.42578125" style="3" bestFit="1" customWidth="1"/>
    <col min="10" max="10" width="12" style="3" bestFit="1" customWidth="1"/>
    <col min="11" max="11" width="9.85546875" style="3" customWidth="1"/>
    <col min="12" max="12" width="17" style="3" bestFit="1" customWidth="1"/>
    <col min="13" max="13" width="25.28515625" style="3" customWidth="1"/>
    <col min="14" max="14" width="13.28515625" style="12" customWidth="1"/>
    <col min="15" max="15" width="13.85546875" style="2" customWidth="1"/>
    <col min="16" max="16" width="12.7109375" style="4" customWidth="1"/>
    <col min="17" max="16384" width="8" style="5"/>
  </cols>
  <sheetData>
    <row r="1" spans="1:16" ht="14.25" x14ac:dyDescent="0.2">
      <c r="A1" s="1" t="s">
        <v>0</v>
      </c>
      <c r="N1" s="2"/>
    </row>
    <row r="2" spans="1:16" ht="14.25" x14ac:dyDescent="0.2">
      <c r="A2" s="1" t="s">
        <v>1</v>
      </c>
      <c r="N2" s="2"/>
    </row>
    <row r="3" spans="1:16" ht="14.25" x14ac:dyDescent="0.2">
      <c r="A3" s="1" t="s">
        <v>2</v>
      </c>
      <c r="N3" s="91"/>
    </row>
    <row r="4" spans="1:16" ht="14.25" x14ac:dyDescent="0.2">
      <c r="A4" s="1" t="s">
        <v>3</v>
      </c>
      <c r="N4" s="91"/>
    </row>
    <row r="5" spans="1:16" x14ac:dyDescent="0.2">
      <c r="D5" s="2"/>
      <c r="E5" s="2"/>
      <c r="F5" s="2"/>
      <c r="G5" s="2"/>
      <c r="H5" s="2"/>
      <c r="I5" s="2"/>
      <c r="J5" s="2"/>
      <c r="K5" s="2"/>
      <c r="L5" s="2"/>
      <c r="M5" s="2"/>
      <c r="N5" s="2"/>
    </row>
    <row r="6" spans="1:16" x14ac:dyDescent="0.2">
      <c r="A6" s="7"/>
      <c r="B6" s="8"/>
      <c r="C6" s="8"/>
      <c r="D6" s="8"/>
      <c r="E6" s="9"/>
      <c r="F6" s="2"/>
      <c r="G6" s="2"/>
      <c r="H6" s="10"/>
      <c r="I6" s="2"/>
      <c r="J6" s="10"/>
      <c r="K6" s="2"/>
      <c r="L6" s="2"/>
    </row>
    <row r="7" spans="1:16" ht="15" customHeight="1" thickBot="1" x14ac:dyDescent="0.25">
      <c r="A7" s="11">
        <v>1</v>
      </c>
      <c r="D7" s="12"/>
      <c r="E7" s="12" t="s">
        <v>4</v>
      </c>
      <c r="F7" s="12" t="s">
        <v>5</v>
      </c>
      <c r="G7" s="12" t="s">
        <v>6</v>
      </c>
      <c r="H7" s="13"/>
      <c r="I7" s="12"/>
      <c r="J7" s="13"/>
      <c r="K7" s="12"/>
      <c r="L7" s="12"/>
      <c r="M7" s="2"/>
      <c r="N7" s="14" t="s">
        <v>7</v>
      </c>
      <c r="O7" s="15"/>
      <c r="P7" s="16"/>
    </row>
    <row r="8" spans="1:16" ht="15" customHeight="1" thickBot="1" x14ac:dyDescent="0.25">
      <c r="A8" s="11">
        <v>2</v>
      </c>
      <c r="D8" s="12" t="s">
        <v>8</v>
      </c>
      <c r="E8" s="12" t="s">
        <v>9</v>
      </c>
      <c r="F8" s="12" t="s">
        <v>10</v>
      </c>
      <c r="G8" s="12" t="s">
        <v>11</v>
      </c>
      <c r="H8" s="13"/>
      <c r="I8" s="12"/>
      <c r="J8" s="13"/>
      <c r="K8" s="12"/>
      <c r="L8" s="12"/>
      <c r="M8" s="17" t="s">
        <v>12</v>
      </c>
      <c r="N8" s="18">
        <v>2973770</v>
      </c>
      <c r="O8" s="19" t="s">
        <v>13</v>
      </c>
      <c r="P8" s="20"/>
    </row>
    <row r="9" spans="1:16" ht="15" customHeight="1" thickBot="1" x14ac:dyDescent="0.25">
      <c r="A9" s="11">
        <v>3</v>
      </c>
      <c r="D9" s="12" t="s">
        <v>14</v>
      </c>
      <c r="E9" s="12" t="s">
        <v>15</v>
      </c>
      <c r="F9" s="12" t="s">
        <v>15</v>
      </c>
      <c r="G9" s="12" t="s">
        <v>16</v>
      </c>
      <c r="H9" s="13" t="s">
        <v>17</v>
      </c>
      <c r="I9" s="12" t="s">
        <v>18</v>
      </c>
      <c r="J9" s="21" t="s">
        <v>19</v>
      </c>
      <c r="K9" s="12"/>
      <c r="L9" s="13" t="s">
        <v>20</v>
      </c>
      <c r="M9" s="17" t="s">
        <v>21</v>
      </c>
      <c r="N9" s="22">
        <v>4.1579999999999999E-2</v>
      </c>
      <c r="O9" s="23" t="s">
        <v>22</v>
      </c>
      <c r="P9" s="24"/>
    </row>
    <row r="10" spans="1:16" s="31" customFormat="1" ht="15" customHeight="1" thickBot="1" x14ac:dyDescent="0.25">
      <c r="A10" s="11">
        <v>4</v>
      </c>
      <c r="B10" s="2"/>
      <c r="C10" s="2"/>
      <c r="D10" s="25" t="s">
        <v>23</v>
      </c>
      <c r="E10" s="25" t="s">
        <v>24</v>
      </c>
      <c r="F10" s="25" t="s">
        <v>25</v>
      </c>
      <c r="G10" s="25" t="s">
        <v>24</v>
      </c>
      <c r="H10" s="26" t="s">
        <v>26</v>
      </c>
      <c r="I10" s="25" t="s">
        <v>27</v>
      </c>
      <c r="J10" s="26" t="s">
        <v>28</v>
      </c>
      <c r="K10" s="25" t="s">
        <v>29</v>
      </c>
      <c r="L10" s="26" t="s">
        <v>27</v>
      </c>
      <c r="M10" s="27" t="s">
        <v>30</v>
      </c>
      <c r="N10" s="28">
        <v>3102784</v>
      </c>
      <c r="O10" s="29" t="s">
        <v>31</v>
      </c>
      <c r="P10" s="30"/>
    </row>
    <row r="11" spans="1:16" s="31" customFormat="1" x14ac:dyDescent="0.2">
      <c r="A11" s="11">
        <v>5</v>
      </c>
      <c r="B11" s="2"/>
      <c r="C11" s="2"/>
      <c r="D11" s="32"/>
      <c r="E11" s="32"/>
      <c r="F11" s="32"/>
      <c r="G11" s="32"/>
      <c r="H11" s="13" t="s">
        <v>32</v>
      </c>
      <c r="I11" s="32"/>
      <c r="J11" s="13"/>
      <c r="K11" s="32"/>
      <c r="L11" s="362" t="s">
        <v>33</v>
      </c>
      <c r="M11" s="33"/>
      <c r="N11" s="34" t="s">
        <v>34</v>
      </c>
      <c r="O11" s="11" t="s">
        <v>35</v>
      </c>
      <c r="P11" s="35" t="s">
        <v>36</v>
      </c>
    </row>
    <row r="12" spans="1:16" s="31" customFormat="1" x14ac:dyDescent="0.2">
      <c r="A12" s="11">
        <v>6</v>
      </c>
      <c r="B12" s="36" t="s">
        <v>37</v>
      </c>
      <c r="C12" s="37" t="s">
        <v>38</v>
      </c>
      <c r="D12" s="38" t="s">
        <v>39</v>
      </c>
      <c r="E12" s="39" t="s">
        <v>40</v>
      </c>
      <c r="F12" s="39" t="s">
        <v>41</v>
      </c>
      <c r="G12" s="39" t="s">
        <v>42</v>
      </c>
      <c r="H12" s="39" t="s">
        <v>43</v>
      </c>
      <c r="I12" s="39" t="s">
        <v>44</v>
      </c>
      <c r="J12" s="39" t="s">
        <v>45</v>
      </c>
      <c r="K12" s="38" t="s">
        <v>46</v>
      </c>
      <c r="L12" s="363"/>
      <c r="M12" s="40"/>
      <c r="N12" s="41" t="s">
        <v>47</v>
      </c>
      <c r="O12" s="38" t="s">
        <v>48</v>
      </c>
      <c r="P12" s="42" t="s">
        <v>49</v>
      </c>
    </row>
    <row r="13" spans="1:16" x14ac:dyDescent="0.2">
      <c r="A13" s="11">
        <v>7</v>
      </c>
      <c r="B13" s="43" t="s">
        <v>50</v>
      </c>
      <c r="C13" s="44"/>
      <c r="D13" s="45">
        <v>196915.9</v>
      </c>
      <c r="E13" s="46">
        <v>1.0291799999999995</v>
      </c>
      <c r="F13" s="46">
        <v>0.33485999999999999</v>
      </c>
      <c r="G13" s="46">
        <v>9.8399999999999876E-3</v>
      </c>
      <c r="H13" s="46">
        <v>0.68447999999999964</v>
      </c>
      <c r="I13" s="47">
        <v>134785</v>
      </c>
      <c r="J13" s="48">
        <v>3.47</v>
      </c>
      <c r="K13" s="45">
        <v>885</v>
      </c>
      <c r="L13" s="49">
        <v>171636</v>
      </c>
      <c r="M13" s="50"/>
      <c r="N13" s="102">
        <v>1</v>
      </c>
      <c r="O13" s="51">
        <v>13411</v>
      </c>
      <c r="P13" s="52">
        <v>6.8110000000000004E-2</v>
      </c>
    </row>
    <row r="14" spans="1:16" x14ac:dyDescent="0.2">
      <c r="A14" s="11">
        <v>8</v>
      </c>
      <c r="B14" s="43" t="s">
        <v>51</v>
      </c>
      <c r="C14" s="44"/>
      <c r="D14" s="45">
        <v>41008.9</v>
      </c>
      <c r="E14" s="53">
        <v>1.0187299999999995</v>
      </c>
      <c r="F14" s="53">
        <v>0.33485999999999999</v>
      </c>
      <c r="G14" s="53">
        <v>-1.9999999999999879E-4</v>
      </c>
      <c r="H14" s="53">
        <v>0.68406999999999951</v>
      </c>
      <c r="I14" s="49">
        <v>28053</v>
      </c>
      <c r="J14" s="54">
        <v>3.47</v>
      </c>
      <c r="K14" s="45">
        <v>36</v>
      </c>
      <c r="L14" s="49">
        <v>29552</v>
      </c>
      <c r="M14" s="50"/>
      <c r="N14" s="102">
        <v>1</v>
      </c>
      <c r="O14" s="51">
        <v>2309</v>
      </c>
      <c r="P14" s="52">
        <v>5.6300000000000003E-2</v>
      </c>
    </row>
    <row r="15" spans="1:16" x14ac:dyDescent="0.2">
      <c r="A15" s="11">
        <v>9</v>
      </c>
      <c r="B15" s="43" t="s">
        <v>52</v>
      </c>
      <c r="C15" s="44"/>
      <c r="D15" s="45">
        <v>53306699.299999997</v>
      </c>
      <c r="E15" s="53">
        <v>0.73545999999999978</v>
      </c>
      <c r="F15" s="53">
        <v>0.33485999999999999</v>
      </c>
      <c r="G15" s="53">
        <v>-1.3939999999999994E-2</v>
      </c>
      <c r="H15" s="53">
        <v>0.4145399999999998</v>
      </c>
      <c r="I15" s="49">
        <v>22097759</v>
      </c>
      <c r="J15" s="54">
        <v>7</v>
      </c>
      <c r="K15" s="45">
        <v>77694</v>
      </c>
      <c r="L15" s="49">
        <v>28624055</v>
      </c>
      <c r="M15" s="50"/>
      <c r="N15" s="102">
        <v>1</v>
      </c>
      <c r="O15" s="51">
        <v>2236587</v>
      </c>
      <c r="P15" s="52">
        <v>4.1959999999999997E-2</v>
      </c>
    </row>
    <row r="16" spans="1:16" x14ac:dyDescent="0.2">
      <c r="A16" s="11">
        <v>10</v>
      </c>
      <c r="B16" s="43" t="s">
        <v>53</v>
      </c>
      <c r="C16" s="44"/>
      <c r="D16" s="45">
        <v>18528180.699999999</v>
      </c>
      <c r="E16" s="53">
        <v>0.73534000000000033</v>
      </c>
      <c r="F16" s="53">
        <v>0.33485999999999999</v>
      </c>
      <c r="G16" s="53">
        <v>-1.8099999999999991E-2</v>
      </c>
      <c r="H16" s="53">
        <v>0.41858000000000034</v>
      </c>
      <c r="I16" s="49">
        <v>7755526</v>
      </c>
      <c r="J16" s="54">
        <v>15</v>
      </c>
      <c r="K16" s="45">
        <v>6219</v>
      </c>
      <c r="L16" s="49">
        <v>8874946</v>
      </c>
      <c r="M16" s="50"/>
      <c r="N16" s="102">
        <v>1</v>
      </c>
      <c r="O16" s="51">
        <v>693458</v>
      </c>
      <c r="P16" s="52">
        <v>3.7429999999999998E-2</v>
      </c>
    </row>
    <row r="17" spans="1:16" x14ac:dyDescent="0.2">
      <c r="A17" s="11">
        <v>11</v>
      </c>
      <c r="B17" s="43" t="s">
        <v>54</v>
      </c>
      <c r="C17" s="44"/>
      <c r="D17" s="45">
        <v>363801</v>
      </c>
      <c r="E17" s="53">
        <v>0.70457999999999954</v>
      </c>
      <c r="F17" s="53">
        <v>0.33485999999999999</v>
      </c>
      <c r="G17" s="53">
        <v>-4.8729999999999996E-2</v>
      </c>
      <c r="H17" s="53">
        <v>0.41844999999999954</v>
      </c>
      <c r="I17" s="49">
        <v>152233</v>
      </c>
      <c r="J17" s="54">
        <v>15</v>
      </c>
      <c r="K17" s="45">
        <v>25</v>
      </c>
      <c r="L17" s="49">
        <v>156733</v>
      </c>
      <c r="M17" s="50"/>
      <c r="N17" s="102">
        <v>0</v>
      </c>
      <c r="O17" s="51">
        <v>0</v>
      </c>
      <c r="P17" s="52">
        <v>0</v>
      </c>
    </row>
    <row r="18" spans="1:16" x14ac:dyDescent="0.2">
      <c r="A18" s="11">
        <v>12</v>
      </c>
      <c r="B18" s="55">
        <v>27</v>
      </c>
      <c r="C18" s="56"/>
      <c r="D18" s="45">
        <v>575777.19999999995</v>
      </c>
      <c r="E18" s="53">
        <v>0.56221999999999994</v>
      </c>
      <c r="F18" s="53">
        <v>0.33485999999999999</v>
      </c>
      <c r="G18" s="53">
        <v>-2.6839999999999999E-2</v>
      </c>
      <c r="H18" s="53">
        <v>0.25419999999999993</v>
      </c>
      <c r="I18" s="49">
        <v>146363</v>
      </c>
      <c r="J18" s="54">
        <v>6</v>
      </c>
      <c r="K18" s="45">
        <v>889</v>
      </c>
      <c r="L18" s="49">
        <v>210371</v>
      </c>
      <c r="M18" s="50"/>
      <c r="N18" s="102">
        <v>1</v>
      </c>
      <c r="O18" s="51">
        <v>16438</v>
      </c>
      <c r="P18" s="52">
        <v>2.8549999999999999E-2</v>
      </c>
    </row>
    <row r="19" spans="1:16" x14ac:dyDescent="0.2">
      <c r="A19" s="11">
        <v>13</v>
      </c>
      <c r="B19" s="57" t="s">
        <v>55</v>
      </c>
      <c r="C19" s="58" t="s">
        <v>56</v>
      </c>
      <c r="D19" s="59">
        <v>1970232.1</v>
      </c>
      <c r="E19" s="60">
        <v>0.49926000000000026</v>
      </c>
      <c r="F19" s="60">
        <v>0.22356000000000001</v>
      </c>
      <c r="G19" s="60">
        <v>-2.5939999999999998E-2</v>
      </c>
      <c r="H19" s="60">
        <v>0.3016400000000003</v>
      </c>
      <c r="I19" s="61">
        <v>1158804</v>
      </c>
      <c r="J19" s="62">
        <v>250</v>
      </c>
      <c r="K19" s="59">
        <v>96</v>
      </c>
      <c r="L19" s="61">
        <v>1446804</v>
      </c>
      <c r="M19" s="63"/>
      <c r="N19" s="103">
        <v>1</v>
      </c>
      <c r="O19" s="64">
        <v>113048</v>
      </c>
      <c r="P19" s="65">
        <v>2.9430000000000001E-2</v>
      </c>
    </row>
    <row r="20" spans="1:16" x14ac:dyDescent="0.2">
      <c r="A20" s="11">
        <v>14</v>
      </c>
      <c r="B20" s="55"/>
      <c r="C20" s="66" t="s">
        <v>57</v>
      </c>
      <c r="D20" s="45">
        <v>2123869.7999999998</v>
      </c>
      <c r="E20" s="53">
        <v>0.46017999999999998</v>
      </c>
      <c r="F20" s="53">
        <v>0.22356000000000001</v>
      </c>
      <c r="G20" s="53">
        <v>-2.9169999999999995E-2</v>
      </c>
      <c r="H20" s="53">
        <v>0.26578999999999997</v>
      </c>
      <c r="I20" s="49"/>
      <c r="J20" s="54"/>
      <c r="K20" s="45"/>
      <c r="L20" s="49"/>
      <c r="M20" s="50"/>
      <c r="N20" s="102">
        <v>1</v>
      </c>
      <c r="O20" s="51"/>
      <c r="P20" s="52">
        <v>2.5930000000000002E-2</v>
      </c>
    </row>
    <row r="21" spans="1:16" x14ac:dyDescent="0.2">
      <c r="A21" s="11">
        <v>15</v>
      </c>
      <c r="B21" s="57" t="s">
        <v>58</v>
      </c>
      <c r="C21" s="58" t="s">
        <v>56</v>
      </c>
      <c r="D21" s="59">
        <v>0</v>
      </c>
      <c r="E21" s="60">
        <v>0.51518999999999993</v>
      </c>
      <c r="F21" s="60">
        <v>0.22356000000000001</v>
      </c>
      <c r="G21" s="60">
        <v>-9.779999999999997E-3</v>
      </c>
      <c r="H21" s="60">
        <v>0.30140999999999996</v>
      </c>
      <c r="I21" s="61">
        <v>0</v>
      </c>
      <c r="J21" s="62">
        <v>250</v>
      </c>
      <c r="K21" s="59">
        <v>0</v>
      </c>
      <c r="L21" s="61">
        <v>0</v>
      </c>
      <c r="M21" s="63"/>
      <c r="N21" s="103">
        <v>1</v>
      </c>
      <c r="O21" s="64">
        <v>0</v>
      </c>
      <c r="P21" s="65">
        <v>2.7699999999999999E-2</v>
      </c>
    </row>
    <row r="22" spans="1:16" x14ac:dyDescent="0.2">
      <c r="A22" s="11">
        <v>16</v>
      </c>
      <c r="B22" s="55"/>
      <c r="C22" s="66" t="s">
        <v>57</v>
      </c>
      <c r="D22" s="45">
        <v>0</v>
      </c>
      <c r="E22" s="53">
        <v>0.47625999999999991</v>
      </c>
      <c r="F22" s="53">
        <v>0.22356000000000001</v>
      </c>
      <c r="G22" s="53">
        <v>-1.286E-2</v>
      </c>
      <c r="H22" s="53">
        <v>0.26555999999999991</v>
      </c>
      <c r="I22" s="49"/>
      <c r="J22" s="54"/>
      <c r="K22" s="45"/>
      <c r="L22" s="49"/>
      <c r="M22" s="50"/>
      <c r="N22" s="102">
        <v>1</v>
      </c>
      <c r="O22" s="51"/>
      <c r="P22" s="52">
        <v>2.4400000000000002E-2</v>
      </c>
    </row>
    <row r="23" spans="1:16" x14ac:dyDescent="0.2">
      <c r="A23" s="11">
        <v>17</v>
      </c>
      <c r="B23" s="57" t="s">
        <v>59</v>
      </c>
      <c r="C23" s="58" t="s">
        <v>56</v>
      </c>
      <c r="D23" s="59">
        <v>303749</v>
      </c>
      <c r="E23" s="60">
        <v>0.30018999999999996</v>
      </c>
      <c r="F23" s="60">
        <v>0</v>
      </c>
      <c r="G23" s="60">
        <v>-5.8E-4</v>
      </c>
      <c r="H23" s="60">
        <v>0.30076999999999998</v>
      </c>
      <c r="I23" s="61">
        <v>219718</v>
      </c>
      <c r="J23" s="62">
        <v>500</v>
      </c>
      <c r="K23" s="59">
        <v>8</v>
      </c>
      <c r="L23" s="67">
        <v>267718</v>
      </c>
      <c r="M23" s="63"/>
      <c r="N23" s="103">
        <v>0</v>
      </c>
      <c r="O23" s="64">
        <v>0</v>
      </c>
      <c r="P23" s="65">
        <v>0</v>
      </c>
    </row>
    <row r="24" spans="1:16" x14ac:dyDescent="0.2">
      <c r="A24" s="11">
        <v>18</v>
      </c>
      <c r="B24" s="55"/>
      <c r="C24" s="66" t="s">
        <v>57</v>
      </c>
      <c r="D24" s="45">
        <v>484375</v>
      </c>
      <c r="E24" s="53">
        <v>0.26449</v>
      </c>
      <c r="F24" s="53">
        <v>0</v>
      </c>
      <c r="G24" s="53">
        <v>-5.1000000000000004E-4</v>
      </c>
      <c r="H24" s="53">
        <v>0.26500000000000001</v>
      </c>
      <c r="I24" s="49"/>
      <c r="J24" s="54"/>
      <c r="K24" s="45"/>
      <c r="L24" s="49"/>
      <c r="M24" s="50"/>
      <c r="N24" s="102">
        <v>0</v>
      </c>
      <c r="O24" s="51"/>
      <c r="P24" s="52">
        <v>0</v>
      </c>
    </row>
    <row r="25" spans="1:16" x14ac:dyDescent="0.2">
      <c r="A25" s="11">
        <v>19</v>
      </c>
      <c r="B25" s="57" t="s">
        <v>60</v>
      </c>
      <c r="C25" s="58" t="s">
        <v>56</v>
      </c>
      <c r="D25" s="59">
        <v>360236</v>
      </c>
      <c r="E25" s="60">
        <v>0.47592000000000023</v>
      </c>
      <c r="F25" s="60">
        <v>0.22356000000000001</v>
      </c>
      <c r="G25" s="60">
        <v>-4.9319999999999996E-2</v>
      </c>
      <c r="H25" s="60">
        <v>0.30168000000000023</v>
      </c>
      <c r="I25" s="61">
        <v>252761</v>
      </c>
      <c r="J25" s="62">
        <v>250</v>
      </c>
      <c r="K25" s="59">
        <v>18</v>
      </c>
      <c r="L25" s="61">
        <v>306761</v>
      </c>
      <c r="M25" s="63"/>
      <c r="N25" s="103">
        <v>0</v>
      </c>
      <c r="O25" s="64">
        <v>0</v>
      </c>
      <c r="P25" s="65">
        <v>0</v>
      </c>
    </row>
    <row r="26" spans="1:16" x14ac:dyDescent="0.2">
      <c r="A26" s="11">
        <v>20</v>
      </c>
      <c r="B26" s="55"/>
      <c r="C26" s="66" t="s">
        <v>57</v>
      </c>
      <c r="D26" s="45">
        <v>542040</v>
      </c>
      <c r="E26" s="53">
        <v>0.43959999999999988</v>
      </c>
      <c r="F26" s="53">
        <v>0.22356000000000001</v>
      </c>
      <c r="G26" s="53">
        <v>-4.9779999999999998E-2</v>
      </c>
      <c r="H26" s="53">
        <v>0.26581999999999989</v>
      </c>
      <c r="I26" s="49"/>
      <c r="J26" s="54"/>
      <c r="K26" s="45"/>
      <c r="L26" s="49"/>
      <c r="M26" s="50"/>
      <c r="N26" s="102">
        <v>0</v>
      </c>
      <c r="O26" s="51"/>
      <c r="P26" s="52">
        <v>0</v>
      </c>
    </row>
    <row r="27" spans="1:16" x14ac:dyDescent="0.2">
      <c r="A27" s="11">
        <v>21</v>
      </c>
      <c r="B27" s="57" t="s">
        <v>61</v>
      </c>
      <c r="C27" s="58" t="s">
        <v>56</v>
      </c>
      <c r="D27" s="59">
        <v>0</v>
      </c>
      <c r="E27" s="60">
        <v>0.4930000000000001</v>
      </c>
      <c r="F27" s="60">
        <v>0.22356000000000001</v>
      </c>
      <c r="G27" s="60">
        <v>-3.1969999999999998E-2</v>
      </c>
      <c r="H27" s="60">
        <v>0.30141000000000012</v>
      </c>
      <c r="I27" s="61">
        <v>0</v>
      </c>
      <c r="J27" s="62">
        <v>250</v>
      </c>
      <c r="K27" s="59">
        <v>0</v>
      </c>
      <c r="L27" s="67">
        <v>0</v>
      </c>
      <c r="M27" s="63"/>
      <c r="N27" s="103">
        <v>0</v>
      </c>
      <c r="O27" s="64">
        <v>0</v>
      </c>
      <c r="P27" s="65">
        <v>0</v>
      </c>
    </row>
    <row r="28" spans="1:16" x14ac:dyDescent="0.2">
      <c r="A28" s="11">
        <v>22</v>
      </c>
      <c r="B28" s="55"/>
      <c r="C28" s="66" t="s">
        <v>57</v>
      </c>
      <c r="D28" s="45">
        <v>0</v>
      </c>
      <c r="E28" s="53">
        <v>0.45670999999999995</v>
      </c>
      <c r="F28" s="53">
        <v>0.22356000000000001</v>
      </c>
      <c r="G28" s="53">
        <v>-3.2409999999999994E-2</v>
      </c>
      <c r="H28" s="53">
        <v>0.26555999999999991</v>
      </c>
      <c r="I28" s="49"/>
      <c r="J28" s="54"/>
      <c r="K28" s="45"/>
      <c r="L28" s="49"/>
      <c r="M28" s="50"/>
      <c r="N28" s="102">
        <v>0</v>
      </c>
      <c r="O28" s="51"/>
      <c r="P28" s="52">
        <v>0</v>
      </c>
    </row>
    <row r="29" spans="1:16" x14ac:dyDescent="0.2">
      <c r="A29" s="11">
        <v>23</v>
      </c>
      <c r="B29" s="57" t="s">
        <v>62</v>
      </c>
      <c r="C29" s="58" t="s">
        <v>56</v>
      </c>
      <c r="D29" s="59">
        <v>561182.4</v>
      </c>
      <c r="E29" s="60">
        <v>0.30433999999999994</v>
      </c>
      <c r="F29" s="60">
        <v>0.22356000000000001</v>
      </c>
      <c r="G29" s="60">
        <v>-3.7989999999999996E-2</v>
      </c>
      <c r="H29" s="60">
        <v>0.11876999999999993</v>
      </c>
      <c r="I29" s="61">
        <v>129963</v>
      </c>
      <c r="J29" s="62">
        <v>1300</v>
      </c>
      <c r="K29" s="59">
        <v>6</v>
      </c>
      <c r="L29" s="61">
        <v>223563</v>
      </c>
      <c r="M29" s="63"/>
      <c r="N29" s="103">
        <v>1</v>
      </c>
      <c r="O29" s="68">
        <v>17468</v>
      </c>
      <c r="P29" s="69">
        <v>1.5959999999999998E-2</v>
      </c>
    </row>
    <row r="30" spans="1:16" x14ac:dyDescent="0.2">
      <c r="A30" s="11">
        <v>24</v>
      </c>
      <c r="B30" s="57"/>
      <c r="C30" s="58" t="s">
        <v>57</v>
      </c>
      <c r="D30" s="59">
        <v>481861</v>
      </c>
      <c r="E30" s="60">
        <v>0.29029999999999978</v>
      </c>
      <c r="F30" s="60">
        <v>0.22356000000000001</v>
      </c>
      <c r="G30" s="60">
        <v>-3.9579999999999997E-2</v>
      </c>
      <c r="H30" s="60">
        <v>0.10631999999999978</v>
      </c>
      <c r="I30" s="70"/>
      <c r="J30" s="62"/>
      <c r="K30" s="59"/>
      <c r="L30" s="70"/>
      <c r="M30" s="63"/>
      <c r="N30" s="103">
        <v>1</v>
      </c>
      <c r="O30" s="71"/>
      <c r="P30" s="72">
        <v>1.4290000000000001E-2</v>
      </c>
    </row>
    <row r="31" spans="1:16" x14ac:dyDescent="0.2">
      <c r="A31" s="11">
        <v>25</v>
      </c>
      <c r="B31" s="57"/>
      <c r="C31" s="58" t="s">
        <v>63</v>
      </c>
      <c r="D31" s="59">
        <v>131374.9</v>
      </c>
      <c r="E31" s="60">
        <v>0.26236999999999994</v>
      </c>
      <c r="F31" s="60">
        <v>0.22356000000000001</v>
      </c>
      <c r="G31" s="60">
        <v>-4.2729999999999997E-2</v>
      </c>
      <c r="H31" s="60">
        <v>8.1539999999999918E-2</v>
      </c>
      <c r="I31" s="70"/>
      <c r="J31" s="62"/>
      <c r="K31" s="59"/>
      <c r="L31" s="70"/>
      <c r="M31" s="63"/>
      <c r="N31" s="103">
        <v>1</v>
      </c>
      <c r="O31" s="71"/>
      <c r="P31" s="72">
        <v>1.0959999999999999E-2</v>
      </c>
    </row>
    <row r="32" spans="1:16" x14ac:dyDescent="0.2">
      <c r="A32" s="11">
        <v>26</v>
      </c>
      <c r="B32" s="57"/>
      <c r="C32" s="58" t="s">
        <v>64</v>
      </c>
      <c r="D32" s="59">
        <v>20968.900000000001</v>
      </c>
      <c r="E32" s="60">
        <v>0.2439800000000002</v>
      </c>
      <c r="F32" s="60">
        <v>0.22356000000000001</v>
      </c>
      <c r="G32" s="60">
        <v>-4.4809999999999996E-2</v>
      </c>
      <c r="H32" s="60">
        <v>6.5230000000000177E-2</v>
      </c>
      <c r="I32" s="70"/>
      <c r="J32" s="62"/>
      <c r="K32" s="59"/>
      <c r="L32" s="70"/>
      <c r="M32" s="63"/>
      <c r="N32" s="103">
        <v>1</v>
      </c>
      <c r="O32" s="71"/>
      <c r="P32" s="72">
        <v>8.77E-3</v>
      </c>
    </row>
    <row r="33" spans="1:16" x14ac:dyDescent="0.2">
      <c r="A33" s="11">
        <v>27</v>
      </c>
      <c r="B33" s="57"/>
      <c r="C33" s="58" t="s">
        <v>65</v>
      </c>
      <c r="D33" s="59">
        <v>0</v>
      </c>
      <c r="E33" s="60">
        <v>0.21944999999999995</v>
      </c>
      <c r="F33" s="60">
        <v>0.22356000000000001</v>
      </c>
      <c r="G33" s="60">
        <v>-4.7589999999999993E-2</v>
      </c>
      <c r="H33" s="60">
        <v>4.3479999999999935E-2</v>
      </c>
      <c r="I33" s="70"/>
      <c r="J33" s="62"/>
      <c r="K33" s="59"/>
      <c r="L33" s="70"/>
      <c r="M33" s="63"/>
      <c r="N33" s="103">
        <v>1</v>
      </c>
      <c r="O33" s="71"/>
      <c r="P33" s="72">
        <v>5.8399999999999997E-3</v>
      </c>
    </row>
    <row r="34" spans="1:16" x14ac:dyDescent="0.2">
      <c r="A34" s="11">
        <v>28</v>
      </c>
      <c r="B34" s="55"/>
      <c r="C34" s="66" t="s">
        <v>66</v>
      </c>
      <c r="D34" s="45">
        <v>0</v>
      </c>
      <c r="E34" s="53">
        <v>0.18881000000000006</v>
      </c>
      <c r="F34" s="53">
        <v>0.22356000000000001</v>
      </c>
      <c r="G34" s="53">
        <v>-5.1049999999999998E-2</v>
      </c>
      <c r="H34" s="53">
        <v>1.6300000000000051E-2</v>
      </c>
      <c r="I34" s="49"/>
      <c r="J34" s="54"/>
      <c r="K34" s="45"/>
      <c r="L34" s="49"/>
      <c r="M34" s="50"/>
      <c r="N34" s="102">
        <v>1</v>
      </c>
      <c r="O34" s="51"/>
      <c r="P34" s="52">
        <v>2.1900000000000001E-3</v>
      </c>
    </row>
    <row r="35" spans="1:16" x14ac:dyDescent="0.2">
      <c r="A35" s="11">
        <v>29</v>
      </c>
      <c r="B35" s="57" t="s">
        <v>67</v>
      </c>
      <c r="C35" s="58" t="s">
        <v>56</v>
      </c>
      <c r="D35" s="59">
        <v>1060773</v>
      </c>
      <c r="E35" s="60">
        <v>0.29139999999999999</v>
      </c>
      <c r="F35" s="60">
        <v>0.22356000000000001</v>
      </c>
      <c r="G35" s="60">
        <v>-5.0869999999999999E-2</v>
      </c>
      <c r="H35" s="60">
        <v>0.11870999999999998</v>
      </c>
      <c r="I35" s="61">
        <v>204764</v>
      </c>
      <c r="J35" s="62">
        <v>1300</v>
      </c>
      <c r="K35" s="59">
        <v>12</v>
      </c>
      <c r="L35" s="61">
        <v>391964</v>
      </c>
      <c r="M35" s="63"/>
      <c r="N35" s="103">
        <v>0</v>
      </c>
      <c r="O35" s="68">
        <v>0</v>
      </c>
      <c r="P35" s="69">
        <v>0</v>
      </c>
    </row>
    <row r="36" spans="1:16" x14ac:dyDescent="0.2">
      <c r="A36" s="11">
        <v>30</v>
      </c>
      <c r="B36" s="57"/>
      <c r="C36" s="58" t="s">
        <v>57</v>
      </c>
      <c r="D36" s="59">
        <v>650234</v>
      </c>
      <c r="E36" s="60">
        <v>0.27872000000000008</v>
      </c>
      <c r="F36" s="60">
        <v>0.22356000000000001</v>
      </c>
      <c r="G36" s="60">
        <v>-5.11E-2</v>
      </c>
      <c r="H36" s="60">
        <v>0.10626000000000008</v>
      </c>
      <c r="I36" s="70"/>
      <c r="J36" s="62"/>
      <c r="K36" s="59"/>
      <c r="L36" s="70"/>
      <c r="M36" s="63"/>
      <c r="N36" s="103">
        <v>0</v>
      </c>
      <c r="O36" s="71"/>
      <c r="P36" s="72">
        <v>0</v>
      </c>
    </row>
    <row r="37" spans="1:16" x14ac:dyDescent="0.2">
      <c r="A37" s="11">
        <v>31</v>
      </c>
      <c r="B37" s="57"/>
      <c r="C37" s="58" t="s">
        <v>63</v>
      </c>
      <c r="D37" s="59">
        <v>112053</v>
      </c>
      <c r="E37" s="60">
        <v>0.25346999999999992</v>
      </c>
      <c r="F37" s="60">
        <v>0.22356000000000001</v>
      </c>
      <c r="G37" s="60">
        <v>-5.1579999999999994E-2</v>
      </c>
      <c r="H37" s="60">
        <v>8.1489999999999896E-2</v>
      </c>
      <c r="I37" s="70"/>
      <c r="J37" s="62"/>
      <c r="K37" s="59"/>
      <c r="L37" s="70"/>
      <c r="M37" s="63"/>
      <c r="N37" s="103">
        <v>0</v>
      </c>
      <c r="O37" s="71"/>
      <c r="P37" s="72">
        <v>0</v>
      </c>
    </row>
    <row r="38" spans="1:16" x14ac:dyDescent="0.2">
      <c r="A38" s="11">
        <v>32</v>
      </c>
      <c r="B38" s="57"/>
      <c r="C38" s="58" t="s">
        <v>64</v>
      </c>
      <c r="D38" s="59">
        <v>9427</v>
      </c>
      <c r="E38" s="60">
        <v>0.23686000000000015</v>
      </c>
      <c r="F38" s="60">
        <v>0.22356000000000001</v>
      </c>
      <c r="G38" s="60">
        <v>-5.1889999999999999E-2</v>
      </c>
      <c r="H38" s="60">
        <v>6.5190000000000137E-2</v>
      </c>
      <c r="I38" s="70"/>
      <c r="J38" s="62"/>
      <c r="K38" s="59"/>
      <c r="L38" s="70"/>
      <c r="M38" s="63"/>
      <c r="N38" s="103">
        <v>0</v>
      </c>
      <c r="O38" s="71"/>
      <c r="P38" s="72">
        <v>0</v>
      </c>
    </row>
    <row r="39" spans="1:16" x14ac:dyDescent="0.2">
      <c r="A39" s="11">
        <v>33</v>
      </c>
      <c r="B39" s="57"/>
      <c r="C39" s="58" t="s">
        <v>65</v>
      </c>
      <c r="D39" s="59">
        <v>0</v>
      </c>
      <c r="E39" s="60">
        <v>0.2147300000000002</v>
      </c>
      <c r="F39" s="60">
        <v>0.22356000000000001</v>
      </c>
      <c r="G39" s="60">
        <v>-5.2299999999999999E-2</v>
      </c>
      <c r="H39" s="60">
        <v>4.3470000000000189E-2</v>
      </c>
      <c r="I39" s="70"/>
      <c r="J39" s="62"/>
      <c r="K39" s="59"/>
      <c r="L39" s="70"/>
      <c r="M39" s="63"/>
      <c r="N39" s="103">
        <v>0</v>
      </c>
      <c r="O39" s="71"/>
      <c r="P39" s="72">
        <v>0</v>
      </c>
    </row>
    <row r="40" spans="1:16" x14ac:dyDescent="0.2">
      <c r="A40" s="11">
        <v>34</v>
      </c>
      <c r="B40" s="55"/>
      <c r="C40" s="66" t="s">
        <v>66</v>
      </c>
      <c r="D40" s="45">
        <v>0</v>
      </c>
      <c r="E40" s="53">
        <v>0.18703999999999993</v>
      </c>
      <c r="F40" s="53">
        <v>0.22356000000000001</v>
      </c>
      <c r="G40" s="53">
        <v>-5.2809999999999996E-2</v>
      </c>
      <c r="H40" s="53">
        <v>1.6289999999999916E-2</v>
      </c>
      <c r="I40" s="49"/>
      <c r="J40" s="54"/>
      <c r="K40" s="45"/>
      <c r="L40" s="49"/>
      <c r="M40" s="50"/>
      <c r="N40" s="102">
        <v>0</v>
      </c>
      <c r="O40" s="51"/>
      <c r="P40" s="52">
        <v>0</v>
      </c>
    </row>
    <row r="41" spans="1:16" x14ac:dyDescent="0.2">
      <c r="A41" s="11">
        <v>35</v>
      </c>
      <c r="B41" s="57" t="s">
        <v>68</v>
      </c>
      <c r="C41" s="58" t="s">
        <v>56</v>
      </c>
      <c r="D41" s="59">
        <v>1336403</v>
      </c>
      <c r="E41" s="60">
        <v>0.11795</v>
      </c>
      <c r="F41" s="60">
        <v>0</v>
      </c>
      <c r="G41" s="60">
        <v>-2.3000000000000001E-4</v>
      </c>
      <c r="H41" s="60">
        <v>0.11817999999999999</v>
      </c>
      <c r="I41" s="61">
        <v>630065</v>
      </c>
      <c r="J41" s="62">
        <v>1550</v>
      </c>
      <c r="K41" s="59">
        <v>13</v>
      </c>
      <c r="L41" s="61">
        <v>871865</v>
      </c>
      <c r="M41" s="63"/>
      <c r="N41" s="103">
        <v>0</v>
      </c>
      <c r="O41" s="68">
        <v>0</v>
      </c>
      <c r="P41" s="69">
        <v>0</v>
      </c>
    </row>
    <row r="42" spans="1:16" x14ac:dyDescent="0.2">
      <c r="A42" s="11">
        <v>36</v>
      </c>
      <c r="B42" s="57"/>
      <c r="C42" s="58" t="s">
        <v>57</v>
      </c>
      <c r="D42" s="59">
        <v>1682938</v>
      </c>
      <c r="E42" s="60">
        <v>0.10557999999999999</v>
      </c>
      <c r="F42" s="60">
        <v>0</v>
      </c>
      <c r="G42" s="60">
        <v>-2.1000000000000001E-4</v>
      </c>
      <c r="H42" s="60">
        <v>0.10579</v>
      </c>
      <c r="I42" s="70"/>
      <c r="J42" s="62"/>
      <c r="K42" s="59"/>
      <c r="L42" s="70"/>
      <c r="M42" s="63"/>
      <c r="N42" s="103">
        <v>0</v>
      </c>
      <c r="O42" s="71"/>
      <c r="P42" s="72">
        <v>0</v>
      </c>
    </row>
    <row r="43" spans="1:16" x14ac:dyDescent="0.2">
      <c r="A43" s="11">
        <v>37</v>
      </c>
      <c r="B43" s="57"/>
      <c r="C43" s="58" t="s">
        <v>63</v>
      </c>
      <c r="D43" s="59">
        <v>1387648</v>
      </c>
      <c r="E43" s="60">
        <v>8.0960000000000004E-2</v>
      </c>
      <c r="F43" s="60">
        <v>0</v>
      </c>
      <c r="G43" s="60">
        <v>-1.6000000000000001E-4</v>
      </c>
      <c r="H43" s="60">
        <v>8.1119999999999998E-2</v>
      </c>
      <c r="I43" s="70"/>
      <c r="J43" s="62"/>
      <c r="K43" s="59"/>
      <c r="L43" s="70"/>
      <c r="M43" s="63"/>
      <c r="N43" s="103">
        <v>0</v>
      </c>
      <c r="O43" s="71"/>
      <c r="P43" s="72">
        <v>0</v>
      </c>
    </row>
    <row r="44" spans="1:16" x14ac:dyDescent="0.2">
      <c r="A44" s="11">
        <v>38</v>
      </c>
      <c r="B44" s="57"/>
      <c r="C44" s="58" t="s">
        <v>64</v>
      </c>
      <c r="D44" s="59">
        <v>2195748</v>
      </c>
      <c r="E44" s="60">
        <v>6.4769999999999994E-2</v>
      </c>
      <c r="F44" s="60">
        <v>0</v>
      </c>
      <c r="G44" s="60">
        <v>-1.2999999999999999E-4</v>
      </c>
      <c r="H44" s="60">
        <v>6.4899999999999999E-2</v>
      </c>
      <c r="I44" s="70"/>
      <c r="J44" s="62"/>
      <c r="K44" s="59"/>
      <c r="L44" s="70"/>
      <c r="M44" s="63"/>
      <c r="N44" s="103">
        <v>0</v>
      </c>
      <c r="O44" s="71"/>
      <c r="P44" s="72">
        <v>0</v>
      </c>
    </row>
    <row r="45" spans="1:16" x14ac:dyDescent="0.2">
      <c r="A45" s="11">
        <v>39</v>
      </c>
      <c r="B45" s="57"/>
      <c r="C45" s="58" t="s">
        <v>65</v>
      </c>
      <c r="D45" s="59">
        <v>901810</v>
      </c>
      <c r="E45" s="60">
        <v>4.3180000000000003E-2</v>
      </c>
      <c r="F45" s="60">
        <v>0</v>
      </c>
      <c r="G45" s="60">
        <v>-9.0000000000000006E-5</v>
      </c>
      <c r="H45" s="60">
        <v>4.3270000000000003E-2</v>
      </c>
      <c r="I45" s="70"/>
      <c r="J45" s="62"/>
      <c r="K45" s="59"/>
      <c r="L45" s="70"/>
      <c r="M45" s="63"/>
      <c r="N45" s="103">
        <v>0</v>
      </c>
      <c r="O45" s="71"/>
      <c r="P45" s="72">
        <v>0</v>
      </c>
    </row>
    <row r="46" spans="1:16" x14ac:dyDescent="0.2">
      <c r="A46" s="11">
        <v>40</v>
      </c>
      <c r="B46" s="55"/>
      <c r="C46" s="66" t="s">
        <v>66</v>
      </c>
      <c r="D46" s="45">
        <v>0</v>
      </c>
      <c r="E46" s="53">
        <v>1.619E-2</v>
      </c>
      <c r="F46" s="53">
        <v>0</v>
      </c>
      <c r="G46" s="53">
        <v>-3.0000000000000001E-5</v>
      </c>
      <c r="H46" s="53">
        <v>1.6219999999999998E-2</v>
      </c>
      <c r="I46" s="49"/>
      <c r="J46" s="54"/>
      <c r="K46" s="45"/>
      <c r="L46" s="49"/>
      <c r="M46" s="50"/>
      <c r="N46" s="102">
        <v>0</v>
      </c>
      <c r="O46" s="51"/>
      <c r="P46" s="52">
        <v>0</v>
      </c>
    </row>
    <row r="47" spans="1:16" x14ac:dyDescent="0.2">
      <c r="A47" s="11">
        <v>41</v>
      </c>
      <c r="B47" s="57" t="s">
        <v>69</v>
      </c>
      <c r="C47" s="58" t="s">
        <v>56</v>
      </c>
      <c r="D47" s="59">
        <v>237919</v>
      </c>
      <c r="E47" s="60">
        <v>0.31897999999999999</v>
      </c>
      <c r="F47" s="60">
        <v>0.22356000000000001</v>
      </c>
      <c r="G47" s="60">
        <v>-2.3139999999999997E-2</v>
      </c>
      <c r="H47" s="60">
        <v>0.11855999999999997</v>
      </c>
      <c r="I47" s="61">
        <v>97598</v>
      </c>
      <c r="J47" s="62">
        <v>1300</v>
      </c>
      <c r="K47" s="59">
        <v>2</v>
      </c>
      <c r="L47" s="61">
        <v>128798</v>
      </c>
      <c r="M47" s="63"/>
      <c r="N47" s="103">
        <v>1</v>
      </c>
      <c r="O47" s="68">
        <v>10064</v>
      </c>
      <c r="P47" s="69">
        <v>1.223E-2</v>
      </c>
    </row>
    <row r="48" spans="1:16" x14ac:dyDescent="0.2">
      <c r="A48" s="11">
        <v>42</v>
      </c>
      <c r="B48" s="57"/>
      <c r="C48" s="58" t="s">
        <v>57</v>
      </c>
      <c r="D48" s="59">
        <v>464853</v>
      </c>
      <c r="E48" s="60">
        <v>0.30522999999999989</v>
      </c>
      <c r="F48" s="60">
        <v>0.22356000000000001</v>
      </c>
      <c r="G48" s="60">
        <v>-2.445E-2</v>
      </c>
      <c r="H48" s="60">
        <v>0.10611999999999988</v>
      </c>
      <c r="I48" s="70"/>
      <c r="J48" s="62"/>
      <c r="K48" s="59"/>
      <c r="L48" s="70"/>
      <c r="M48" s="63"/>
      <c r="N48" s="103">
        <v>1</v>
      </c>
      <c r="O48" s="71"/>
      <c r="P48" s="72">
        <v>1.094E-2</v>
      </c>
    </row>
    <row r="49" spans="1:16" x14ac:dyDescent="0.2">
      <c r="A49" s="11">
        <v>43</v>
      </c>
      <c r="B49" s="57"/>
      <c r="C49" s="58" t="s">
        <v>63</v>
      </c>
      <c r="D49" s="59">
        <v>214908</v>
      </c>
      <c r="E49" s="60">
        <v>0.27787000000000012</v>
      </c>
      <c r="F49" s="60">
        <v>0.22356000000000001</v>
      </c>
      <c r="G49" s="60">
        <v>-2.7069999999999997E-2</v>
      </c>
      <c r="H49" s="60">
        <v>8.1380000000000105E-2</v>
      </c>
      <c r="I49" s="70"/>
      <c r="J49" s="62"/>
      <c r="K49" s="59"/>
      <c r="L49" s="70"/>
      <c r="M49" s="63"/>
      <c r="N49" s="103">
        <v>1</v>
      </c>
      <c r="O49" s="71"/>
      <c r="P49" s="72">
        <v>8.3899999999999999E-3</v>
      </c>
    </row>
    <row r="50" spans="1:16" x14ac:dyDescent="0.2">
      <c r="A50" s="11">
        <v>44</v>
      </c>
      <c r="B50" s="57"/>
      <c r="C50" s="58" t="s">
        <v>64</v>
      </c>
      <c r="D50" s="59">
        <v>39494</v>
      </c>
      <c r="E50" s="60">
        <v>0.25987999999999994</v>
      </c>
      <c r="F50" s="60">
        <v>0.22356000000000001</v>
      </c>
      <c r="G50" s="60">
        <v>-2.8779999999999997E-2</v>
      </c>
      <c r="H50" s="60">
        <v>6.5099999999999936E-2</v>
      </c>
      <c r="I50" s="70"/>
      <c r="J50" s="62"/>
      <c r="K50" s="59"/>
      <c r="L50" s="70"/>
      <c r="M50" s="63"/>
      <c r="N50" s="103">
        <v>1</v>
      </c>
      <c r="O50" s="71"/>
      <c r="P50" s="72">
        <v>6.7099999999999998E-3</v>
      </c>
    </row>
    <row r="51" spans="1:16" x14ac:dyDescent="0.2">
      <c r="A51" s="11">
        <v>45</v>
      </c>
      <c r="B51" s="57"/>
      <c r="C51" s="58" t="s">
        <v>65</v>
      </c>
      <c r="D51" s="59">
        <v>0</v>
      </c>
      <c r="E51" s="60">
        <v>0.23588000000000003</v>
      </c>
      <c r="F51" s="60">
        <v>0.22356000000000001</v>
      </c>
      <c r="G51" s="60">
        <v>-3.1079999999999997E-2</v>
      </c>
      <c r="H51" s="60">
        <v>4.3400000000000022E-2</v>
      </c>
      <c r="I51" s="70"/>
      <c r="J51" s="62"/>
      <c r="K51" s="59"/>
      <c r="L51" s="70"/>
      <c r="M51" s="63"/>
      <c r="N51" s="103">
        <v>1</v>
      </c>
      <c r="O51" s="71"/>
      <c r="P51" s="72">
        <v>4.4799999999999996E-3</v>
      </c>
    </row>
    <row r="52" spans="1:16" x14ac:dyDescent="0.2">
      <c r="A52" s="11">
        <v>46</v>
      </c>
      <c r="B52" s="55"/>
      <c r="C52" s="66" t="s">
        <v>66</v>
      </c>
      <c r="D52" s="45">
        <v>0</v>
      </c>
      <c r="E52" s="53">
        <v>0.20589999999999992</v>
      </c>
      <c r="F52" s="53">
        <v>0.22356000000000001</v>
      </c>
      <c r="G52" s="53">
        <v>-3.3939999999999998E-2</v>
      </c>
      <c r="H52" s="53">
        <v>1.6279999999999906E-2</v>
      </c>
      <c r="I52" s="49"/>
      <c r="J52" s="54"/>
      <c r="K52" s="45"/>
      <c r="L52" s="49"/>
      <c r="M52" s="50"/>
      <c r="N52" s="102">
        <v>1</v>
      </c>
      <c r="O52" s="51"/>
      <c r="P52" s="52">
        <v>1.6800000000000001E-3</v>
      </c>
    </row>
    <row r="53" spans="1:16" x14ac:dyDescent="0.2">
      <c r="A53" s="11">
        <v>47</v>
      </c>
      <c r="B53" s="57" t="s">
        <v>70</v>
      </c>
      <c r="C53" s="58" t="s">
        <v>56</v>
      </c>
      <c r="D53" s="59">
        <v>159428</v>
      </c>
      <c r="E53" s="60">
        <v>0.30886999999999998</v>
      </c>
      <c r="F53" s="60">
        <v>0.22356000000000001</v>
      </c>
      <c r="G53" s="60">
        <v>-3.3389999999999996E-2</v>
      </c>
      <c r="H53" s="60">
        <v>0.11869999999999997</v>
      </c>
      <c r="I53" s="61">
        <v>34979</v>
      </c>
      <c r="J53" s="62">
        <v>1300</v>
      </c>
      <c r="K53" s="59">
        <v>3</v>
      </c>
      <c r="L53" s="61">
        <v>81779</v>
      </c>
      <c r="M53" s="63"/>
      <c r="N53" s="103">
        <v>0</v>
      </c>
      <c r="O53" s="68">
        <v>0</v>
      </c>
      <c r="P53" s="69">
        <v>0</v>
      </c>
    </row>
    <row r="54" spans="1:16" x14ac:dyDescent="0.2">
      <c r="A54" s="11">
        <v>48</v>
      </c>
      <c r="B54" s="57"/>
      <c r="C54" s="58" t="s">
        <v>57</v>
      </c>
      <c r="D54" s="59">
        <v>151104</v>
      </c>
      <c r="E54" s="60">
        <v>0.29617999999999989</v>
      </c>
      <c r="F54" s="60">
        <v>0.22356000000000001</v>
      </c>
      <c r="G54" s="60">
        <v>-3.363E-2</v>
      </c>
      <c r="H54" s="60">
        <v>0.10624999999999987</v>
      </c>
      <c r="I54" s="70"/>
      <c r="J54" s="62"/>
      <c r="K54" s="59"/>
      <c r="L54" s="70"/>
      <c r="M54" s="63"/>
      <c r="N54" s="103">
        <v>0</v>
      </c>
      <c r="O54" s="71"/>
      <c r="P54" s="72">
        <v>0</v>
      </c>
    </row>
    <row r="55" spans="1:16" x14ac:dyDescent="0.2">
      <c r="A55" s="11">
        <v>49</v>
      </c>
      <c r="B55" s="57"/>
      <c r="C55" s="58" t="s">
        <v>63</v>
      </c>
      <c r="D55" s="59">
        <v>0</v>
      </c>
      <c r="E55" s="60">
        <v>0.27094000000000013</v>
      </c>
      <c r="F55" s="60">
        <v>0.22356000000000001</v>
      </c>
      <c r="G55" s="60">
        <v>-3.4099999999999998E-2</v>
      </c>
      <c r="H55" s="60">
        <v>8.1480000000000108E-2</v>
      </c>
      <c r="I55" s="70"/>
      <c r="J55" s="62"/>
      <c r="K55" s="59"/>
      <c r="L55" s="70"/>
      <c r="M55" s="63"/>
      <c r="N55" s="103">
        <v>0</v>
      </c>
      <c r="O55" s="71"/>
      <c r="P55" s="72">
        <v>0</v>
      </c>
    </row>
    <row r="56" spans="1:16" x14ac:dyDescent="0.2">
      <c r="A56" s="11">
        <v>50</v>
      </c>
      <c r="B56" s="57"/>
      <c r="C56" s="58" t="s">
        <v>64</v>
      </c>
      <c r="D56" s="59">
        <v>0</v>
      </c>
      <c r="E56" s="60">
        <v>0.25432999999999983</v>
      </c>
      <c r="F56" s="60">
        <v>0.22356000000000001</v>
      </c>
      <c r="G56" s="60">
        <v>-3.4409999999999996E-2</v>
      </c>
      <c r="H56" s="60">
        <v>6.5179999999999821E-2</v>
      </c>
      <c r="I56" s="70"/>
      <c r="J56" s="62"/>
      <c r="K56" s="59"/>
      <c r="L56" s="70"/>
      <c r="M56" s="63"/>
      <c r="N56" s="103">
        <v>0</v>
      </c>
      <c r="O56" s="71"/>
      <c r="P56" s="72">
        <v>0</v>
      </c>
    </row>
    <row r="57" spans="1:16" x14ac:dyDescent="0.2">
      <c r="A57" s="11">
        <v>51</v>
      </c>
      <c r="B57" s="57"/>
      <c r="C57" s="58" t="s">
        <v>65</v>
      </c>
      <c r="D57" s="59">
        <v>0</v>
      </c>
      <c r="E57" s="60">
        <v>0.23218000000000003</v>
      </c>
      <c r="F57" s="60">
        <v>0.22356000000000001</v>
      </c>
      <c r="G57" s="60">
        <v>-3.483E-2</v>
      </c>
      <c r="H57" s="60">
        <v>4.3450000000000016E-2</v>
      </c>
      <c r="I57" s="70"/>
      <c r="J57" s="62"/>
      <c r="K57" s="59"/>
      <c r="L57" s="70"/>
      <c r="M57" s="63"/>
      <c r="N57" s="103">
        <v>0</v>
      </c>
      <c r="O57" s="71"/>
      <c r="P57" s="72">
        <v>0</v>
      </c>
    </row>
    <row r="58" spans="1:16" x14ac:dyDescent="0.2">
      <c r="A58" s="11">
        <v>52</v>
      </c>
      <c r="B58" s="55"/>
      <c r="C58" s="66" t="s">
        <v>66</v>
      </c>
      <c r="D58" s="45">
        <v>0</v>
      </c>
      <c r="E58" s="53">
        <v>0.20451999999999992</v>
      </c>
      <c r="F58" s="53">
        <v>0.22356000000000001</v>
      </c>
      <c r="G58" s="53">
        <v>-3.5339999999999996E-2</v>
      </c>
      <c r="H58" s="53">
        <v>1.6299999999999912E-2</v>
      </c>
      <c r="I58" s="49"/>
      <c r="J58" s="54"/>
      <c r="K58" s="45"/>
      <c r="L58" s="49"/>
      <c r="M58" s="50"/>
      <c r="N58" s="102">
        <v>0</v>
      </c>
      <c r="O58" s="51"/>
      <c r="P58" s="52">
        <v>0</v>
      </c>
    </row>
    <row r="59" spans="1:16" x14ac:dyDescent="0.2">
      <c r="A59" s="11">
        <v>53</v>
      </c>
      <c r="B59" s="57" t="s">
        <v>71</v>
      </c>
      <c r="C59" s="58" t="s">
        <v>56</v>
      </c>
      <c r="D59" s="59">
        <v>881572</v>
      </c>
      <c r="E59" s="73">
        <v>0.11796999999999999</v>
      </c>
      <c r="F59" s="73">
        <v>0</v>
      </c>
      <c r="G59" s="73">
        <v>-2.1000000000000001E-4</v>
      </c>
      <c r="H59" s="73">
        <v>0.11817999999999999</v>
      </c>
      <c r="I59" s="61">
        <v>719983</v>
      </c>
      <c r="J59" s="74">
        <v>1550</v>
      </c>
      <c r="K59" s="59">
        <v>10</v>
      </c>
      <c r="L59" s="61">
        <v>905983</v>
      </c>
      <c r="M59" s="75"/>
      <c r="N59" s="103">
        <v>0</v>
      </c>
      <c r="O59" s="68">
        <v>0</v>
      </c>
      <c r="P59" s="69">
        <v>0</v>
      </c>
    </row>
    <row r="60" spans="1:16" x14ac:dyDescent="0.2">
      <c r="A60" s="11">
        <v>54</v>
      </c>
      <c r="B60" s="57"/>
      <c r="C60" s="58" t="s">
        <v>57</v>
      </c>
      <c r="D60" s="59">
        <v>1495748</v>
      </c>
      <c r="E60" s="76">
        <v>0.1056</v>
      </c>
      <c r="F60" s="76">
        <v>0</v>
      </c>
      <c r="G60" s="76">
        <v>-1.9000000000000001E-4</v>
      </c>
      <c r="H60" s="76">
        <v>0.10579</v>
      </c>
      <c r="I60" s="70"/>
      <c r="J60" s="77"/>
      <c r="K60" s="59"/>
      <c r="L60" s="70"/>
      <c r="M60" s="75"/>
      <c r="N60" s="103">
        <v>0</v>
      </c>
      <c r="O60" s="71"/>
      <c r="P60" s="72">
        <v>0</v>
      </c>
    </row>
    <row r="61" spans="1:16" x14ac:dyDescent="0.2">
      <c r="A61" s="11">
        <v>55</v>
      </c>
      <c r="B61" s="57"/>
      <c r="C61" s="58" t="s">
        <v>63</v>
      </c>
      <c r="D61" s="59">
        <v>1185204</v>
      </c>
      <c r="E61" s="76">
        <v>8.0979999999999996E-2</v>
      </c>
      <c r="F61" s="76">
        <v>0</v>
      </c>
      <c r="G61" s="76">
        <v>-1.3999999999999999E-4</v>
      </c>
      <c r="H61" s="76">
        <v>8.1119999999999998E-2</v>
      </c>
      <c r="I61" s="70"/>
      <c r="J61" s="77"/>
      <c r="K61" s="59"/>
      <c r="L61" s="70"/>
      <c r="M61" s="75"/>
      <c r="N61" s="103">
        <v>0</v>
      </c>
      <c r="O61" s="71"/>
      <c r="P61" s="72">
        <v>0</v>
      </c>
    </row>
    <row r="62" spans="1:16" x14ac:dyDescent="0.2">
      <c r="A62" s="11">
        <v>56</v>
      </c>
      <c r="B62" s="57"/>
      <c r="C62" s="58" t="s">
        <v>64</v>
      </c>
      <c r="D62" s="59">
        <v>4013728</v>
      </c>
      <c r="E62" s="76">
        <v>6.479E-2</v>
      </c>
      <c r="F62" s="76">
        <v>0</v>
      </c>
      <c r="G62" s="76">
        <v>-1.1E-4</v>
      </c>
      <c r="H62" s="76">
        <v>6.4899999999999999E-2</v>
      </c>
      <c r="I62" s="70"/>
      <c r="J62" s="77"/>
      <c r="K62" s="59"/>
      <c r="L62" s="70"/>
      <c r="M62" s="75"/>
      <c r="N62" s="103">
        <v>0</v>
      </c>
      <c r="O62" s="71"/>
      <c r="P62" s="72">
        <v>0</v>
      </c>
    </row>
    <row r="63" spans="1:16" x14ac:dyDescent="0.2">
      <c r="A63" s="11">
        <v>57</v>
      </c>
      <c r="B63" s="57"/>
      <c r="C63" s="58" t="s">
        <v>65</v>
      </c>
      <c r="D63" s="59">
        <v>2332547</v>
      </c>
      <c r="E63" s="76">
        <v>4.3190000000000006E-2</v>
      </c>
      <c r="F63" s="76">
        <v>0</v>
      </c>
      <c r="G63" s="76">
        <v>-8.0000000000000007E-5</v>
      </c>
      <c r="H63" s="76">
        <v>4.3270000000000003E-2</v>
      </c>
      <c r="I63" s="70"/>
      <c r="J63" s="77"/>
      <c r="K63" s="59"/>
      <c r="L63" s="70"/>
      <c r="M63" s="75"/>
      <c r="N63" s="103">
        <v>0</v>
      </c>
      <c r="O63" s="71"/>
      <c r="P63" s="72">
        <v>0</v>
      </c>
    </row>
    <row r="64" spans="1:16" x14ac:dyDescent="0.2">
      <c r="A64" s="11">
        <v>58</v>
      </c>
      <c r="B64" s="55"/>
      <c r="C64" s="66" t="s">
        <v>66</v>
      </c>
      <c r="D64" s="45">
        <v>0</v>
      </c>
      <c r="E64" s="78">
        <v>1.619E-2</v>
      </c>
      <c r="F64" s="78">
        <v>0</v>
      </c>
      <c r="G64" s="78">
        <v>-3.0000000000000001E-5</v>
      </c>
      <c r="H64" s="78">
        <v>1.6219999999999998E-2</v>
      </c>
      <c r="I64" s="49"/>
      <c r="J64" s="79"/>
      <c r="K64" s="45"/>
      <c r="L64" s="49"/>
      <c r="M64" s="80"/>
      <c r="N64" s="102">
        <v>0</v>
      </c>
      <c r="O64" s="51"/>
      <c r="P64" s="52">
        <v>0</v>
      </c>
    </row>
    <row r="65" spans="1:16" x14ac:dyDescent="0.2">
      <c r="A65" s="11">
        <v>59</v>
      </c>
      <c r="B65" s="55" t="s">
        <v>72</v>
      </c>
      <c r="C65" s="56"/>
      <c r="D65" s="45">
        <v>0</v>
      </c>
      <c r="E65" s="81">
        <v>4.9800000000000001E-3</v>
      </c>
      <c r="F65" s="81">
        <v>0</v>
      </c>
      <c r="G65" s="81">
        <v>-1.0000000000000001E-5</v>
      </c>
      <c r="H65" s="81">
        <v>4.9899999999999996E-3</v>
      </c>
      <c r="I65" s="49">
        <v>0</v>
      </c>
      <c r="J65" s="82">
        <v>38000</v>
      </c>
      <c r="K65" s="45">
        <v>0</v>
      </c>
      <c r="L65" s="49">
        <v>0</v>
      </c>
      <c r="M65" s="83"/>
      <c r="N65" s="102">
        <v>0</v>
      </c>
      <c r="O65" s="51">
        <v>0</v>
      </c>
      <c r="P65" s="52">
        <v>0</v>
      </c>
    </row>
    <row r="66" spans="1:16" x14ac:dyDescent="0.2">
      <c r="A66" s="11">
        <v>60</v>
      </c>
      <c r="B66" s="43" t="s">
        <v>73</v>
      </c>
      <c r="C66" s="44"/>
      <c r="D66" s="45">
        <v>0</v>
      </c>
      <c r="E66" s="78">
        <v>4.9800000000000001E-3</v>
      </c>
      <c r="F66" s="78">
        <v>0</v>
      </c>
      <c r="G66" s="78">
        <v>-1.0000000000000001E-5</v>
      </c>
      <c r="H66" s="78">
        <v>4.9899999999999996E-3</v>
      </c>
      <c r="I66" s="49">
        <v>0</v>
      </c>
      <c r="J66" s="79">
        <v>38000</v>
      </c>
      <c r="K66" s="45">
        <v>0</v>
      </c>
      <c r="L66" s="49">
        <v>0</v>
      </c>
      <c r="M66" s="80"/>
      <c r="N66" s="102">
        <v>0</v>
      </c>
      <c r="O66" s="51">
        <v>0</v>
      </c>
      <c r="P66" s="52">
        <v>0</v>
      </c>
    </row>
    <row r="67" spans="1:16" x14ac:dyDescent="0.2">
      <c r="A67" s="11">
        <v>61</v>
      </c>
      <c r="B67" s="84" t="s">
        <v>74</v>
      </c>
      <c r="C67" s="44"/>
      <c r="D67" s="45"/>
      <c r="E67" s="85"/>
      <c r="F67" s="85"/>
      <c r="G67" s="85"/>
      <c r="H67" s="85"/>
      <c r="I67" s="49"/>
      <c r="J67" s="86"/>
      <c r="K67" s="45"/>
      <c r="L67" s="87"/>
      <c r="M67" s="80"/>
      <c r="N67" s="102"/>
      <c r="O67" s="45"/>
      <c r="P67" s="88"/>
    </row>
    <row r="68" spans="1:16" x14ac:dyDescent="0.2">
      <c r="A68" s="11">
        <v>62</v>
      </c>
      <c r="E68" s="89"/>
      <c r="F68" s="89"/>
      <c r="G68" s="89"/>
      <c r="H68" s="89"/>
      <c r="I68" s="90"/>
      <c r="L68" s="90"/>
      <c r="N68" s="104"/>
    </row>
    <row r="69" spans="1:16" x14ac:dyDescent="0.2">
      <c r="A69" s="11">
        <v>63</v>
      </c>
      <c r="B69" s="2" t="s">
        <v>75</v>
      </c>
      <c r="D69" s="91">
        <v>100505811.10000001</v>
      </c>
      <c r="E69" s="89"/>
      <c r="F69" s="89"/>
      <c r="G69" s="89"/>
      <c r="H69" s="89"/>
      <c r="I69" s="92">
        <v>33763354</v>
      </c>
      <c r="J69" s="91"/>
      <c r="K69" s="91"/>
      <c r="L69" s="92">
        <v>42692528</v>
      </c>
      <c r="N69" s="105">
        <v>39709725</v>
      </c>
      <c r="O69" s="93">
        <v>3102783</v>
      </c>
    </row>
    <row r="70" spans="1:16" x14ac:dyDescent="0.2">
      <c r="A70" s="11">
        <v>64</v>
      </c>
      <c r="M70" s="6"/>
      <c r="N70" s="106"/>
    </row>
    <row r="71" spans="1:16" ht="13.5" thickBot="1" x14ac:dyDescent="0.25">
      <c r="A71" s="11">
        <v>65</v>
      </c>
      <c r="B71" s="94" t="s">
        <v>76</v>
      </c>
      <c r="E71" s="2"/>
      <c r="F71" s="2"/>
      <c r="G71" s="2"/>
      <c r="H71" s="2"/>
      <c r="J71" s="2"/>
      <c r="M71" s="2"/>
      <c r="N71" s="2"/>
    </row>
    <row r="72" spans="1:16" ht="13.5" thickBot="1" x14ac:dyDescent="0.25">
      <c r="A72" s="11">
        <v>66</v>
      </c>
      <c r="B72" s="95" t="s">
        <v>77</v>
      </c>
      <c r="C72" s="96"/>
      <c r="D72" s="96"/>
      <c r="E72" s="96"/>
      <c r="F72" s="96"/>
      <c r="G72" s="96"/>
      <c r="H72" s="96"/>
      <c r="I72" s="96"/>
      <c r="J72" s="96"/>
      <c r="K72" s="97" t="s">
        <v>78</v>
      </c>
      <c r="L72" s="96"/>
      <c r="M72" s="96"/>
      <c r="N72" s="97" t="s">
        <v>79</v>
      </c>
      <c r="O72" s="96"/>
      <c r="P72" s="98"/>
    </row>
    <row r="73" spans="1:16" ht="13.5" thickBot="1" x14ac:dyDescent="0.25">
      <c r="A73" s="11">
        <v>67</v>
      </c>
      <c r="B73" s="94" t="s">
        <v>80</v>
      </c>
      <c r="E73" s="2"/>
      <c r="F73" s="2"/>
      <c r="G73" s="2"/>
      <c r="H73" s="2"/>
      <c r="J73" s="2"/>
      <c r="M73" s="2"/>
      <c r="N73" s="2"/>
    </row>
    <row r="74" spans="1:16" ht="13.5" thickBot="1" x14ac:dyDescent="0.25">
      <c r="A74" s="11">
        <v>68</v>
      </c>
      <c r="B74" s="95" t="s">
        <v>81</v>
      </c>
      <c r="C74" s="96"/>
      <c r="D74" s="96"/>
      <c r="E74" s="96"/>
      <c r="F74" s="96"/>
      <c r="G74" s="96"/>
      <c r="H74" s="96"/>
      <c r="I74" s="96"/>
      <c r="J74" s="96"/>
      <c r="K74" s="96"/>
      <c r="L74" s="96"/>
      <c r="M74" s="96"/>
      <c r="N74" s="97" t="s">
        <v>82</v>
      </c>
      <c r="O74" s="96"/>
      <c r="P74" s="98"/>
    </row>
    <row r="75" spans="1:16" x14ac:dyDescent="0.2">
      <c r="A75" s="11">
        <v>67</v>
      </c>
      <c r="N75" s="104"/>
    </row>
    <row r="76" spans="1:16" x14ac:dyDescent="0.2">
      <c r="A76" s="11">
        <v>68</v>
      </c>
      <c r="B76" s="99" t="s">
        <v>83</v>
      </c>
      <c r="N76" s="104"/>
    </row>
    <row r="80" spans="1:16" x14ac:dyDescent="0.2">
      <c r="O80" s="100"/>
    </row>
    <row r="81" spans="14:16" s="5" customFormat="1" x14ac:dyDescent="0.2">
      <c r="N81" s="12"/>
      <c r="O81" s="100"/>
      <c r="P81" s="4"/>
    </row>
    <row r="82" spans="14:16" s="5" customFormat="1" x14ac:dyDescent="0.2">
      <c r="N82" s="12"/>
      <c r="O82" s="101"/>
      <c r="P82" s="4"/>
    </row>
    <row r="83" spans="14:16" s="5" customFormat="1" x14ac:dyDescent="0.2">
      <c r="N83" s="12"/>
      <c r="O83" s="101"/>
      <c r="P83" s="4"/>
    </row>
    <row r="84" spans="14:16" s="5" customFormat="1" x14ac:dyDescent="0.2">
      <c r="N84" s="12"/>
      <c r="O84" s="100"/>
      <c r="P84" s="4"/>
    </row>
    <row r="85" spans="14:16" s="5" customFormat="1" x14ac:dyDescent="0.2">
      <c r="N85" s="12"/>
      <c r="O85" s="91"/>
      <c r="P85" s="4"/>
    </row>
    <row r="87" spans="14:16" s="5" customFormat="1" x14ac:dyDescent="0.2">
      <c r="N87" s="12"/>
      <c r="O87" s="2"/>
      <c r="P87" s="4"/>
    </row>
    <row r="88" spans="14:16" s="5" customFormat="1" x14ac:dyDescent="0.2">
      <c r="N88" s="12"/>
      <c r="O88" s="2"/>
      <c r="P88" s="4"/>
    </row>
    <row r="89" spans="14:16" s="5" customFormat="1" x14ac:dyDescent="0.2">
      <c r="N89" s="12"/>
      <c r="O89" s="2"/>
      <c r="P89" s="4"/>
    </row>
    <row r="90" spans="14:16" s="5" customFormat="1" x14ac:dyDescent="0.2">
      <c r="N90" s="12"/>
      <c r="O90" s="2"/>
      <c r="P90" s="4"/>
    </row>
  </sheetData>
  <mergeCells count="1">
    <mergeCell ref="L11:L12"/>
  </mergeCells>
  <pageMargins left="0.7" right="0.7" top="0.75" bottom="0.75" header="0.3" footer="0.3"/>
  <pageSetup scale="53" orientation="landscape" horizontalDpi="300" verticalDpi="300" r:id="rId1"/>
  <headerFooter>
    <oddHeader>&amp;RNWN's Advice 19-03
Exhibit A - Supporting Materials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view="pageLayout" zoomScaleNormal="100" workbookViewId="0">
      <selection activeCell="S2" sqref="S2"/>
    </sheetView>
  </sheetViews>
  <sheetFormatPr defaultColWidth="8" defaultRowHeight="12.75" outlineLevelCol="1" x14ac:dyDescent="0.2"/>
  <cols>
    <col min="1" max="1" width="5.85546875" style="5" customWidth="1"/>
    <col min="2" max="2" width="15.28515625" style="2" customWidth="1"/>
    <col min="3" max="3" width="8" style="2"/>
    <col min="4" max="4" width="14.140625" style="2" bestFit="1" customWidth="1"/>
    <col min="5" max="5" width="11.42578125" style="2" customWidth="1"/>
    <col min="6" max="6" width="11.7109375" style="2" customWidth="1"/>
    <col min="7" max="7" width="11" style="2" customWidth="1"/>
    <col min="8" max="8" width="10.140625" style="2" customWidth="1"/>
    <col min="9" max="9" width="12.7109375" style="2" customWidth="1"/>
    <col min="10" max="11" width="13.7109375" style="2" customWidth="1" outlineLevel="1"/>
    <col min="12" max="12" width="15.140625" style="2" customWidth="1" outlineLevel="1"/>
    <col min="13" max="16384" width="8" style="5"/>
  </cols>
  <sheetData>
    <row r="1" spans="1:14" ht="14.25" x14ac:dyDescent="0.2">
      <c r="A1" s="1" t="s">
        <v>0</v>
      </c>
    </row>
    <row r="2" spans="1:14" ht="14.25" x14ac:dyDescent="0.2">
      <c r="A2" s="1" t="s">
        <v>1</v>
      </c>
      <c r="K2" s="4"/>
    </row>
    <row r="3" spans="1:14" ht="14.25" x14ac:dyDescent="0.2">
      <c r="A3" s="1" t="s">
        <v>2</v>
      </c>
      <c r="I3" s="107"/>
      <c r="J3" s="108"/>
      <c r="K3" s="109"/>
      <c r="L3" s="109"/>
    </row>
    <row r="4" spans="1:14" ht="14.25" x14ac:dyDescent="0.2">
      <c r="A4" s="1" t="s">
        <v>84</v>
      </c>
      <c r="J4" s="108"/>
      <c r="K4" s="109"/>
      <c r="L4" s="109"/>
    </row>
    <row r="5" spans="1:14" ht="14.25" x14ac:dyDescent="0.2">
      <c r="A5" s="110" t="s">
        <v>85</v>
      </c>
      <c r="G5" s="111"/>
      <c r="H5" s="111"/>
      <c r="I5" s="111"/>
      <c r="J5" s="112"/>
      <c r="K5" s="113"/>
      <c r="L5" s="113"/>
    </row>
    <row r="6" spans="1:14" s="114" customFormat="1" ht="15" thickBot="1" x14ac:dyDescent="0.25">
      <c r="B6" s="115"/>
      <c r="C6" s="115"/>
      <c r="D6" s="115"/>
      <c r="E6" s="115"/>
      <c r="F6" s="115"/>
      <c r="G6" s="115"/>
      <c r="H6" s="115"/>
      <c r="K6" s="113"/>
      <c r="L6" s="113"/>
    </row>
    <row r="7" spans="1:14" x14ac:dyDescent="0.2">
      <c r="A7" s="11">
        <v>1</v>
      </c>
      <c r="D7" s="12" t="s">
        <v>86</v>
      </c>
      <c r="F7" s="116" t="s">
        <v>87</v>
      </c>
      <c r="H7" s="12" t="s">
        <v>88</v>
      </c>
      <c r="I7" s="116"/>
      <c r="J7" s="116" t="s">
        <v>89</v>
      </c>
      <c r="K7" s="116" t="s">
        <v>89</v>
      </c>
      <c r="L7" s="117" t="s">
        <v>89</v>
      </c>
    </row>
    <row r="8" spans="1:14" x14ac:dyDescent="0.2">
      <c r="A8" s="11">
        <v>2</v>
      </c>
      <c r="D8" s="12" t="s">
        <v>90</v>
      </c>
      <c r="E8" s="116"/>
      <c r="F8" s="116" t="s">
        <v>91</v>
      </c>
      <c r="G8" s="12" t="s">
        <v>92</v>
      </c>
      <c r="H8" s="282">
        <v>43405</v>
      </c>
      <c r="I8" s="116">
        <v>43405</v>
      </c>
      <c r="J8" s="116">
        <v>43770</v>
      </c>
      <c r="K8" s="116">
        <v>43770</v>
      </c>
      <c r="L8" s="118">
        <v>43770</v>
      </c>
    </row>
    <row r="9" spans="1:14" x14ac:dyDescent="0.2">
      <c r="A9" s="11">
        <v>3</v>
      </c>
      <c r="D9" s="12" t="s">
        <v>14</v>
      </c>
      <c r="E9" s="12" t="s">
        <v>93</v>
      </c>
      <c r="F9" s="12" t="s">
        <v>94</v>
      </c>
      <c r="G9" s="12" t="s">
        <v>94</v>
      </c>
      <c r="H9" s="12" t="s">
        <v>4</v>
      </c>
      <c r="I9" s="12" t="s">
        <v>88</v>
      </c>
      <c r="J9" s="12" t="s">
        <v>95</v>
      </c>
      <c r="K9" s="12" t="s">
        <v>95</v>
      </c>
      <c r="L9" s="119" t="s">
        <v>95</v>
      </c>
    </row>
    <row r="10" spans="1:14" s="31" customFormat="1" ht="13.5" thickBot="1" x14ac:dyDescent="0.25">
      <c r="A10" s="11">
        <v>4</v>
      </c>
      <c r="B10" s="2"/>
      <c r="C10" s="2"/>
      <c r="D10" s="25" t="s">
        <v>23</v>
      </c>
      <c r="E10" s="25" t="s">
        <v>38</v>
      </c>
      <c r="F10" s="25" t="s">
        <v>96</v>
      </c>
      <c r="G10" s="25" t="s">
        <v>28</v>
      </c>
      <c r="H10" s="25" t="s">
        <v>97</v>
      </c>
      <c r="I10" s="25" t="s">
        <v>98</v>
      </c>
      <c r="J10" s="26" t="s">
        <v>99</v>
      </c>
      <c r="K10" s="25" t="s">
        <v>98</v>
      </c>
      <c r="L10" s="120" t="s">
        <v>100</v>
      </c>
    </row>
    <row r="11" spans="1:14" s="31" customFormat="1" x14ac:dyDescent="0.2">
      <c r="A11" s="11">
        <v>5</v>
      </c>
      <c r="B11" s="2"/>
      <c r="C11" s="2"/>
      <c r="D11" s="32"/>
      <c r="E11" s="32"/>
      <c r="F11" s="32"/>
      <c r="G11" s="32"/>
      <c r="H11" s="32"/>
      <c r="I11" s="13" t="s">
        <v>101</v>
      </c>
      <c r="J11" s="121"/>
      <c r="K11" s="122" t="s">
        <v>102</v>
      </c>
      <c r="L11" s="123"/>
    </row>
    <row r="12" spans="1:14" s="31" customFormat="1" x14ac:dyDescent="0.2">
      <c r="A12" s="11">
        <v>6</v>
      </c>
      <c r="B12" s="36" t="s">
        <v>37</v>
      </c>
      <c r="C12" s="37" t="s">
        <v>38</v>
      </c>
      <c r="D12" s="38" t="s">
        <v>39</v>
      </c>
      <c r="E12" s="38" t="s">
        <v>40</v>
      </c>
      <c r="F12" s="38" t="s">
        <v>41</v>
      </c>
      <c r="G12" s="38" t="s">
        <v>42</v>
      </c>
      <c r="H12" s="38" t="s">
        <v>43</v>
      </c>
      <c r="I12" s="38" t="s">
        <v>103</v>
      </c>
      <c r="J12" s="39" t="s">
        <v>45</v>
      </c>
      <c r="K12" s="39" t="s">
        <v>46</v>
      </c>
      <c r="L12" s="124" t="s">
        <v>104</v>
      </c>
    </row>
    <row r="13" spans="1:14" x14ac:dyDescent="0.2">
      <c r="A13" s="11">
        <v>7</v>
      </c>
      <c r="B13" s="43" t="s">
        <v>50</v>
      </c>
      <c r="C13" s="44"/>
      <c r="D13" s="45">
        <v>196915.9</v>
      </c>
      <c r="E13" s="125" t="s">
        <v>105</v>
      </c>
      <c r="F13" s="126">
        <v>19</v>
      </c>
      <c r="G13" s="48">
        <v>3.47</v>
      </c>
      <c r="H13" s="127">
        <v>1.0291799999999995</v>
      </c>
      <c r="I13" s="54">
        <v>23.02</v>
      </c>
      <c r="J13" s="127">
        <v>1.0431799999999996</v>
      </c>
      <c r="K13" s="54">
        <v>23.29</v>
      </c>
      <c r="L13" s="128">
        <v>1.2E-2</v>
      </c>
      <c r="M13" s="129"/>
      <c r="N13" s="129"/>
    </row>
    <row r="14" spans="1:14" x14ac:dyDescent="0.2">
      <c r="A14" s="11">
        <v>8</v>
      </c>
      <c r="B14" s="43" t="s">
        <v>51</v>
      </c>
      <c r="C14" s="44"/>
      <c r="D14" s="45">
        <v>41008.9</v>
      </c>
      <c r="E14" s="125" t="s">
        <v>105</v>
      </c>
      <c r="F14" s="126">
        <v>95</v>
      </c>
      <c r="G14" s="48">
        <v>3.47</v>
      </c>
      <c r="H14" s="127">
        <v>1.0187299999999995</v>
      </c>
      <c r="I14" s="54">
        <v>100.25</v>
      </c>
      <c r="J14" s="127">
        <v>1.0295499999999995</v>
      </c>
      <c r="K14" s="54">
        <v>101.28</v>
      </c>
      <c r="L14" s="128">
        <v>0.01</v>
      </c>
      <c r="M14" s="129"/>
      <c r="N14" s="129"/>
    </row>
    <row r="15" spans="1:14" x14ac:dyDescent="0.2">
      <c r="A15" s="11">
        <v>9</v>
      </c>
      <c r="B15" s="43" t="s">
        <v>52</v>
      </c>
      <c r="C15" s="44"/>
      <c r="D15" s="45">
        <v>53306699.299999997</v>
      </c>
      <c r="E15" s="125" t="s">
        <v>105</v>
      </c>
      <c r="F15" s="126">
        <v>57</v>
      </c>
      <c r="G15" s="48">
        <v>7</v>
      </c>
      <c r="H15" s="127">
        <v>0.73545999999999978</v>
      </c>
      <c r="I15" s="54">
        <v>48.92</v>
      </c>
      <c r="J15" s="127">
        <v>0.74373999999999973</v>
      </c>
      <c r="K15" s="54">
        <v>49.39</v>
      </c>
      <c r="L15" s="128">
        <v>0.01</v>
      </c>
      <c r="M15" s="131"/>
      <c r="N15" s="129"/>
    </row>
    <row r="16" spans="1:14" x14ac:dyDescent="0.2">
      <c r="A16" s="11">
        <v>10</v>
      </c>
      <c r="B16" s="43" t="s">
        <v>53</v>
      </c>
      <c r="C16" s="44"/>
      <c r="D16" s="45">
        <v>18528180.699999999</v>
      </c>
      <c r="E16" s="125" t="s">
        <v>105</v>
      </c>
      <c r="F16" s="126">
        <v>248</v>
      </c>
      <c r="G16" s="48">
        <v>15</v>
      </c>
      <c r="H16" s="127">
        <v>0.73534000000000033</v>
      </c>
      <c r="I16" s="54">
        <v>197.36</v>
      </c>
      <c r="J16" s="127">
        <v>0.74266000000000032</v>
      </c>
      <c r="K16" s="54">
        <v>199.18</v>
      </c>
      <c r="L16" s="128">
        <v>8.9999999999999993E-3</v>
      </c>
      <c r="M16" s="131"/>
      <c r="N16" s="129"/>
    </row>
    <row r="17" spans="1:14" x14ac:dyDescent="0.2">
      <c r="A17" s="11">
        <v>11</v>
      </c>
      <c r="B17" s="43" t="s">
        <v>54</v>
      </c>
      <c r="C17" s="44"/>
      <c r="D17" s="45">
        <v>363801</v>
      </c>
      <c r="E17" s="125" t="s">
        <v>105</v>
      </c>
      <c r="F17" s="126">
        <v>1213</v>
      </c>
      <c r="G17" s="48">
        <v>15</v>
      </c>
      <c r="H17" s="127">
        <v>0.70457999999999954</v>
      </c>
      <c r="I17" s="54">
        <v>869.66</v>
      </c>
      <c r="J17" s="127">
        <v>0.70457999999999954</v>
      </c>
      <c r="K17" s="54">
        <v>869.66</v>
      </c>
      <c r="L17" s="128">
        <v>0</v>
      </c>
      <c r="M17" s="129"/>
      <c r="N17" s="129"/>
    </row>
    <row r="18" spans="1:14" x14ac:dyDescent="0.2">
      <c r="A18" s="11">
        <v>12</v>
      </c>
      <c r="B18" s="55">
        <v>27</v>
      </c>
      <c r="C18" s="56"/>
      <c r="D18" s="45">
        <v>575777.19999999995</v>
      </c>
      <c r="E18" s="125" t="s">
        <v>105</v>
      </c>
      <c r="F18" s="126">
        <v>54</v>
      </c>
      <c r="G18" s="48">
        <v>6</v>
      </c>
      <c r="H18" s="127">
        <v>0.56221999999999994</v>
      </c>
      <c r="I18" s="54">
        <v>36.36</v>
      </c>
      <c r="J18" s="127">
        <v>0.56817999999999991</v>
      </c>
      <c r="K18" s="54">
        <v>36.68</v>
      </c>
      <c r="L18" s="128">
        <v>8.9999999999999993E-3</v>
      </c>
      <c r="M18" s="129"/>
      <c r="N18" s="129"/>
    </row>
    <row r="19" spans="1:14" x14ac:dyDescent="0.2">
      <c r="A19" s="11">
        <v>13</v>
      </c>
      <c r="B19" s="57" t="s">
        <v>55</v>
      </c>
      <c r="C19" s="58" t="s">
        <v>56</v>
      </c>
      <c r="D19" s="59">
        <v>1970232.1</v>
      </c>
      <c r="E19" s="132">
        <v>2000</v>
      </c>
      <c r="F19" s="101">
        <v>3554</v>
      </c>
      <c r="G19" s="283">
        <v>250</v>
      </c>
      <c r="H19" s="133">
        <v>0.49926000000000026</v>
      </c>
      <c r="I19" s="62"/>
      <c r="J19" s="133">
        <v>0.50532000000000021</v>
      </c>
      <c r="K19" s="62"/>
      <c r="L19" s="134"/>
    </row>
    <row r="20" spans="1:14" x14ac:dyDescent="0.2">
      <c r="A20" s="11">
        <v>14</v>
      </c>
      <c r="B20" s="57"/>
      <c r="C20" s="58" t="s">
        <v>57</v>
      </c>
      <c r="D20" s="59">
        <v>2123869.7999999998</v>
      </c>
      <c r="E20" s="132" t="s">
        <v>106</v>
      </c>
      <c r="F20" s="101"/>
      <c r="G20" s="283"/>
      <c r="H20" s="133">
        <v>0.46017999999999998</v>
      </c>
      <c r="I20" s="62"/>
      <c r="J20" s="133">
        <v>0.46551999999999999</v>
      </c>
      <c r="K20" s="62"/>
      <c r="L20" s="134"/>
    </row>
    <row r="21" spans="1:14" x14ac:dyDescent="0.2">
      <c r="A21" s="11">
        <v>15</v>
      </c>
      <c r="B21" s="55"/>
      <c r="C21" s="135" t="s">
        <v>107</v>
      </c>
      <c r="D21" s="136"/>
      <c r="E21" s="137"/>
      <c r="F21" s="138"/>
      <c r="G21" s="284"/>
      <c r="H21" s="139"/>
      <c r="I21" s="140">
        <v>1963.64</v>
      </c>
      <c r="J21" s="139"/>
      <c r="K21" s="140">
        <v>1984.06</v>
      </c>
      <c r="L21" s="141">
        <v>0.01</v>
      </c>
      <c r="M21" s="129"/>
      <c r="N21" s="129"/>
    </row>
    <row r="22" spans="1:14" x14ac:dyDescent="0.2">
      <c r="A22" s="11">
        <v>16</v>
      </c>
      <c r="B22" s="57" t="s">
        <v>58</v>
      </c>
      <c r="C22" s="58" t="s">
        <v>56</v>
      </c>
      <c r="D22" s="59">
        <v>0</v>
      </c>
      <c r="E22" s="132">
        <v>2000</v>
      </c>
      <c r="F22" s="101">
        <v>0</v>
      </c>
      <c r="G22" s="283">
        <v>250</v>
      </c>
      <c r="H22" s="133">
        <v>0.51518999999999993</v>
      </c>
      <c r="I22" s="62"/>
      <c r="J22" s="133">
        <v>0.52069999999999983</v>
      </c>
      <c r="K22" s="62"/>
      <c r="L22" s="134"/>
    </row>
    <row r="23" spans="1:14" x14ac:dyDescent="0.2">
      <c r="A23" s="11">
        <v>17</v>
      </c>
      <c r="B23" s="57"/>
      <c r="C23" s="58" t="s">
        <v>57</v>
      </c>
      <c r="D23" s="59">
        <v>0</v>
      </c>
      <c r="E23" s="132" t="s">
        <v>106</v>
      </c>
      <c r="F23" s="144"/>
      <c r="G23" s="285"/>
      <c r="H23" s="133">
        <v>0.47625999999999991</v>
      </c>
      <c r="I23" s="62"/>
      <c r="J23" s="133">
        <v>0.48110999999999987</v>
      </c>
      <c r="K23" s="62"/>
      <c r="L23" s="134"/>
    </row>
    <row r="24" spans="1:14" x14ac:dyDescent="0.2">
      <c r="A24" s="11">
        <v>18</v>
      </c>
      <c r="B24" s="55"/>
      <c r="C24" s="135" t="s">
        <v>107</v>
      </c>
      <c r="D24" s="136"/>
      <c r="E24" s="137"/>
      <c r="F24" s="138"/>
      <c r="G24" s="284"/>
      <c r="H24" s="139"/>
      <c r="I24" s="140">
        <v>250</v>
      </c>
      <c r="J24" s="139"/>
      <c r="K24" s="140">
        <v>250</v>
      </c>
      <c r="L24" s="142">
        <v>0</v>
      </c>
      <c r="M24" s="129"/>
      <c r="N24" s="129"/>
    </row>
    <row r="25" spans="1:14" x14ac:dyDescent="0.2">
      <c r="A25" s="11">
        <v>19</v>
      </c>
      <c r="B25" s="57" t="s">
        <v>59</v>
      </c>
      <c r="C25" s="58" t="s">
        <v>56</v>
      </c>
      <c r="D25" s="59">
        <v>303749</v>
      </c>
      <c r="E25" s="132">
        <v>2000</v>
      </c>
      <c r="F25" s="101">
        <v>8210</v>
      </c>
      <c r="G25" s="283">
        <v>500</v>
      </c>
      <c r="H25" s="133">
        <v>0.30018999999999996</v>
      </c>
      <c r="I25" s="62"/>
      <c r="J25" s="133">
        <v>0.30018999999999996</v>
      </c>
      <c r="K25" s="62"/>
      <c r="L25" s="134"/>
    </row>
    <row r="26" spans="1:14" x14ac:dyDescent="0.2">
      <c r="A26" s="11">
        <v>20</v>
      </c>
      <c r="B26" s="57"/>
      <c r="C26" s="58" t="s">
        <v>57</v>
      </c>
      <c r="D26" s="59">
        <v>484375</v>
      </c>
      <c r="E26" s="132" t="s">
        <v>106</v>
      </c>
      <c r="F26" s="101"/>
      <c r="G26" s="283"/>
      <c r="H26" s="133">
        <v>0.26449</v>
      </c>
      <c r="I26" s="62"/>
      <c r="J26" s="133">
        <v>0.26449</v>
      </c>
      <c r="K26" s="62"/>
      <c r="L26" s="134"/>
    </row>
    <row r="27" spans="1:14" x14ac:dyDescent="0.2">
      <c r="A27" s="11">
        <v>21</v>
      </c>
      <c r="B27" s="55"/>
      <c r="C27" s="135" t="s">
        <v>107</v>
      </c>
      <c r="D27" s="136"/>
      <c r="E27" s="137"/>
      <c r="F27" s="138"/>
      <c r="G27" s="284"/>
      <c r="H27" s="139"/>
      <c r="I27" s="140">
        <v>2742.86</v>
      </c>
      <c r="J27" s="139"/>
      <c r="K27" s="140">
        <v>2742.86</v>
      </c>
      <c r="L27" s="142">
        <v>0</v>
      </c>
      <c r="M27" s="129"/>
      <c r="N27" s="129"/>
    </row>
    <row r="28" spans="1:14" x14ac:dyDescent="0.2">
      <c r="A28" s="11">
        <v>22</v>
      </c>
      <c r="B28" s="57" t="s">
        <v>60</v>
      </c>
      <c r="C28" s="58" t="s">
        <v>56</v>
      </c>
      <c r="D28" s="59">
        <v>360236</v>
      </c>
      <c r="E28" s="132">
        <v>2000</v>
      </c>
      <c r="F28" s="101">
        <v>4177</v>
      </c>
      <c r="G28" s="283">
        <v>250</v>
      </c>
      <c r="H28" s="133">
        <v>0.47592000000000023</v>
      </c>
      <c r="I28" s="62"/>
      <c r="J28" s="133">
        <v>0.47592000000000023</v>
      </c>
      <c r="K28" s="62"/>
      <c r="L28" s="134"/>
    </row>
    <row r="29" spans="1:14" x14ac:dyDescent="0.2">
      <c r="A29" s="11">
        <v>23</v>
      </c>
      <c r="B29" s="57"/>
      <c r="C29" s="58" t="s">
        <v>57</v>
      </c>
      <c r="D29" s="59">
        <v>542040</v>
      </c>
      <c r="E29" s="132" t="s">
        <v>106</v>
      </c>
      <c r="F29" s="144"/>
      <c r="G29" s="285"/>
      <c r="H29" s="133">
        <v>0.43959999999999988</v>
      </c>
      <c r="I29" s="62"/>
      <c r="J29" s="133">
        <v>0.43959999999999988</v>
      </c>
      <c r="K29" s="62"/>
      <c r="L29" s="134"/>
    </row>
    <row r="30" spans="1:14" x14ac:dyDescent="0.2">
      <c r="A30" s="11">
        <v>24</v>
      </c>
      <c r="B30" s="55"/>
      <c r="C30" s="135" t="s">
        <v>107</v>
      </c>
      <c r="D30" s="136"/>
      <c r="E30" s="137"/>
      <c r="F30" s="138"/>
      <c r="G30" s="284"/>
      <c r="H30" s="139"/>
      <c r="I30" s="140">
        <v>2158.85</v>
      </c>
      <c r="J30" s="139"/>
      <c r="K30" s="140">
        <v>2158.85</v>
      </c>
      <c r="L30" s="142">
        <v>0</v>
      </c>
      <c r="M30" s="129"/>
      <c r="N30" s="129"/>
    </row>
    <row r="31" spans="1:14" x14ac:dyDescent="0.2">
      <c r="A31" s="11">
        <v>25</v>
      </c>
      <c r="B31" s="57" t="s">
        <v>61</v>
      </c>
      <c r="C31" s="58" t="s">
        <v>56</v>
      </c>
      <c r="D31" s="59">
        <v>0</v>
      </c>
      <c r="E31" s="132">
        <v>2000</v>
      </c>
      <c r="F31" s="101">
        <v>0</v>
      </c>
      <c r="G31" s="283">
        <v>250</v>
      </c>
      <c r="H31" s="133">
        <v>0.4930000000000001</v>
      </c>
      <c r="I31" s="62"/>
      <c r="J31" s="133">
        <v>0.4930000000000001</v>
      </c>
      <c r="K31" s="62"/>
      <c r="L31" s="134"/>
    </row>
    <row r="32" spans="1:14" x14ac:dyDescent="0.2">
      <c r="A32" s="11">
        <v>26</v>
      </c>
      <c r="B32" s="57"/>
      <c r="C32" s="58" t="s">
        <v>57</v>
      </c>
      <c r="D32" s="59">
        <v>0</v>
      </c>
      <c r="E32" s="132" t="s">
        <v>106</v>
      </c>
      <c r="F32" s="101"/>
      <c r="G32" s="283"/>
      <c r="H32" s="133">
        <v>0.45670999999999995</v>
      </c>
      <c r="I32" s="62"/>
      <c r="J32" s="133">
        <v>0.45670999999999995</v>
      </c>
      <c r="K32" s="62"/>
      <c r="L32" s="134"/>
    </row>
    <row r="33" spans="1:14" x14ac:dyDescent="0.2">
      <c r="A33" s="11">
        <v>27</v>
      </c>
      <c r="B33" s="55"/>
      <c r="C33" s="135" t="s">
        <v>107</v>
      </c>
      <c r="D33" s="136"/>
      <c r="E33" s="137"/>
      <c r="F33" s="138"/>
      <c r="G33" s="284"/>
      <c r="H33" s="139"/>
      <c r="I33" s="140">
        <v>250</v>
      </c>
      <c r="J33" s="139"/>
      <c r="K33" s="140">
        <v>250</v>
      </c>
      <c r="L33" s="142">
        <v>0</v>
      </c>
      <c r="M33" s="129"/>
      <c r="N33" s="129"/>
    </row>
    <row r="34" spans="1:14" x14ac:dyDescent="0.2">
      <c r="A34" s="11">
        <v>28</v>
      </c>
      <c r="B34" s="57" t="s">
        <v>62</v>
      </c>
      <c r="C34" s="58" t="s">
        <v>56</v>
      </c>
      <c r="D34" s="59">
        <v>561182.4</v>
      </c>
      <c r="E34" s="59">
        <v>10000</v>
      </c>
      <c r="F34" s="101">
        <v>16603</v>
      </c>
      <c r="G34" s="283">
        <v>1300</v>
      </c>
      <c r="H34" s="133">
        <v>0.30433999999999994</v>
      </c>
      <c r="I34" s="62"/>
      <c r="J34" s="133">
        <v>0.3072899999999999</v>
      </c>
      <c r="K34" s="62"/>
      <c r="L34" s="134"/>
    </row>
    <row r="35" spans="1:14" x14ac:dyDescent="0.2">
      <c r="A35" s="11">
        <v>29</v>
      </c>
      <c r="B35" s="57"/>
      <c r="C35" s="58" t="s">
        <v>57</v>
      </c>
      <c r="D35" s="59">
        <v>481861</v>
      </c>
      <c r="E35" s="59">
        <v>20000</v>
      </c>
      <c r="F35" s="101"/>
      <c r="G35" s="283"/>
      <c r="H35" s="133">
        <v>0.29029999999999978</v>
      </c>
      <c r="I35" s="62"/>
      <c r="J35" s="133">
        <v>0.29293999999999981</v>
      </c>
      <c r="K35" s="62"/>
      <c r="L35" s="134"/>
    </row>
    <row r="36" spans="1:14" x14ac:dyDescent="0.2">
      <c r="A36" s="11">
        <v>30</v>
      </c>
      <c r="B36" s="57"/>
      <c r="C36" s="58" t="s">
        <v>63</v>
      </c>
      <c r="D36" s="59">
        <v>131374.9</v>
      </c>
      <c r="E36" s="59">
        <v>20000</v>
      </c>
      <c r="F36" s="101"/>
      <c r="G36" s="283"/>
      <c r="H36" s="133">
        <v>0.26236999999999994</v>
      </c>
      <c r="I36" s="62"/>
      <c r="J36" s="133">
        <v>0.26439999999999997</v>
      </c>
      <c r="K36" s="62"/>
      <c r="L36" s="134"/>
    </row>
    <row r="37" spans="1:14" x14ac:dyDescent="0.2">
      <c r="A37" s="11">
        <v>31</v>
      </c>
      <c r="B37" s="57"/>
      <c r="C37" s="58" t="s">
        <v>64</v>
      </c>
      <c r="D37" s="59">
        <v>20968.900000000001</v>
      </c>
      <c r="E37" s="59">
        <v>100000</v>
      </c>
      <c r="F37" s="101"/>
      <c r="G37" s="283"/>
      <c r="H37" s="133">
        <v>0.2439800000000002</v>
      </c>
      <c r="I37" s="62"/>
      <c r="J37" s="133">
        <v>0.24560000000000021</v>
      </c>
      <c r="K37" s="62"/>
      <c r="L37" s="134"/>
    </row>
    <row r="38" spans="1:14" x14ac:dyDescent="0.2">
      <c r="A38" s="11">
        <v>32</v>
      </c>
      <c r="B38" s="57"/>
      <c r="C38" s="58" t="s">
        <v>65</v>
      </c>
      <c r="D38" s="59">
        <v>0</v>
      </c>
      <c r="E38" s="59">
        <v>600000</v>
      </c>
      <c r="F38" s="101"/>
      <c r="G38" s="283"/>
      <c r="H38" s="133">
        <v>0.21944999999999995</v>
      </c>
      <c r="I38" s="62"/>
      <c r="J38" s="133">
        <v>0.22052999999999995</v>
      </c>
      <c r="K38" s="62"/>
      <c r="L38" s="134"/>
    </row>
    <row r="39" spans="1:14" x14ac:dyDescent="0.2">
      <c r="A39" s="11">
        <v>33</v>
      </c>
      <c r="B39" s="57"/>
      <c r="C39" s="58" t="s">
        <v>66</v>
      </c>
      <c r="D39" s="59">
        <v>0</v>
      </c>
      <c r="E39" s="132" t="s">
        <v>106</v>
      </c>
      <c r="F39" s="101"/>
      <c r="G39" s="283"/>
      <c r="H39" s="133">
        <v>0.18881000000000006</v>
      </c>
      <c r="I39" s="62"/>
      <c r="J39" s="133">
        <v>0.18921000000000004</v>
      </c>
      <c r="K39" s="62"/>
      <c r="L39" s="134"/>
    </row>
    <row r="40" spans="1:14" x14ac:dyDescent="0.2">
      <c r="A40" s="11">
        <v>34</v>
      </c>
      <c r="B40" s="55"/>
      <c r="C40" s="135" t="s">
        <v>107</v>
      </c>
      <c r="D40" s="136"/>
      <c r="E40" s="137"/>
      <c r="F40" s="138"/>
      <c r="G40" s="284"/>
      <c r="H40" s="139"/>
      <c r="I40" s="140">
        <v>6260.25</v>
      </c>
      <c r="J40" s="139"/>
      <c r="K40" s="140">
        <v>6307.18</v>
      </c>
      <c r="L40" s="142">
        <v>7.0000000000000001E-3</v>
      </c>
      <c r="M40" s="129"/>
      <c r="N40" s="129"/>
    </row>
    <row r="41" spans="1:14" x14ac:dyDescent="0.2">
      <c r="A41" s="11">
        <v>35</v>
      </c>
      <c r="B41" s="57" t="s">
        <v>67</v>
      </c>
      <c r="C41" s="58" t="s">
        <v>56</v>
      </c>
      <c r="D41" s="59">
        <v>1060773</v>
      </c>
      <c r="E41" s="59">
        <v>10000</v>
      </c>
      <c r="F41" s="101">
        <v>12726</v>
      </c>
      <c r="G41" s="283">
        <v>1300</v>
      </c>
      <c r="H41" s="133">
        <v>0.29139999999999999</v>
      </c>
      <c r="I41" s="62"/>
      <c r="J41" s="133">
        <v>0.29139999999999999</v>
      </c>
      <c r="K41" s="62"/>
      <c r="L41" s="134"/>
    </row>
    <row r="42" spans="1:14" x14ac:dyDescent="0.2">
      <c r="A42" s="11">
        <v>36</v>
      </c>
      <c r="B42" s="57"/>
      <c r="C42" s="58" t="s">
        <v>57</v>
      </c>
      <c r="D42" s="59">
        <v>650234</v>
      </c>
      <c r="E42" s="59">
        <v>20000</v>
      </c>
      <c r="F42" s="101"/>
      <c r="G42" s="283"/>
      <c r="H42" s="133">
        <v>0.27872000000000008</v>
      </c>
      <c r="I42" s="62"/>
      <c r="J42" s="133">
        <v>0.27872000000000008</v>
      </c>
      <c r="K42" s="62"/>
      <c r="L42" s="134"/>
    </row>
    <row r="43" spans="1:14" x14ac:dyDescent="0.2">
      <c r="A43" s="11">
        <v>37</v>
      </c>
      <c r="B43" s="57"/>
      <c r="C43" s="58" t="s">
        <v>63</v>
      </c>
      <c r="D43" s="59">
        <v>112053</v>
      </c>
      <c r="E43" s="59">
        <v>20000</v>
      </c>
      <c r="F43" s="101"/>
      <c r="G43" s="283"/>
      <c r="H43" s="133">
        <v>0.25346999999999992</v>
      </c>
      <c r="I43" s="62"/>
      <c r="J43" s="133">
        <v>0.25346999999999992</v>
      </c>
      <c r="K43" s="62"/>
      <c r="L43" s="134"/>
    </row>
    <row r="44" spans="1:14" x14ac:dyDescent="0.2">
      <c r="A44" s="11">
        <v>38</v>
      </c>
      <c r="B44" s="57"/>
      <c r="C44" s="58" t="s">
        <v>64</v>
      </c>
      <c r="D44" s="59">
        <v>9427</v>
      </c>
      <c r="E44" s="59">
        <v>100000</v>
      </c>
      <c r="F44" s="101"/>
      <c r="G44" s="283"/>
      <c r="H44" s="133">
        <v>0.23686000000000015</v>
      </c>
      <c r="I44" s="62"/>
      <c r="J44" s="133">
        <v>0.23686000000000015</v>
      </c>
      <c r="K44" s="62"/>
      <c r="L44" s="134"/>
    </row>
    <row r="45" spans="1:14" x14ac:dyDescent="0.2">
      <c r="A45" s="11">
        <v>39</v>
      </c>
      <c r="B45" s="57"/>
      <c r="C45" s="58" t="s">
        <v>65</v>
      </c>
      <c r="D45" s="59">
        <v>0</v>
      </c>
      <c r="E45" s="59">
        <v>600000</v>
      </c>
      <c r="F45" s="101"/>
      <c r="G45" s="283"/>
      <c r="H45" s="133">
        <v>0.2147300000000002</v>
      </c>
      <c r="I45" s="62"/>
      <c r="J45" s="133">
        <v>0.2147300000000002</v>
      </c>
      <c r="K45" s="62"/>
      <c r="L45" s="134"/>
    </row>
    <row r="46" spans="1:14" x14ac:dyDescent="0.2">
      <c r="A46" s="11">
        <v>40</v>
      </c>
      <c r="B46" s="57"/>
      <c r="C46" s="58" t="s">
        <v>66</v>
      </c>
      <c r="D46" s="59">
        <v>0</v>
      </c>
      <c r="E46" s="132" t="s">
        <v>106</v>
      </c>
      <c r="F46" s="101"/>
      <c r="G46" s="283"/>
      <c r="H46" s="133">
        <v>0.18703999999999993</v>
      </c>
      <c r="I46" s="62"/>
      <c r="J46" s="133">
        <v>0.18703999999999993</v>
      </c>
      <c r="K46" s="62"/>
      <c r="L46" s="134"/>
    </row>
    <row r="47" spans="1:14" x14ac:dyDescent="0.2">
      <c r="A47" s="11">
        <v>41</v>
      </c>
      <c r="B47" s="55"/>
      <c r="C47" s="135" t="s">
        <v>107</v>
      </c>
      <c r="D47" s="136"/>
      <c r="E47" s="137"/>
      <c r="F47" s="138"/>
      <c r="G47" s="284"/>
      <c r="H47" s="139"/>
      <c r="I47" s="140">
        <v>4973.79</v>
      </c>
      <c r="J47" s="139"/>
      <c r="K47" s="140">
        <v>4973.79</v>
      </c>
      <c r="L47" s="142">
        <v>0</v>
      </c>
      <c r="M47" s="129"/>
      <c r="N47" s="129"/>
    </row>
    <row r="48" spans="1:14" x14ac:dyDescent="0.2">
      <c r="A48" s="11">
        <v>42</v>
      </c>
      <c r="B48" s="57" t="s">
        <v>68</v>
      </c>
      <c r="C48" s="58" t="s">
        <v>56</v>
      </c>
      <c r="D48" s="59">
        <v>1336403</v>
      </c>
      <c r="E48" s="59">
        <v>10000</v>
      </c>
      <c r="F48" s="101">
        <v>48106</v>
      </c>
      <c r="G48" s="283">
        <v>1550</v>
      </c>
      <c r="H48" s="133">
        <v>0.11795</v>
      </c>
      <c r="I48" s="62"/>
      <c r="J48" s="133">
        <v>0.11795</v>
      </c>
      <c r="K48" s="62"/>
      <c r="L48" s="134"/>
    </row>
    <row r="49" spans="1:14" x14ac:dyDescent="0.2">
      <c r="A49" s="11">
        <v>43</v>
      </c>
      <c r="B49" s="57"/>
      <c r="C49" s="58" t="s">
        <v>57</v>
      </c>
      <c r="D49" s="59">
        <v>1682938</v>
      </c>
      <c r="E49" s="59">
        <v>20000</v>
      </c>
      <c r="F49" s="101"/>
      <c r="G49" s="283"/>
      <c r="H49" s="133">
        <v>0.10557999999999999</v>
      </c>
      <c r="I49" s="62"/>
      <c r="J49" s="133">
        <v>0.10557999999999999</v>
      </c>
      <c r="K49" s="62"/>
      <c r="L49" s="134"/>
    </row>
    <row r="50" spans="1:14" x14ac:dyDescent="0.2">
      <c r="A50" s="11">
        <v>44</v>
      </c>
      <c r="B50" s="57"/>
      <c r="C50" s="58" t="s">
        <v>63</v>
      </c>
      <c r="D50" s="59">
        <v>1387648</v>
      </c>
      <c r="E50" s="59">
        <v>20000</v>
      </c>
      <c r="F50" s="101"/>
      <c r="G50" s="283"/>
      <c r="H50" s="133">
        <v>8.0960000000000004E-2</v>
      </c>
      <c r="I50" s="62"/>
      <c r="J50" s="133">
        <v>8.0960000000000004E-2</v>
      </c>
      <c r="K50" s="62"/>
      <c r="L50" s="134"/>
    </row>
    <row r="51" spans="1:14" x14ac:dyDescent="0.2">
      <c r="A51" s="11">
        <v>45</v>
      </c>
      <c r="B51" s="57"/>
      <c r="C51" s="58" t="s">
        <v>64</v>
      </c>
      <c r="D51" s="59">
        <v>2195748</v>
      </c>
      <c r="E51" s="59">
        <v>100000</v>
      </c>
      <c r="F51" s="101"/>
      <c r="G51" s="283"/>
      <c r="H51" s="133">
        <v>6.4769999999999994E-2</v>
      </c>
      <c r="I51" s="62"/>
      <c r="J51" s="133">
        <v>6.4769999999999994E-2</v>
      </c>
      <c r="K51" s="62"/>
      <c r="L51" s="134"/>
    </row>
    <row r="52" spans="1:14" x14ac:dyDescent="0.2">
      <c r="A52" s="11">
        <v>46</v>
      </c>
      <c r="B52" s="57"/>
      <c r="C52" s="58" t="s">
        <v>65</v>
      </c>
      <c r="D52" s="59">
        <v>901810</v>
      </c>
      <c r="E52" s="59">
        <v>600000</v>
      </c>
      <c r="F52" s="101"/>
      <c r="G52" s="283"/>
      <c r="H52" s="133">
        <v>4.3180000000000003E-2</v>
      </c>
      <c r="I52" s="62"/>
      <c r="J52" s="133">
        <v>4.3180000000000003E-2</v>
      </c>
      <c r="K52" s="62"/>
      <c r="L52" s="134"/>
    </row>
    <row r="53" spans="1:14" x14ac:dyDescent="0.2">
      <c r="A53" s="11">
        <v>47</v>
      </c>
      <c r="B53" s="57"/>
      <c r="C53" s="58" t="s">
        <v>66</v>
      </c>
      <c r="D53" s="59">
        <v>0</v>
      </c>
      <c r="E53" s="132" t="s">
        <v>106</v>
      </c>
      <c r="F53" s="101"/>
      <c r="G53" s="283"/>
      <c r="H53" s="133">
        <v>1.619E-2</v>
      </c>
      <c r="I53" s="62"/>
      <c r="J53" s="133">
        <v>1.619E-2</v>
      </c>
      <c r="K53" s="62"/>
      <c r="L53" s="134"/>
    </row>
    <row r="54" spans="1:14" x14ac:dyDescent="0.2">
      <c r="A54" s="11">
        <v>48</v>
      </c>
      <c r="B54" s="55"/>
      <c r="C54" s="135" t="s">
        <v>107</v>
      </c>
      <c r="D54" s="136"/>
      <c r="E54" s="137"/>
      <c r="F54" s="138"/>
      <c r="G54" s="284"/>
      <c r="H54" s="139"/>
      <c r="I54" s="140">
        <v>6306.96</v>
      </c>
      <c r="J54" s="139"/>
      <c r="K54" s="140">
        <v>6306.96</v>
      </c>
      <c r="L54" s="142">
        <v>0</v>
      </c>
      <c r="M54" s="129"/>
      <c r="N54" s="129"/>
    </row>
    <row r="55" spans="1:14" x14ac:dyDescent="0.2">
      <c r="A55" s="11">
        <v>49</v>
      </c>
      <c r="B55" s="57" t="s">
        <v>69</v>
      </c>
      <c r="C55" s="58" t="s">
        <v>56</v>
      </c>
      <c r="D55" s="59">
        <v>237919</v>
      </c>
      <c r="E55" s="59">
        <v>10000</v>
      </c>
      <c r="F55" s="101">
        <v>39882</v>
      </c>
      <c r="G55" s="283">
        <v>1300</v>
      </c>
      <c r="H55" s="133">
        <v>0.31897999999999999</v>
      </c>
      <c r="I55" s="62"/>
      <c r="J55" s="133">
        <v>0.32045000000000001</v>
      </c>
      <c r="K55" s="62"/>
      <c r="L55" s="134"/>
    </row>
    <row r="56" spans="1:14" x14ac:dyDescent="0.2">
      <c r="A56" s="11">
        <v>50</v>
      </c>
      <c r="B56" s="57"/>
      <c r="C56" s="58" t="s">
        <v>57</v>
      </c>
      <c r="D56" s="59">
        <v>464853</v>
      </c>
      <c r="E56" s="59">
        <v>20000</v>
      </c>
      <c r="F56" s="144"/>
      <c r="G56" s="285"/>
      <c r="H56" s="133">
        <v>0.30522999999999989</v>
      </c>
      <c r="I56" s="62"/>
      <c r="J56" s="133">
        <v>0.30653999999999992</v>
      </c>
      <c r="K56" s="62"/>
      <c r="L56" s="134"/>
    </row>
    <row r="57" spans="1:14" x14ac:dyDescent="0.2">
      <c r="A57" s="11">
        <v>51</v>
      </c>
      <c r="B57" s="57"/>
      <c r="C57" s="58" t="s">
        <v>63</v>
      </c>
      <c r="D57" s="59">
        <v>214908</v>
      </c>
      <c r="E57" s="59">
        <v>20000</v>
      </c>
      <c r="F57" s="144"/>
      <c r="G57" s="285"/>
      <c r="H57" s="133">
        <v>0.27787000000000012</v>
      </c>
      <c r="I57" s="62"/>
      <c r="J57" s="133">
        <v>0.27888000000000013</v>
      </c>
      <c r="K57" s="62"/>
      <c r="L57" s="134"/>
    </row>
    <row r="58" spans="1:14" x14ac:dyDescent="0.2">
      <c r="A58" s="11">
        <v>52</v>
      </c>
      <c r="B58" s="57"/>
      <c r="C58" s="58" t="s">
        <v>64</v>
      </c>
      <c r="D58" s="59">
        <v>39494</v>
      </c>
      <c r="E58" s="59">
        <v>100000</v>
      </c>
      <c r="F58" s="144"/>
      <c r="G58" s="285"/>
      <c r="H58" s="133">
        <v>0.25987999999999994</v>
      </c>
      <c r="I58" s="62"/>
      <c r="J58" s="133">
        <v>0.26067999999999991</v>
      </c>
      <c r="K58" s="62"/>
      <c r="L58" s="134"/>
    </row>
    <row r="59" spans="1:14" x14ac:dyDescent="0.2">
      <c r="A59" s="11">
        <v>53</v>
      </c>
      <c r="B59" s="57"/>
      <c r="C59" s="58" t="s">
        <v>65</v>
      </c>
      <c r="D59" s="59">
        <v>0</v>
      </c>
      <c r="E59" s="59">
        <v>600000</v>
      </c>
      <c r="F59" s="144"/>
      <c r="G59" s="285"/>
      <c r="H59" s="133">
        <v>0.23588000000000003</v>
      </c>
      <c r="I59" s="62"/>
      <c r="J59" s="133">
        <v>0.23642000000000005</v>
      </c>
      <c r="K59" s="62"/>
      <c r="L59" s="134"/>
    </row>
    <row r="60" spans="1:14" x14ac:dyDescent="0.2">
      <c r="A60" s="11">
        <v>54</v>
      </c>
      <c r="B60" s="57"/>
      <c r="C60" s="58" t="s">
        <v>66</v>
      </c>
      <c r="D60" s="59">
        <v>0</v>
      </c>
      <c r="E60" s="132" t="s">
        <v>106</v>
      </c>
      <c r="F60" s="144"/>
      <c r="G60" s="285"/>
      <c r="H60" s="133">
        <v>0.20589999999999992</v>
      </c>
      <c r="I60" s="62"/>
      <c r="J60" s="133">
        <v>0.20609999999999989</v>
      </c>
      <c r="K60" s="62"/>
      <c r="L60" s="134"/>
    </row>
    <row r="61" spans="1:14" x14ac:dyDescent="0.2">
      <c r="A61" s="11">
        <v>55</v>
      </c>
      <c r="B61" s="55"/>
      <c r="C61" s="135" t="s">
        <v>107</v>
      </c>
      <c r="D61" s="136"/>
      <c r="E61" s="137"/>
      <c r="F61" s="138"/>
      <c r="G61" s="284"/>
      <c r="H61" s="139"/>
      <c r="I61" s="140">
        <v>13340.31</v>
      </c>
      <c r="J61" s="139"/>
      <c r="K61" s="140">
        <v>13391.19</v>
      </c>
      <c r="L61" s="142">
        <v>4.0000000000000001E-3</v>
      </c>
      <c r="M61" s="129"/>
      <c r="N61" s="129"/>
    </row>
    <row r="62" spans="1:14" x14ac:dyDescent="0.2">
      <c r="A62" s="11">
        <v>56</v>
      </c>
      <c r="B62" s="57" t="s">
        <v>70</v>
      </c>
      <c r="C62" s="58" t="s">
        <v>56</v>
      </c>
      <c r="D62" s="59">
        <v>159428</v>
      </c>
      <c r="E62" s="59">
        <v>10000</v>
      </c>
      <c r="F62" s="101">
        <v>8626</v>
      </c>
      <c r="G62" s="283">
        <v>1300</v>
      </c>
      <c r="H62" s="133">
        <v>0.30886999999999998</v>
      </c>
      <c r="I62" s="62"/>
      <c r="J62" s="133">
        <v>0.30886999999999998</v>
      </c>
      <c r="K62" s="62"/>
      <c r="L62" s="134"/>
    </row>
    <row r="63" spans="1:14" x14ac:dyDescent="0.2">
      <c r="A63" s="11">
        <v>57</v>
      </c>
      <c r="B63" s="57"/>
      <c r="C63" s="58" t="s">
        <v>57</v>
      </c>
      <c r="D63" s="59">
        <v>151104</v>
      </c>
      <c r="E63" s="59">
        <v>20000</v>
      </c>
      <c r="F63" s="101"/>
      <c r="G63" s="283"/>
      <c r="H63" s="133">
        <v>0.29617999999999989</v>
      </c>
      <c r="I63" s="62"/>
      <c r="J63" s="133">
        <v>0.29617999999999989</v>
      </c>
      <c r="K63" s="62"/>
      <c r="L63" s="134"/>
    </row>
    <row r="64" spans="1:14" x14ac:dyDescent="0.2">
      <c r="A64" s="11">
        <v>58</v>
      </c>
      <c r="B64" s="57"/>
      <c r="C64" s="58" t="s">
        <v>63</v>
      </c>
      <c r="D64" s="59">
        <v>0</v>
      </c>
      <c r="E64" s="59">
        <v>20000</v>
      </c>
      <c r="F64" s="101"/>
      <c r="G64" s="283"/>
      <c r="H64" s="133">
        <v>0.27094000000000013</v>
      </c>
      <c r="I64" s="62"/>
      <c r="J64" s="133">
        <v>0.27094000000000013</v>
      </c>
      <c r="K64" s="62"/>
      <c r="L64" s="134"/>
    </row>
    <row r="65" spans="1:14" x14ac:dyDescent="0.2">
      <c r="A65" s="11">
        <v>59</v>
      </c>
      <c r="B65" s="57"/>
      <c r="C65" s="58" t="s">
        <v>64</v>
      </c>
      <c r="D65" s="59">
        <v>0</v>
      </c>
      <c r="E65" s="59">
        <v>100000</v>
      </c>
      <c r="F65" s="101"/>
      <c r="G65" s="283"/>
      <c r="H65" s="133">
        <v>0.25432999999999983</v>
      </c>
      <c r="I65" s="62"/>
      <c r="J65" s="133">
        <v>0.25432999999999983</v>
      </c>
      <c r="K65" s="62"/>
      <c r="L65" s="134"/>
    </row>
    <row r="66" spans="1:14" x14ac:dyDescent="0.2">
      <c r="A66" s="11">
        <v>60</v>
      </c>
      <c r="B66" s="57"/>
      <c r="C66" s="58" t="s">
        <v>65</v>
      </c>
      <c r="D66" s="59">
        <v>0</v>
      </c>
      <c r="E66" s="59">
        <v>600000</v>
      </c>
      <c r="F66" s="101"/>
      <c r="G66" s="283"/>
      <c r="H66" s="133">
        <v>0.23218000000000003</v>
      </c>
      <c r="I66" s="62"/>
      <c r="J66" s="133">
        <v>0.23218000000000003</v>
      </c>
      <c r="K66" s="62"/>
      <c r="L66" s="134"/>
    </row>
    <row r="67" spans="1:14" x14ac:dyDescent="0.2">
      <c r="A67" s="11">
        <v>61</v>
      </c>
      <c r="B67" s="57"/>
      <c r="C67" s="58" t="s">
        <v>66</v>
      </c>
      <c r="D67" s="59">
        <v>0</v>
      </c>
      <c r="E67" s="132" t="s">
        <v>106</v>
      </c>
      <c r="F67" s="101"/>
      <c r="G67" s="283"/>
      <c r="H67" s="133">
        <v>0.20451999999999992</v>
      </c>
      <c r="I67" s="62"/>
      <c r="J67" s="133">
        <v>0.20451999999999992</v>
      </c>
      <c r="K67" s="62"/>
      <c r="L67" s="134"/>
    </row>
    <row r="68" spans="1:14" x14ac:dyDescent="0.2">
      <c r="A68" s="11">
        <v>62</v>
      </c>
      <c r="B68" s="55"/>
      <c r="C68" s="135" t="s">
        <v>107</v>
      </c>
      <c r="D68" s="136"/>
      <c r="E68" s="137"/>
      <c r="F68" s="138"/>
      <c r="G68" s="284"/>
      <c r="H68" s="139"/>
      <c r="I68" s="140">
        <v>3964.31</v>
      </c>
      <c r="J68" s="139"/>
      <c r="K68" s="140">
        <v>3964.31</v>
      </c>
      <c r="L68" s="142">
        <v>0</v>
      </c>
      <c r="M68" s="129"/>
      <c r="N68" s="129"/>
    </row>
    <row r="69" spans="1:14" x14ac:dyDescent="0.2">
      <c r="A69" s="11">
        <v>63</v>
      </c>
      <c r="B69" s="57" t="s">
        <v>71</v>
      </c>
      <c r="C69" s="58" t="s">
        <v>56</v>
      </c>
      <c r="D69" s="145">
        <v>881572</v>
      </c>
      <c r="E69" s="59">
        <v>10000</v>
      </c>
      <c r="F69" s="146">
        <v>82573</v>
      </c>
      <c r="G69" s="283">
        <v>1550</v>
      </c>
      <c r="H69" s="147">
        <v>0.11796999999999999</v>
      </c>
      <c r="I69" s="62"/>
      <c r="J69" s="133">
        <v>0.11796999999999999</v>
      </c>
      <c r="K69" s="62"/>
      <c r="L69" s="134"/>
    </row>
    <row r="70" spans="1:14" x14ac:dyDescent="0.2">
      <c r="A70" s="11">
        <v>64</v>
      </c>
      <c r="B70" s="57"/>
      <c r="C70" s="58" t="s">
        <v>57</v>
      </c>
      <c r="D70" s="148">
        <v>1495748</v>
      </c>
      <c r="E70" s="59">
        <v>20000</v>
      </c>
      <c r="F70" s="149"/>
      <c r="G70" s="77"/>
      <c r="H70" s="150">
        <v>0.1056</v>
      </c>
      <c r="I70" s="62"/>
      <c r="J70" s="133">
        <v>0.1056</v>
      </c>
      <c r="K70" s="62"/>
      <c r="L70" s="134"/>
    </row>
    <row r="71" spans="1:14" x14ac:dyDescent="0.2">
      <c r="A71" s="11">
        <v>65</v>
      </c>
      <c r="B71" s="57"/>
      <c r="C71" s="58" t="s">
        <v>63</v>
      </c>
      <c r="D71" s="148">
        <v>1185204</v>
      </c>
      <c r="E71" s="59">
        <v>20000</v>
      </c>
      <c r="F71" s="149"/>
      <c r="G71" s="77"/>
      <c r="H71" s="150">
        <v>8.0979999999999996E-2</v>
      </c>
      <c r="I71" s="62"/>
      <c r="J71" s="133">
        <v>8.0979999999999996E-2</v>
      </c>
      <c r="K71" s="62"/>
      <c r="L71" s="134"/>
    </row>
    <row r="72" spans="1:14" x14ac:dyDescent="0.2">
      <c r="A72" s="11">
        <v>66</v>
      </c>
      <c r="B72" s="57"/>
      <c r="C72" s="58" t="s">
        <v>64</v>
      </c>
      <c r="D72" s="148">
        <v>4013728</v>
      </c>
      <c r="E72" s="59">
        <v>100000</v>
      </c>
      <c r="F72" s="149"/>
      <c r="G72" s="77"/>
      <c r="H72" s="150">
        <v>6.479E-2</v>
      </c>
      <c r="I72" s="62"/>
      <c r="J72" s="133">
        <v>6.479E-2</v>
      </c>
      <c r="K72" s="62"/>
      <c r="L72" s="134"/>
    </row>
    <row r="73" spans="1:14" x14ac:dyDescent="0.2">
      <c r="A73" s="11">
        <v>67</v>
      </c>
      <c r="B73" s="57"/>
      <c r="C73" s="58" t="s">
        <v>65</v>
      </c>
      <c r="D73" s="148">
        <v>2332547</v>
      </c>
      <c r="E73" s="59">
        <v>600000</v>
      </c>
      <c r="F73" s="149"/>
      <c r="G73" s="77"/>
      <c r="H73" s="150">
        <v>4.3190000000000006E-2</v>
      </c>
      <c r="I73" s="62"/>
      <c r="J73" s="133">
        <v>4.3190000000000006E-2</v>
      </c>
      <c r="K73" s="62"/>
      <c r="L73" s="134"/>
    </row>
    <row r="74" spans="1:14" x14ac:dyDescent="0.2">
      <c r="A74" s="11">
        <v>68</v>
      </c>
      <c r="B74" s="57"/>
      <c r="C74" s="58" t="s">
        <v>66</v>
      </c>
      <c r="D74" s="148">
        <v>0</v>
      </c>
      <c r="E74" s="132" t="s">
        <v>106</v>
      </c>
      <c r="F74" s="149"/>
      <c r="G74" s="77"/>
      <c r="H74" s="150">
        <v>1.619E-2</v>
      </c>
      <c r="I74" s="62"/>
      <c r="J74" s="133">
        <v>1.619E-2</v>
      </c>
      <c r="K74" s="62"/>
      <c r="L74" s="134"/>
    </row>
    <row r="75" spans="1:14" x14ac:dyDescent="0.2">
      <c r="A75" s="11">
        <v>69</v>
      </c>
      <c r="B75" s="55"/>
      <c r="C75" s="135" t="s">
        <v>107</v>
      </c>
      <c r="D75" s="136"/>
      <c r="E75" s="137"/>
      <c r="F75" s="138"/>
      <c r="G75" s="284"/>
      <c r="H75" s="139"/>
      <c r="I75" s="140">
        <v>8571.7000000000007</v>
      </c>
      <c r="J75" s="151"/>
      <c r="K75" s="140">
        <v>8571.7000000000007</v>
      </c>
      <c r="L75" s="143">
        <v>0</v>
      </c>
      <c r="M75" s="129"/>
      <c r="N75" s="129"/>
    </row>
    <row r="76" spans="1:14" x14ac:dyDescent="0.2">
      <c r="A76" s="11">
        <v>70</v>
      </c>
      <c r="B76" s="55" t="s">
        <v>72</v>
      </c>
      <c r="C76" s="56"/>
      <c r="D76" s="152">
        <v>0</v>
      </c>
      <c r="E76" s="153" t="s">
        <v>105</v>
      </c>
      <c r="F76" s="154">
        <v>0</v>
      </c>
      <c r="G76" s="82">
        <v>38000</v>
      </c>
      <c r="H76" s="155">
        <v>4.9800000000000001E-3</v>
      </c>
      <c r="I76" s="54">
        <v>38000</v>
      </c>
      <c r="J76" s="156">
        <v>4.9800000000000001E-3</v>
      </c>
      <c r="K76" s="54">
        <v>38000</v>
      </c>
      <c r="L76" s="157">
        <v>0</v>
      </c>
    </row>
    <row r="77" spans="1:14" x14ac:dyDescent="0.2">
      <c r="A77" s="11">
        <v>71</v>
      </c>
      <c r="B77" s="43" t="s">
        <v>73</v>
      </c>
      <c r="C77" s="44"/>
      <c r="D77" s="158">
        <v>0</v>
      </c>
      <c r="E77" s="153" t="s">
        <v>105</v>
      </c>
      <c r="F77" s="159">
        <v>0</v>
      </c>
      <c r="G77" s="82">
        <v>38000</v>
      </c>
      <c r="H77" s="160">
        <v>4.9800000000000001E-3</v>
      </c>
      <c r="I77" s="54">
        <v>38000</v>
      </c>
      <c r="J77" s="127">
        <v>4.9800000000000001E-3</v>
      </c>
      <c r="K77" s="54">
        <v>38000</v>
      </c>
      <c r="L77" s="128">
        <v>0</v>
      </c>
    </row>
    <row r="78" spans="1:14" ht="13.5" thickBot="1" x14ac:dyDescent="0.25">
      <c r="A78" s="11">
        <v>72</v>
      </c>
      <c r="B78" s="84" t="s">
        <v>74</v>
      </c>
      <c r="C78" s="44"/>
      <c r="D78" s="161"/>
      <c r="E78" s="153"/>
      <c r="F78" s="162"/>
      <c r="G78" s="286"/>
      <c r="H78" s="163"/>
      <c r="I78" s="130"/>
      <c r="J78" s="130"/>
      <c r="K78" s="130"/>
      <c r="L78" s="164"/>
    </row>
    <row r="79" spans="1:14" x14ac:dyDescent="0.2">
      <c r="A79" s="11">
        <v>73</v>
      </c>
      <c r="B79" s="364" t="s">
        <v>108</v>
      </c>
      <c r="C79" s="365"/>
      <c r="D79" s="365"/>
      <c r="E79" s="365"/>
      <c r="F79" s="365"/>
      <c r="G79" s="365"/>
      <c r="H79" s="365"/>
      <c r="I79" s="365"/>
      <c r="J79" s="365"/>
      <c r="K79" s="365"/>
      <c r="L79" s="365"/>
    </row>
    <row r="80" spans="1:14" x14ac:dyDescent="0.2">
      <c r="A80" s="11">
        <v>74</v>
      </c>
      <c r="B80" s="365"/>
      <c r="C80" s="365"/>
      <c r="D80" s="365"/>
      <c r="E80" s="365"/>
      <c r="F80" s="365"/>
      <c r="G80" s="365"/>
      <c r="H80" s="365"/>
      <c r="I80" s="365"/>
      <c r="J80" s="365"/>
      <c r="K80" s="365"/>
      <c r="L80" s="365"/>
    </row>
    <row r="81" spans="1:12" x14ac:dyDescent="0.2">
      <c r="A81" s="11">
        <v>75</v>
      </c>
      <c r="B81" s="366" t="s">
        <v>109</v>
      </c>
      <c r="C81" s="367"/>
      <c r="D81" s="367"/>
      <c r="E81" s="367"/>
      <c r="F81" s="367"/>
      <c r="G81" s="367"/>
      <c r="H81" s="367"/>
      <c r="I81" s="367"/>
      <c r="J81" s="367"/>
      <c r="K81" s="367"/>
      <c r="L81" s="367"/>
    </row>
    <row r="82" spans="1:12" x14ac:dyDescent="0.2">
      <c r="A82" s="11">
        <v>76</v>
      </c>
      <c r="B82" s="367"/>
      <c r="C82" s="367"/>
      <c r="D82" s="367"/>
      <c r="E82" s="367"/>
      <c r="F82" s="367"/>
      <c r="G82" s="367"/>
      <c r="H82" s="367"/>
      <c r="I82" s="367"/>
      <c r="J82" s="367"/>
      <c r="K82" s="367"/>
      <c r="L82" s="367"/>
    </row>
    <row r="83" spans="1:12" ht="19.5" customHeight="1" x14ac:dyDescent="0.2">
      <c r="A83" s="11">
        <v>77</v>
      </c>
      <c r="B83" s="365"/>
      <c r="C83" s="365"/>
      <c r="D83" s="365"/>
      <c r="E83" s="365"/>
      <c r="F83" s="365"/>
      <c r="G83" s="365"/>
      <c r="H83" s="365"/>
      <c r="I83" s="365"/>
      <c r="J83" s="365"/>
      <c r="K83" s="365"/>
      <c r="L83" s="365"/>
    </row>
    <row r="84" spans="1:12" ht="13.5" thickBot="1" x14ac:dyDescent="0.25">
      <c r="A84" s="11">
        <v>78</v>
      </c>
      <c r="B84" s="94" t="s">
        <v>111</v>
      </c>
    </row>
    <row r="85" spans="1:12" ht="13.5" thickBot="1" x14ac:dyDescent="0.25">
      <c r="A85" s="11">
        <v>79</v>
      </c>
      <c r="B85" s="165" t="s">
        <v>112</v>
      </c>
      <c r="C85" s="19"/>
      <c r="D85" s="167"/>
      <c r="E85" s="97" t="s">
        <v>113</v>
      </c>
      <c r="F85" s="167"/>
      <c r="G85" s="97" t="s">
        <v>113</v>
      </c>
      <c r="H85" s="287"/>
      <c r="I85" s="166"/>
      <c r="J85" s="166"/>
      <c r="K85" s="166"/>
      <c r="L85" s="166"/>
    </row>
    <row r="86" spans="1:12" ht="13.5" thickBot="1" x14ac:dyDescent="0.25">
      <c r="A86" s="11">
        <v>80</v>
      </c>
    </row>
    <row r="87" spans="1:12" ht="13.5" thickBot="1" x14ac:dyDescent="0.25">
      <c r="A87" s="11">
        <v>81</v>
      </c>
      <c r="B87" s="165" t="s">
        <v>110</v>
      </c>
      <c r="C87" s="19"/>
      <c r="D87" s="96"/>
      <c r="E87" s="168"/>
      <c r="F87" s="168"/>
      <c r="G87" s="96"/>
      <c r="H87" s="97" t="s">
        <v>24</v>
      </c>
      <c r="I87" s="96"/>
      <c r="J87" s="96"/>
      <c r="K87" s="96"/>
      <c r="L87" s="96"/>
    </row>
    <row r="88" spans="1:12" x14ac:dyDescent="0.2">
      <c r="A88" s="11"/>
    </row>
    <row r="89" spans="1:12" x14ac:dyDescent="0.2">
      <c r="A89" s="11"/>
    </row>
  </sheetData>
  <mergeCells count="2">
    <mergeCell ref="B79:L80"/>
    <mergeCell ref="B81:L83"/>
  </mergeCells>
  <pageMargins left="0.7" right="0.7" top="0.75" bottom="0.75" header="0.3" footer="0.3"/>
  <pageSetup scale="53" orientation="portrait" horizontalDpi="300" verticalDpi="300" r:id="rId1"/>
  <headerFooter>
    <oddHeader>&amp;RNWN's Advice 19-03
Exhibit A - Supporting Materials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view="pageLayout" zoomScaleNormal="100" workbookViewId="0">
      <selection activeCell="S2" sqref="S2"/>
    </sheetView>
  </sheetViews>
  <sheetFormatPr defaultColWidth="7.85546875" defaultRowHeight="12.75" x14ac:dyDescent="0.2"/>
  <cols>
    <col min="1" max="1" width="3.140625" style="318" customWidth="1"/>
    <col min="2" max="2" width="54.7109375" style="306" customWidth="1"/>
    <col min="3" max="3" width="14.42578125" style="305" customWidth="1"/>
    <col min="4" max="10" width="14.42578125" style="306" customWidth="1"/>
    <col min="11" max="12" width="12.28515625" style="306" hidden="1" customWidth="1"/>
    <col min="13" max="16" width="12.28515625" style="306" customWidth="1"/>
    <col min="17" max="21" width="7.85546875" style="306" customWidth="1"/>
    <col min="22" max="243" width="7.85546875" style="306"/>
    <col min="244" max="249" width="7.85546875" style="306" customWidth="1"/>
    <col min="250" max="16384" width="7.85546875" style="306"/>
  </cols>
  <sheetData>
    <row r="1" spans="1:12" ht="14.25" x14ac:dyDescent="0.2">
      <c r="A1" s="332" t="s">
        <v>0</v>
      </c>
      <c r="B1" s="305"/>
    </row>
    <row r="2" spans="1:12" ht="14.25" x14ac:dyDescent="0.2">
      <c r="A2" s="332" t="s">
        <v>1</v>
      </c>
      <c r="B2" s="305"/>
    </row>
    <row r="3" spans="1:12" ht="14.25" x14ac:dyDescent="0.2">
      <c r="A3" s="332" t="s">
        <v>2</v>
      </c>
      <c r="B3" s="305"/>
    </row>
    <row r="4" spans="1:12" ht="14.25" x14ac:dyDescent="0.2">
      <c r="A4" s="332" t="s">
        <v>173</v>
      </c>
      <c r="B4" s="305"/>
    </row>
    <row r="5" spans="1:12" x14ac:dyDescent="0.2">
      <c r="B5" s="333"/>
      <c r="G5" s="307"/>
      <c r="H5" s="308" t="s">
        <v>20</v>
      </c>
      <c r="I5" s="308"/>
      <c r="J5" s="308"/>
    </row>
    <row r="6" spans="1:12" x14ac:dyDescent="0.2">
      <c r="B6" s="334"/>
      <c r="C6" s="309"/>
      <c r="D6" s="310"/>
      <c r="G6" s="310" t="s">
        <v>174</v>
      </c>
      <c r="H6" s="310" t="s">
        <v>174</v>
      </c>
      <c r="I6" s="310"/>
      <c r="J6" s="310"/>
    </row>
    <row r="7" spans="1:12" x14ac:dyDescent="0.2">
      <c r="B7" s="335"/>
      <c r="C7" s="309"/>
      <c r="D7" s="311" t="s">
        <v>175</v>
      </c>
      <c r="E7" s="311"/>
      <c r="F7" s="310" t="s">
        <v>174</v>
      </c>
      <c r="G7" s="308" t="s">
        <v>124</v>
      </c>
      <c r="H7" s="308" t="s">
        <v>176</v>
      </c>
      <c r="I7" s="312" t="s">
        <v>177</v>
      </c>
      <c r="J7" s="312" t="s">
        <v>177</v>
      </c>
    </row>
    <row r="8" spans="1:12" x14ac:dyDescent="0.2">
      <c r="B8" s="309"/>
      <c r="C8" s="310" t="s">
        <v>131</v>
      </c>
      <c r="D8" s="310" t="s">
        <v>174</v>
      </c>
      <c r="E8" s="311" t="s">
        <v>175</v>
      </c>
      <c r="F8" s="308" t="s">
        <v>131</v>
      </c>
      <c r="G8" s="308" t="s">
        <v>178</v>
      </c>
      <c r="H8" s="308" t="s">
        <v>179</v>
      </c>
      <c r="I8" s="312" t="s">
        <v>180</v>
      </c>
      <c r="J8" s="312" t="s">
        <v>181</v>
      </c>
    </row>
    <row r="9" spans="1:12" x14ac:dyDescent="0.2">
      <c r="B9" s="314" t="s">
        <v>182</v>
      </c>
      <c r="C9" s="313">
        <v>43708</v>
      </c>
      <c r="D9" s="314" t="s">
        <v>130</v>
      </c>
      <c r="E9" s="314" t="s">
        <v>124</v>
      </c>
      <c r="F9" s="315">
        <v>43769</v>
      </c>
      <c r="G9" s="314" t="s">
        <v>160</v>
      </c>
      <c r="H9" s="314" t="s">
        <v>183</v>
      </c>
      <c r="I9" s="316" t="s">
        <v>184</v>
      </c>
      <c r="J9" s="316" t="s">
        <v>184</v>
      </c>
    </row>
    <row r="10" spans="1:12" x14ac:dyDescent="0.2">
      <c r="A10" s="320"/>
      <c r="B10" s="310" t="s">
        <v>39</v>
      </c>
      <c r="C10" s="317" t="s">
        <v>40</v>
      </c>
      <c r="D10" s="317" t="s">
        <v>41</v>
      </c>
      <c r="E10" s="317" t="s">
        <v>42</v>
      </c>
      <c r="F10" s="317" t="s">
        <v>43</v>
      </c>
      <c r="G10" s="317" t="s">
        <v>103</v>
      </c>
      <c r="H10" s="317" t="s">
        <v>45</v>
      </c>
      <c r="I10" s="317" t="s">
        <v>46</v>
      </c>
      <c r="J10" s="317" t="s">
        <v>104</v>
      </c>
    </row>
    <row r="11" spans="1:12" x14ac:dyDescent="0.2">
      <c r="A11" s="320"/>
      <c r="B11" s="310"/>
      <c r="C11" s="317"/>
      <c r="D11" s="318"/>
      <c r="F11" s="319" t="s">
        <v>185</v>
      </c>
      <c r="G11" s="336">
        <v>5.4199999999999998E-2</v>
      </c>
      <c r="H11" s="319" t="s">
        <v>186</v>
      </c>
      <c r="I11" s="319"/>
      <c r="J11" s="319"/>
    </row>
    <row r="12" spans="1:12" x14ac:dyDescent="0.2">
      <c r="A12" s="328">
        <v>1</v>
      </c>
      <c r="B12" s="310"/>
      <c r="C12" s="320"/>
      <c r="D12" s="320"/>
      <c r="E12" s="320"/>
      <c r="F12" s="320"/>
      <c r="G12" s="320"/>
      <c r="H12" s="319" t="s">
        <v>187</v>
      </c>
      <c r="I12" s="319"/>
      <c r="J12" s="319"/>
    </row>
    <row r="13" spans="1:12" x14ac:dyDescent="0.2">
      <c r="A13" s="328">
        <f>A12+1</f>
        <v>2</v>
      </c>
      <c r="B13" s="337" t="s">
        <v>188</v>
      </c>
      <c r="C13" s="320"/>
      <c r="D13" s="320"/>
      <c r="E13" s="320"/>
      <c r="F13" s="320"/>
      <c r="G13" s="320"/>
      <c r="H13" s="321"/>
      <c r="I13" s="321"/>
      <c r="J13" s="321"/>
    </row>
    <row r="14" spans="1:12" x14ac:dyDescent="0.2">
      <c r="A14" s="328">
        <f t="shared" ref="A14:A20" si="0">A13+1</f>
        <v>3</v>
      </c>
      <c r="B14" s="306" t="s">
        <v>189</v>
      </c>
      <c r="C14" s="320">
        <v>85529.540000000052</v>
      </c>
      <c r="D14" s="323">
        <v>0</v>
      </c>
      <c r="E14" s="323">
        <v>780.08999999999992</v>
      </c>
      <c r="F14" s="320">
        <v>86309.630000000048</v>
      </c>
      <c r="G14" s="324"/>
      <c r="H14" s="321"/>
      <c r="I14" s="321"/>
      <c r="J14" s="321"/>
      <c r="K14" s="320"/>
      <c r="L14" s="320"/>
    </row>
    <row r="15" spans="1:12" x14ac:dyDescent="0.2">
      <c r="A15" s="328">
        <f t="shared" si="0"/>
        <v>4</v>
      </c>
      <c r="B15" s="306" t="s">
        <v>190</v>
      </c>
      <c r="C15" s="320">
        <v>2790607.6500000008</v>
      </c>
      <c r="D15" s="323">
        <v>0</v>
      </c>
      <c r="E15" s="320">
        <v>25452.300000000003</v>
      </c>
      <c r="F15" s="320">
        <v>2816059.9500000007</v>
      </c>
      <c r="G15" s="324"/>
      <c r="H15" s="321"/>
      <c r="I15" s="321"/>
      <c r="J15" s="321"/>
      <c r="K15" s="320"/>
      <c r="L15" s="320"/>
    </row>
    <row r="16" spans="1:12" x14ac:dyDescent="0.2">
      <c r="A16" s="328">
        <f t="shared" si="0"/>
        <v>5</v>
      </c>
      <c r="B16" s="306" t="s">
        <v>191</v>
      </c>
      <c r="C16" s="322">
        <v>201851.95249999885</v>
      </c>
      <c r="D16" s="326">
        <v>-216979.44000000003</v>
      </c>
      <c r="E16" s="326">
        <v>1032.78</v>
      </c>
      <c r="F16" s="322">
        <v>-14094.707500001181</v>
      </c>
      <c r="G16" s="325"/>
      <c r="H16" s="322"/>
      <c r="I16" s="320"/>
      <c r="J16" s="320"/>
      <c r="K16" s="320"/>
      <c r="L16" s="320"/>
    </row>
    <row r="17" spans="1:12" x14ac:dyDescent="0.2">
      <c r="A17" s="328">
        <f t="shared" si="0"/>
        <v>6</v>
      </c>
      <c r="C17" s="320">
        <v>3077989.1424999996</v>
      </c>
      <c r="D17" s="320">
        <v>-216979.44000000003</v>
      </c>
      <c r="E17" s="320">
        <v>27265.170000000002</v>
      </c>
      <c r="F17" s="320">
        <v>2888274.8724999996</v>
      </c>
      <c r="G17" s="327">
        <v>85495</v>
      </c>
      <c r="H17" s="320">
        <v>2973770</v>
      </c>
      <c r="I17" s="320">
        <v>1858894.4051077671</v>
      </c>
      <c r="J17" s="320">
        <v>2973770</v>
      </c>
      <c r="K17" s="320">
        <v>510235</v>
      </c>
      <c r="L17" s="320">
        <v>2463535</v>
      </c>
    </row>
    <row r="18" spans="1:12" x14ac:dyDescent="0.2">
      <c r="A18" s="328">
        <f t="shared" si="0"/>
        <v>7</v>
      </c>
      <c r="C18" s="320"/>
      <c r="D18" s="320"/>
      <c r="E18" s="320"/>
      <c r="F18" s="320"/>
      <c r="G18" s="320"/>
      <c r="H18" s="321"/>
      <c r="I18" s="321"/>
      <c r="J18" s="321"/>
      <c r="K18" s="320"/>
      <c r="L18" s="320"/>
    </row>
    <row r="19" spans="1:12" x14ac:dyDescent="0.2">
      <c r="A19" s="328">
        <f t="shared" si="0"/>
        <v>8</v>
      </c>
      <c r="B19" s="338" t="s">
        <v>171</v>
      </c>
      <c r="C19" s="329"/>
      <c r="D19" s="320"/>
      <c r="E19" s="320"/>
      <c r="F19" s="320"/>
      <c r="G19" s="320"/>
      <c r="H19" s="339"/>
      <c r="I19" s="321"/>
      <c r="J19" s="321"/>
    </row>
    <row r="20" spans="1:12" x14ac:dyDescent="0.2">
      <c r="A20" s="328">
        <f t="shared" si="0"/>
        <v>9</v>
      </c>
      <c r="B20" s="330" t="s">
        <v>192</v>
      </c>
      <c r="C20" s="329"/>
      <c r="D20" s="320"/>
      <c r="E20" s="320"/>
      <c r="F20" s="320"/>
      <c r="G20" s="320"/>
      <c r="H20" s="321"/>
      <c r="I20" s="321"/>
      <c r="J20" s="321"/>
    </row>
    <row r="21" spans="1:12" x14ac:dyDescent="0.2">
      <c r="A21" s="328"/>
      <c r="C21" s="340"/>
      <c r="D21" s="320"/>
      <c r="E21" s="320"/>
      <c r="F21" s="320"/>
      <c r="G21" s="320"/>
      <c r="H21" s="321"/>
      <c r="I21" s="321"/>
      <c r="J21" s="321"/>
    </row>
    <row r="22" spans="1:12" x14ac:dyDescent="0.2">
      <c r="A22" s="328"/>
      <c r="C22" s="341"/>
      <c r="D22" s="320"/>
      <c r="E22" s="320"/>
      <c r="F22" s="320"/>
      <c r="G22" s="320"/>
      <c r="H22" s="321"/>
      <c r="I22" s="321"/>
      <c r="J22" s="321"/>
    </row>
    <row r="23" spans="1:12" x14ac:dyDescent="0.2">
      <c r="A23" s="342"/>
      <c r="C23" s="341"/>
      <c r="D23" s="320"/>
      <c r="E23" s="320"/>
      <c r="F23" s="320"/>
      <c r="G23" s="320"/>
      <c r="H23" s="321"/>
      <c r="I23" s="321"/>
      <c r="J23" s="321"/>
    </row>
    <row r="24" spans="1:12" x14ac:dyDescent="0.2">
      <c r="A24" s="342"/>
      <c r="C24" s="341"/>
      <c r="D24" s="320"/>
      <c r="E24" s="320"/>
      <c r="F24" s="320"/>
      <c r="G24" s="320"/>
      <c r="H24" s="321"/>
      <c r="I24" s="321"/>
      <c r="J24" s="321"/>
    </row>
    <row r="25" spans="1:12" x14ac:dyDescent="0.2">
      <c r="C25" s="341"/>
      <c r="D25" s="320"/>
      <c r="E25" s="320"/>
      <c r="F25" s="320"/>
      <c r="G25" s="320"/>
      <c r="H25" s="321"/>
      <c r="I25" s="321"/>
      <c r="J25" s="321"/>
    </row>
    <row r="26" spans="1:12" x14ac:dyDescent="0.2">
      <c r="B26" s="331"/>
      <c r="C26" s="341"/>
      <c r="D26" s="320"/>
      <c r="E26" s="320"/>
      <c r="F26" s="320"/>
      <c r="G26" s="320"/>
      <c r="H26" s="321"/>
      <c r="I26" s="321"/>
      <c r="J26" s="321"/>
    </row>
    <row r="27" spans="1:12" x14ac:dyDescent="0.2">
      <c r="B27" s="331"/>
      <c r="C27" s="341"/>
      <c r="D27" s="320"/>
      <c r="E27" s="320"/>
      <c r="F27" s="320"/>
      <c r="G27" s="320"/>
      <c r="H27" s="321"/>
      <c r="I27" s="321"/>
      <c r="J27" s="321"/>
    </row>
    <row r="28" spans="1:12" x14ac:dyDescent="0.2">
      <c r="B28" s="331"/>
      <c r="C28" s="341"/>
      <c r="D28" s="320"/>
      <c r="E28" s="320"/>
      <c r="F28" s="320"/>
      <c r="G28" s="320"/>
      <c r="H28" s="321"/>
      <c r="I28" s="321"/>
      <c r="J28" s="321"/>
    </row>
    <row r="29" spans="1:12" x14ac:dyDescent="0.2">
      <c r="B29" s="331"/>
      <c r="C29" s="341"/>
      <c r="D29" s="320"/>
      <c r="E29" s="320"/>
      <c r="F29" s="320"/>
      <c r="G29" s="320"/>
      <c r="H29" s="321"/>
      <c r="I29" s="321"/>
      <c r="J29" s="321"/>
    </row>
    <row r="30" spans="1:12" x14ac:dyDescent="0.2">
      <c r="B30" s="331"/>
      <c r="C30" s="341"/>
      <c r="D30" s="320"/>
      <c r="E30" s="320"/>
      <c r="F30" s="320"/>
      <c r="G30" s="320"/>
      <c r="H30" s="321"/>
      <c r="I30" s="321"/>
      <c r="J30" s="321"/>
    </row>
    <row r="31" spans="1:12" x14ac:dyDescent="0.2">
      <c r="B31" s="331"/>
      <c r="C31" s="341"/>
      <c r="D31" s="320"/>
      <c r="E31" s="320"/>
      <c r="F31" s="320"/>
      <c r="G31" s="320"/>
      <c r="H31" s="321"/>
      <c r="I31" s="321"/>
      <c r="J31" s="321"/>
    </row>
    <row r="32" spans="1:12" x14ac:dyDescent="0.2">
      <c r="B32" s="331"/>
      <c r="C32" s="341"/>
      <c r="D32" s="320"/>
      <c r="E32" s="320"/>
      <c r="F32" s="320"/>
      <c r="G32" s="320"/>
      <c r="H32" s="321"/>
      <c r="I32" s="321"/>
      <c r="J32" s="321"/>
    </row>
    <row r="33" spans="2:10" x14ac:dyDescent="0.2">
      <c r="B33" s="331"/>
      <c r="C33" s="309"/>
      <c r="D33" s="320"/>
      <c r="E33" s="320"/>
      <c r="F33" s="320"/>
      <c r="G33" s="320"/>
      <c r="H33" s="321"/>
      <c r="I33" s="321"/>
      <c r="J33" s="321"/>
    </row>
    <row r="34" spans="2:10" x14ac:dyDescent="0.2">
      <c r="B34" s="331"/>
      <c r="C34" s="309"/>
      <c r="D34" s="320"/>
      <c r="E34" s="320"/>
      <c r="F34" s="320"/>
      <c r="G34" s="320"/>
      <c r="H34" s="321"/>
      <c r="I34" s="321"/>
      <c r="J34" s="321"/>
    </row>
    <row r="35" spans="2:10" x14ac:dyDescent="0.2">
      <c r="B35" s="331"/>
      <c r="C35" s="309"/>
      <c r="D35" s="320"/>
      <c r="E35" s="320"/>
      <c r="F35" s="320"/>
      <c r="G35" s="320"/>
      <c r="H35" s="321"/>
      <c r="I35" s="321"/>
      <c r="J35" s="321"/>
    </row>
    <row r="36" spans="2:10" x14ac:dyDescent="0.2">
      <c r="B36" s="331"/>
      <c r="C36" s="309"/>
      <c r="D36" s="320"/>
      <c r="E36" s="320"/>
      <c r="F36" s="320"/>
      <c r="G36" s="320"/>
      <c r="H36" s="321"/>
      <c r="I36" s="321"/>
      <c r="J36" s="321"/>
    </row>
    <row r="37" spans="2:10" x14ac:dyDescent="0.2">
      <c r="B37" s="331"/>
      <c r="C37" s="309"/>
      <c r="D37" s="320"/>
      <c r="E37" s="320"/>
      <c r="F37" s="320"/>
      <c r="G37" s="320"/>
      <c r="H37" s="321"/>
      <c r="I37" s="321"/>
      <c r="J37" s="321"/>
    </row>
    <row r="38" spans="2:10" x14ac:dyDescent="0.2">
      <c r="B38" s="331"/>
    </row>
    <row r="39" spans="2:10" x14ac:dyDescent="0.2">
      <c r="B39" s="331"/>
    </row>
    <row r="40" spans="2:10" x14ac:dyDescent="0.2">
      <c r="B40" s="343"/>
    </row>
    <row r="41" spans="2:10" x14ac:dyDescent="0.2">
      <c r="B41" s="344"/>
    </row>
    <row r="42" spans="2:10" x14ac:dyDescent="0.2">
      <c r="B42" s="331"/>
    </row>
    <row r="43" spans="2:10" x14ac:dyDescent="0.2">
      <c r="B43" s="331"/>
    </row>
    <row r="44" spans="2:10" x14ac:dyDescent="0.2">
      <c r="B44" s="331"/>
    </row>
    <row r="45" spans="2:10" x14ac:dyDescent="0.2">
      <c r="B45" s="345"/>
    </row>
  </sheetData>
  <pageMargins left="0.7" right="0.7" top="0.75" bottom="0.75" header="0.3" footer="0.3"/>
  <pageSetup scale="53" orientation="landscape" horizontalDpi="300" verticalDpi="300" r:id="rId1"/>
  <headerFooter>
    <oddHeader>&amp;RNWN's Advice 19-03
Exhibit A - Supporting Materials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6"/>
  <sheetViews>
    <sheetView showGridLines="0" view="pageLayout" zoomScaleNormal="100" workbookViewId="0">
      <selection activeCell="S2" sqref="S2"/>
    </sheetView>
  </sheetViews>
  <sheetFormatPr defaultColWidth="7.85546875" defaultRowHeight="12.75" outlineLevelCol="1" x14ac:dyDescent="0.2"/>
  <cols>
    <col min="1" max="1" width="4" style="169" customWidth="1"/>
    <col min="2" max="2" width="13.42578125" style="170" customWidth="1"/>
    <col min="3" max="3" width="8.85546875" style="170" customWidth="1"/>
    <col min="4" max="7" width="13.42578125" style="171" customWidth="1"/>
    <col min="8" max="11" width="13.42578125" style="171" hidden="1" customWidth="1" outlineLevel="1"/>
    <col min="12" max="12" width="13.42578125" style="171" hidden="1" customWidth="1" outlineLevel="1" collapsed="1"/>
    <col min="13" max="13" width="14" style="171" hidden="1" customWidth="1" outlineLevel="1" collapsed="1"/>
    <col min="14" max="14" width="13.42578125" style="171" hidden="1" customWidth="1" outlineLevel="1"/>
    <col min="15" max="15" width="13.42578125" style="171" customWidth="1" collapsed="1"/>
    <col min="16" max="19" width="13.42578125" style="171" customWidth="1"/>
    <col min="20" max="21" width="13.42578125" style="171" hidden="1" customWidth="1" outlineLevel="1"/>
    <col min="22" max="24" width="13.42578125" style="170" hidden="1" customWidth="1" outlineLevel="1"/>
    <col min="25" max="25" width="13.42578125" style="170" hidden="1" customWidth="1" outlineLevel="1" collapsed="1"/>
    <col min="26" max="26" width="13.42578125" style="170" hidden="1" customWidth="1" outlineLevel="1"/>
    <col min="27" max="27" width="13.42578125" style="170" customWidth="1" collapsed="1"/>
    <col min="28" max="30" width="13.42578125" style="170" customWidth="1"/>
    <col min="31" max="16384" width="7.85546875" style="170"/>
  </cols>
  <sheetData>
    <row r="1" spans="1:29" x14ac:dyDescent="0.2">
      <c r="B1" s="170" t="s">
        <v>114</v>
      </c>
      <c r="D1" s="171" t="s">
        <v>115</v>
      </c>
    </row>
    <row r="2" spans="1:29" x14ac:dyDescent="0.2">
      <c r="B2" s="170" t="s">
        <v>116</v>
      </c>
      <c r="D2" s="171" t="s">
        <v>86</v>
      </c>
    </row>
    <row r="3" spans="1:29" x14ac:dyDescent="0.2">
      <c r="B3" s="170" t="s">
        <v>117</v>
      </c>
      <c r="D3" s="172" t="s">
        <v>118</v>
      </c>
    </row>
    <row r="4" spans="1:29" x14ac:dyDescent="0.2">
      <c r="B4" s="170" t="s">
        <v>119</v>
      </c>
      <c r="D4" s="173">
        <v>186310</v>
      </c>
    </row>
    <row r="5" spans="1:29" x14ac:dyDescent="0.2">
      <c r="B5" s="170" t="s">
        <v>120</v>
      </c>
      <c r="D5" s="174" t="s">
        <v>121</v>
      </c>
    </row>
    <row r="6" spans="1:29" x14ac:dyDescent="0.2">
      <c r="D6" s="174" t="s">
        <v>122</v>
      </c>
    </row>
    <row r="7" spans="1:29" x14ac:dyDescent="0.2">
      <c r="D7" s="175"/>
    </row>
    <row r="8" spans="1:29" x14ac:dyDescent="0.2">
      <c r="A8" s="176">
        <v>1</v>
      </c>
      <c r="B8" s="170" t="s">
        <v>123</v>
      </c>
      <c r="F8" s="177"/>
      <c r="G8" s="177"/>
      <c r="H8" s="177"/>
      <c r="I8" s="177"/>
      <c r="J8" s="177"/>
      <c r="K8" s="177"/>
      <c r="L8" s="177"/>
      <c r="M8" s="177"/>
      <c r="N8" s="177"/>
      <c r="O8" s="177"/>
      <c r="P8" s="177"/>
      <c r="Q8" s="177"/>
      <c r="T8" s="178"/>
      <c r="U8" s="178"/>
    </row>
    <row r="9" spans="1:29" x14ac:dyDescent="0.2">
      <c r="A9" s="176">
        <f>+A8+1</f>
        <v>2</v>
      </c>
      <c r="F9" s="177"/>
      <c r="G9" s="177"/>
      <c r="H9" s="178">
        <v>2010</v>
      </c>
      <c r="I9" s="178">
        <v>2011</v>
      </c>
      <c r="J9" s="178">
        <v>2012</v>
      </c>
      <c r="K9" s="178">
        <v>2013</v>
      </c>
      <c r="L9" s="178">
        <v>2014</v>
      </c>
      <c r="M9" s="178">
        <v>2015</v>
      </c>
      <c r="N9" s="178">
        <v>2016</v>
      </c>
      <c r="O9" s="178">
        <v>2017</v>
      </c>
      <c r="P9" s="178">
        <v>2018</v>
      </c>
      <c r="Q9" s="178">
        <v>2019</v>
      </c>
      <c r="T9" s="178">
        <v>2010</v>
      </c>
      <c r="U9" s="178">
        <v>2011</v>
      </c>
      <c r="V9" s="178">
        <v>2012</v>
      </c>
      <c r="W9" s="178">
        <v>2013</v>
      </c>
      <c r="X9" s="178">
        <v>2014</v>
      </c>
      <c r="Y9" s="178">
        <v>2015</v>
      </c>
      <c r="Z9" s="178">
        <v>2016</v>
      </c>
      <c r="AA9" s="178">
        <v>2017</v>
      </c>
      <c r="AB9" s="178">
        <v>2018</v>
      </c>
      <c r="AC9" s="178">
        <v>2019</v>
      </c>
    </row>
    <row r="10" spans="1:29" x14ac:dyDescent="0.2">
      <c r="A10" s="176">
        <f t="shared" ref="A10:A72" si="0">+A9+1</f>
        <v>3</v>
      </c>
      <c r="B10" s="179"/>
      <c r="C10" s="179"/>
      <c r="D10" s="177"/>
      <c r="E10" s="177"/>
      <c r="F10" s="179" t="s">
        <v>124</v>
      </c>
      <c r="G10" s="177"/>
      <c r="H10" s="177" t="s">
        <v>125</v>
      </c>
      <c r="I10" s="177" t="s">
        <v>125</v>
      </c>
      <c r="J10" s="177" t="s">
        <v>125</v>
      </c>
      <c r="K10" s="177" t="s">
        <v>125</v>
      </c>
      <c r="L10" s="177" t="s">
        <v>125</v>
      </c>
      <c r="M10" s="177" t="s">
        <v>125</v>
      </c>
      <c r="N10" s="177" t="s">
        <v>125</v>
      </c>
      <c r="O10" s="177" t="s">
        <v>125</v>
      </c>
      <c r="P10" s="177" t="s">
        <v>125</v>
      </c>
      <c r="Q10" s="177" t="s">
        <v>125</v>
      </c>
      <c r="R10" s="177" t="s">
        <v>20</v>
      </c>
      <c r="S10" s="177"/>
      <c r="T10" s="177" t="s">
        <v>125</v>
      </c>
      <c r="U10" s="177" t="s">
        <v>125</v>
      </c>
      <c r="V10" s="177" t="s">
        <v>125</v>
      </c>
      <c r="W10" s="177" t="s">
        <v>125</v>
      </c>
      <c r="X10" s="177" t="s">
        <v>125</v>
      </c>
      <c r="Y10" s="177" t="s">
        <v>125</v>
      </c>
      <c r="Z10" s="177" t="s">
        <v>125</v>
      </c>
      <c r="AA10" s="177" t="s">
        <v>125</v>
      </c>
      <c r="AB10" s="177" t="s">
        <v>125</v>
      </c>
      <c r="AC10" s="177" t="s">
        <v>125</v>
      </c>
    </row>
    <row r="11" spans="1:29" x14ac:dyDescent="0.2">
      <c r="A11" s="176">
        <f t="shared" si="0"/>
        <v>4</v>
      </c>
      <c r="B11" s="180" t="s">
        <v>126</v>
      </c>
      <c r="C11" s="180" t="s">
        <v>127</v>
      </c>
      <c r="D11" s="181" t="s">
        <v>128</v>
      </c>
      <c r="E11" s="181" t="s">
        <v>129</v>
      </c>
      <c r="F11" s="180" t="s">
        <v>26</v>
      </c>
      <c r="G11" s="181" t="s">
        <v>124</v>
      </c>
      <c r="H11" s="181" t="s">
        <v>124</v>
      </c>
      <c r="I11" s="181" t="s">
        <v>124</v>
      </c>
      <c r="J11" s="181" t="s">
        <v>124</v>
      </c>
      <c r="K11" s="181" t="s">
        <v>124</v>
      </c>
      <c r="L11" s="181" t="s">
        <v>124</v>
      </c>
      <c r="M11" s="181" t="s">
        <v>124</v>
      </c>
      <c r="N11" s="181" t="s">
        <v>124</v>
      </c>
      <c r="O11" s="181" t="s">
        <v>124</v>
      </c>
      <c r="P11" s="181" t="s">
        <v>124</v>
      </c>
      <c r="Q11" s="181" t="s">
        <v>124</v>
      </c>
      <c r="R11" s="181" t="s">
        <v>130</v>
      </c>
      <c r="S11" s="181" t="s">
        <v>131</v>
      </c>
      <c r="T11" s="181" t="s">
        <v>131</v>
      </c>
      <c r="U11" s="181" t="s">
        <v>131</v>
      </c>
      <c r="V11" s="181" t="s">
        <v>131</v>
      </c>
      <c r="W11" s="181" t="s">
        <v>131</v>
      </c>
      <c r="X11" s="181" t="s">
        <v>131</v>
      </c>
      <c r="Y11" s="181" t="s">
        <v>131</v>
      </c>
      <c r="Z11" s="181" t="s">
        <v>131</v>
      </c>
      <c r="AA11" s="181" t="s">
        <v>131</v>
      </c>
      <c r="AB11" s="181" t="s">
        <v>131</v>
      </c>
      <c r="AC11" s="181" t="s">
        <v>131</v>
      </c>
    </row>
    <row r="12" spans="1:29" x14ac:dyDescent="0.2">
      <c r="A12" s="176">
        <f t="shared" si="0"/>
        <v>5</v>
      </c>
      <c r="B12" s="179" t="s">
        <v>132</v>
      </c>
      <c r="C12" s="179" t="s">
        <v>133</v>
      </c>
      <c r="D12" s="177" t="s">
        <v>134</v>
      </c>
      <c r="E12" s="177" t="s">
        <v>135</v>
      </c>
      <c r="F12" s="179" t="s">
        <v>136</v>
      </c>
      <c r="G12" s="177" t="s">
        <v>137</v>
      </c>
      <c r="H12" s="179" t="s">
        <v>137</v>
      </c>
      <c r="I12" s="179" t="s">
        <v>138</v>
      </c>
      <c r="J12" s="179" t="s">
        <v>139</v>
      </c>
      <c r="K12" s="179" t="s">
        <v>140</v>
      </c>
      <c r="L12" s="179"/>
      <c r="M12" s="177" t="s">
        <v>138</v>
      </c>
      <c r="N12" s="177" t="s">
        <v>139</v>
      </c>
      <c r="O12" s="177" t="s">
        <v>140</v>
      </c>
      <c r="P12" s="177" t="s">
        <v>141</v>
      </c>
      <c r="Q12" s="177" t="s">
        <v>142</v>
      </c>
      <c r="R12" s="177" t="s">
        <v>143</v>
      </c>
      <c r="S12" s="177" t="s">
        <v>144</v>
      </c>
      <c r="T12" s="177" t="s">
        <v>144</v>
      </c>
      <c r="U12" s="177" t="s">
        <v>145</v>
      </c>
      <c r="V12" s="177" t="s">
        <v>146</v>
      </c>
      <c r="W12" s="177" t="s">
        <v>147</v>
      </c>
      <c r="Y12" s="177" t="s">
        <v>145</v>
      </c>
      <c r="Z12" s="177" t="s">
        <v>146</v>
      </c>
      <c r="AA12" s="177" t="s">
        <v>147</v>
      </c>
      <c r="AB12" s="177" t="s">
        <v>148</v>
      </c>
      <c r="AC12" s="177" t="s">
        <v>149</v>
      </c>
    </row>
    <row r="13" spans="1:29" x14ac:dyDescent="0.2">
      <c r="A13" s="176">
        <f t="shared" si="0"/>
        <v>6</v>
      </c>
      <c r="F13" s="177"/>
      <c r="G13" s="177"/>
      <c r="H13" s="177"/>
      <c r="I13" s="177"/>
      <c r="J13" s="177"/>
      <c r="K13" s="177"/>
      <c r="L13" s="177"/>
      <c r="M13" s="177"/>
      <c r="N13" s="177"/>
      <c r="O13" s="177"/>
      <c r="P13" s="177"/>
      <c r="Q13" s="177"/>
    </row>
    <row r="14" spans="1:29" hidden="1" x14ac:dyDescent="0.2">
      <c r="A14" s="176">
        <f t="shared" si="0"/>
        <v>7</v>
      </c>
      <c r="B14" s="182" t="s">
        <v>150</v>
      </c>
      <c r="H14" s="183"/>
    </row>
    <row r="15" spans="1:29" ht="12.75" hidden="1" customHeight="1" x14ac:dyDescent="0.2">
      <c r="A15" s="176">
        <f t="shared" si="0"/>
        <v>8</v>
      </c>
      <c r="B15" s="184">
        <v>39752</v>
      </c>
      <c r="F15" s="186"/>
      <c r="G15" s="186"/>
      <c r="H15" s="186"/>
      <c r="I15" s="186"/>
      <c r="J15" s="186"/>
      <c r="K15" s="186"/>
      <c r="L15" s="186"/>
      <c r="M15" s="186"/>
      <c r="N15" s="186"/>
      <c r="O15" s="186"/>
      <c r="P15" s="186"/>
      <c r="Q15" s="186"/>
      <c r="S15" s="185">
        <v>0</v>
      </c>
      <c r="T15" s="185"/>
    </row>
    <row r="16" spans="1:29" ht="12.75" hidden="1" customHeight="1" x14ac:dyDescent="0.2">
      <c r="A16" s="176">
        <f t="shared" si="0"/>
        <v>9</v>
      </c>
      <c r="B16" s="184">
        <f>+B15+30</f>
        <v>39782</v>
      </c>
      <c r="E16" s="185"/>
      <c r="F16" s="187"/>
      <c r="G16" s="187"/>
      <c r="H16" s="187"/>
      <c r="I16" s="187"/>
      <c r="J16" s="187"/>
      <c r="K16" s="187"/>
      <c r="L16" s="187"/>
      <c r="M16" s="187"/>
      <c r="N16" s="187"/>
      <c r="O16" s="187"/>
      <c r="P16" s="187"/>
      <c r="Q16" s="187"/>
      <c r="R16" s="171">
        <f t="shared" ref="R16:R47" si="1">SUM(D16:G16)</f>
        <v>0</v>
      </c>
      <c r="S16" s="186">
        <f t="shared" ref="S16:S79" si="2">+S15+R16</f>
        <v>0</v>
      </c>
      <c r="T16" s="186"/>
    </row>
    <row r="17" spans="1:22" ht="12.75" hidden="1" customHeight="1" x14ac:dyDescent="0.2">
      <c r="A17" s="176">
        <f t="shared" si="0"/>
        <v>10</v>
      </c>
      <c r="B17" s="184">
        <f>+B16+31</f>
        <v>39813</v>
      </c>
      <c r="F17" s="187"/>
      <c r="G17" s="187"/>
      <c r="H17" s="186"/>
      <c r="I17" s="186"/>
      <c r="J17" s="186"/>
      <c r="K17" s="186"/>
      <c r="L17" s="186"/>
      <c r="M17" s="186"/>
      <c r="N17" s="186"/>
      <c r="O17" s="186"/>
      <c r="P17" s="186"/>
      <c r="Q17" s="186"/>
      <c r="R17" s="171">
        <f t="shared" si="1"/>
        <v>0</v>
      </c>
      <c r="S17" s="186">
        <f t="shared" si="2"/>
        <v>0</v>
      </c>
      <c r="T17" s="186"/>
    </row>
    <row r="18" spans="1:22" ht="12.75" hidden="1" customHeight="1" x14ac:dyDescent="0.2">
      <c r="A18" s="176">
        <f t="shared" si="0"/>
        <v>11</v>
      </c>
      <c r="B18" s="184">
        <f>+B17+31</f>
        <v>39844</v>
      </c>
      <c r="D18" s="278">
        <v>0</v>
      </c>
      <c r="F18" s="186"/>
      <c r="G18" s="186">
        <v>0</v>
      </c>
      <c r="H18" s="186"/>
      <c r="I18" s="186"/>
      <c r="J18" s="186"/>
      <c r="K18" s="186"/>
      <c r="L18" s="186"/>
      <c r="M18" s="186"/>
      <c r="N18" s="186"/>
      <c r="O18" s="186"/>
      <c r="P18" s="186"/>
      <c r="Q18" s="186"/>
      <c r="R18" s="171">
        <f t="shared" si="1"/>
        <v>0</v>
      </c>
      <c r="S18" s="186">
        <f t="shared" si="2"/>
        <v>0</v>
      </c>
      <c r="T18" s="186"/>
    </row>
    <row r="19" spans="1:22" ht="12.75" hidden="1" customHeight="1" x14ac:dyDescent="0.2">
      <c r="A19" s="176">
        <f t="shared" si="0"/>
        <v>12</v>
      </c>
      <c r="B19" s="184">
        <f>+B18+28</f>
        <v>39872</v>
      </c>
      <c r="D19" s="278">
        <v>0</v>
      </c>
      <c r="F19" s="186"/>
      <c r="G19" s="186">
        <v>0</v>
      </c>
      <c r="H19" s="186"/>
      <c r="I19" s="186"/>
      <c r="J19" s="186"/>
      <c r="K19" s="186"/>
      <c r="L19" s="186"/>
      <c r="M19" s="186"/>
      <c r="N19" s="186"/>
      <c r="O19" s="186"/>
      <c r="P19" s="186"/>
      <c r="Q19" s="186"/>
      <c r="R19" s="171">
        <f t="shared" si="1"/>
        <v>0</v>
      </c>
      <c r="S19" s="186">
        <f t="shared" si="2"/>
        <v>0</v>
      </c>
      <c r="T19" s="186"/>
    </row>
    <row r="20" spans="1:22" ht="12.75" hidden="1" customHeight="1" x14ac:dyDescent="0.2">
      <c r="A20" s="176">
        <f t="shared" si="0"/>
        <v>13</v>
      </c>
      <c r="B20" s="184">
        <f>+B19+31</f>
        <v>39903</v>
      </c>
      <c r="D20" s="278">
        <v>3707</v>
      </c>
      <c r="F20" s="186"/>
      <c r="G20" s="186">
        <v>0</v>
      </c>
      <c r="H20" s="186"/>
      <c r="I20" s="186"/>
      <c r="J20" s="186"/>
      <c r="K20" s="186"/>
      <c r="L20" s="186"/>
      <c r="M20" s="186"/>
      <c r="N20" s="186"/>
      <c r="O20" s="186"/>
      <c r="P20" s="186"/>
      <c r="Q20" s="186"/>
      <c r="R20" s="171">
        <f t="shared" si="1"/>
        <v>3707</v>
      </c>
      <c r="S20" s="186">
        <f t="shared" si="2"/>
        <v>3707</v>
      </c>
      <c r="T20" s="186"/>
    </row>
    <row r="21" spans="1:22" ht="12.75" hidden="1" customHeight="1" x14ac:dyDescent="0.2">
      <c r="A21" s="176">
        <f t="shared" si="0"/>
        <v>14</v>
      </c>
      <c r="B21" s="184">
        <f>+B20+30</f>
        <v>39933</v>
      </c>
      <c r="D21" s="171">
        <f>1148.7+200</f>
        <v>1348.7</v>
      </c>
      <c r="F21" s="186"/>
      <c r="G21" s="186">
        <v>12.59</v>
      </c>
      <c r="H21" s="186"/>
      <c r="I21" s="186"/>
      <c r="J21" s="186"/>
      <c r="K21" s="186"/>
      <c r="L21" s="186"/>
      <c r="M21" s="186"/>
      <c r="N21" s="186"/>
      <c r="O21" s="186"/>
      <c r="P21" s="186"/>
      <c r="Q21" s="186"/>
      <c r="R21" s="171">
        <f t="shared" si="1"/>
        <v>1361.29</v>
      </c>
      <c r="S21" s="186">
        <f t="shared" si="2"/>
        <v>5068.29</v>
      </c>
      <c r="T21" s="186"/>
    </row>
    <row r="22" spans="1:22" ht="12.75" hidden="1" customHeight="1" x14ac:dyDescent="0.2">
      <c r="A22" s="176">
        <f t="shared" si="0"/>
        <v>15</v>
      </c>
      <c r="B22" s="184">
        <f>+B21+31</f>
        <v>39964</v>
      </c>
      <c r="D22" s="171">
        <v>13275</v>
      </c>
      <c r="F22" s="186"/>
      <c r="G22" s="186">
        <f>ROUND((+S21+E22+(D22/2))*0.0337/12,2)</f>
        <v>32.869999999999997</v>
      </c>
      <c r="H22" s="186"/>
      <c r="I22" s="186"/>
      <c r="J22" s="186"/>
      <c r="K22" s="186"/>
      <c r="L22" s="186"/>
      <c r="M22" s="186"/>
      <c r="N22" s="186"/>
      <c r="O22" s="186"/>
      <c r="P22" s="186"/>
      <c r="Q22" s="186"/>
      <c r="R22" s="171">
        <f t="shared" si="1"/>
        <v>13307.87</v>
      </c>
      <c r="S22" s="186">
        <f t="shared" si="2"/>
        <v>18376.16</v>
      </c>
      <c r="T22" s="186"/>
    </row>
    <row r="23" spans="1:22" ht="12.75" hidden="1" customHeight="1" x14ac:dyDescent="0.2">
      <c r="A23" s="176">
        <f t="shared" si="0"/>
        <v>16</v>
      </c>
      <c r="B23" s="184">
        <f>+B22+30</f>
        <v>39994</v>
      </c>
      <c r="D23" s="171">
        <v>0</v>
      </c>
      <c r="F23" s="186"/>
      <c r="G23" s="186">
        <f>ROUND((+S22+E23+(D23/2))*0.0337/12,2)</f>
        <v>51.61</v>
      </c>
      <c r="H23" s="186"/>
      <c r="I23" s="186"/>
      <c r="J23" s="186"/>
      <c r="K23" s="186"/>
      <c r="L23" s="186"/>
      <c r="M23" s="186"/>
      <c r="N23" s="186"/>
      <c r="O23" s="186"/>
      <c r="P23" s="186"/>
      <c r="Q23" s="186"/>
      <c r="R23" s="171">
        <f t="shared" si="1"/>
        <v>51.61</v>
      </c>
      <c r="S23" s="186">
        <f t="shared" si="2"/>
        <v>18427.77</v>
      </c>
      <c r="T23" s="186"/>
    </row>
    <row r="24" spans="1:22" ht="12.75" hidden="1" customHeight="1" x14ac:dyDescent="0.2">
      <c r="A24" s="176">
        <f t="shared" si="0"/>
        <v>17</v>
      </c>
      <c r="B24" s="184">
        <f>+B23+31</f>
        <v>40025</v>
      </c>
      <c r="C24" s="188"/>
      <c r="D24" s="107">
        <v>0</v>
      </c>
      <c r="F24" s="186"/>
      <c r="G24" s="186">
        <f t="shared" ref="G24:G29" si="3">ROUND((+S23+E24+(D24/2))*0.0325/12,2)</f>
        <v>49.91</v>
      </c>
      <c r="H24" s="186"/>
      <c r="I24" s="186"/>
      <c r="J24" s="186"/>
      <c r="K24" s="186"/>
      <c r="L24" s="186"/>
      <c r="M24" s="186"/>
      <c r="N24" s="186"/>
      <c r="O24" s="186"/>
      <c r="P24" s="186"/>
      <c r="Q24" s="186"/>
      <c r="R24" s="171">
        <f t="shared" si="1"/>
        <v>49.91</v>
      </c>
      <c r="S24" s="186">
        <f t="shared" si="2"/>
        <v>18477.68</v>
      </c>
      <c r="T24" s="186"/>
    </row>
    <row r="25" spans="1:22" ht="12.75" hidden="1" customHeight="1" x14ac:dyDescent="0.2">
      <c r="A25" s="176">
        <f t="shared" si="0"/>
        <v>18</v>
      </c>
      <c r="B25" s="184">
        <f>+B24+30</f>
        <v>40055</v>
      </c>
      <c r="C25" s="188"/>
      <c r="D25" s="171">
        <v>12600</v>
      </c>
      <c r="F25" s="186"/>
      <c r="G25" s="186">
        <f t="shared" si="3"/>
        <v>67.11</v>
      </c>
      <c r="H25" s="186"/>
      <c r="I25" s="186"/>
      <c r="J25" s="186"/>
      <c r="K25" s="186"/>
      <c r="L25" s="186"/>
      <c r="M25" s="186"/>
      <c r="N25" s="186"/>
      <c r="O25" s="186"/>
      <c r="P25" s="186"/>
      <c r="Q25" s="186"/>
      <c r="R25" s="171">
        <f t="shared" si="1"/>
        <v>12667.11</v>
      </c>
      <c r="S25" s="186">
        <f t="shared" si="2"/>
        <v>31144.79</v>
      </c>
      <c r="T25" s="186"/>
    </row>
    <row r="26" spans="1:22" ht="12.75" hidden="1" customHeight="1" x14ac:dyDescent="0.2">
      <c r="A26" s="176">
        <f t="shared" si="0"/>
        <v>19</v>
      </c>
      <c r="B26" s="184">
        <f>+B25+30</f>
        <v>40085</v>
      </c>
      <c r="C26" s="188"/>
      <c r="D26" s="171">
        <v>0</v>
      </c>
      <c r="F26" s="186"/>
      <c r="G26" s="186">
        <f t="shared" si="3"/>
        <v>84.35</v>
      </c>
      <c r="H26" s="186"/>
      <c r="I26" s="186"/>
      <c r="J26" s="186"/>
      <c r="K26" s="186"/>
      <c r="L26" s="186"/>
      <c r="M26" s="186"/>
      <c r="N26" s="186"/>
      <c r="O26" s="186"/>
      <c r="P26" s="186"/>
      <c r="Q26" s="186"/>
      <c r="R26" s="171">
        <f t="shared" si="1"/>
        <v>84.35</v>
      </c>
      <c r="S26" s="186">
        <f t="shared" si="2"/>
        <v>31229.14</v>
      </c>
      <c r="T26" s="186"/>
    </row>
    <row r="27" spans="1:22" ht="12.75" hidden="1" customHeight="1" x14ac:dyDescent="0.2">
      <c r="A27" s="176">
        <f t="shared" si="0"/>
        <v>20</v>
      </c>
      <c r="B27" s="184">
        <f>+B26+31</f>
        <v>40116</v>
      </c>
      <c r="C27" s="188"/>
      <c r="D27" s="171">
        <v>0</v>
      </c>
      <c r="E27" s="183"/>
      <c r="F27" s="186"/>
      <c r="G27" s="186">
        <f t="shared" si="3"/>
        <v>84.58</v>
      </c>
      <c r="H27" s="186"/>
      <c r="I27" s="186"/>
      <c r="J27" s="186"/>
      <c r="K27" s="186"/>
      <c r="L27" s="186"/>
      <c r="M27" s="186"/>
      <c r="N27" s="186"/>
      <c r="O27" s="186"/>
      <c r="P27" s="186"/>
      <c r="Q27" s="186"/>
      <c r="R27" s="183">
        <f t="shared" si="1"/>
        <v>84.58</v>
      </c>
      <c r="S27" s="186">
        <f t="shared" si="2"/>
        <v>31313.72</v>
      </c>
      <c r="T27" s="186"/>
    </row>
    <row r="28" spans="1:22" ht="12.75" hidden="1" customHeight="1" x14ac:dyDescent="0.2">
      <c r="A28" s="176">
        <f t="shared" si="0"/>
        <v>21</v>
      </c>
      <c r="B28" s="184">
        <f>+B27+30</f>
        <v>40146</v>
      </c>
      <c r="D28" s="171">
        <v>0</v>
      </c>
      <c r="E28" s="183"/>
      <c r="F28" s="186"/>
      <c r="G28" s="186">
        <f t="shared" si="3"/>
        <v>84.81</v>
      </c>
      <c r="H28" s="186"/>
      <c r="I28" s="186"/>
      <c r="J28" s="186"/>
      <c r="K28" s="186"/>
      <c r="L28" s="186"/>
      <c r="M28" s="186"/>
      <c r="N28" s="186"/>
      <c r="O28" s="186"/>
      <c r="P28" s="186"/>
      <c r="Q28" s="186"/>
      <c r="R28" s="183">
        <f t="shared" si="1"/>
        <v>84.81</v>
      </c>
      <c r="S28" s="186">
        <f t="shared" si="2"/>
        <v>31398.530000000002</v>
      </c>
      <c r="T28" s="186"/>
    </row>
    <row r="29" spans="1:22" ht="13.5" hidden="1" customHeight="1" thickBot="1" x14ac:dyDescent="0.25">
      <c r="A29" s="176">
        <f t="shared" si="0"/>
        <v>22</v>
      </c>
      <c r="B29" s="189">
        <f>+B28+31</f>
        <v>40177</v>
      </c>
      <c r="C29" s="190"/>
      <c r="D29" s="191">
        <v>124124.96</v>
      </c>
      <c r="E29" s="191"/>
      <c r="F29" s="192"/>
      <c r="G29" s="192">
        <f t="shared" si="3"/>
        <v>253.12</v>
      </c>
      <c r="H29" s="192"/>
      <c r="I29" s="192"/>
      <c r="J29" s="192"/>
      <c r="K29" s="192"/>
      <c r="L29" s="192"/>
      <c r="M29" s="192"/>
      <c r="N29" s="192"/>
      <c r="O29" s="192"/>
      <c r="P29" s="192"/>
      <c r="Q29" s="192"/>
      <c r="R29" s="191">
        <f t="shared" si="1"/>
        <v>124378.08</v>
      </c>
      <c r="S29" s="192">
        <f t="shared" si="2"/>
        <v>155776.61000000002</v>
      </c>
      <c r="T29" s="192"/>
      <c r="U29" s="191"/>
      <c r="V29" s="193"/>
    </row>
    <row r="30" spans="1:22" ht="12.75" hidden="1" customHeight="1" x14ac:dyDescent="0.2">
      <c r="A30" s="176">
        <f t="shared" si="0"/>
        <v>23</v>
      </c>
      <c r="B30" s="184">
        <f>+B29+31</f>
        <v>40208</v>
      </c>
      <c r="D30" s="171">
        <v>0</v>
      </c>
      <c r="F30" s="194">
        <v>3.2500000000000001E-2</v>
      </c>
      <c r="G30" s="187">
        <v>421.75</v>
      </c>
      <c r="H30" s="186">
        <f t="shared" ref="H30:H41" si="4">+G30</f>
        <v>421.75</v>
      </c>
      <c r="I30" s="186"/>
      <c r="J30" s="186"/>
      <c r="K30" s="186"/>
      <c r="L30" s="186"/>
      <c r="M30" s="186"/>
      <c r="N30" s="186"/>
      <c r="O30" s="186"/>
      <c r="P30" s="186"/>
      <c r="Q30" s="186"/>
      <c r="R30" s="183">
        <f t="shared" si="1"/>
        <v>421.78250000000003</v>
      </c>
      <c r="S30" s="186">
        <f t="shared" si="2"/>
        <v>156198.39250000002</v>
      </c>
      <c r="T30" s="186"/>
    </row>
    <row r="31" spans="1:22" ht="12.75" hidden="1" customHeight="1" x14ac:dyDescent="0.2">
      <c r="A31" s="176">
        <f t="shared" si="0"/>
        <v>24</v>
      </c>
      <c r="B31" s="184">
        <f>+B30+29</f>
        <v>40237</v>
      </c>
      <c r="D31" s="171">
        <v>0</v>
      </c>
      <c r="F31" s="194">
        <v>3.2500000000000001E-2</v>
      </c>
      <c r="G31" s="187">
        <v>422.9</v>
      </c>
      <c r="H31" s="186">
        <f t="shared" si="4"/>
        <v>422.9</v>
      </c>
      <c r="I31" s="186"/>
      <c r="J31" s="186"/>
      <c r="K31" s="186"/>
      <c r="L31" s="186"/>
      <c r="M31" s="186"/>
      <c r="N31" s="186"/>
      <c r="O31" s="186"/>
      <c r="P31" s="186"/>
      <c r="Q31" s="186"/>
      <c r="R31" s="183">
        <f t="shared" si="1"/>
        <v>422.9325</v>
      </c>
      <c r="S31" s="186">
        <f t="shared" si="2"/>
        <v>156621.32500000001</v>
      </c>
      <c r="T31" s="186"/>
    </row>
    <row r="32" spans="1:22" ht="12.75" hidden="1" customHeight="1" x14ac:dyDescent="0.2">
      <c r="A32" s="176">
        <f t="shared" si="0"/>
        <v>25</v>
      </c>
      <c r="B32" s="184">
        <f>+B31+31</f>
        <v>40268</v>
      </c>
      <c r="D32" s="171">
        <v>0</v>
      </c>
      <c r="F32" s="194">
        <v>3.2500000000000001E-2</v>
      </c>
      <c r="G32" s="187">
        <v>424.04</v>
      </c>
      <c r="H32" s="186">
        <f t="shared" si="4"/>
        <v>424.04</v>
      </c>
      <c r="I32" s="186"/>
      <c r="J32" s="186"/>
      <c r="K32" s="186"/>
      <c r="L32" s="186"/>
      <c r="M32" s="186"/>
      <c r="N32" s="186"/>
      <c r="O32" s="186"/>
      <c r="P32" s="186"/>
      <c r="Q32" s="186"/>
      <c r="R32" s="183">
        <f t="shared" si="1"/>
        <v>424.07250000000005</v>
      </c>
      <c r="S32" s="186">
        <f t="shared" si="2"/>
        <v>157045.39750000002</v>
      </c>
      <c r="T32" s="186"/>
    </row>
    <row r="33" spans="1:22" ht="12.75" hidden="1" customHeight="1" x14ac:dyDescent="0.2">
      <c r="A33" s="176">
        <f t="shared" si="0"/>
        <v>26</v>
      </c>
      <c r="B33" s="184">
        <f>+B32+30</f>
        <v>40298</v>
      </c>
      <c r="D33" s="171">
        <v>0</v>
      </c>
      <c r="F33" s="194">
        <v>3.2500000000000001E-2</v>
      </c>
      <c r="G33" s="186">
        <v>425.33</v>
      </c>
      <c r="H33" s="186">
        <f t="shared" si="4"/>
        <v>425.33</v>
      </c>
      <c r="I33" s="186"/>
      <c r="J33" s="186"/>
      <c r="K33" s="186"/>
      <c r="L33" s="186"/>
      <c r="M33" s="186"/>
      <c r="N33" s="186"/>
      <c r="O33" s="186"/>
      <c r="P33" s="186"/>
      <c r="Q33" s="186"/>
      <c r="R33" s="183">
        <f t="shared" si="1"/>
        <v>425.36250000000001</v>
      </c>
      <c r="S33" s="186">
        <f t="shared" si="2"/>
        <v>157470.76</v>
      </c>
      <c r="T33" s="186"/>
    </row>
    <row r="34" spans="1:22" ht="12.75" hidden="1" customHeight="1" x14ac:dyDescent="0.2">
      <c r="A34" s="176">
        <f t="shared" si="0"/>
        <v>27</v>
      </c>
      <c r="B34" s="184">
        <f>+B33+31</f>
        <v>40329</v>
      </c>
      <c r="D34" s="171">
        <v>0</v>
      </c>
      <c r="F34" s="194">
        <v>3.2500000000000001E-2</v>
      </c>
      <c r="G34" s="186">
        <f t="shared" ref="G34:G39" si="5">ROUND((+S33+E34+(D34/2))*0.0325/12,2)</f>
        <v>426.48</v>
      </c>
      <c r="H34" s="186">
        <f t="shared" si="4"/>
        <v>426.48</v>
      </c>
      <c r="I34" s="186"/>
      <c r="J34" s="186"/>
      <c r="K34" s="186"/>
      <c r="L34" s="186"/>
      <c r="M34" s="186"/>
      <c r="N34" s="186"/>
      <c r="O34" s="186"/>
      <c r="P34" s="186"/>
      <c r="Q34" s="186"/>
      <c r="R34" s="183">
        <f t="shared" si="1"/>
        <v>426.51250000000005</v>
      </c>
      <c r="S34" s="186">
        <f t="shared" si="2"/>
        <v>157897.27250000002</v>
      </c>
      <c r="T34" s="186"/>
    </row>
    <row r="35" spans="1:22" ht="12.75" hidden="1" customHeight="1" x14ac:dyDescent="0.2">
      <c r="A35" s="176">
        <f t="shared" si="0"/>
        <v>28</v>
      </c>
      <c r="B35" s="184">
        <f>+B34+30</f>
        <v>40359</v>
      </c>
      <c r="D35" s="171">
        <v>0</v>
      </c>
      <c r="F35" s="194">
        <v>3.2500000000000001E-2</v>
      </c>
      <c r="G35" s="186">
        <f t="shared" si="5"/>
        <v>427.64</v>
      </c>
      <c r="H35" s="186">
        <f t="shared" si="4"/>
        <v>427.64</v>
      </c>
      <c r="I35" s="186"/>
      <c r="J35" s="186"/>
      <c r="K35" s="186"/>
      <c r="L35" s="186"/>
      <c r="M35" s="186"/>
      <c r="N35" s="186"/>
      <c r="O35" s="186"/>
      <c r="P35" s="186"/>
      <c r="Q35" s="186"/>
      <c r="R35" s="183">
        <f t="shared" si="1"/>
        <v>427.67250000000001</v>
      </c>
      <c r="S35" s="186">
        <f t="shared" si="2"/>
        <v>158324.94500000001</v>
      </c>
      <c r="T35" s="195">
        <f>+S35</f>
        <v>158324.94500000001</v>
      </c>
    </row>
    <row r="36" spans="1:22" ht="12.75" hidden="1" customHeight="1" x14ac:dyDescent="0.2">
      <c r="A36" s="176">
        <f t="shared" si="0"/>
        <v>29</v>
      </c>
      <c r="B36" s="184">
        <f>+B35+31</f>
        <v>40390</v>
      </c>
      <c r="D36" s="171">
        <v>0</v>
      </c>
      <c r="F36" s="194">
        <v>3.2500000000000001E-2</v>
      </c>
      <c r="G36" s="186">
        <f t="shared" si="5"/>
        <v>428.8</v>
      </c>
      <c r="H36" s="186">
        <f t="shared" si="4"/>
        <v>428.8</v>
      </c>
      <c r="I36" s="186"/>
      <c r="J36" s="186"/>
      <c r="K36" s="186"/>
      <c r="L36" s="186"/>
      <c r="M36" s="186"/>
      <c r="N36" s="186"/>
      <c r="O36" s="186"/>
      <c r="P36" s="186"/>
      <c r="Q36" s="186"/>
      <c r="R36" s="183">
        <f t="shared" si="1"/>
        <v>428.83250000000004</v>
      </c>
      <c r="S36" s="186">
        <f t="shared" si="2"/>
        <v>158753.7775</v>
      </c>
      <c r="T36" s="195">
        <f t="shared" ref="T36:T41" si="6">+S36</f>
        <v>158753.7775</v>
      </c>
    </row>
    <row r="37" spans="1:22" ht="12.75" hidden="1" customHeight="1" x14ac:dyDescent="0.2">
      <c r="A37" s="176">
        <f t="shared" si="0"/>
        <v>30</v>
      </c>
      <c r="B37" s="184">
        <f>+B36+30</f>
        <v>40420</v>
      </c>
      <c r="D37" s="171">
        <v>0</v>
      </c>
      <c r="F37" s="194">
        <v>3.2500000000000001E-2</v>
      </c>
      <c r="G37" s="186">
        <f t="shared" si="5"/>
        <v>429.96</v>
      </c>
      <c r="H37" s="186">
        <f t="shared" si="4"/>
        <v>429.96</v>
      </c>
      <c r="I37" s="186"/>
      <c r="J37" s="186"/>
      <c r="K37" s="186"/>
      <c r="L37" s="186"/>
      <c r="M37" s="186"/>
      <c r="N37" s="186"/>
      <c r="O37" s="186"/>
      <c r="P37" s="186"/>
      <c r="Q37" s="186"/>
      <c r="R37" s="183">
        <f t="shared" si="1"/>
        <v>429.99250000000001</v>
      </c>
      <c r="S37" s="186">
        <f t="shared" si="2"/>
        <v>159183.76999999999</v>
      </c>
      <c r="T37" s="195">
        <f t="shared" si="6"/>
        <v>159183.76999999999</v>
      </c>
    </row>
    <row r="38" spans="1:22" ht="12.75" hidden="1" customHeight="1" x14ac:dyDescent="0.2">
      <c r="A38" s="176">
        <f t="shared" si="0"/>
        <v>31</v>
      </c>
      <c r="B38" s="184">
        <f>+B37+30</f>
        <v>40450</v>
      </c>
      <c r="D38" s="171">
        <v>4152.5</v>
      </c>
      <c r="F38" s="194">
        <v>3.2500000000000001E-2</v>
      </c>
      <c r="G38" s="186">
        <f t="shared" si="5"/>
        <v>436.75</v>
      </c>
      <c r="H38" s="186">
        <f t="shared" si="4"/>
        <v>436.75</v>
      </c>
      <c r="I38" s="186"/>
      <c r="J38" s="186"/>
      <c r="K38" s="186"/>
      <c r="L38" s="186"/>
      <c r="M38" s="186"/>
      <c r="N38" s="186"/>
      <c r="O38" s="186"/>
      <c r="P38" s="186"/>
      <c r="Q38" s="186"/>
      <c r="R38" s="183">
        <f t="shared" si="1"/>
        <v>4589.2825000000003</v>
      </c>
      <c r="S38" s="186">
        <f t="shared" si="2"/>
        <v>163773.05249999999</v>
      </c>
      <c r="T38" s="195">
        <f t="shared" si="6"/>
        <v>163773.05249999999</v>
      </c>
    </row>
    <row r="39" spans="1:22" ht="12.75" hidden="1" customHeight="1" x14ac:dyDescent="0.2">
      <c r="A39" s="176">
        <f t="shared" si="0"/>
        <v>32</v>
      </c>
      <c r="B39" s="184">
        <f>+B38+31</f>
        <v>40481</v>
      </c>
      <c r="D39" s="171">
        <v>9008.9699999999993</v>
      </c>
      <c r="F39" s="194">
        <v>3.2500000000000001E-2</v>
      </c>
      <c r="G39" s="186">
        <f t="shared" si="5"/>
        <v>455.75</v>
      </c>
      <c r="H39" s="186">
        <f t="shared" si="4"/>
        <v>455.75</v>
      </c>
      <c r="I39" s="186"/>
      <c r="J39" s="186"/>
      <c r="K39" s="186"/>
      <c r="L39" s="186"/>
      <c r="M39" s="186"/>
      <c r="N39" s="186"/>
      <c r="O39" s="186"/>
      <c r="P39" s="186"/>
      <c r="Q39" s="186"/>
      <c r="R39" s="183">
        <f t="shared" si="1"/>
        <v>9464.7524999999987</v>
      </c>
      <c r="S39" s="186">
        <f t="shared" si="2"/>
        <v>173237.80499999999</v>
      </c>
      <c r="T39" s="195">
        <f t="shared" si="6"/>
        <v>173237.80499999999</v>
      </c>
      <c r="V39" s="171"/>
    </row>
    <row r="40" spans="1:22" ht="12.75" hidden="1" customHeight="1" x14ac:dyDescent="0.2">
      <c r="A40" s="176">
        <f t="shared" si="0"/>
        <v>33</v>
      </c>
      <c r="B40" s="184">
        <f>+B39+30</f>
        <v>40511</v>
      </c>
      <c r="D40" s="171">
        <v>0</v>
      </c>
      <c r="E40" s="171">
        <f>-S39</f>
        <v>-173237.80499999999</v>
      </c>
      <c r="F40" s="194">
        <v>3.2500000000000001E-2</v>
      </c>
      <c r="G40" s="186">
        <f>ROUND((+S39+(D40/2))*0.0325/12,2)</f>
        <v>469.19</v>
      </c>
      <c r="H40" s="186">
        <f t="shared" si="4"/>
        <v>469.19</v>
      </c>
      <c r="I40" s="186"/>
      <c r="J40" s="186"/>
      <c r="K40" s="186"/>
      <c r="L40" s="186"/>
      <c r="M40" s="186"/>
      <c r="N40" s="186"/>
      <c r="O40" s="186"/>
      <c r="P40" s="186"/>
      <c r="Q40" s="186"/>
      <c r="R40" s="183">
        <f t="shared" si="1"/>
        <v>-172768.58249999999</v>
      </c>
      <c r="S40" s="186">
        <f t="shared" si="2"/>
        <v>469.22250000000349</v>
      </c>
      <c r="T40" s="195">
        <f t="shared" si="6"/>
        <v>469.22250000000349</v>
      </c>
      <c r="V40" s="171"/>
    </row>
    <row r="41" spans="1:22" ht="13.5" hidden="1" customHeight="1" thickBot="1" x14ac:dyDescent="0.25">
      <c r="A41" s="176">
        <f t="shared" si="0"/>
        <v>34</v>
      </c>
      <c r="B41" s="189">
        <f>+B40+31</f>
        <v>40542</v>
      </c>
      <c r="C41" s="190"/>
      <c r="D41" s="193">
        <v>6250</v>
      </c>
      <c r="E41" s="193"/>
      <c r="F41" s="196">
        <v>3.2500000000000001E-2</v>
      </c>
      <c r="G41" s="192">
        <f>ROUND((+S40+E41+(D41/2))*0.0325/12,2)</f>
        <v>9.73</v>
      </c>
      <c r="H41" s="192">
        <f t="shared" si="4"/>
        <v>9.73</v>
      </c>
      <c r="I41" s="192"/>
      <c r="J41" s="192"/>
      <c r="K41" s="192"/>
      <c r="L41" s="192"/>
      <c r="M41" s="192"/>
      <c r="N41" s="192"/>
      <c r="O41" s="192"/>
      <c r="P41" s="192"/>
      <c r="Q41" s="192"/>
      <c r="R41" s="191">
        <f t="shared" si="1"/>
        <v>6259.7624999999998</v>
      </c>
      <c r="S41" s="192">
        <f t="shared" si="2"/>
        <v>6728.9850000000033</v>
      </c>
      <c r="T41" s="192">
        <f t="shared" si="6"/>
        <v>6728.9850000000033</v>
      </c>
      <c r="U41" s="193">
        <v>0</v>
      </c>
      <c r="V41" s="193"/>
    </row>
    <row r="42" spans="1:22" hidden="1" x14ac:dyDescent="0.2">
      <c r="A42" s="176">
        <f t="shared" si="0"/>
        <v>35</v>
      </c>
      <c r="B42" s="184">
        <f>+B41+31</f>
        <v>40573</v>
      </c>
      <c r="D42" s="171">
        <v>2205</v>
      </c>
      <c r="E42" s="107"/>
      <c r="F42" s="194">
        <v>3.2500000000000001E-2</v>
      </c>
      <c r="G42" s="186">
        <f t="shared" ref="G42:G105" si="7">ROUND((+S41+E42+(D42/2))*F42/12,2)</f>
        <v>21.21</v>
      </c>
      <c r="H42" s="186">
        <f t="shared" ref="H42:H51" si="8">ROUND(T41*F42/12,2)</f>
        <v>18.22</v>
      </c>
      <c r="I42" s="186">
        <f t="shared" ref="I42:I53" si="9">+G42-H42</f>
        <v>2.990000000000002</v>
      </c>
      <c r="J42" s="186"/>
      <c r="K42" s="186"/>
      <c r="L42" s="186"/>
      <c r="M42" s="186"/>
      <c r="N42" s="186"/>
      <c r="O42" s="186"/>
      <c r="P42" s="186"/>
      <c r="Q42" s="186"/>
      <c r="R42" s="183">
        <f t="shared" si="1"/>
        <v>2226.2424999999998</v>
      </c>
      <c r="S42" s="186">
        <f t="shared" si="2"/>
        <v>8955.2275000000027</v>
      </c>
      <c r="T42" s="186">
        <f>+T41+H42</f>
        <v>6747.2050000000036</v>
      </c>
      <c r="U42" s="107">
        <f>+S42-T42</f>
        <v>2208.0224999999991</v>
      </c>
      <c r="V42" s="107"/>
    </row>
    <row r="43" spans="1:22" hidden="1" x14ac:dyDescent="0.2">
      <c r="A43" s="176">
        <f t="shared" si="0"/>
        <v>36</v>
      </c>
      <c r="B43" s="184">
        <f>+B42+28</f>
        <v>40601</v>
      </c>
      <c r="D43" s="279">
        <v>10928.12</v>
      </c>
      <c r="E43" s="107"/>
      <c r="F43" s="194">
        <v>3.2500000000000001E-2</v>
      </c>
      <c r="G43" s="186">
        <f t="shared" si="7"/>
        <v>39.049999999999997</v>
      </c>
      <c r="H43" s="186">
        <f t="shared" si="8"/>
        <v>18.27</v>
      </c>
      <c r="I43" s="186">
        <f t="shared" si="9"/>
        <v>20.779999999999998</v>
      </c>
      <c r="J43" s="186"/>
      <c r="K43" s="186"/>
      <c r="L43" s="186"/>
      <c r="M43" s="186"/>
      <c r="N43" s="186"/>
      <c r="O43" s="186"/>
      <c r="P43" s="186"/>
      <c r="Q43" s="186"/>
      <c r="R43" s="183">
        <f t="shared" si="1"/>
        <v>10967.202499999999</v>
      </c>
      <c r="S43" s="186">
        <f t="shared" si="2"/>
        <v>19922.43</v>
      </c>
      <c r="T43" s="186">
        <f t="shared" ref="T43:T50" si="10">+T42+H43</f>
        <v>6765.475000000004</v>
      </c>
      <c r="U43" s="107">
        <f t="shared" ref="U43:U50" si="11">+S43-T43</f>
        <v>13156.954999999996</v>
      </c>
      <c r="V43" s="107"/>
    </row>
    <row r="44" spans="1:22" hidden="1" x14ac:dyDescent="0.2">
      <c r="A44" s="176">
        <f t="shared" si="0"/>
        <v>37</v>
      </c>
      <c r="B44" s="184">
        <f>+B43+31</f>
        <v>40632</v>
      </c>
      <c r="D44" s="279">
        <v>19429</v>
      </c>
      <c r="E44" s="107"/>
      <c r="F44" s="194">
        <v>3.2500000000000001E-2</v>
      </c>
      <c r="G44" s="186">
        <f t="shared" si="7"/>
        <v>80.27</v>
      </c>
      <c r="H44" s="186">
        <f t="shared" si="8"/>
        <v>18.32</v>
      </c>
      <c r="I44" s="186">
        <f t="shared" si="9"/>
        <v>61.949999999999996</v>
      </c>
      <c r="J44" s="186"/>
      <c r="K44" s="186"/>
      <c r="L44" s="186"/>
      <c r="M44" s="186"/>
      <c r="N44" s="186"/>
      <c r="O44" s="186"/>
      <c r="P44" s="186"/>
      <c r="Q44" s="186"/>
      <c r="R44" s="183">
        <f t="shared" si="1"/>
        <v>19509.302500000002</v>
      </c>
      <c r="S44" s="186">
        <f t="shared" si="2"/>
        <v>39431.732499999998</v>
      </c>
      <c r="T44" s="186">
        <f t="shared" si="10"/>
        <v>6783.7950000000037</v>
      </c>
      <c r="U44" s="107">
        <f t="shared" si="11"/>
        <v>32647.937499999993</v>
      </c>
      <c r="V44" s="107"/>
    </row>
    <row r="45" spans="1:22" hidden="1" x14ac:dyDescent="0.2">
      <c r="A45" s="176">
        <f t="shared" si="0"/>
        <v>38</v>
      </c>
      <c r="B45" s="184">
        <f>+B44+30</f>
        <v>40662</v>
      </c>
      <c r="D45" s="107">
        <v>4109.76</v>
      </c>
      <c r="E45" s="107"/>
      <c r="F45" s="194">
        <v>3.2500000000000001E-2</v>
      </c>
      <c r="G45" s="186">
        <f t="shared" si="7"/>
        <v>112.36</v>
      </c>
      <c r="H45" s="186">
        <f t="shared" si="8"/>
        <v>18.37</v>
      </c>
      <c r="I45" s="186">
        <f t="shared" si="9"/>
        <v>93.99</v>
      </c>
      <c r="J45" s="186"/>
      <c r="K45" s="186"/>
      <c r="L45" s="186"/>
      <c r="M45" s="186"/>
      <c r="N45" s="186"/>
      <c r="O45" s="186"/>
      <c r="P45" s="186"/>
      <c r="Q45" s="186"/>
      <c r="R45" s="183">
        <f t="shared" si="1"/>
        <v>4222.1525000000001</v>
      </c>
      <c r="S45" s="186">
        <f t="shared" si="2"/>
        <v>43653.884999999995</v>
      </c>
      <c r="T45" s="186">
        <f t="shared" si="10"/>
        <v>6802.1650000000036</v>
      </c>
      <c r="U45" s="107">
        <f t="shared" si="11"/>
        <v>36851.719999999994</v>
      </c>
      <c r="V45" s="107"/>
    </row>
    <row r="46" spans="1:22" hidden="1" x14ac:dyDescent="0.2">
      <c r="A46" s="176">
        <f t="shared" si="0"/>
        <v>39</v>
      </c>
      <c r="B46" s="184">
        <f>+B45+31</f>
        <v>40693</v>
      </c>
      <c r="D46" s="107">
        <v>1397.28</v>
      </c>
      <c r="E46" s="107"/>
      <c r="F46" s="194">
        <v>3.2500000000000001E-2</v>
      </c>
      <c r="G46" s="186">
        <f t="shared" si="7"/>
        <v>120.12</v>
      </c>
      <c r="H46" s="186">
        <f t="shared" si="8"/>
        <v>18.420000000000002</v>
      </c>
      <c r="I46" s="186">
        <f t="shared" si="9"/>
        <v>101.7</v>
      </c>
      <c r="J46" s="186"/>
      <c r="K46" s="186"/>
      <c r="L46" s="186"/>
      <c r="M46" s="186"/>
      <c r="N46" s="186"/>
      <c r="O46" s="186"/>
      <c r="P46" s="186"/>
      <c r="Q46" s="186"/>
      <c r="R46" s="183">
        <f t="shared" si="1"/>
        <v>1517.4324999999999</v>
      </c>
      <c r="S46" s="186">
        <f t="shared" si="2"/>
        <v>45171.317499999997</v>
      </c>
      <c r="T46" s="186">
        <f t="shared" si="10"/>
        <v>6820.5850000000037</v>
      </c>
      <c r="U46" s="107">
        <f t="shared" si="11"/>
        <v>38350.732499999991</v>
      </c>
      <c r="V46" s="107"/>
    </row>
    <row r="47" spans="1:22" hidden="1" x14ac:dyDescent="0.2">
      <c r="A47" s="176">
        <f t="shared" si="0"/>
        <v>40</v>
      </c>
      <c r="B47" s="184">
        <f>+B46+30</f>
        <v>40723</v>
      </c>
      <c r="D47" s="107">
        <v>1863.04</v>
      </c>
      <c r="E47" s="107"/>
      <c r="F47" s="194">
        <v>3.2500000000000001E-2</v>
      </c>
      <c r="G47" s="186">
        <f t="shared" si="7"/>
        <v>124.86</v>
      </c>
      <c r="H47" s="186">
        <f t="shared" si="8"/>
        <v>18.47</v>
      </c>
      <c r="I47" s="186">
        <f t="shared" si="9"/>
        <v>106.39</v>
      </c>
      <c r="J47" s="186"/>
      <c r="K47" s="186"/>
      <c r="L47" s="186"/>
      <c r="M47" s="186"/>
      <c r="N47" s="186"/>
      <c r="O47" s="186"/>
      <c r="P47" s="186"/>
      <c r="Q47" s="186"/>
      <c r="R47" s="183">
        <f t="shared" si="1"/>
        <v>1987.9324999999999</v>
      </c>
      <c r="S47" s="186">
        <f t="shared" si="2"/>
        <v>47159.25</v>
      </c>
      <c r="T47" s="186">
        <f t="shared" si="10"/>
        <v>6839.0550000000039</v>
      </c>
      <c r="U47" s="107">
        <f t="shared" si="11"/>
        <v>40320.194999999992</v>
      </c>
      <c r="V47" s="107"/>
    </row>
    <row r="48" spans="1:22" hidden="1" x14ac:dyDescent="0.2">
      <c r="A48" s="176">
        <f t="shared" si="0"/>
        <v>41</v>
      </c>
      <c r="B48" s="184">
        <f>+B47+31</f>
        <v>40754</v>
      </c>
      <c r="D48" s="107">
        <v>1863.04</v>
      </c>
      <c r="E48" s="107"/>
      <c r="F48" s="194">
        <v>3.2500000000000001E-2</v>
      </c>
      <c r="G48" s="186">
        <f t="shared" si="7"/>
        <v>130.25</v>
      </c>
      <c r="H48" s="186">
        <f t="shared" si="8"/>
        <v>18.52</v>
      </c>
      <c r="I48" s="186">
        <f t="shared" si="9"/>
        <v>111.73</v>
      </c>
      <c r="J48" s="186"/>
      <c r="K48" s="186"/>
      <c r="L48" s="186"/>
      <c r="M48" s="186"/>
      <c r="N48" s="186"/>
      <c r="O48" s="186"/>
      <c r="P48" s="186"/>
      <c r="Q48" s="186"/>
      <c r="R48" s="183">
        <f t="shared" ref="R48:R111" si="12">SUM(D48:G48)</f>
        <v>1993.3225</v>
      </c>
      <c r="S48" s="186">
        <f t="shared" si="2"/>
        <v>49152.572500000002</v>
      </c>
      <c r="T48" s="186">
        <f t="shared" si="10"/>
        <v>6857.5750000000044</v>
      </c>
      <c r="U48" s="107">
        <f t="shared" si="11"/>
        <v>42294.997499999998</v>
      </c>
      <c r="V48" s="107"/>
    </row>
    <row r="49" spans="1:22" hidden="1" x14ac:dyDescent="0.2">
      <c r="A49" s="176">
        <f t="shared" si="0"/>
        <v>42</v>
      </c>
      <c r="B49" s="184">
        <f>+B48+30</f>
        <v>40784</v>
      </c>
      <c r="D49" s="107">
        <v>1397.28</v>
      </c>
      <c r="E49" s="107"/>
      <c r="F49" s="194">
        <v>3.2500000000000001E-2</v>
      </c>
      <c r="G49" s="186">
        <f t="shared" si="7"/>
        <v>135.01</v>
      </c>
      <c r="H49" s="186">
        <f t="shared" si="8"/>
        <v>18.57</v>
      </c>
      <c r="I49" s="186">
        <f t="shared" si="9"/>
        <v>116.44</v>
      </c>
      <c r="J49" s="186"/>
      <c r="K49" s="186"/>
      <c r="L49" s="186"/>
      <c r="M49" s="186"/>
      <c r="N49" s="186"/>
      <c r="O49" s="186"/>
      <c r="P49" s="186"/>
      <c r="Q49" s="186"/>
      <c r="R49" s="183">
        <f t="shared" si="12"/>
        <v>1532.3225</v>
      </c>
      <c r="S49" s="186">
        <f t="shared" si="2"/>
        <v>50684.895000000004</v>
      </c>
      <c r="T49" s="186">
        <f t="shared" si="10"/>
        <v>6876.1450000000041</v>
      </c>
      <c r="U49" s="107">
        <f t="shared" si="11"/>
        <v>43808.75</v>
      </c>
      <c r="V49" s="107"/>
    </row>
    <row r="50" spans="1:22" hidden="1" x14ac:dyDescent="0.2">
      <c r="A50" s="176">
        <f t="shared" si="0"/>
        <v>43</v>
      </c>
      <c r="B50" s="184">
        <f>+B49+30</f>
        <v>40814</v>
      </c>
      <c r="D50" s="107">
        <v>698.64</v>
      </c>
      <c r="E50" s="107"/>
      <c r="F50" s="194">
        <v>3.2500000000000001E-2</v>
      </c>
      <c r="G50" s="186">
        <f t="shared" si="7"/>
        <v>138.22</v>
      </c>
      <c r="H50" s="186">
        <f t="shared" si="8"/>
        <v>18.62</v>
      </c>
      <c r="I50" s="186">
        <f t="shared" si="9"/>
        <v>119.6</v>
      </c>
      <c r="J50" s="186"/>
      <c r="K50" s="186"/>
      <c r="L50" s="186"/>
      <c r="M50" s="186"/>
      <c r="N50" s="186"/>
      <c r="O50" s="186"/>
      <c r="P50" s="186"/>
      <c r="Q50" s="186"/>
      <c r="R50" s="183">
        <f t="shared" si="12"/>
        <v>836.89250000000004</v>
      </c>
      <c r="S50" s="186">
        <f t="shared" si="2"/>
        <v>51521.787500000006</v>
      </c>
      <c r="T50" s="186">
        <f t="shared" si="10"/>
        <v>6894.765000000004</v>
      </c>
      <c r="U50" s="107">
        <f t="shared" si="11"/>
        <v>44627.022499999999</v>
      </c>
      <c r="V50" s="107"/>
    </row>
    <row r="51" spans="1:22" hidden="1" x14ac:dyDescent="0.2">
      <c r="A51" s="176">
        <f t="shared" si="0"/>
        <v>44</v>
      </c>
      <c r="B51" s="184">
        <f>+B50+31</f>
        <v>40845</v>
      </c>
      <c r="D51" s="107">
        <v>465.76</v>
      </c>
      <c r="E51" s="107"/>
      <c r="F51" s="194">
        <v>3.2500000000000001E-2</v>
      </c>
      <c r="G51" s="186">
        <f t="shared" si="7"/>
        <v>140.16999999999999</v>
      </c>
      <c r="H51" s="186">
        <f t="shared" si="8"/>
        <v>18.670000000000002</v>
      </c>
      <c r="I51" s="195">
        <f t="shared" si="9"/>
        <v>121.49999999999999</v>
      </c>
      <c r="J51" s="195"/>
      <c r="K51" s="195"/>
      <c r="L51" s="195"/>
      <c r="M51" s="195"/>
      <c r="N51" s="195"/>
      <c r="O51" s="195"/>
      <c r="P51" s="195"/>
      <c r="Q51" s="195"/>
      <c r="R51" s="183">
        <f t="shared" si="12"/>
        <v>605.96249999999998</v>
      </c>
      <c r="S51" s="186">
        <f t="shared" si="2"/>
        <v>52127.750000000007</v>
      </c>
      <c r="T51" s="186">
        <f>+T50+H51</f>
        <v>6913.435000000004</v>
      </c>
      <c r="U51" s="107">
        <f>+S51-T51</f>
        <v>45214.315000000002</v>
      </c>
      <c r="V51" s="107"/>
    </row>
    <row r="52" spans="1:22" hidden="1" x14ac:dyDescent="0.2">
      <c r="A52" s="176">
        <f t="shared" si="0"/>
        <v>45</v>
      </c>
      <c r="B52" s="184">
        <f>+B51+30</f>
        <v>40875</v>
      </c>
      <c r="D52" s="107">
        <v>1863.04</v>
      </c>
      <c r="E52" s="107">
        <f>-S41</f>
        <v>-6728.9850000000033</v>
      </c>
      <c r="F52" s="194">
        <v>3.2500000000000001E-2</v>
      </c>
      <c r="G52" s="197">
        <f t="shared" si="7"/>
        <v>125.48</v>
      </c>
      <c r="H52" s="198"/>
      <c r="I52" s="195">
        <f t="shared" si="9"/>
        <v>125.48</v>
      </c>
      <c r="J52" s="195"/>
      <c r="K52" s="195"/>
      <c r="L52" s="195"/>
      <c r="M52" s="195"/>
      <c r="N52" s="195"/>
      <c r="O52" s="195"/>
      <c r="P52" s="195"/>
      <c r="Q52" s="195"/>
      <c r="R52" s="183">
        <f t="shared" si="12"/>
        <v>-4740.4325000000035</v>
      </c>
      <c r="S52" s="186">
        <f t="shared" si="2"/>
        <v>47387.317500000005</v>
      </c>
      <c r="T52" s="197"/>
      <c r="U52" s="107">
        <f>+S52-T52</f>
        <v>47387.317500000005</v>
      </c>
      <c r="V52" s="107"/>
    </row>
    <row r="53" spans="1:22" ht="13.5" hidden="1" thickBot="1" x14ac:dyDescent="0.25">
      <c r="A53" s="176">
        <f t="shared" si="0"/>
        <v>46</v>
      </c>
      <c r="B53" s="189">
        <f>+B52+31</f>
        <v>40906</v>
      </c>
      <c r="C53" s="190"/>
      <c r="D53" s="193">
        <v>931.52</v>
      </c>
      <c r="E53" s="193"/>
      <c r="F53" s="196">
        <v>3.2500000000000001E-2</v>
      </c>
      <c r="G53" s="192">
        <f t="shared" si="7"/>
        <v>129.6</v>
      </c>
      <c r="H53" s="199"/>
      <c r="I53" s="192">
        <f t="shared" si="9"/>
        <v>129.6</v>
      </c>
      <c r="J53" s="192"/>
      <c r="K53" s="192"/>
      <c r="L53" s="192"/>
      <c r="M53" s="192"/>
      <c r="N53" s="192"/>
      <c r="O53" s="192"/>
      <c r="P53" s="192"/>
      <c r="Q53" s="192"/>
      <c r="R53" s="191">
        <f t="shared" si="12"/>
        <v>1061.1524999999999</v>
      </c>
      <c r="S53" s="192">
        <f t="shared" si="2"/>
        <v>48448.47</v>
      </c>
      <c r="T53" s="192"/>
      <c r="U53" s="193">
        <f>+S53-T53</f>
        <v>48448.47</v>
      </c>
      <c r="V53" s="193"/>
    </row>
    <row r="54" spans="1:22" hidden="1" x14ac:dyDescent="0.2">
      <c r="A54" s="176">
        <f t="shared" si="0"/>
        <v>47</v>
      </c>
      <c r="B54" s="170">
        <f>+B53+31</f>
        <v>40937</v>
      </c>
      <c r="D54" s="107">
        <v>922.56</v>
      </c>
      <c r="E54" s="107"/>
      <c r="F54" s="194">
        <v>3.2500000000000001E-2</v>
      </c>
      <c r="G54" s="186">
        <f t="shared" si="7"/>
        <v>132.46</v>
      </c>
      <c r="H54" s="186"/>
      <c r="I54" s="186">
        <f t="shared" ref="I54:I64" si="13">ROUND(U53*F54/12,2)</f>
        <v>131.21</v>
      </c>
      <c r="J54" s="186">
        <f t="shared" ref="J54:J65" si="14">+G54-I54</f>
        <v>1.25</v>
      </c>
      <c r="K54" s="186"/>
      <c r="L54" s="186"/>
      <c r="M54" s="186"/>
      <c r="N54" s="186"/>
      <c r="O54" s="186"/>
      <c r="P54" s="186"/>
      <c r="Q54" s="186"/>
      <c r="R54" s="183">
        <f t="shared" si="12"/>
        <v>1055.0525</v>
      </c>
      <c r="S54" s="186">
        <f>+S53+R54</f>
        <v>49503.522499999999</v>
      </c>
      <c r="T54" s="186"/>
      <c r="U54" s="186">
        <f>+U53+I54</f>
        <v>48579.68</v>
      </c>
      <c r="V54" s="107">
        <f>+S54-U54</f>
        <v>923.84249999999884</v>
      </c>
    </row>
    <row r="55" spans="1:22" hidden="1" x14ac:dyDescent="0.2">
      <c r="A55" s="176">
        <f t="shared" si="0"/>
        <v>48</v>
      </c>
      <c r="B55" s="170">
        <f>+B54+29</f>
        <v>40966</v>
      </c>
      <c r="D55" s="107">
        <v>1153.2</v>
      </c>
      <c r="E55" s="107"/>
      <c r="F55" s="194">
        <v>3.2500000000000001E-2</v>
      </c>
      <c r="G55" s="186">
        <f t="shared" si="7"/>
        <v>135.63</v>
      </c>
      <c r="H55" s="186"/>
      <c r="I55" s="186">
        <f t="shared" si="13"/>
        <v>131.57</v>
      </c>
      <c r="J55" s="186">
        <f t="shared" si="14"/>
        <v>4.0600000000000023</v>
      </c>
      <c r="K55" s="186"/>
      <c r="L55" s="186"/>
      <c r="M55" s="186"/>
      <c r="N55" s="186"/>
      <c r="O55" s="186"/>
      <c r="P55" s="186"/>
      <c r="Q55" s="186"/>
      <c r="R55" s="183">
        <f t="shared" si="12"/>
        <v>1288.8625000000002</v>
      </c>
      <c r="S55" s="186">
        <f t="shared" si="2"/>
        <v>50792.385000000002</v>
      </c>
      <c r="T55" s="186"/>
      <c r="U55" s="186">
        <f t="shared" ref="U55:U63" si="15">+U54+I55</f>
        <v>48711.25</v>
      </c>
      <c r="V55" s="107">
        <f t="shared" ref="V55:V63" si="16">+S55-U55</f>
        <v>2081.135000000002</v>
      </c>
    </row>
    <row r="56" spans="1:22" hidden="1" x14ac:dyDescent="0.2">
      <c r="A56" s="176">
        <f t="shared" si="0"/>
        <v>49</v>
      </c>
      <c r="B56" s="170">
        <f>+B55+31</f>
        <v>40997</v>
      </c>
      <c r="D56" s="107">
        <v>739.74</v>
      </c>
      <c r="E56" s="107"/>
      <c r="F56" s="194">
        <v>3.2500000000000001E-2</v>
      </c>
      <c r="G56" s="186">
        <f t="shared" si="7"/>
        <v>138.56</v>
      </c>
      <c r="H56" s="186"/>
      <c r="I56" s="186">
        <f t="shared" si="13"/>
        <v>131.93</v>
      </c>
      <c r="J56" s="186">
        <f t="shared" si="14"/>
        <v>6.6299999999999955</v>
      </c>
      <c r="K56" s="186"/>
      <c r="L56" s="186"/>
      <c r="M56" s="186"/>
      <c r="N56" s="186"/>
      <c r="O56" s="186"/>
      <c r="P56" s="186"/>
      <c r="Q56" s="186"/>
      <c r="R56" s="183">
        <f t="shared" si="12"/>
        <v>878.33249999999998</v>
      </c>
      <c r="S56" s="186">
        <f t="shared" si="2"/>
        <v>51670.717499999999</v>
      </c>
      <c r="T56" s="186"/>
      <c r="U56" s="186">
        <f t="shared" si="15"/>
        <v>48843.18</v>
      </c>
      <c r="V56" s="107">
        <f t="shared" si="16"/>
        <v>2827.5374999999985</v>
      </c>
    </row>
    <row r="57" spans="1:22" hidden="1" x14ac:dyDescent="0.2">
      <c r="A57" s="176">
        <f t="shared" si="0"/>
        <v>50</v>
      </c>
      <c r="B57" s="170">
        <f>+B56+30</f>
        <v>41027</v>
      </c>
      <c r="D57" s="107">
        <v>986.32</v>
      </c>
      <c r="E57" s="107"/>
      <c r="F57" s="194">
        <v>3.2500000000000001E-2</v>
      </c>
      <c r="G57" s="186">
        <f t="shared" si="7"/>
        <v>141.28</v>
      </c>
      <c r="H57" s="186"/>
      <c r="I57" s="186">
        <f t="shared" si="13"/>
        <v>132.28</v>
      </c>
      <c r="J57" s="186">
        <f t="shared" si="14"/>
        <v>9</v>
      </c>
      <c r="K57" s="186"/>
      <c r="L57" s="186"/>
      <c r="M57" s="186"/>
      <c r="N57" s="186"/>
      <c r="O57" s="186"/>
      <c r="P57" s="186"/>
      <c r="Q57" s="186"/>
      <c r="R57" s="183">
        <f t="shared" si="12"/>
        <v>1127.6325000000002</v>
      </c>
      <c r="S57" s="186">
        <f t="shared" si="2"/>
        <v>52798.35</v>
      </c>
      <c r="T57" s="186"/>
      <c r="U57" s="186">
        <f t="shared" si="15"/>
        <v>48975.46</v>
      </c>
      <c r="V57" s="107">
        <f t="shared" si="16"/>
        <v>3822.8899999999994</v>
      </c>
    </row>
    <row r="58" spans="1:22" hidden="1" x14ac:dyDescent="0.2">
      <c r="A58" s="176">
        <f t="shared" si="0"/>
        <v>51</v>
      </c>
      <c r="B58" s="170">
        <f>+B57+31</f>
        <v>41058</v>
      </c>
      <c r="D58" s="107">
        <v>1232.9000000000001</v>
      </c>
      <c r="E58" s="107"/>
      <c r="F58" s="194">
        <v>3.2500000000000001E-2</v>
      </c>
      <c r="G58" s="186">
        <f t="shared" si="7"/>
        <v>144.66999999999999</v>
      </c>
      <c r="H58" s="186"/>
      <c r="I58" s="186">
        <f t="shared" si="13"/>
        <v>132.63999999999999</v>
      </c>
      <c r="J58" s="186">
        <f t="shared" si="14"/>
        <v>12.030000000000001</v>
      </c>
      <c r="K58" s="186"/>
      <c r="L58" s="186"/>
      <c r="M58" s="186"/>
      <c r="N58" s="186"/>
      <c r="O58" s="186"/>
      <c r="P58" s="186"/>
      <c r="Q58" s="186"/>
      <c r="R58" s="183">
        <f t="shared" si="12"/>
        <v>1377.6025000000002</v>
      </c>
      <c r="S58" s="186">
        <f t="shared" si="2"/>
        <v>54175.952499999999</v>
      </c>
      <c r="T58" s="186"/>
      <c r="U58" s="186">
        <f t="shared" si="15"/>
        <v>49108.1</v>
      </c>
      <c r="V58" s="107">
        <f t="shared" si="16"/>
        <v>5067.8525000000009</v>
      </c>
    </row>
    <row r="59" spans="1:22" hidden="1" x14ac:dyDescent="0.2">
      <c r="A59" s="176">
        <f t="shared" si="0"/>
        <v>52</v>
      </c>
      <c r="B59" s="170">
        <f>+B58+30</f>
        <v>41088</v>
      </c>
      <c r="D59" s="107">
        <v>986.32</v>
      </c>
      <c r="E59" s="107"/>
      <c r="F59" s="194">
        <v>3.2500000000000001E-2</v>
      </c>
      <c r="G59" s="186">
        <f t="shared" si="7"/>
        <v>148.06</v>
      </c>
      <c r="H59" s="186"/>
      <c r="I59" s="186">
        <f t="shared" si="13"/>
        <v>133</v>
      </c>
      <c r="J59" s="186">
        <f t="shared" si="14"/>
        <v>15.060000000000002</v>
      </c>
      <c r="K59" s="186"/>
      <c r="L59" s="186"/>
      <c r="M59" s="186"/>
      <c r="N59" s="186"/>
      <c r="O59" s="186"/>
      <c r="P59" s="186"/>
      <c r="Q59" s="186"/>
      <c r="R59" s="183">
        <f t="shared" si="12"/>
        <v>1134.4125000000001</v>
      </c>
      <c r="S59" s="186">
        <f t="shared" si="2"/>
        <v>55310.364999999998</v>
      </c>
      <c r="T59" s="186"/>
      <c r="U59" s="186">
        <f t="shared" si="15"/>
        <v>49241.1</v>
      </c>
      <c r="V59" s="107">
        <f t="shared" si="16"/>
        <v>6069.2649999999994</v>
      </c>
    </row>
    <row r="60" spans="1:22" hidden="1" x14ac:dyDescent="0.2">
      <c r="A60" s="176">
        <f t="shared" si="0"/>
        <v>53</v>
      </c>
      <c r="B60" s="170">
        <f>+B59+31</f>
        <v>41119</v>
      </c>
      <c r="D60" s="107">
        <v>986.32</v>
      </c>
      <c r="E60" s="107"/>
      <c r="F60" s="194">
        <v>3.2500000000000001E-2</v>
      </c>
      <c r="G60" s="186">
        <f t="shared" si="7"/>
        <v>151.13</v>
      </c>
      <c r="H60" s="186"/>
      <c r="I60" s="186">
        <f t="shared" si="13"/>
        <v>133.36000000000001</v>
      </c>
      <c r="J60" s="186">
        <f t="shared" si="14"/>
        <v>17.769999999999982</v>
      </c>
      <c r="K60" s="186"/>
      <c r="L60" s="186"/>
      <c r="M60" s="186"/>
      <c r="N60" s="186"/>
      <c r="O60" s="186"/>
      <c r="P60" s="186"/>
      <c r="Q60" s="186"/>
      <c r="R60" s="183">
        <f t="shared" si="12"/>
        <v>1137.4825000000001</v>
      </c>
      <c r="S60" s="186">
        <f t="shared" si="2"/>
        <v>56447.847499999996</v>
      </c>
      <c r="T60" s="186"/>
      <c r="U60" s="186">
        <f t="shared" si="15"/>
        <v>49374.46</v>
      </c>
      <c r="V60" s="107">
        <f t="shared" si="16"/>
        <v>7073.3874999999971</v>
      </c>
    </row>
    <row r="61" spans="1:22" hidden="1" x14ac:dyDescent="0.2">
      <c r="A61" s="176">
        <f t="shared" si="0"/>
        <v>54</v>
      </c>
      <c r="B61" s="170">
        <f>+B60+31</f>
        <v>41150</v>
      </c>
      <c r="D61" s="107">
        <v>986.32</v>
      </c>
      <c r="E61" s="107"/>
      <c r="F61" s="194">
        <v>3.2500000000000001E-2</v>
      </c>
      <c r="G61" s="186">
        <f t="shared" si="7"/>
        <v>154.22</v>
      </c>
      <c r="H61" s="186"/>
      <c r="I61" s="186">
        <f t="shared" si="13"/>
        <v>133.72</v>
      </c>
      <c r="J61" s="186">
        <f t="shared" si="14"/>
        <v>20.5</v>
      </c>
      <c r="K61" s="186"/>
      <c r="L61" s="186"/>
      <c r="M61" s="186"/>
      <c r="N61" s="186"/>
      <c r="O61" s="186"/>
      <c r="P61" s="186"/>
      <c r="Q61" s="186"/>
      <c r="R61" s="183">
        <f t="shared" si="12"/>
        <v>1140.5725</v>
      </c>
      <c r="S61" s="186">
        <f t="shared" si="2"/>
        <v>57588.42</v>
      </c>
      <c r="T61" s="186"/>
      <c r="U61" s="186">
        <f t="shared" si="15"/>
        <v>49508.18</v>
      </c>
      <c r="V61" s="107">
        <f t="shared" si="16"/>
        <v>8080.239999999998</v>
      </c>
    </row>
    <row r="62" spans="1:22" hidden="1" x14ac:dyDescent="0.2">
      <c r="A62" s="176">
        <f t="shared" si="0"/>
        <v>55</v>
      </c>
      <c r="B62" s="170">
        <f>+B61+30</f>
        <v>41180</v>
      </c>
      <c r="D62" s="107">
        <v>739.74</v>
      </c>
      <c r="E62" s="107"/>
      <c r="F62" s="194">
        <v>3.2500000000000001E-2</v>
      </c>
      <c r="G62" s="186">
        <f t="shared" si="7"/>
        <v>156.97</v>
      </c>
      <c r="H62" s="186"/>
      <c r="I62" s="186">
        <f t="shared" si="13"/>
        <v>134.08000000000001</v>
      </c>
      <c r="J62" s="186">
        <f t="shared" si="14"/>
        <v>22.889999999999986</v>
      </c>
      <c r="K62" s="186"/>
      <c r="L62" s="186"/>
      <c r="M62" s="186"/>
      <c r="N62" s="186"/>
      <c r="O62" s="186"/>
      <c r="P62" s="186"/>
      <c r="Q62" s="186"/>
      <c r="R62" s="183">
        <f t="shared" si="12"/>
        <v>896.74250000000006</v>
      </c>
      <c r="S62" s="186">
        <f t="shared" si="2"/>
        <v>58485.162499999999</v>
      </c>
      <c r="T62" s="186"/>
      <c r="U62" s="186">
        <f t="shared" si="15"/>
        <v>49642.26</v>
      </c>
      <c r="V62" s="107">
        <f t="shared" si="16"/>
        <v>8842.9024999999965</v>
      </c>
    </row>
    <row r="63" spans="1:22" hidden="1" x14ac:dyDescent="0.2">
      <c r="A63" s="176">
        <f t="shared" si="0"/>
        <v>56</v>
      </c>
      <c r="B63" s="170">
        <f>+B62+31</f>
        <v>41211</v>
      </c>
      <c r="D63" s="107">
        <v>1232.9000000000001</v>
      </c>
      <c r="E63" s="107"/>
      <c r="F63" s="194">
        <v>3.2500000000000001E-2</v>
      </c>
      <c r="G63" s="186">
        <f t="shared" si="7"/>
        <v>160.07</v>
      </c>
      <c r="H63" s="186"/>
      <c r="I63" s="186">
        <f t="shared" si="13"/>
        <v>134.44999999999999</v>
      </c>
      <c r="J63" s="186">
        <f t="shared" si="14"/>
        <v>25.620000000000005</v>
      </c>
      <c r="K63" s="186"/>
      <c r="L63" s="186"/>
      <c r="M63" s="186"/>
      <c r="N63" s="186"/>
      <c r="O63" s="186"/>
      <c r="P63" s="186"/>
      <c r="Q63" s="186"/>
      <c r="R63" s="183">
        <f t="shared" si="12"/>
        <v>1393.0025000000001</v>
      </c>
      <c r="S63" s="186">
        <f t="shared" si="2"/>
        <v>59878.165000000001</v>
      </c>
      <c r="T63" s="186"/>
      <c r="U63" s="186">
        <f t="shared" si="15"/>
        <v>49776.71</v>
      </c>
      <c r="V63" s="107">
        <f t="shared" si="16"/>
        <v>10101.455000000002</v>
      </c>
    </row>
    <row r="64" spans="1:22" hidden="1" x14ac:dyDescent="0.2">
      <c r="A64" s="176">
        <f t="shared" si="0"/>
        <v>57</v>
      </c>
      <c r="B64" s="170">
        <f>+B63+30</f>
        <v>41241</v>
      </c>
      <c r="C64" s="200">
        <v>1</v>
      </c>
      <c r="D64" s="107">
        <v>986.32</v>
      </c>
      <c r="E64" s="107">
        <f>-U63</f>
        <v>-49776.71</v>
      </c>
      <c r="F64" s="194">
        <v>3.2500000000000001E-2</v>
      </c>
      <c r="G64" s="186">
        <f t="shared" si="7"/>
        <v>28.69</v>
      </c>
      <c r="H64" s="186"/>
      <c r="I64" s="186">
        <f t="shared" si="13"/>
        <v>134.81</v>
      </c>
      <c r="J64" s="186">
        <f t="shared" si="14"/>
        <v>-106.12</v>
      </c>
      <c r="K64" s="186"/>
      <c r="L64" s="186"/>
      <c r="M64" s="186"/>
      <c r="N64" s="186"/>
      <c r="O64" s="186"/>
      <c r="P64" s="186"/>
      <c r="Q64" s="186"/>
      <c r="R64" s="183">
        <f t="shared" si="12"/>
        <v>-48761.667499999996</v>
      </c>
      <c r="S64" s="186">
        <f t="shared" si="2"/>
        <v>11116.497500000005</v>
      </c>
      <c r="T64" s="186"/>
      <c r="U64" s="186"/>
      <c r="V64" s="107">
        <f>+S64-U64</f>
        <v>11116.497500000005</v>
      </c>
    </row>
    <row r="65" spans="1:25" ht="13.5" hidden="1" thickBot="1" x14ac:dyDescent="0.25">
      <c r="A65" s="176">
        <f t="shared" si="0"/>
        <v>58</v>
      </c>
      <c r="B65" s="190">
        <f>+B64+31</f>
        <v>41272</v>
      </c>
      <c r="C65" s="201">
        <v>2</v>
      </c>
      <c r="D65" s="193">
        <v>986.32</v>
      </c>
      <c r="E65" s="193">
        <v>-0.96</v>
      </c>
      <c r="F65" s="196">
        <v>3.2500000000000001E-2</v>
      </c>
      <c r="G65" s="192">
        <f t="shared" si="7"/>
        <v>31.44</v>
      </c>
      <c r="H65" s="192"/>
      <c r="I65" s="192"/>
      <c r="J65" s="192">
        <f t="shared" si="14"/>
        <v>31.44</v>
      </c>
      <c r="K65" s="192"/>
      <c r="L65" s="192"/>
      <c r="M65" s="192"/>
      <c r="N65" s="192"/>
      <c r="O65" s="192"/>
      <c r="P65" s="192"/>
      <c r="Q65" s="192"/>
      <c r="R65" s="191">
        <f t="shared" si="12"/>
        <v>1016.8325000000001</v>
      </c>
      <c r="S65" s="192">
        <f t="shared" si="2"/>
        <v>12133.330000000005</v>
      </c>
      <c r="T65" s="192"/>
      <c r="U65" s="192"/>
      <c r="V65" s="193">
        <f>+S65-U65</f>
        <v>12133.330000000005</v>
      </c>
      <c r="W65" s="190"/>
    </row>
    <row r="66" spans="1:25" hidden="1" x14ac:dyDescent="0.2">
      <c r="A66" s="176">
        <f t="shared" si="0"/>
        <v>59</v>
      </c>
      <c r="B66" s="202">
        <f>+B65+31</f>
        <v>41303</v>
      </c>
      <c r="D66" s="108">
        <v>974.52</v>
      </c>
      <c r="E66" s="107"/>
      <c r="F66" s="194">
        <v>3.2500000000000001E-2</v>
      </c>
      <c r="G66" s="186">
        <f t="shared" si="7"/>
        <v>34.18</v>
      </c>
      <c r="H66" s="186"/>
      <c r="I66" s="186"/>
      <c r="J66" s="186">
        <f t="shared" ref="J66:J75" si="17">ROUND(V65*F66/12,2)</f>
        <v>32.86</v>
      </c>
      <c r="K66" s="186">
        <f t="shared" ref="K66:K77" si="18">+G66-J66</f>
        <v>1.3200000000000003</v>
      </c>
      <c r="L66" s="186"/>
      <c r="M66" s="186"/>
      <c r="N66" s="186"/>
      <c r="O66" s="186"/>
      <c r="P66" s="186"/>
      <c r="Q66" s="186"/>
      <c r="R66" s="183">
        <f t="shared" si="12"/>
        <v>1008.7325</v>
      </c>
      <c r="S66" s="186">
        <f t="shared" si="2"/>
        <v>13142.062500000005</v>
      </c>
      <c r="T66" s="186"/>
      <c r="U66" s="186"/>
      <c r="V66" s="107">
        <f t="shared" ref="V66:V75" si="19">+V65+J66</f>
        <v>12166.190000000006</v>
      </c>
      <c r="W66" s="203">
        <f t="shared" ref="W66:W77" si="20">+S66-V66</f>
        <v>975.87249999999949</v>
      </c>
    </row>
    <row r="67" spans="1:25" hidden="1" x14ac:dyDescent="0.2">
      <c r="A67" s="176">
        <f t="shared" si="0"/>
        <v>60</v>
      </c>
      <c r="B67" s="184">
        <f>+B66+28</f>
        <v>41331</v>
      </c>
      <c r="D67" s="108">
        <v>976.88</v>
      </c>
      <c r="E67" s="107"/>
      <c r="F67" s="194">
        <v>3.2500000000000001E-2</v>
      </c>
      <c r="G67" s="186">
        <f t="shared" si="7"/>
        <v>36.92</v>
      </c>
      <c r="H67" s="186"/>
      <c r="I67" s="186"/>
      <c r="J67" s="186">
        <f t="shared" si="17"/>
        <v>32.950000000000003</v>
      </c>
      <c r="K67" s="186">
        <f t="shared" si="18"/>
        <v>3.9699999999999989</v>
      </c>
      <c r="L67" s="186"/>
      <c r="M67" s="186"/>
      <c r="N67" s="186"/>
      <c r="O67" s="186"/>
      <c r="P67" s="186"/>
      <c r="Q67" s="186"/>
      <c r="R67" s="183">
        <f t="shared" si="12"/>
        <v>1013.8325</v>
      </c>
      <c r="S67" s="186">
        <f t="shared" si="2"/>
        <v>14155.895000000006</v>
      </c>
      <c r="T67" s="186"/>
      <c r="U67" s="186"/>
      <c r="V67" s="107">
        <f t="shared" si="19"/>
        <v>12199.140000000007</v>
      </c>
      <c r="W67" s="203">
        <f t="shared" si="20"/>
        <v>1956.7549999999992</v>
      </c>
    </row>
    <row r="68" spans="1:25" hidden="1" x14ac:dyDescent="0.2">
      <c r="A68" s="176">
        <f t="shared" si="0"/>
        <v>61</v>
      </c>
      <c r="B68" s="184">
        <f>+B67+31</f>
        <v>41362</v>
      </c>
      <c r="D68" s="280">
        <v>732.66</v>
      </c>
      <c r="E68" s="107"/>
      <c r="F68" s="194">
        <v>3.2500000000000001E-2</v>
      </c>
      <c r="G68" s="186">
        <f t="shared" si="7"/>
        <v>39.33</v>
      </c>
      <c r="H68" s="186"/>
      <c r="I68" s="186"/>
      <c r="J68" s="186">
        <f t="shared" si="17"/>
        <v>33.04</v>
      </c>
      <c r="K68" s="186">
        <f t="shared" si="18"/>
        <v>6.2899999999999991</v>
      </c>
      <c r="L68" s="186"/>
      <c r="M68" s="186"/>
      <c r="N68" s="186"/>
      <c r="O68" s="186"/>
      <c r="P68" s="186"/>
      <c r="Q68" s="186"/>
      <c r="R68" s="183">
        <f t="shared" si="12"/>
        <v>772.02250000000004</v>
      </c>
      <c r="S68" s="186">
        <f t="shared" si="2"/>
        <v>14927.917500000007</v>
      </c>
      <c r="T68" s="186"/>
      <c r="U68" s="186"/>
      <c r="V68" s="107">
        <f t="shared" si="19"/>
        <v>12232.180000000008</v>
      </c>
      <c r="W68" s="203">
        <f t="shared" si="20"/>
        <v>2695.7374999999993</v>
      </c>
    </row>
    <row r="69" spans="1:25" hidden="1" x14ac:dyDescent="0.2">
      <c r="A69" s="176">
        <f t="shared" si="0"/>
        <v>62</v>
      </c>
      <c r="B69" s="170">
        <f>+B68+30</f>
        <v>41392</v>
      </c>
      <c r="D69" s="280">
        <v>1251.3</v>
      </c>
      <c r="E69" s="107"/>
      <c r="F69" s="194">
        <v>3.2500000000000001E-2</v>
      </c>
      <c r="G69" s="186">
        <f t="shared" si="7"/>
        <v>42.12</v>
      </c>
      <c r="H69" s="186"/>
      <c r="I69" s="186"/>
      <c r="J69" s="186">
        <f t="shared" si="17"/>
        <v>33.130000000000003</v>
      </c>
      <c r="K69" s="186">
        <f t="shared" si="18"/>
        <v>8.9899999999999949</v>
      </c>
      <c r="L69" s="186"/>
      <c r="M69" s="186"/>
      <c r="N69" s="186"/>
      <c r="O69" s="186"/>
      <c r="P69" s="186"/>
      <c r="Q69" s="186"/>
      <c r="R69" s="183">
        <f t="shared" si="12"/>
        <v>1293.4524999999999</v>
      </c>
      <c r="S69" s="186">
        <f t="shared" si="2"/>
        <v>16221.370000000006</v>
      </c>
      <c r="T69" s="186"/>
      <c r="U69" s="186"/>
      <c r="V69" s="107">
        <f t="shared" si="19"/>
        <v>12265.310000000007</v>
      </c>
      <c r="W69" s="203">
        <f t="shared" si="20"/>
        <v>3956.0599999999995</v>
      </c>
    </row>
    <row r="70" spans="1:25" hidden="1" x14ac:dyDescent="0.2">
      <c r="A70" s="176">
        <f t="shared" si="0"/>
        <v>63</v>
      </c>
      <c r="B70" s="170">
        <f>+B69+31</f>
        <v>41423</v>
      </c>
      <c r="D70" s="280">
        <v>1001.04</v>
      </c>
      <c r="E70" s="107"/>
      <c r="F70" s="194">
        <v>3.2500000000000001E-2</v>
      </c>
      <c r="G70" s="186">
        <f t="shared" si="7"/>
        <v>45.29</v>
      </c>
      <c r="H70" s="186"/>
      <c r="I70" s="186"/>
      <c r="J70" s="186">
        <f t="shared" si="17"/>
        <v>33.22</v>
      </c>
      <c r="K70" s="186">
        <f t="shared" si="18"/>
        <v>12.07</v>
      </c>
      <c r="L70" s="186"/>
      <c r="M70" s="186"/>
      <c r="N70" s="186"/>
      <c r="O70" s="186"/>
      <c r="P70" s="186"/>
      <c r="Q70" s="186"/>
      <c r="R70" s="183">
        <f t="shared" si="12"/>
        <v>1046.3625</v>
      </c>
      <c r="S70" s="186">
        <f t="shared" si="2"/>
        <v>17267.732500000006</v>
      </c>
      <c r="T70" s="186"/>
      <c r="U70" s="186"/>
      <c r="V70" s="107">
        <f t="shared" si="19"/>
        <v>12298.530000000006</v>
      </c>
      <c r="W70" s="203">
        <f t="shared" si="20"/>
        <v>4969.2024999999994</v>
      </c>
    </row>
    <row r="71" spans="1:25" hidden="1" x14ac:dyDescent="0.2">
      <c r="A71" s="176">
        <f t="shared" si="0"/>
        <v>64</v>
      </c>
      <c r="B71" s="170">
        <f>+B70+30</f>
        <v>41453</v>
      </c>
      <c r="D71" s="108">
        <v>1001.04</v>
      </c>
      <c r="E71" s="107"/>
      <c r="F71" s="194">
        <v>3.2500000000000001E-2</v>
      </c>
      <c r="G71" s="186">
        <f t="shared" si="7"/>
        <v>48.12</v>
      </c>
      <c r="H71" s="186"/>
      <c r="I71" s="186"/>
      <c r="J71" s="186">
        <f t="shared" si="17"/>
        <v>33.31</v>
      </c>
      <c r="K71" s="186">
        <f t="shared" si="18"/>
        <v>14.809999999999995</v>
      </c>
      <c r="L71" s="186"/>
      <c r="M71" s="186"/>
      <c r="N71" s="186"/>
      <c r="O71" s="186"/>
      <c r="P71" s="186"/>
      <c r="Q71" s="186"/>
      <c r="R71" s="183">
        <f t="shared" si="12"/>
        <v>1049.1924999999999</v>
      </c>
      <c r="S71" s="186">
        <f t="shared" si="2"/>
        <v>18316.925000000007</v>
      </c>
      <c r="T71" s="186"/>
      <c r="U71" s="186"/>
      <c r="V71" s="107">
        <f t="shared" si="19"/>
        <v>12331.840000000006</v>
      </c>
      <c r="W71" s="203">
        <f t="shared" si="20"/>
        <v>5985.0850000000009</v>
      </c>
    </row>
    <row r="72" spans="1:25" hidden="1" x14ac:dyDescent="0.2">
      <c r="A72" s="176">
        <f t="shared" si="0"/>
        <v>65</v>
      </c>
      <c r="B72" s="170">
        <f>+B71+31</f>
        <v>41484</v>
      </c>
      <c r="D72" s="108">
        <v>1251.3</v>
      </c>
      <c r="E72" s="107"/>
      <c r="F72" s="194">
        <v>3.2500000000000001E-2</v>
      </c>
      <c r="G72" s="186">
        <f t="shared" si="7"/>
        <v>51.3</v>
      </c>
      <c r="H72" s="186"/>
      <c r="I72" s="186"/>
      <c r="J72" s="186">
        <f t="shared" si="17"/>
        <v>33.4</v>
      </c>
      <c r="K72" s="186">
        <f t="shared" si="18"/>
        <v>17.899999999999999</v>
      </c>
      <c r="L72" s="186"/>
      <c r="M72" s="186"/>
      <c r="N72" s="186"/>
      <c r="O72" s="186"/>
      <c r="P72" s="186"/>
      <c r="Q72" s="186"/>
      <c r="R72" s="183">
        <f t="shared" si="12"/>
        <v>1302.6324999999999</v>
      </c>
      <c r="S72" s="186">
        <f t="shared" si="2"/>
        <v>19619.557500000006</v>
      </c>
      <c r="T72" s="186"/>
      <c r="U72" s="186"/>
      <c r="V72" s="107">
        <f t="shared" si="19"/>
        <v>12365.240000000005</v>
      </c>
      <c r="W72" s="203">
        <f t="shared" si="20"/>
        <v>7254.317500000001</v>
      </c>
    </row>
    <row r="73" spans="1:25" hidden="1" x14ac:dyDescent="0.2">
      <c r="A73" s="176">
        <f t="shared" ref="A73:A136" si="21">+A72+1</f>
        <v>66</v>
      </c>
      <c r="B73" s="170">
        <f>+B72+31</f>
        <v>41515</v>
      </c>
      <c r="D73" s="108">
        <v>500.52</v>
      </c>
      <c r="E73" s="107"/>
      <c r="F73" s="194">
        <v>3.2500000000000001E-2</v>
      </c>
      <c r="G73" s="186">
        <f t="shared" si="7"/>
        <v>53.81</v>
      </c>
      <c r="H73" s="186"/>
      <c r="I73" s="186"/>
      <c r="J73" s="186">
        <f t="shared" si="17"/>
        <v>33.49</v>
      </c>
      <c r="K73" s="186">
        <f t="shared" si="18"/>
        <v>20.32</v>
      </c>
      <c r="L73" s="186"/>
      <c r="M73" s="186"/>
      <c r="N73" s="186"/>
      <c r="O73" s="186"/>
      <c r="P73" s="186"/>
      <c r="Q73" s="186"/>
      <c r="R73" s="183">
        <f t="shared" si="12"/>
        <v>554.36249999999995</v>
      </c>
      <c r="S73" s="186">
        <f t="shared" si="2"/>
        <v>20173.920000000006</v>
      </c>
      <c r="T73" s="186"/>
      <c r="U73" s="186"/>
      <c r="V73" s="107">
        <f t="shared" si="19"/>
        <v>12398.730000000005</v>
      </c>
      <c r="W73" s="203">
        <f t="shared" si="20"/>
        <v>7775.1900000000005</v>
      </c>
    </row>
    <row r="74" spans="1:25" hidden="1" x14ac:dyDescent="0.2">
      <c r="A74" s="176">
        <f t="shared" si="21"/>
        <v>67</v>
      </c>
      <c r="B74" s="170">
        <f>+B73+30</f>
        <v>41545</v>
      </c>
      <c r="D74" s="108">
        <v>1001.04</v>
      </c>
      <c r="E74" s="107"/>
      <c r="F74" s="194">
        <v>3.2500000000000001E-2</v>
      </c>
      <c r="G74" s="186">
        <f t="shared" si="7"/>
        <v>55.99</v>
      </c>
      <c r="H74" s="186"/>
      <c r="I74" s="186"/>
      <c r="J74" s="186">
        <f t="shared" si="17"/>
        <v>33.58</v>
      </c>
      <c r="K74" s="186">
        <f t="shared" si="18"/>
        <v>22.410000000000004</v>
      </c>
      <c r="L74" s="186"/>
      <c r="M74" s="186"/>
      <c r="N74" s="186"/>
      <c r="O74" s="186"/>
      <c r="P74" s="186"/>
      <c r="Q74" s="186"/>
      <c r="R74" s="183">
        <f t="shared" si="12"/>
        <v>1057.0625</v>
      </c>
      <c r="S74" s="186">
        <f t="shared" si="2"/>
        <v>21230.982500000006</v>
      </c>
      <c r="T74" s="186"/>
      <c r="U74" s="186"/>
      <c r="V74" s="107">
        <f t="shared" si="19"/>
        <v>12432.310000000005</v>
      </c>
      <c r="W74" s="203">
        <f t="shared" si="20"/>
        <v>8798.6725000000006</v>
      </c>
      <c r="X74" s="204"/>
    </row>
    <row r="75" spans="1:25" hidden="1" x14ac:dyDescent="0.2">
      <c r="A75" s="176">
        <f t="shared" si="21"/>
        <v>68</v>
      </c>
      <c r="B75" s="170">
        <f>+B74+31</f>
        <v>41576</v>
      </c>
      <c r="D75" s="108">
        <v>1001.04</v>
      </c>
      <c r="E75" s="107"/>
      <c r="F75" s="194">
        <v>3.2500000000000001E-2</v>
      </c>
      <c r="G75" s="186">
        <f t="shared" si="7"/>
        <v>58.86</v>
      </c>
      <c r="H75" s="186"/>
      <c r="I75" s="186"/>
      <c r="J75" s="186">
        <f t="shared" si="17"/>
        <v>33.67</v>
      </c>
      <c r="K75" s="186">
        <f t="shared" si="18"/>
        <v>25.189999999999998</v>
      </c>
      <c r="L75" s="186"/>
      <c r="M75" s="186"/>
      <c r="N75" s="186"/>
      <c r="O75" s="186"/>
      <c r="P75" s="186"/>
      <c r="Q75" s="186"/>
      <c r="R75" s="183">
        <f t="shared" si="12"/>
        <v>1059.9324999999999</v>
      </c>
      <c r="S75" s="186">
        <f t="shared" si="2"/>
        <v>22290.915000000005</v>
      </c>
      <c r="T75" s="186"/>
      <c r="U75" s="186"/>
      <c r="V75" s="108">
        <f t="shared" si="19"/>
        <v>12465.980000000005</v>
      </c>
      <c r="W75" s="203">
        <f t="shared" si="20"/>
        <v>9824.9349999999995</v>
      </c>
      <c r="X75" s="204"/>
    </row>
    <row r="76" spans="1:25" hidden="1" x14ac:dyDescent="0.2">
      <c r="A76" s="176">
        <f t="shared" si="21"/>
        <v>69</v>
      </c>
      <c r="B76" s="170">
        <f>+B75+30</f>
        <v>41606</v>
      </c>
      <c r="C76" s="200">
        <v>1</v>
      </c>
      <c r="D76" s="108">
        <v>500.52</v>
      </c>
      <c r="E76" s="107">
        <f>-V75</f>
        <v>-12465.980000000005</v>
      </c>
      <c r="F76" s="194">
        <v>3.2500000000000001E-2</v>
      </c>
      <c r="G76" s="186">
        <f t="shared" si="7"/>
        <v>27.29</v>
      </c>
      <c r="H76" s="186"/>
      <c r="I76" s="186"/>
      <c r="J76" s="186"/>
      <c r="K76" s="186">
        <f t="shared" si="18"/>
        <v>27.29</v>
      </c>
      <c r="L76" s="186"/>
      <c r="M76" s="186"/>
      <c r="N76" s="186"/>
      <c r="O76" s="186"/>
      <c r="P76" s="186"/>
      <c r="Q76" s="186"/>
      <c r="R76" s="183">
        <f t="shared" si="12"/>
        <v>-11938.137500000004</v>
      </c>
      <c r="S76" s="186">
        <f t="shared" si="2"/>
        <v>10352.7775</v>
      </c>
      <c r="T76" s="186"/>
      <c r="U76" s="186"/>
      <c r="V76" s="108"/>
      <c r="W76" s="203">
        <f t="shared" si="20"/>
        <v>10352.7775</v>
      </c>
      <c r="X76" s="204"/>
    </row>
    <row r="77" spans="1:25" ht="13.5" hidden="1" thickBot="1" x14ac:dyDescent="0.25">
      <c r="A77" s="176">
        <f t="shared" si="21"/>
        <v>70</v>
      </c>
      <c r="B77" s="190">
        <f>+B76+31</f>
        <v>41637</v>
      </c>
      <c r="C77" s="190"/>
      <c r="D77" s="205">
        <v>1001.04</v>
      </c>
      <c r="E77" s="193"/>
      <c r="F77" s="196">
        <v>3.2500000000000001E-2</v>
      </c>
      <c r="G77" s="192">
        <f t="shared" si="7"/>
        <v>29.39</v>
      </c>
      <c r="H77" s="192"/>
      <c r="I77" s="192"/>
      <c r="J77" s="192"/>
      <c r="K77" s="192">
        <f t="shared" si="18"/>
        <v>29.39</v>
      </c>
      <c r="L77" s="192"/>
      <c r="M77" s="192"/>
      <c r="N77" s="192"/>
      <c r="O77" s="192"/>
      <c r="P77" s="192"/>
      <c r="Q77" s="192"/>
      <c r="R77" s="191">
        <f t="shared" si="12"/>
        <v>1030.4625000000001</v>
      </c>
      <c r="S77" s="192">
        <f t="shared" si="2"/>
        <v>11383.24</v>
      </c>
      <c r="T77" s="192"/>
      <c r="U77" s="192"/>
      <c r="V77" s="205"/>
      <c r="W77" s="206">
        <f t="shared" si="20"/>
        <v>11383.24</v>
      </c>
      <c r="X77" s="207"/>
      <c r="Y77" s="190"/>
    </row>
    <row r="78" spans="1:25" hidden="1" x14ac:dyDescent="0.2">
      <c r="A78" s="176">
        <f t="shared" si="21"/>
        <v>71</v>
      </c>
      <c r="B78" s="202">
        <f>+B77+31</f>
        <v>41668</v>
      </c>
      <c r="D78" s="108">
        <v>947.84</v>
      </c>
      <c r="E78" s="107"/>
      <c r="F78" s="194">
        <v>3.2500000000000001E-2</v>
      </c>
      <c r="G78" s="186">
        <f t="shared" si="7"/>
        <v>32.11</v>
      </c>
      <c r="H78" s="186"/>
      <c r="I78" s="186"/>
      <c r="J78" s="186"/>
      <c r="K78" s="186">
        <f t="shared" ref="K78:K87" si="22">ROUND(W77*F78/12,2)</f>
        <v>30.83</v>
      </c>
      <c r="L78" s="186">
        <f t="shared" ref="L78:L89" si="23">+G78-K78</f>
        <v>1.2800000000000011</v>
      </c>
      <c r="M78" s="186"/>
      <c r="N78" s="186"/>
      <c r="O78" s="186"/>
      <c r="P78" s="186"/>
      <c r="Q78" s="186"/>
      <c r="R78" s="183">
        <f t="shared" si="12"/>
        <v>979.98250000000007</v>
      </c>
      <c r="S78" s="186">
        <f t="shared" si="2"/>
        <v>12363.2225</v>
      </c>
      <c r="T78" s="186"/>
      <c r="U78" s="186"/>
      <c r="V78" s="108"/>
      <c r="W78" s="107">
        <f>+W77+K78</f>
        <v>11414.07</v>
      </c>
      <c r="X78" s="203">
        <f>+S78-W78</f>
        <v>949.15250000000015</v>
      </c>
    </row>
    <row r="79" spans="1:25" hidden="1" x14ac:dyDescent="0.2">
      <c r="A79" s="176">
        <f t="shared" si="21"/>
        <v>72</v>
      </c>
      <c r="B79" s="184">
        <f>+B78+28</f>
        <v>41696</v>
      </c>
      <c r="D79" s="108">
        <v>947.84</v>
      </c>
      <c r="E79" s="107"/>
      <c r="F79" s="194">
        <v>3.2500000000000001E-2</v>
      </c>
      <c r="G79" s="186">
        <f t="shared" si="7"/>
        <v>34.770000000000003</v>
      </c>
      <c r="H79" s="186"/>
      <c r="I79" s="186"/>
      <c r="J79" s="186"/>
      <c r="K79" s="186">
        <f t="shared" si="22"/>
        <v>30.91</v>
      </c>
      <c r="L79" s="186">
        <f t="shared" si="23"/>
        <v>3.860000000000003</v>
      </c>
      <c r="M79" s="186"/>
      <c r="N79" s="186"/>
      <c r="O79" s="186"/>
      <c r="P79" s="186"/>
      <c r="Q79" s="186"/>
      <c r="R79" s="183">
        <f t="shared" si="12"/>
        <v>982.64250000000004</v>
      </c>
      <c r="S79" s="186">
        <f t="shared" si="2"/>
        <v>13345.865</v>
      </c>
      <c r="T79" s="186"/>
      <c r="U79" s="186"/>
      <c r="V79" s="108"/>
      <c r="W79" s="107">
        <f t="shared" ref="W79:W87" si="24">+W78+K79</f>
        <v>11444.98</v>
      </c>
      <c r="X79" s="203">
        <f t="shared" ref="X79:X89" si="25">+S79-W79</f>
        <v>1900.8850000000002</v>
      </c>
    </row>
    <row r="80" spans="1:25" hidden="1" x14ac:dyDescent="0.2">
      <c r="A80" s="176">
        <f t="shared" si="21"/>
        <v>73</v>
      </c>
      <c r="B80" s="184">
        <f>+B79+31</f>
        <v>41727</v>
      </c>
      <c r="D80" s="108">
        <v>718.62</v>
      </c>
      <c r="E80" s="107"/>
      <c r="F80" s="194">
        <v>3.2500000000000001E-2</v>
      </c>
      <c r="G80" s="186">
        <f t="shared" si="7"/>
        <v>37.119999999999997</v>
      </c>
      <c r="H80" s="186"/>
      <c r="I80" s="186"/>
      <c r="J80" s="186"/>
      <c r="K80" s="186">
        <f t="shared" si="22"/>
        <v>31</v>
      </c>
      <c r="L80" s="186">
        <f t="shared" si="23"/>
        <v>6.1199999999999974</v>
      </c>
      <c r="M80" s="186"/>
      <c r="N80" s="186"/>
      <c r="O80" s="186"/>
      <c r="P80" s="186"/>
      <c r="Q80" s="186"/>
      <c r="R80" s="183">
        <f t="shared" si="12"/>
        <v>755.77250000000004</v>
      </c>
      <c r="S80" s="186">
        <f t="shared" ref="S80:S96" si="26">+S79+R80</f>
        <v>14101.637500000001</v>
      </c>
      <c r="T80" s="186"/>
      <c r="U80" s="186"/>
      <c r="V80" s="108"/>
      <c r="W80" s="107">
        <f t="shared" si="24"/>
        <v>11475.98</v>
      </c>
      <c r="X80" s="203">
        <f t="shared" si="25"/>
        <v>2625.6575000000012</v>
      </c>
    </row>
    <row r="81" spans="1:25" hidden="1" x14ac:dyDescent="0.2">
      <c r="A81" s="176">
        <f t="shared" si="21"/>
        <v>74</v>
      </c>
      <c r="B81" s="170">
        <f>+B80+30</f>
        <v>41757</v>
      </c>
      <c r="D81" s="108">
        <v>958.16</v>
      </c>
      <c r="E81" s="107"/>
      <c r="F81" s="194">
        <v>3.2500000000000001E-2</v>
      </c>
      <c r="G81" s="186">
        <f t="shared" si="7"/>
        <v>39.49</v>
      </c>
      <c r="H81" s="186"/>
      <c r="I81" s="186"/>
      <c r="J81" s="186"/>
      <c r="K81" s="186">
        <f t="shared" si="22"/>
        <v>31.08</v>
      </c>
      <c r="L81" s="186">
        <f t="shared" si="23"/>
        <v>8.4100000000000037</v>
      </c>
      <c r="M81" s="186"/>
      <c r="N81" s="186"/>
      <c r="O81" s="186"/>
      <c r="P81" s="186"/>
      <c r="Q81" s="186"/>
      <c r="R81" s="183">
        <f t="shared" si="12"/>
        <v>997.6825</v>
      </c>
      <c r="S81" s="186">
        <f t="shared" si="26"/>
        <v>15099.320000000002</v>
      </c>
      <c r="T81" s="186"/>
      <c r="U81" s="186"/>
      <c r="V81" s="108"/>
      <c r="W81" s="107">
        <f t="shared" si="24"/>
        <v>11507.06</v>
      </c>
      <c r="X81" s="203">
        <f t="shared" si="25"/>
        <v>3592.260000000002</v>
      </c>
    </row>
    <row r="82" spans="1:25" hidden="1" x14ac:dyDescent="0.2">
      <c r="A82" s="176">
        <f t="shared" si="21"/>
        <v>75</v>
      </c>
      <c r="B82" s="170">
        <f>+B81+31</f>
        <v>41788</v>
      </c>
      <c r="D82" s="108">
        <v>479.08</v>
      </c>
      <c r="E82" s="107"/>
      <c r="F82" s="194">
        <v>3.2500000000000001E-2</v>
      </c>
      <c r="G82" s="186">
        <f t="shared" si="7"/>
        <v>41.54</v>
      </c>
      <c r="H82" s="186"/>
      <c r="I82" s="186"/>
      <c r="J82" s="186"/>
      <c r="K82" s="186">
        <f t="shared" si="22"/>
        <v>31.16</v>
      </c>
      <c r="L82" s="186">
        <f t="shared" si="23"/>
        <v>10.379999999999999</v>
      </c>
      <c r="M82" s="186"/>
      <c r="N82" s="186"/>
      <c r="O82" s="186"/>
      <c r="P82" s="186"/>
      <c r="Q82" s="186"/>
      <c r="R82" s="183">
        <f t="shared" si="12"/>
        <v>520.65250000000003</v>
      </c>
      <c r="S82" s="186">
        <f t="shared" si="26"/>
        <v>15619.972500000002</v>
      </c>
      <c r="T82" s="186"/>
      <c r="U82" s="186"/>
      <c r="V82" s="108"/>
      <c r="W82" s="107">
        <f t="shared" si="24"/>
        <v>11538.22</v>
      </c>
      <c r="X82" s="203">
        <f t="shared" si="25"/>
        <v>4081.7525000000023</v>
      </c>
    </row>
    <row r="83" spans="1:25" hidden="1" x14ac:dyDescent="0.2">
      <c r="A83" s="176">
        <f t="shared" si="21"/>
        <v>76</v>
      </c>
      <c r="B83" s="170">
        <f>+B82+30</f>
        <v>41818</v>
      </c>
      <c r="D83" s="108">
        <v>958.16</v>
      </c>
      <c r="E83" s="107"/>
      <c r="F83" s="194">
        <v>3.2500000000000001E-2</v>
      </c>
      <c r="G83" s="186">
        <f t="shared" si="7"/>
        <v>43.6</v>
      </c>
      <c r="H83" s="186"/>
      <c r="I83" s="186"/>
      <c r="J83" s="186"/>
      <c r="K83" s="186">
        <f t="shared" si="22"/>
        <v>31.25</v>
      </c>
      <c r="L83" s="186">
        <f t="shared" si="23"/>
        <v>12.350000000000001</v>
      </c>
      <c r="M83" s="186"/>
      <c r="N83" s="186"/>
      <c r="O83" s="186"/>
      <c r="P83" s="186"/>
      <c r="Q83" s="186"/>
      <c r="R83" s="183">
        <f t="shared" si="12"/>
        <v>1001.7925</v>
      </c>
      <c r="S83" s="186">
        <f t="shared" si="26"/>
        <v>16621.765000000003</v>
      </c>
      <c r="T83" s="186"/>
      <c r="U83" s="186"/>
      <c r="V83" s="108"/>
      <c r="W83" s="107">
        <f t="shared" si="24"/>
        <v>11569.47</v>
      </c>
      <c r="X83" s="203">
        <f t="shared" si="25"/>
        <v>5052.2950000000037</v>
      </c>
    </row>
    <row r="84" spans="1:25" hidden="1" x14ac:dyDescent="0.2">
      <c r="A84" s="176">
        <f t="shared" si="21"/>
        <v>77</v>
      </c>
      <c r="B84" s="170">
        <f>+B83+31</f>
        <v>41849</v>
      </c>
      <c r="D84" s="108">
        <v>718.62</v>
      </c>
      <c r="E84" s="107"/>
      <c r="F84" s="194">
        <v>3.2500000000000001E-2</v>
      </c>
      <c r="G84" s="186">
        <f t="shared" si="7"/>
        <v>45.99</v>
      </c>
      <c r="H84" s="186"/>
      <c r="I84" s="186"/>
      <c r="J84" s="186"/>
      <c r="K84" s="186">
        <f t="shared" si="22"/>
        <v>31.33</v>
      </c>
      <c r="L84" s="186">
        <f t="shared" si="23"/>
        <v>14.660000000000004</v>
      </c>
      <c r="M84" s="186"/>
      <c r="N84" s="186"/>
      <c r="O84" s="186"/>
      <c r="P84" s="186"/>
      <c r="Q84" s="186"/>
      <c r="R84" s="183">
        <f t="shared" si="12"/>
        <v>764.64250000000004</v>
      </c>
      <c r="S84" s="186">
        <f t="shared" si="26"/>
        <v>17386.407500000005</v>
      </c>
      <c r="T84" s="186"/>
      <c r="U84" s="186"/>
      <c r="V84" s="108"/>
      <c r="W84" s="107">
        <f t="shared" si="24"/>
        <v>11600.8</v>
      </c>
      <c r="X84" s="203">
        <f t="shared" si="25"/>
        <v>5785.6075000000055</v>
      </c>
    </row>
    <row r="85" spans="1:25" hidden="1" x14ac:dyDescent="0.2">
      <c r="A85" s="176">
        <f t="shared" si="21"/>
        <v>78</v>
      </c>
      <c r="B85" s="170">
        <f>+B84+31</f>
        <v>41880</v>
      </c>
      <c r="D85" s="108">
        <v>1197.7</v>
      </c>
      <c r="E85" s="107"/>
      <c r="F85" s="194">
        <v>3.2500000000000001E-2</v>
      </c>
      <c r="G85" s="186">
        <f t="shared" si="7"/>
        <v>48.71</v>
      </c>
      <c r="H85" s="186"/>
      <c r="I85" s="186"/>
      <c r="J85" s="186"/>
      <c r="K85" s="186">
        <f t="shared" si="22"/>
        <v>31.42</v>
      </c>
      <c r="L85" s="186">
        <f t="shared" si="23"/>
        <v>17.29</v>
      </c>
      <c r="M85" s="186"/>
      <c r="N85" s="186"/>
      <c r="O85" s="186"/>
      <c r="P85" s="186"/>
      <c r="Q85" s="186"/>
      <c r="R85" s="183">
        <f t="shared" si="12"/>
        <v>1246.4425000000001</v>
      </c>
      <c r="S85" s="186">
        <f t="shared" si="26"/>
        <v>18632.850000000006</v>
      </c>
      <c r="T85" s="186"/>
      <c r="U85" s="186"/>
      <c r="V85" s="108"/>
      <c r="W85" s="107">
        <f t="shared" si="24"/>
        <v>11632.22</v>
      </c>
      <c r="X85" s="203">
        <f t="shared" si="25"/>
        <v>7000.6300000000065</v>
      </c>
    </row>
    <row r="86" spans="1:25" hidden="1" x14ac:dyDescent="0.2">
      <c r="A86" s="176">
        <f t="shared" si="21"/>
        <v>79</v>
      </c>
      <c r="B86" s="170">
        <f>+B85+30</f>
        <v>41910</v>
      </c>
      <c r="D86" s="108">
        <v>958.16</v>
      </c>
      <c r="E86" s="107"/>
      <c r="F86" s="194">
        <v>3.2500000000000001E-2</v>
      </c>
      <c r="G86" s="186">
        <f t="shared" si="7"/>
        <v>51.76</v>
      </c>
      <c r="H86" s="186"/>
      <c r="I86" s="186"/>
      <c r="J86" s="186"/>
      <c r="K86" s="186">
        <f t="shared" si="22"/>
        <v>31.5</v>
      </c>
      <c r="L86" s="186">
        <f t="shared" si="23"/>
        <v>20.259999999999998</v>
      </c>
      <c r="M86" s="186"/>
      <c r="N86" s="186"/>
      <c r="O86" s="186"/>
      <c r="P86" s="186"/>
      <c r="Q86" s="186"/>
      <c r="R86" s="183">
        <f t="shared" si="12"/>
        <v>1009.9525</v>
      </c>
      <c r="S86" s="186">
        <f t="shared" si="26"/>
        <v>19642.802500000005</v>
      </c>
      <c r="T86" s="186"/>
      <c r="U86" s="186"/>
      <c r="V86" s="108"/>
      <c r="W86" s="107">
        <f t="shared" si="24"/>
        <v>11663.72</v>
      </c>
      <c r="X86" s="203">
        <f t="shared" si="25"/>
        <v>7979.0825000000059</v>
      </c>
    </row>
    <row r="87" spans="1:25" hidden="1" x14ac:dyDescent="0.2">
      <c r="A87" s="176">
        <f t="shared" si="21"/>
        <v>80</v>
      </c>
      <c r="B87" s="170">
        <f>+B86+31</f>
        <v>41941</v>
      </c>
      <c r="D87" s="108">
        <v>958.16</v>
      </c>
      <c r="E87" s="107"/>
      <c r="F87" s="194">
        <v>3.2500000000000001E-2</v>
      </c>
      <c r="G87" s="186">
        <f t="shared" si="7"/>
        <v>54.5</v>
      </c>
      <c r="H87" s="186"/>
      <c r="I87" s="186"/>
      <c r="J87" s="186"/>
      <c r="K87" s="186">
        <f t="shared" si="22"/>
        <v>31.59</v>
      </c>
      <c r="L87" s="186">
        <f t="shared" si="23"/>
        <v>22.91</v>
      </c>
      <c r="M87" s="186"/>
      <c r="N87" s="186"/>
      <c r="O87" s="186"/>
      <c r="P87" s="186"/>
      <c r="Q87" s="186"/>
      <c r="R87" s="183">
        <f t="shared" si="12"/>
        <v>1012.6925</v>
      </c>
      <c r="S87" s="186">
        <f t="shared" si="26"/>
        <v>20655.495000000006</v>
      </c>
      <c r="T87" s="186"/>
      <c r="U87" s="186"/>
      <c r="V87" s="108"/>
      <c r="W87" s="107">
        <f t="shared" si="24"/>
        <v>11695.31</v>
      </c>
      <c r="X87" s="203">
        <f t="shared" si="25"/>
        <v>8960.1850000000068</v>
      </c>
    </row>
    <row r="88" spans="1:25" hidden="1" x14ac:dyDescent="0.2">
      <c r="A88" s="176">
        <f t="shared" si="21"/>
        <v>81</v>
      </c>
      <c r="B88" s="170">
        <f>+B87+30</f>
        <v>41971</v>
      </c>
      <c r="C88" s="200">
        <v>1</v>
      </c>
      <c r="D88" s="108">
        <v>479.08</v>
      </c>
      <c r="E88" s="107">
        <f>-W87</f>
        <v>-11695.31</v>
      </c>
      <c r="F88" s="194">
        <v>3.2500000000000001E-2</v>
      </c>
      <c r="G88" s="186">
        <f t="shared" si="7"/>
        <v>24.92</v>
      </c>
      <c r="H88" s="186"/>
      <c r="I88" s="186"/>
      <c r="J88" s="186"/>
      <c r="K88" s="186"/>
      <c r="L88" s="186">
        <f t="shared" si="23"/>
        <v>24.92</v>
      </c>
      <c r="M88" s="186"/>
      <c r="N88" s="186"/>
      <c r="O88" s="186"/>
      <c r="P88" s="186"/>
      <c r="Q88" s="186"/>
      <c r="R88" s="183">
        <f t="shared" si="12"/>
        <v>-11191.2775</v>
      </c>
      <c r="S88" s="197">
        <f t="shared" si="26"/>
        <v>9464.2175000000061</v>
      </c>
      <c r="T88" s="186"/>
      <c r="U88" s="186"/>
      <c r="V88" s="108"/>
      <c r="W88" s="203"/>
      <c r="X88" s="203">
        <f t="shared" si="25"/>
        <v>9464.2175000000061</v>
      </c>
    </row>
    <row r="89" spans="1:25" ht="13.5" hidden="1" thickBot="1" x14ac:dyDescent="0.25">
      <c r="A89" s="176">
        <f t="shared" si="21"/>
        <v>82</v>
      </c>
      <c r="B89" s="190">
        <f>+B88+31</f>
        <v>42002</v>
      </c>
      <c r="C89" s="190"/>
      <c r="D89" s="205">
        <v>0</v>
      </c>
      <c r="E89" s="193"/>
      <c r="F89" s="196">
        <v>3.2500000000000001E-2</v>
      </c>
      <c r="G89" s="192">
        <f t="shared" si="7"/>
        <v>25.63</v>
      </c>
      <c r="H89" s="192"/>
      <c r="I89" s="192"/>
      <c r="J89" s="192"/>
      <c r="K89" s="192"/>
      <c r="L89" s="192">
        <f t="shared" si="23"/>
        <v>25.63</v>
      </c>
      <c r="M89" s="192"/>
      <c r="N89" s="192"/>
      <c r="O89" s="192"/>
      <c r="P89" s="192"/>
      <c r="Q89" s="192"/>
      <c r="R89" s="191">
        <f t="shared" si="12"/>
        <v>25.662499999999998</v>
      </c>
      <c r="S89" s="192">
        <f t="shared" si="26"/>
        <v>9489.8800000000065</v>
      </c>
      <c r="T89" s="192"/>
      <c r="U89" s="192"/>
      <c r="V89" s="205"/>
      <c r="W89" s="206"/>
      <c r="X89" s="206">
        <f t="shared" si="25"/>
        <v>9489.8800000000065</v>
      </c>
      <c r="Y89" s="190"/>
    </row>
    <row r="90" spans="1:25" hidden="1" x14ac:dyDescent="0.2">
      <c r="A90" s="176">
        <f t="shared" si="21"/>
        <v>83</v>
      </c>
      <c r="B90" s="170">
        <f>+B89+31</f>
        <v>42033</v>
      </c>
      <c r="D90" s="281">
        <v>299.7</v>
      </c>
      <c r="E90" s="107"/>
      <c r="F90" s="208">
        <v>3.2500000000000001E-2</v>
      </c>
      <c r="G90" s="186">
        <f t="shared" si="7"/>
        <v>26.11</v>
      </c>
      <c r="H90" s="186"/>
      <c r="I90" s="186"/>
      <c r="J90" s="186"/>
      <c r="K90" s="186"/>
      <c r="L90" s="186">
        <f t="shared" ref="L90:L99" si="27">ROUND(X89*F90/12,2)</f>
        <v>25.7</v>
      </c>
      <c r="M90" s="186">
        <f t="shared" ref="M90:M101" si="28">+G90-L90</f>
        <v>0.41000000000000014</v>
      </c>
      <c r="N90" s="186"/>
      <c r="O90" s="186"/>
      <c r="P90" s="186"/>
      <c r="Q90" s="186"/>
      <c r="R90" s="183">
        <f t="shared" si="12"/>
        <v>325.84250000000003</v>
      </c>
      <c r="S90" s="186">
        <f t="shared" si="26"/>
        <v>9815.7225000000071</v>
      </c>
      <c r="T90" s="186"/>
      <c r="U90" s="186"/>
      <c r="V90" s="107"/>
      <c r="X90" s="203">
        <f>+X89+L90</f>
        <v>9515.5800000000072</v>
      </c>
      <c r="Y90" s="203">
        <f t="shared" ref="Y90:Y101" si="29">+S90-X90</f>
        <v>300.14249999999993</v>
      </c>
    </row>
    <row r="91" spans="1:25" hidden="1" x14ac:dyDescent="0.2">
      <c r="A91" s="176">
        <f t="shared" si="21"/>
        <v>84</v>
      </c>
      <c r="B91" s="170">
        <f>+B90+29</f>
        <v>42062</v>
      </c>
      <c r="D91" s="281">
        <v>341.04</v>
      </c>
      <c r="E91" s="107"/>
      <c r="F91" s="208">
        <v>3.2500000000000001E-2</v>
      </c>
      <c r="G91" s="186">
        <f t="shared" si="7"/>
        <v>27.05</v>
      </c>
      <c r="H91" s="186"/>
      <c r="I91" s="186"/>
      <c r="J91" s="186"/>
      <c r="K91" s="186"/>
      <c r="L91" s="186">
        <f t="shared" si="27"/>
        <v>25.77</v>
      </c>
      <c r="M91" s="186">
        <f t="shared" si="28"/>
        <v>1.2800000000000011</v>
      </c>
      <c r="N91" s="186"/>
      <c r="O91" s="186"/>
      <c r="P91" s="186"/>
      <c r="Q91" s="186"/>
      <c r="R91" s="183">
        <f t="shared" si="12"/>
        <v>368.12250000000006</v>
      </c>
      <c r="S91" s="186">
        <f t="shared" si="26"/>
        <v>10183.845000000007</v>
      </c>
      <c r="T91" s="186"/>
      <c r="U91" s="186"/>
      <c r="V91" s="107"/>
      <c r="X91" s="203">
        <f t="shared" ref="X91:X99" si="30">+X90+L91</f>
        <v>9541.3500000000076</v>
      </c>
      <c r="Y91" s="203">
        <f t="shared" si="29"/>
        <v>642.49499999999898</v>
      </c>
    </row>
    <row r="92" spans="1:25" hidden="1" x14ac:dyDescent="0.2">
      <c r="A92" s="176">
        <f t="shared" si="21"/>
        <v>85</v>
      </c>
      <c r="B92" s="170">
        <f>+B91+31</f>
        <v>42093</v>
      </c>
      <c r="D92" s="281">
        <v>160.19</v>
      </c>
      <c r="E92" s="107"/>
      <c r="F92" s="208">
        <v>3.2500000000000001E-2</v>
      </c>
      <c r="G92" s="186">
        <f t="shared" si="7"/>
        <v>27.8</v>
      </c>
      <c r="H92" s="186"/>
      <c r="I92" s="186"/>
      <c r="J92" s="186"/>
      <c r="K92" s="186"/>
      <c r="L92" s="186">
        <f t="shared" si="27"/>
        <v>25.84</v>
      </c>
      <c r="M92" s="186">
        <f t="shared" si="28"/>
        <v>1.9600000000000009</v>
      </c>
      <c r="N92" s="186"/>
      <c r="O92" s="186"/>
      <c r="P92" s="186"/>
      <c r="Q92" s="186"/>
      <c r="R92" s="183">
        <f t="shared" si="12"/>
        <v>188.02250000000001</v>
      </c>
      <c r="S92" s="186">
        <f t="shared" si="26"/>
        <v>10371.867500000006</v>
      </c>
      <c r="T92" s="186"/>
      <c r="U92" s="186"/>
      <c r="V92" s="107"/>
      <c r="X92" s="203">
        <f t="shared" si="30"/>
        <v>9567.1900000000078</v>
      </c>
      <c r="Y92" s="203">
        <f t="shared" si="29"/>
        <v>804.67749999999796</v>
      </c>
    </row>
    <row r="93" spans="1:25" hidden="1" x14ac:dyDescent="0.2">
      <c r="A93" s="176">
        <f t="shared" si="21"/>
        <v>86</v>
      </c>
      <c r="B93" s="170">
        <f>+B92+30</f>
        <v>42123</v>
      </c>
      <c r="D93" s="281">
        <v>428.89</v>
      </c>
      <c r="E93" s="107"/>
      <c r="F93" s="208">
        <v>3.2500000000000001E-2</v>
      </c>
      <c r="G93" s="186">
        <f t="shared" si="7"/>
        <v>28.67</v>
      </c>
      <c r="H93" s="186"/>
      <c r="I93" s="186"/>
      <c r="J93" s="186"/>
      <c r="K93" s="186"/>
      <c r="L93" s="186">
        <f t="shared" si="27"/>
        <v>25.91</v>
      </c>
      <c r="M93" s="186">
        <f t="shared" si="28"/>
        <v>2.7600000000000016</v>
      </c>
      <c r="N93" s="186"/>
      <c r="O93" s="186"/>
      <c r="P93" s="186"/>
      <c r="Q93" s="186"/>
      <c r="R93" s="183">
        <f t="shared" si="12"/>
        <v>457.59250000000003</v>
      </c>
      <c r="S93" s="186">
        <f t="shared" si="26"/>
        <v>10829.460000000006</v>
      </c>
      <c r="T93" s="186"/>
      <c r="U93" s="186"/>
      <c r="V93" s="107"/>
      <c r="X93" s="203">
        <f t="shared" si="30"/>
        <v>9593.1000000000076</v>
      </c>
      <c r="Y93" s="203">
        <f t="shared" si="29"/>
        <v>1236.3599999999988</v>
      </c>
    </row>
    <row r="94" spans="1:25" hidden="1" x14ac:dyDescent="0.2">
      <c r="A94" s="176">
        <f t="shared" si="21"/>
        <v>87</v>
      </c>
      <c r="B94" s="170">
        <f>+B93+31</f>
        <v>42154</v>
      </c>
      <c r="D94" s="281">
        <v>764.76</v>
      </c>
      <c r="E94" s="107"/>
      <c r="F94" s="208">
        <v>3.2500000000000001E-2</v>
      </c>
      <c r="G94" s="186">
        <f t="shared" si="7"/>
        <v>30.37</v>
      </c>
      <c r="H94" s="186"/>
      <c r="I94" s="186"/>
      <c r="J94" s="186"/>
      <c r="K94" s="186"/>
      <c r="L94" s="186">
        <f t="shared" si="27"/>
        <v>25.98</v>
      </c>
      <c r="M94" s="186">
        <f t="shared" si="28"/>
        <v>4.3900000000000006</v>
      </c>
      <c r="N94" s="186"/>
      <c r="O94" s="186"/>
      <c r="P94" s="186"/>
      <c r="Q94" s="186"/>
      <c r="R94" s="183">
        <f t="shared" si="12"/>
        <v>795.16250000000002</v>
      </c>
      <c r="S94" s="186">
        <f t="shared" si="26"/>
        <v>11624.622500000007</v>
      </c>
      <c r="T94" s="186"/>
      <c r="U94" s="186"/>
      <c r="V94" s="107"/>
      <c r="X94" s="203">
        <f t="shared" si="30"/>
        <v>9619.0800000000072</v>
      </c>
      <c r="Y94" s="203">
        <f t="shared" si="29"/>
        <v>2005.5424999999996</v>
      </c>
    </row>
    <row r="95" spans="1:25" hidden="1" x14ac:dyDescent="0.2">
      <c r="A95" s="176">
        <f t="shared" si="21"/>
        <v>88</v>
      </c>
      <c r="B95" s="170">
        <f>+B94+30</f>
        <v>42184</v>
      </c>
      <c r="D95" s="281">
        <v>986.94</v>
      </c>
      <c r="E95" s="107"/>
      <c r="F95" s="208">
        <v>3.2500000000000001E-2</v>
      </c>
      <c r="G95" s="186">
        <f t="shared" si="7"/>
        <v>32.82</v>
      </c>
      <c r="H95" s="186"/>
      <c r="I95" s="186"/>
      <c r="J95" s="186"/>
      <c r="K95" s="186"/>
      <c r="L95" s="186">
        <f t="shared" si="27"/>
        <v>26.05</v>
      </c>
      <c r="M95" s="186">
        <f t="shared" si="28"/>
        <v>6.77</v>
      </c>
      <c r="N95" s="186"/>
      <c r="O95" s="186"/>
      <c r="P95" s="186"/>
      <c r="Q95" s="186"/>
      <c r="R95" s="183">
        <f t="shared" si="12"/>
        <v>1019.7925000000001</v>
      </c>
      <c r="S95" s="186">
        <f t="shared" si="26"/>
        <v>12644.415000000006</v>
      </c>
      <c r="T95" s="186"/>
      <c r="U95" s="186"/>
      <c r="V95" s="107"/>
      <c r="X95" s="203">
        <f t="shared" si="30"/>
        <v>9645.1300000000065</v>
      </c>
      <c r="Y95" s="203">
        <f t="shared" si="29"/>
        <v>2999.2849999999999</v>
      </c>
    </row>
    <row r="96" spans="1:25" hidden="1" x14ac:dyDescent="0.2">
      <c r="A96" s="176">
        <f t="shared" si="21"/>
        <v>89</v>
      </c>
      <c r="B96" s="170">
        <f>+B95+31</f>
        <v>42215</v>
      </c>
      <c r="D96" s="281">
        <v>485.73</v>
      </c>
      <c r="E96" s="107"/>
      <c r="F96" s="208">
        <v>3.2500000000000001E-2</v>
      </c>
      <c r="G96" s="186">
        <f t="shared" si="7"/>
        <v>34.9</v>
      </c>
      <c r="H96" s="186"/>
      <c r="I96" s="186"/>
      <c r="J96" s="186"/>
      <c r="K96" s="186"/>
      <c r="L96" s="186">
        <f t="shared" si="27"/>
        <v>26.12</v>
      </c>
      <c r="M96" s="186">
        <f t="shared" si="28"/>
        <v>8.7799999999999976</v>
      </c>
      <c r="N96" s="186"/>
      <c r="O96" s="186"/>
      <c r="P96" s="186"/>
      <c r="Q96" s="186"/>
      <c r="R96" s="183">
        <f t="shared" si="12"/>
        <v>520.66250000000002</v>
      </c>
      <c r="S96" s="197">
        <f t="shared" si="26"/>
        <v>13165.077500000007</v>
      </c>
      <c r="T96" s="186"/>
      <c r="U96" s="186"/>
      <c r="V96" s="107"/>
      <c r="X96" s="203">
        <f t="shared" si="30"/>
        <v>9671.2500000000073</v>
      </c>
      <c r="Y96" s="203">
        <f t="shared" si="29"/>
        <v>3493.8274999999994</v>
      </c>
    </row>
    <row r="97" spans="1:28" hidden="1" x14ac:dyDescent="0.2">
      <c r="A97" s="176">
        <f t="shared" si="21"/>
        <v>90</v>
      </c>
      <c r="B97" s="174">
        <f>+B96+31</f>
        <v>42246</v>
      </c>
      <c r="C97" s="174"/>
      <c r="D97" s="281">
        <v>464.92000000000058</v>
      </c>
      <c r="E97" s="108"/>
      <c r="F97" s="209">
        <v>3.2500000000000001E-2</v>
      </c>
      <c r="G97" s="197">
        <f t="shared" si="7"/>
        <v>36.28</v>
      </c>
      <c r="H97" s="197"/>
      <c r="I97" s="197"/>
      <c r="J97" s="197"/>
      <c r="K97" s="197"/>
      <c r="L97" s="197">
        <f t="shared" si="27"/>
        <v>26.19</v>
      </c>
      <c r="M97" s="197">
        <f t="shared" si="28"/>
        <v>10.09</v>
      </c>
      <c r="N97" s="197"/>
      <c r="O97" s="197"/>
      <c r="P97" s="197"/>
      <c r="Q97" s="197"/>
      <c r="R97" s="210">
        <f t="shared" si="12"/>
        <v>501.23250000000064</v>
      </c>
      <c r="S97" s="197">
        <f>+S96+R97</f>
        <v>13666.310000000007</v>
      </c>
      <c r="T97" s="197"/>
      <c r="U97" s="197"/>
      <c r="V97" s="108"/>
      <c r="W97" s="174"/>
      <c r="X97" s="211">
        <f>+X96+L97</f>
        <v>9697.4400000000078</v>
      </c>
      <c r="Y97" s="211">
        <f>+S97-X97</f>
        <v>3968.869999999999</v>
      </c>
    </row>
    <row r="98" spans="1:28" hidden="1" x14ac:dyDescent="0.2">
      <c r="A98" s="176">
        <f t="shared" si="21"/>
        <v>91</v>
      </c>
      <c r="B98" s="174">
        <f>+B97+30</f>
        <v>42276</v>
      </c>
      <c r="C98" s="174"/>
      <c r="D98" s="108">
        <f>1251.19</f>
        <v>1251.19</v>
      </c>
      <c r="E98" s="108"/>
      <c r="F98" s="209">
        <v>3.2500000000000001E-2</v>
      </c>
      <c r="G98" s="197">
        <f t="shared" si="7"/>
        <v>38.71</v>
      </c>
      <c r="H98" s="197"/>
      <c r="I98" s="197"/>
      <c r="J98" s="197"/>
      <c r="K98" s="197"/>
      <c r="L98" s="186">
        <f t="shared" si="27"/>
        <v>26.26</v>
      </c>
      <c r="M98" s="197">
        <f t="shared" si="28"/>
        <v>12.45</v>
      </c>
      <c r="N98" s="197"/>
      <c r="O98" s="197"/>
      <c r="P98" s="197"/>
      <c r="Q98" s="197"/>
      <c r="R98" s="210">
        <f t="shared" si="12"/>
        <v>1289.9325000000001</v>
      </c>
      <c r="S98" s="197">
        <f>+S97+R98</f>
        <v>14956.242500000008</v>
      </c>
      <c r="T98" s="197"/>
      <c r="U98" s="197"/>
      <c r="V98" s="108"/>
      <c r="W98" s="174"/>
      <c r="X98" s="211">
        <f t="shared" si="30"/>
        <v>9723.700000000008</v>
      </c>
      <c r="Y98" s="211">
        <f t="shared" si="29"/>
        <v>5232.5424999999996</v>
      </c>
    </row>
    <row r="99" spans="1:28" hidden="1" x14ac:dyDescent="0.2">
      <c r="A99" s="176">
        <f t="shared" si="21"/>
        <v>92</v>
      </c>
      <c r="B99" s="170">
        <f>+B98+31</f>
        <v>42307</v>
      </c>
      <c r="D99" s="108">
        <v>2591.7399999999998</v>
      </c>
      <c r="E99" s="107"/>
      <c r="F99" s="208">
        <v>3.2500000000000001E-2</v>
      </c>
      <c r="G99" s="186">
        <f t="shared" si="7"/>
        <v>44.02</v>
      </c>
      <c r="H99" s="186"/>
      <c r="I99" s="186"/>
      <c r="J99" s="186"/>
      <c r="K99" s="186"/>
      <c r="L99" s="186">
        <f t="shared" si="27"/>
        <v>26.34</v>
      </c>
      <c r="M99" s="186">
        <f t="shared" si="28"/>
        <v>17.680000000000003</v>
      </c>
      <c r="N99" s="186"/>
      <c r="O99" s="186"/>
      <c r="P99" s="186"/>
      <c r="Q99" s="186"/>
      <c r="R99" s="183">
        <f t="shared" si="12"/>
        <v>2635.7924999999996</v>
      </c>
      <c r="S99" s="186">
        <f>+S98+R99</f>
        <v>17592.035000000007</v>
      </c>
      <c r="T99" s="186"/>
      <c r="U99" s="186"/>
      <c r="V99" s="107"/>
      <c r="X99" s="203">
        <f t="shared" si="30"/>
        <v>9750.0400000000081</v>
      </c>
      <c r="Y99" s="203">
        <f t="shared" si="29"/>
        <v>7841.994999999999</v>
      </c>
    </row>
    <row r="100" spans="1:28" hidden="1" x14ac:dyDescent="0.2">
      <c r="A100" s="176">
        <f t="shared" si="21"/>
        <v>93</v>
      </c>
      <c r="B100" s="174">
        <f>+B99+30</f>
        <v>42337</v>
      </c>
      <c r="C100" s="212" t="s">
        <v>151</v>
      </c>
      <c r="D100" s="108">
        <v>223.43</v>
      </c>
      <c r="E100" s="108">
        <v>-9749.6299999999992</v>
      </c>
      <c r="F100" s="209">
        <v>3.2500000000000001E-2</v>
      </c>
      <c r="G100" s="197">
        <f t="shared" si="7"/>
        <v>21.54</v>
      </c>
      <c r="H100" s="197"/>
      <c r="I100" s="197"/>
      <c r="J100" s="197"/>
      <c r="K100" s="197"/>
      <c r="L100" s="197"/>
      <c r="M100" s="197">
        <f t="shared" si="28"/>
        <v>21.54</v>
      </c>
      <c r="N100" s="197"/>
      <c r="O100" s="197"/>
      <c r="P100" s="197"/>
      <c r="Q100" s="197"/>
      <c r="R100" s="210">
        <f t="shared" si="12"/>
        <v>-9504.6274999999987</v>
      </c>
      <c r="S100" s="197">
        <f t="shared" ref="S100:S124" si="31">+S99+R100</f>
        <v>8087.4075000000084</v>
      </c>
      <c r="T100" s="197"/>
      <c r="U100" s="197"/>
      <c r="V100" s="108"/>
      <c r="W100" s="174"/>
      <c r="X100" s="211"/>
      <c r="Y100" s="211">
        <f t="shared" si="29"/>
        <v>8087.4075000000084</v>
      </c>
    </row>
    <row r="101" spans="1:28" ht="13.5" hidden="1" thickBot="1" x14ac:dyDescent="0.25">
      <c r="A101" s="176">
        <f t="shared" si="21"/>
        <v>94</v>
      </c>
      <c r="B101" s="190">
        <f>+B100+31</f>
        <v>42368</v>
      </c>
      <c r="C101" s="190"/>
      <c r="D101" s="205">
        <v>536.23</v>
      </c>
      <c r="E101" s="205"/>
      <c r="F101" s="213">
        <v>3.2500000000000001E-2</v>
      </c>
      <c r="G101" s="199">
        <f t="shared" si="7"/>
        <v>22.63</v>
      </c>
      <c r="H101" s="199"/>
      <c r="I101" s="199"/>
      <c r="J101" s="199"/>
      <c r="K101" s="199"/>
      <c r="L101" s="199"/>
      <c r="M101" s="199">
        <f t="shared" si="28"/>
        <v>22.63</v>
      </c>
      <c r="N101" s="199"/>
      <c r="O101" s="199"/>
      <c r="P101" s="199"/>
      <c r="Q101" s="199"/>
      <c r="R101" s="214">
        <f t="shared" si="12"/>
        <v>558.89250000000004</v>
      </c>
      <c r="S101" s="199">
        <f t="shared" si="31"/>
        <v>8646.3000000000084</v>
      </c>
      <c r="T101" s="199"/>
      <c r="U101" s="199"/>
      <c r="V101" s="205"/>
      <c r="W101" s="215"/>
      <c r="X101" s="216"/>
      <c r="Y101" s="216">
        <f t="shared" si="29"/>
        <v>8646.3000000000084</v>
      </c>
      <c r="Z101" s="190"/>
      <c r="AA101" s="190"/>
      <c r="AB101" s="190"/>
    </row>
    <row r="102" spans="1:28" hidden="1" x14ac:dyDescent="0.2">
      <c r="A102" s="176">
        <f t="shared" si="21"/>
        <v>95</v>
      </c>
      <c r="B102" s="170">
        <f>B101+31</f>
        <v>42399</v>
      </c>
      <c r="C102" s="174"/>
      <c r="D102" s="108">
        <v>342.64</v>
      </c>
      <c r="E102" s="108"/>
      <c r="F102" s="209">
        <v>3.2500000000000001E-2</v>
      </c>
      <c r="G102" s="197">
        <f t="shared" si="7"/>
        <v>23.88</v>
      </c>
      <c r="H102" s="217"/>
      <c r="I102" s="217"/>
      <c r="J102" s="217"/>
      <c r="K102" s="217"/>
      <c r="L102" s="197"/>
      <c r="M102" s="218">
        <f t="shared" ref="M102:M111" si="32">ROUND(Y101*F102/12,2)</f>
        <v>23.42</v>
      </c>
      <c r="N102" s="218">
        <f t="shared" ref="N102:N113" si="33">+G102-M102</f>
        <v>0.4599999999999973</v>
      </c>
      <c r="O102" s="218"/>
      <c r="P102" s="218"/>
      <c r="Q102" s="218"/>
      <c r="R102" s="210">
        <f t="shared" si="12"/>
        <v>366.55250000000001</v>
      </c>
      <c r="S102" s="197">
        <f t="shared" si="31"/>
        <v>9012.8525000000081</v>
      </c>
      <c r="T102" s="197"/>
      <c r="U102" s="197"/>
      <c r="V102" s="108"/>
      <c r="W102" s="174"/>
      <c r="X102" s="211"/>
      <c r="Y102" s="211">
        <f>+Y101+M102</f>
        <v>8669.7200000000084</v>
      </c>
      <c r="Z102" s="219">
        <f t="shared" ref="Z102:Z112" si="34">S102-Y102</f>
        <v>343.13249999999971</v>
      </c>
    </row>
    <row r="103" spans="1:28" hidden="1" x14ac:dyDescent="0.2">
      <c r="A103" s="176">
        <f t="shared" si="21"/>
        <v>96</v>
      </c>
      <c r="B103" s="170">
        <f>B102+29</f>
        <v>42428</v>
      </c>
      <c r="D103" s="108">
        <v>813.77</v>
      </c>
      <c r="E103" s="107"/>
      <c r="F103" s="209">
        <v>3.2500000000000001E-2</v>
      </c>
      <c r="G103" s="197">
        <f t="shared" si="7"/>
        <v>25.51</v>
      </c>
      <c r="H103" s="186"/>
      <c r="I103" s="186"/>
      <c r="J103" s="186"/>
      <c r="K103" s="186"/>
      <c r="L103" s="197"/>
      <c r="M103" s="218">
        <f t="shared" si="32"/>
        <v>23.48</v>
      </c>
      <c r="N103" s="218">
        <f t="shared" si="33"/>
        <v>2.0300000000000011</v>
      </c>
      <c r="O103" s="218"/>
      <c r="P103" s="218"/>
      <c r="Q103" s="218"/>
      <c r="R103" s="210">
        <f t="shared" si="12"/>
        <v>839.3125</v>
      </c>
      <c r="S103" s="197">
        <f t="shared" si="31"/>
        <v>9852.1650000000081</v>
      </c>
      <c r="T103" s="197"/>
      <c r="U103" s="197"/>
      <c r="V103" s="108"/>
      <c r="W103" s="174"/>
      <c r="X103" s="211"/>
      <c r="Y103" s="211">
        <f>+Y102+M103</f>
        <v>8693.200000000008</v>
      </c>
      <c r="Z103" s="219">
        <f t="shared" si="34"/>
        <v>1158.9650000000001</v>
      </c>
    </row>
    <row r="104" spans="1:28" hidden="1" x14ac:dyDescent="0.2">
      <c r="A104" s="176">
        <f t="shared" si="21"/>
        <v>97</v>
      </c>
      <c r="B104" s="170">
        <f>B103+31</f>
        <v>42459</v>
      </c>
      <c r="D104" s="108">
        <v>1368.15</v>
      </c>
      <c r="E104" s="107"/>
      <c r="F104" s="209">
        <v>3.2500000000000001E-2</v>
      </c>
      <c r="G104" s="197">
        <f t="shared" si="7"/>
        <v>28.54</v>
      </c>
      <c r="H104" s="186"/>
      <c r="I104" s="186"/>
      <c r="J104" s="186"/>
      <c r="K104" s="186"/>
      <c r="L104" s="197"/>
      <c r="M104" s="218">
        <f t="shared" si="32"/>
        <v>23.54</v>
      </c>
      <c r="N104" s="218">
        <f t="shared" si="33"/>
        <v>5</v>
      </c>
      <c r="O104" s="218"/>
      <c r="P104" s="218"/>
      <c r="Q104" s="218"/>
      <c r="R104" s="210">
        <f t="shared" si="12"/>
        <v>1396.7225000000001</v>
      </c>
      <c r="S104" s="197">
        <f t="shared" si="31"/>
        <v>11248.887500000008</v>
      </c>
      <c r="T104" s="197"/>
      <c r="U104" s="197"/>
      <c r="V104" s="108"/>
      <c r="W104" s="174"/>
      <c r="X104" s="211"/>
      <c r="Y104" s="211">
        <f t="shared" ref="Y104:Y111" si="35">+Y103+M104</f>
        <v>8716.7400000000089</v>
      </c>
      <c r="Z104" s="219">
        <f t="shared" si="34"/>
        <v>2532.1474999999991</v>
      </c>
    </row>
    <row r="105" spans="1:28" hidden="1" x14ac:dyDescent="0.2">
      <c r="A105" s="176">
        <f t="shared" si="21"/>
        <v>98</v>
      </c>
      <c r="B105" s="174">
        <f>B104+30</f>
        <v>42489</v>
      </c>
      <c r="C105" s="220"/>
      <c r="D105" s="108">
        <v>929.15</v>
      </c>
      <c r="E105" s="108"/>
      <c r="F105" s="209">
        <v>3.4602581323099416E-2</v>
      </c>
      <c r="G105" s="197">
        <f t="shared" si="7"/>
        <v>33.78</v>
      </c>
      <c r="H105" s="197"/>
      <c r="I105" s="197"/>
      <c r="J105" s="197"/>
      <c r="K105" s="197"/>
      <c r="L105" s="197"/>
      <c r="M105" s="218">
        <f t="shared" si="32"/>
        <v>25.14</v>
      </c>
      <c r="N105" s="218">
        <f t="shared" si="33"/>
        <v>8.64</v>
      </c>
      <c r="O105" s="218"/>
      <c r="P105" s="218"/>
      <c r="Q105" s="218"/>
      <c r="R105" s="210">
        <f t="shared" si="12"/>
        <v>962.96460258132299</v>
      </c>
      <c r="S105" s="197">
        <f t="shared" si="31"/>
        <v>12211.852102581332</v>
      </c>
      <c r="T105" s="197"/>
      <c r="U105" s="197"/>
      <c r="V105" s="108"/>
      <c r="W105" s="174"/>
      <c r="X105" s="211"/>
      <c r="Y105" s="211">
        <f t="shared" si="35"/>
        <v>8741.8800000000083</v>
      </c>
      <c r="Z105" s="219">
        <f t="shared" si="34"/>
        <v>3469.9721025813233</v>
      </c>
    </row>
    <row r="106" spans="1:28" hidden="1" x14ac:dyDescent="0.2">
      <c r="A106" s="176">
        <f t="shared" si="21"/>
        <v>99</v>
      </c>
      <c r="B106" s="174">
        <f>B105+31</f>
        <v>42520</v>
      </c>
      <c r="C106" s="220" t="s">
        <v>152</v>
      </c>
      <c r="D106" s="108">
        <v>1548.59</v>
      </c>
      <c r="E106" s="108">
        <v>0.14000000000000001</v>
      </c>
      <c r="F106" s="209">
        <v>3.4602581323099416E-2</v>
      </c>
      <c r="G106" s="197">
        <f t="shared" ref="G106:G124" si="36">ROUND((+S105+E106+(D106/2))*F106/12,2)</f>
        <v>37.450000000000003</v>
      </c>
      <c r="H106" s="197"/>
      <c r="I106" s="197"/>
      <c r="J106" s="197"/>
      <c r="K106" s="197"/>
      <c r="L106" s="197"/>
      <c r="M106" s="218">
        <f t="shared" si="32"/>
        <v>25.21</v>
      </c>
      <c r="N106" s="218">
        <f t="shared" si="33"/>
        <v>12.240000000000002</v>
      </c>
      <c r="O106" s="218"/>
      <c r="P106" s="218"/>
      <c r="Q106" s="218"/>
      <c r="R106" s="210">
        <f t="shared" si="12"/>
        <v>1586.2146025813231</v>
      </c>
      <c r="S106" s="197">
        <f t="shared" si="31"/>
        <v>13798.066705162655</v>
      </c>
      <c r="T106" s="197"/>
      <c r="U106" s="197"/>
      <c r="V106" s="108"/>
      <c r="W106" s="174"/>
      <c r="X106" s="211"/>
      <c r="Y106" s="211">
        <f t="shared" si="35"/>
        <v>8767.0900000000074</v>
      </c>
      <c r="Z106" s="219">
        <f t="shared" si="34"/>
        <v>5030.9767051626477</v>
      </c>
    </row>
    <row r="107" spans="1:28" hidden="1" x14ac:dyDescent="0.2">
      <c r="A107" s="176">
        <f t="shared" si="21"/>
        <v>100</v>
      </c>
      <c r="B107" s="174">
        <f>B106+30</f>
        <v>42550</v>
      </c>
      <c r="C107" s="174"/>
      <c r="D107" s="108">
        <v>132.74</v>
      </c>
      <c r="E107" s="107"/>
      <c r="F107" s="209">
        <v>3.4602581323099416E-2</v>
      </c>
      <c r="G107" s="197">
        <f t="shared" si="36"/>
        <v>39.979999999999997</v>
      </c>
      <c r="H107" s="197"/>
      <c r="I107" s="197"/>
      <c r="J107" s="197"/>
      <c r="K107" s="197"/>
      <c r="L107" s="197"/>
      <c r="M107" s="218">
        <f t="shared" si="32"/>
        <v>25.28</v>
      </c>
      <c r="N107" s="218">
        <f t="shared" si="33"/>
        <v>14.699999999999996</v>
      </c>
      <c r="O107" s="218"/>
      <c r="P107" s="218"/>
      <c r="Q107" s="218"/>
      <c r="R107" s="210">
        <f t="shared" si="12"/>
        <v>172.7546025813231</v>
      </c>
      <c r="S107" s="197">
        <f t="shared" si="31"/>
        <v>13970.821307743978</v>
      </c>
      <c r="T107" s="197"/>
      <c r="U107" s="197"/>
      <c r="V107" s="108"/>
      <c r="W107" s="174"/>
      <c r="X107" s="211"/>
      <c r="Y107" s="211">
        <f t="shared" si="35"/>
        <v>8792.3700000000081</v>
      </c>
      <c r="Z107" s="219">
        <f t="shared" si="34"/>
        <v>5178.4513077439697</v>
      </c>
    </row>
    <row r="108" spans="1:28" hidden="1" x14ac:dyDescent="0.2">
      <c r="A108" s="176">
        <f t="shared" si="21"/>
        <v>101</v>
      </c>
      <c r="B108" s="170">
        <f>B107+31</f>
        <v>42581</v>
      </c>
      <c r="D108" s="108">
        <v>442.46</v>
      </c>
      <c r="E108" s="107"/>
      <c r="F108" s="209">
        <v>3.5000000000000003E-2</v>
      </c>
      <c r="G108" s="197">
        <f t="shared" si="36"/>
        <v>41.39</v>
      </c>
      <c r="H108" s="197"/>
      <c r="I108" s="197"/>
      <c r="J108" s="197"/>
      <c r="K108" s="197"/>
      <c r="L108" s="197"/>
      <c r="M108" s="218">
        <f t="shared" si="32"/>
        <v>25.64</v>
      </c>
      <c r="N108" s="218">
        <f t="shared" si="33"/>
        <v>15.75</v>
      </c>
      <c r="O108" s="218"/>
      <c r="P108" s="218"/>
      <c r="Q108" s="218"/>
      <c r="R108" s="210">
        <f t="shared" si="12"/>
        <v>483.88499999999999</v>
      </c>
      <c r="S108" s="197">
        <f t="shared" si="31"/>
        <v>14454.706307743978</v>
      </c>
      <c r="T108" s="197"/>
      <c r="U108" s="197"/>
      <c r="V108" s="108"/>
      <c r="W108" s="174"/>
      <c r="X108" s="211"/>
      <c r="Y108" s="211">
        <f t="shared" si="35"/>
        <v>8818.0100000000075</v>
      </c>
      <c r="Z108" s="219">
        <f t="shared" si="34"/>
        <v>5636.6963077439705</v>
      </c>
    </row>
    <row r="109" spans="1:28" hidden="1" x14ac:dyDescent="0.2">
      <c r="A109" s="176">
        <f t="shared" si="21"/>
        <v>102</v>
      </c>
      <c r="B109" s="170">
        <f>B108+31</f>
        <v>42612</v>
      </c>
      <c r="D109" s="108">
        <v>1681.31</v>
      </c>
      <c r="E109" s="107"/>
      <c r="F109" s="209">
        <v>3.5000000000000003E-2</v>
      </c>
      <c r="G109" s="197">
        <f t="shared" si="36"/>
        <v>44.61</v>
      </c>
      <c r="H109" s="197"/>
      <c r="I109" s="197"/>
      <c r="J109" s="197"/>
      <c r="K109" s="197"/>
      <c r="L109" s="197"/>
      <c r="M109" s="218">
        <f t="shared" si="32"/>
        <v>25.72</v>
      </c>
      <c r="N109" s="218">
        <f t="shared" si="33"/>
        <v>18.89</v>
      </c>
      <c r="O109" s="218"/>
      <c r="P109" s="218"/>
      <c r="Q109" s="218"/>
      <c r="R109" s="210">
        <f t="shared" si="12"/>
        <v>1725.9549999999999</v>
      </c>
      <c r="S109" s="197">
        <f t="shared" si="31"/>
        <v>16180.661307743978</v>
      </c>
      <c r="T109" s="197"/>
      <c r="U109" s="197"/>
      <c r="V109" s="108"/>
      <c r="W109" s="174"/>
      <c r="X109" s="211"/>
      <c r="Y109" s="211">
        <f t="shared" si="35"/>
        <v>8843.7300000000068</v>
      </c>
      <c r="Z109" s="219">
        <f t="shared" si="34"/>
        <v>7336.931307743971</v>
      </c>
    </row>
    <row r="110" spans="1:28" hidden="1" x14ac:dyDescent="0.2">
      <c r="A110" s="176">
        <f t="shared" si="21"/>
        <v>103</v>
      </c>
      <c r="B110" s="170">
        <f>B109+30</f>
        <v>42642</v>
      </c>
      <c r="C110" s="221"/>
      <c r="D110" s="108">
        <v>1460.09</v>
      </c>
      <c r="E110" s="107"/>
      <c r="F110" s="209">
        <v>3.5000000000000003E-2</v>
      </c>
      <c r="G110" s="197">
        <f t="shared" si="36"/>
        <v>49.32</v>
      </c>
      <c r="H110" s="197"/>
      <c r="I110" s="197"/>
      <c r="J110" s="197"/>
      <c r="K110" s="197"/>
      <c r="L110" s="197"/>
      <c r="M110" s="218">
        <f t="shared" si="32"/>
        <v>25.79</v>
      </c>
      <c r="N110" s="218">
        <f t="shared" si="33"/>
        <v>23.53</v>
      </c>
      <c r="O110" s="218"/>
      <c r="P110" s="218"/>
      <c r="Q110" s="218"/>
      <c r="R110" s="210">
        <f t="shared" si="12"/>
        <v>1509.4449999999999</v>
      </c>
      <c r="S110" s="197">
        <f t="shared" si="31"/>
        <v>17690.106307743979</v>
      </c>
      <c r="T110" s="197"/>
      <c r="U110" s="197"/>
      <c r="V110" s="108"/>
      <c r="W110" s="174"/>
      <c r="X110" s="211"/>
      <c r="Y110" s="211">
        <f t="shared" si="35"/>
        <v>8869.5200000000077</v>
      </c>
      <c r="Z110" s="219">
        <f t="shared" si="34"/>
        <v>8820.5863077439717</v>
      </c>
    </row>
    <row r="111" spans="1:28" hidden="1" x14ac:dyDescent="0.2">
      <c r="A111" s="176">
        <f t="shared" si="21"/>
        <v>104</v>
      </c>
      <c r="B111" s="170">
        <f>B110+31</f>
        <v>42673</v>
      </c>
      <c r="C111" s="221"/>
      <c r="D111" s="108">
        <v>1681.32</v>
      </c>
      <c r="E111" s="107"/>
      <c r="F111" s="209">
        <v>3.5000000000000003E-2</v>
      </c>
      <c r="G111" s="197">
        <f t="shared" si="36"/>
        <v>54.05</v>
      </c>
      <c r="H111" s="197"/>
      <c r="I111" s="197"/>
      <c r="J111" s="197"/>
      <c r="K111" s="197"/>
      <c r="L111" s="197"/>
      <c r="M111" s="218">
        <f t="shared" si="32"/>
        <v>25.87</v>
      </c>
      <c r="N111" s="218">
        <f t="shared" si="33"/>
        <v>28.179999999999996</v>
      </c>
      <c r="O111" s="218"/>
      <c r="P111" s="218"/>
      <c r="Q111" s="218"/>
      <c r="R111" s="210">
        <f t="shared" si="12"/>
        <v>1735.405</v>
      </c>
      <c r="S111" s="197">
        <f t="shared" si="31"/>
        <v>19425.511307743978</v>
      </c>
      <c r="T111" s="197"/>
      <c r="U111" s="197"/>
      <c r="V111" s="108"/>
      <c r="W111" s="174"/>
      <c r="X111" s="211"/>
      <c r="Y111" s="211">
        <f t="shared" si="35"/>
        <v>8895.3900000000085</v>
      </c>
      <c r="Z111" s="219">
        <f t="shared" si="34"/>
        <v>10530.12130774397</v>
      </c>
    </row>
    <row r="112" spans="1:28" hidden="1" x14ac:dyDescent="0.2">
      <c r="A112" s="176">
        <f t="shared" si="21"/>
        <v>105</v>
      </c>
      <c r="B112" s="222">
        <f>B111+30</f>
        <v>42703</v>
      </c>
      <c r="C112" s="212" t="s">
        <v>151</v>
      </c>
      <c r="D112" s="108">
        <v>7526.55</v>
      </c>
      <c r="E112" s="108">
        <v>-8895.39</v>
      </c>
      <c r="F112" s="223">
        <v>3.5000000000000003E-2</v>
      </c>
      <c r="G112" s="197">
        <f t="shared" si="36"/>
        <v>41.69</v>
      </c>
      <c r="H112" s="224">
        <f t="shared" ref="H112:H113" si="37">D112+E112+G112</f>
        <v>-1327.1499999999992</v>
      </c>
      <c r="I112" s="225">
        <f t="shared" ref="I112:I113" si="38">+I111+H112</f>
        <v>-1327.1499999999992</v>
      </c>
      <c r="J112" s="197"/>
      <c r="K112" s="197"/>
      <c r="L112" s="197"/>
      <c r="M112" s="218"/>
      <c r="N112" s="218">
        <f t="shared" si="33"/>
        <v>41.69</v>
      </c>
      <c r="O112" s="218"/>
      <c r="P112" s="218"/>
      <c r="Q112" s="218"/>
      <c r="R112" s="210">
        <f t="shared" ref="R112:R125" si="39">D112+E112+G112</f>
        <v>-1327.1499999999992</v>
      </c>
      <c r="S112" s="197">
        <f t="shared" si="31"/>
        <v>18098.36130774398</v>
      </c>
      <c r="T112" s="197"/>
      <c r="U112" s="197"/>
      <c r="V112" s="108"/>
      <c r="W112" s="174"/>
      <c r="X112" s="211"/>
      <c r="Y112" s="219"/>
      <c r="Z112" s="219">
        <f t="shared" si="34"/>
        <v>18098.36130774398</v>
      </c>
    </row>
    <row r="113" spans="1:28" ht="13.5" hidden="1" thickBot="1" x14ac:dyDescent="0.25">
      <c r="A113" s="176">
        <f t="shared" si="21"/>
        <v>106</v>
      </c>
      <c r="B113" s="190">
        <f>+B112+31</f>
        <v>42734</v>
      </c>
      <c r="C113" s="190"/>
      <c r="D113" s="205">
        <v>8881.9</v>
      </c>
      <c r="E113" s="205"/>
      <c r="F113" s="213">
        <v>3.5000000000000003E-2</v>
      </c>
      <c r="G113" s="199">
        <f t="shared" si="36"/>
        <v>65.739999999999995</v>
      </c>
      <c r="H113" s="199">
        <f t="shared" si="37"/>
        <v>8947.64</v>
      </c>
      <c r="I113" s="226">
        <f t="shared" si="38"/>
        <v>7620.49</v>
      </c>
      <c r="J113" s="199"/>
      <c r="K113" s="199"/>
      <c r="L113" s="199"/>
      <c r="M113" s="199"/>
      <c r="N113" s="199">
        <f t="shared" si="33"/>
        <v>65.739999999999995</v>
      </c>
      <c r="O113" s="199"/>
      <c r="P113" s="199"/>
      <c r="Q113" s="199"/>
      <c r="R113" s="214">
        <f t="shared" si="39"/>
        <v>8947.64</v>
      </c>
      <c r="S113" s="199">
        <f t="shared" si="31"/>
        <v>27046.00130774398</v>
      </c>
      <c r="T113" s="199"/>
      <c r="U113" s="199"/>
      <c r="V113" s="205"/>
      <c r="W113" s="215"/>
      <c r="X113" s="216"/>
      <c r="Y113" s="216"/>
      <c r="Z113" s="214">
        <f>S113-Y113</f>
        <v>27046.00130774398</v>
      </c>
      <c r="AA113" s="190"/>
      <c r="AB113" s="190"/>
    </row>
    <row r="114" spans="1:28" hidden="1" x14ac:dyDescent="0.2">
      <c r="A114" s="176">
        <f t="shared" si="21"/>
        <v>107</v>
      </c>
      <c r="B114" s="222">
        <f t="shared" ref="B114:B124" si="40">+B113+31</f>
        <v>42765</v>
      </c>
      <c r="C114" s="227"/>
      <c r="D114" s="108">
        <v>4726.7299999999996</v>
      </c>
      <c r="E114" s="108"/>
      <c r="F114" s="223">
        <v>3.5000000000000003E-2</v>
      </c>
      <c r="G114" s="197">
        <f t="shared" si="36"/>
        <v>85.78</v>
      </c>
      <c r="H114" s="224"/>
      <c r="I114" s="225"/>
      <c r="J114" s="197"/>
      <c r="K114" s="197"/>
      <c r="L114" s="197"/>
      <c r="M114" s="218"/>
      <c r="N114" s="218">
        <f>ROUND(Z113*F114/12,2)</f>
        <v>78.88</v>
      </c>
      <c r="O114" s="218">
        <f>+G114-N114</f>
        <v>6.9000000000000057</v>
      </c>
      <c r="P114" s="218"/>
      <c r="Q114" s="218"/>
      <c r="R114" s="210">
        <f t="shared" si="39"/>
        <v>4812.5099999999993</v>
      </c>
      <c r="S114" s="197">
        <f t="shared" si="31"/>
        <v>31858.511307743978</v>
      </c>
      <c r="T114" s="197"/>
      <c r="U114" s="197"/>
      <c r="V114" s="108"/>
      <c r="W114" s="174"/>
      <c r="X114" s="211"/>
      <c r="Y114" s="219"/>
      <c r="Z114" s="211">
        <f>+Z113+N114</f>
        <v>27124.881307743981</v>
      </c>
      <c r="AA114" s="219">
        <f>S114-Z114</f>
        <v>4733.6299999999974</v>
      </c>
    </row>
    <row r="115" spans="1:28" hidden="1" x14ac:dyDescent="0.2">
      <c r="A115" s="176">
        <f t="shared" si="21"/>
        <v>108</v>
      </c>
      <c r="B115" s="222">
        <f>+B114+29</f>
        <v>42794</v>
      </c>
      <c r="C115" s="227"/>
      <c r="D115" s="108">
        <v>9926.36</v>
      </c>
      <c r="E115" s="108"/>
      <c r="F115" s="223">
        <v>3.5000000000000003E-2</v>
      </c>
      <c r="G115" s="197">
        <f t="shared" si="36"/>
        <v>107.4</v>
      </c>
      <c r="H115" s="224"/>
      <c r="I115" s="225"/>
      <c r="J115" s="197"/>
      <c r="K115" s="197"/>
      <c r="L115" s="197"/>
      <c r="M115" s="218"/>
      <c r="N115" s="218">
        <f t="shared" ref="N115:N123" si="41">ROUND(Z114*F115/12,2)</f>
        <v>79.11</v>
      </c>
      <c r="O115" s="218">
        <f t="shared" ref="O115:O125" si="42">+G115-N115</f>
        <v>28.290000000000006</v>
      </c>
      <c r="P115" s="218"/>
      <c r="Q115" s="218"/>
      <c r="R115" s="210">
        <f t="shared" si="39"/>
        <v>10033.76</v>
      </c>
      <c r="S115" s="197">
        <f t="shared" si="31"/>
        <v>41892.271307743977</v>
      </c>
      <c r="T115" s="197"/>
      <c r="U115" s="197"/>
      <c r="V115" s="108"/>
      <c r="W115" s="174"/>
      <c r="X115" s="211"/>
      <c r="Y115" s="219"/>
      <c r="Z115" s="211">
        <f>+Z114+N115</f>
        <v>27203.991307743981</v>
      </c>
      <c r="AA115" s="219">
        <f t="shared" ref="AA115:AA124" si="43">S115-Z115</f>
        <v>14688.279999999995</v>
      </c>
    </row>
    <row r="116" spans="1:28" hidden="1" x14ac:dyDescent="0.2">
      <c r="A116" s="176">
        <f t="shared" si="21"/>
        <v>109</v>
      </c>
      <c r="B116" s="222">
        <f t="shared" si="40"/>
        <v>42825</v>
      </c>
      <c r="C116" s="227"/>
      <c r="D116" s="108">
        <v>11054.54</v>
      </c>
      <c r="E116" s="108"/>
      <c r="F116" s="223">
        <v>3.5000000000000003E-2</v>
      </c>
      <c r="G116" s="197">
        <f t="shared" si="36"/>
        <v>138.31</v>
      </c>
      <c r="H116" s="224"/>
      <c r="I116" s="225"/>
      <c r="J116" s="197"/>
      <c r="K116" s="197"/>
      <c r="L116" s="197"/>
      <c r="M116" s="218"/>
      <c r="N116" s="218">
        <f t="shared" si="41"/>
        <v>79.34</v>
      </c>
      <c r="O116" s="218">
        <f t="shared" si="42"/>
        <v>58.97</v>
      </c>
      <c r="P116" s="218"/>
      <c r="Q116" s="218"/>
      <c r="R116" s="210">
        <f t="shared" si="39"/>
        <v>11192.85</v>
      </c>
      <c r="S116" s="197">
        <f t="shared" si="31"/>
        <v>53085.121307743975</v>
      </c>
      <c r="T116" s="197"/>
      <c r="U116" s="197"/>
      <c r="V116" s="108"/>
      <c r="W116" s="174"/>
      <c r="X116" s="211"/>
      <c r="Y116" s="219"/>
      <c r="Z116" s="211">
        <f t="shared" ref="Z116:Z123" si="44">+Z115+N116</f>
        <v>27283.331307743982</v>
      </c>
      <c r="AA116" s="219">
        <f t="shared" si="43"/>
        <v>25801.789999999994</v>
      </c>
    </row>
    <row r="117" spans="1:28" hidden="1" x14ac:dyDescent="0.2">
      <c r="A117" s="176">
        <f t="shared" si="21"/>
        <v>110</v>
      </c>
      <c r="B117" s="222">
        <f>+B116+29</f>
        <v>42854</v>
      </c>
      <c r="C117" s="227"/>
      <c r="D117" s="108">
        <v>9267.52</v>
      </c>
      <c r="E117" s="108"/>
      <c r="F117" s="223">
        <v>3.7100000000000001E-2</v>
      </c>
      <c r="G117" s="197">
        <f t="shared" si="36"/>
        <v>178.45</v>
      </c>
      <c r="H117" s="224"/>
      <c r="I117" s="225"/>
      <c r="J117" s="197"/>
      <c r="K117" s="197"/>
      <c r="L117" s="197"/>
      <c r="M117" s="218"/>
      <c r="N117" s="218">
        <f t="shared" si="41"/>
        <v>84.35</v>
      </c>
      <c r="O117" s="218">
        <f t="shared" si="42"/>
        <v>94.1</v>
      </c>
      <c r="P117" s="218"/>
      <c r="Q117" s="218"/>
      <c r="R117" s="210">
        <f t="shared" si="39"/>
        <v>9445.9700000000012</v>
      </c>
      <c r="S117" s="197">
        <f t="shared" si="31"/>
        <v>62531.091307743976</v>
      </c>
      <c r="T117" s="197"/>
      <c r="U117" s="197"/>
      <c r="V117" s="108"/>
      <c r="W117" s="174"/>
      <c r="X117" s="211"/>
      <c r="Y117" s="219"/>
      <c r="Z117" s="211">
        <f t="shared" si="44"/>
        <v>27367.68130774398</v>
      </c>
      <c r="AA117" s="219">
        <f t="shared" si="43"/>
        <v>35163.409999999996</v>
      </c>
    </row>
    <row r="118" spans="1:28" hidden="1" x14ac:dyDescent="0.2">
      <c r="A118" s="176">
        <f t="shared" si="21"/>
        <v>111</v>
      </c>
      <c r="B118" s="222">
        <f t="shared" si="40"/>
        <v>42885</v>
      </c>
      <c r="C118" s="227"/>
      <c r="D118" s="108">
        <v>7492.63</v>
      </c>
      <c r="E118" s="108"/>
      <c r="F118" s="223">
        <v>3.7100000000000001E-2</v>
      </c>
      <c r="G118" s="197">
        <f t="shared" si="36"/>
        <v>204.91</v>
      </c>
      <c r="H118" s="224"/>
      <c r="I118" s="225"/>
      <c r="J118" s="197"/>
      <c r="K118" s="197"/>
      <c r="L118" s="197"/>
      <c r="M118" s="218"/>
      <c r="N118" s="218">
        <f t="shared" si="41"/>
        <v>84.61</v>
      </c>
      <c r="O118" s="218">
        <f t="shared" si="42"/>
        <v>120.3</v>
      </c>
      <c r="P118" s="218"/>
      <c r="Q118" s="218"/>
      <c r="R118" s="210">
        <f t="shared" si="39"/>
        <v>7697.54</v>
      </c>
      <c r="S118" s="197">
        <f t="shared" si="31"/>
        <v>70228.63130774397</v>
      </c>
      <c r="T118" s="197"/>
      <c r="U118" s="197"/>
      <c r="V118" s="108"/>
      <c r="W118" s="174"/>
      <c r="X118" s="211"/>
      <c r="Y118" s="219"/>
      <c r="Z118" s="211">
        <f t="shared" si="44"/>
        <v>27452.291307743981</v>
      </c>
      <c r="AA118" s="219">
        <f t="shared" si="43"/>
        <v>42776.339999999989</v>
      </c>
    </row>
    <row r="119" spans="1:28" hidden="1" x14ac:dyDescent="0.2">
      <c r="A119" s="176">
        <f t="shared" si="21"/>
        <v>112</v>
      </c>
      <c r="B119" s="222">
        <f t="shared" si="40"/>
        <v>42916</v>
      </c>
      <c r="C119" s="227"/>
      <c r="D119" s="108">
        <v>277.54000000000002</v>
      </c>
      <c r="E119" s="108"/>
      <c r="F119" s="223">
        <v>3.7100000000000001E-2</v>
      </c>
      <c r="G119" s="197">
        <f t="shared" si="36"/>
        <v>217.55</v>
      </c>
      <c r="H119" s="224"/>
      <c r="I119" s="225"/>
      <c r="J119" s="197"/>
      <c r="K119" s="197"/>
      <c r="L119" s="197"/>
      <c r="M119" s="218"/>
      <c r="N119" s="218">
        <f t="shared" si="41"/>
        <v>84.87</v>
      </c>
      <c r="O119" s="218">
        <f t="shared" si="42"/>
        <v>132.68</v>
      </c>
      <c r="P119" s="218"/>
      <c r="Q119" s="218"/>
      <c r="R119" s="210">
        <f t="shared" si="39"/>
        <v>495.09000000000003</v>
      </c>
      <c r="S119" s="197">
        <f t="shared" si="31"/>
        <v>70723.721307743966</v>
      </c>
      <c r="T119" s="197"/>
      <c r="U119" s="197"/>
      <c r="V119" s="108"/>
      <c r="W119" s="174"/>
      <c r="X119" s="211"/>
      <c r="Y119" s="219"/>
      <c r="Z119" s="211">
        <f t="shared" si="44"/>
        <v>27537.16130774398</v>
      </c>
      <c r="AA119" s="219">
        <f t="shared" si="43"/>
        <v>43186.559999999983</v>
      </c>
    </row>
    <row r="120" spans="1:28" hidden="1" x14ac:dyDescent="0.2">
      <c r="A120" s="176">
        <f t="shared" si="21"/>
        <v>113</v>
      </c>
      <c r="B120" s="222">
        <f t="shared" si="40"/>
        <v>42947</v>
      </c>
      <c r="C120" s="220" t="s">
        <v>152</v>
      </c>
      <c r="D120" s="108">
        <v>462.55</v>
      </c>
      <c r="E120" s="108">
        <v>-1.26</v>
      </c>
      <c r="F120" s="223">
        <v>3.9600000000000003E-2</v>
      </c>
      <c r="G120" s="197">
        <f t="shared" si="36"/>
        <v>234.15</v>
      </c>
      <c r="H120" s="224"/>
      <c r="I120" s="225"/>
      <c r="J120" s="197"/>
      <c r="K120" s="197"/>
      <c r="L120" s="197"/>
      <c r="M120" s="218"/>
      <c r="N120" s="218">
        <f t="shared" si="41"/>
        <v>90.87</v>
      </c>
      <c r="O120" s="218">
        <f t="shared" si="42"/>
        <v>143.28</v>
      </c>
      <c r="P120" s="218"/>
      <c r="Q120" s="218"/>
      <c r="R120" s="210">
        <f t="shared" si="39"/>
        <v>695.44</v>
      </c>
      <c r="S120" s="197">
        <f t="shared" si="31"/>
        <v>71419.161307743969</v>
      </c>
      <c r="T120" s="197"/>
      <c r="U120" s="197"/>
      <c r="V120" s="108"/>
      <c r="W120" s="174"/>
      <c r="X120" s="211"/>
      <c r="Y120" s="219"/>
      <c r="Z120" s="211">
        <f t="shared" si="44"/>
        <v>27628.031307743979</v>
      </c>
      <c r="AA120" s="219">
        <f t="shared" si="43"/>
        <v>43791.12999999999</v>
      </c>
    </row>
    <row r="121" spans="1:28" hidden="1" x14ac:dyDescent="0.2">
      <c r="A121" s="176">
        <f t="shared" si="21"/>
        <v>114</v>
      </c>
      <c r="B121" s="222">
        <f t="shared" si="40"/>
        <v>42978</v>
      </c>
      <c r="C121" s="227"/>
      <c r="D121" s="108">
        <v>22348.15</v>
      </c>
      <c r="E121" s="108"/>
      <c r="F121" s="223">
        <v>3.9600000000000003E-2</v>
      </c>
      <c r="G121" s="197">
        <f t="shared" si="36"/>
        <v>272.56</v>
      </c>
      <c r="H121" s="224"/>
      <c r="I121" s="225"/>
      <c r="J121" s="197"/>
      <c r="K121" s="197"/>
      <c r="L121" s="197"/>
      <c r="M121" s="218"/>
      <c r="N121" s="218">
        <f t="shared" si="41"/>
        <v>91.17</v>
      </c>
      <c r="O121" s="218">
        <f t="shared" si="42"/>
        <v>181.39</v>
      </c>
      <c r="P121" s="218"/>
      <c r="Q121" s="218"/>
      <c r="R121" s="210">
        <f t="shared" si="39"/>
        <v>22620.710000000003</v>
      </c>
      <c r="S121" s="197">
        <f t="shared" si="31"/>
        <v>94039.871307743975</v>
      </c>
      <c r="T121" s="197"/>
      <c r="U121" s="197"/>
      <c r="V121" s="108"/>
      <c r="W121" s="174"/>
      <c r="X121" s="211"/>
      <c r="Y121" s="219"/>
      <c r="Z121" s="211">
        <f t="shared" si="44"/>
        <v>27719.201307743977</v>
      </c>
      <c r="AA121" s="219">
        <f t="shared" si="43"/>
        <v>66320.67</v>
      </c>
    </row>
    <row r="122" spans="1:28" hidden="1" x14ac:dyDescent="0.2">
      <c r="A122" s="176">
        <f t="shared" si="21"/>
        <v>115</v>
      </c>
      <c r="B122" s="222">
        <f>+B121+29</f>
        <v>43007</v>
      </c>
      <c r="C122" s="227"/>
      <c r="D122" s="108">
        <v>5438.83</v>
      </c>
      <c r="E122" s="108"/>
      <c r="F122" s="223">
        <v>3.9600000000000003E-2</v>
      </c>
      <c r="G122" s="197">
        <f t="shared" si="36"/>
        <v>319.31</v>
      </c>
      <c r="H122" s="224"/>
      <c r="I122" s="225"/>
      <c r="J122" s="197"/>
      <c r="K122" s="197"/>
      <c r="L122" s="197"/>
      <c r="M122" s="218"/>
      <c r="N122" s="218">
        <f t="shared" si="41"/>
        <v>91.47</v>
      </c>
      <c r="O122" s="218">
        <f t="shared" si="42"/>
        <v>227.84</v>
      </c>
      <c r="P122" s="218"/>
      <c r="Q122" s="218"/>
      <c r="R122" s="210">
        <f t="shared" si="39"/>
        <v>5758.14</v>
      </c>
      <c r="S122" s="197">
        <f t="shared" si="31"/>
        <v>99798.011307743975</v>
      </c>
      <c r="T122" s="197"/>
      <c r="U122" s="197"/>
      <c r="V122" s="108"/>
      <c r="W122" s="174"/>
      <c r="X122" s="211"/>
      <c r="Y122" s="219"/>
      <c r="Z122" s="211">
        <f t="shared" si="44"/>
        <v>27810.671307743978</v>
      </c>
      <c r="AA122" s="219">
        <f t="shared" si="43"/>
        <v>71987.34</v>
      </c>
    </row>
    <row r="123" spans="1:28" hidden="1" x14ac:dyDescent="0.2">
      <c r="A123" s="176">
        <f t="shared" si="21"/>
        <v>116</v>
      </c>
      <c r="B123" s="222">
        <f t="shared" si="40"/>
        <v>43038</v>
      </c>
      <c r="C123" s="227"/>
      <c r="D123" s="108">
        <v>1033.8699999999999</v>
      </c>
      <c r="E123" s="108"/>
      <c r="F123" s="223">
        <v>4.2099999999999999E-2</v>
      </c>
      <c r="G123" s="197">
        <f t="shared" si="36"/>
        <v>351.94</v>
      </c>
      <c r="H123" s="224"/>
      <c r="I123" s="225"/>
      <c r="J123" s="197"/>
      <c r="K123" s="197"/>
      <c r="L123" s="197"/>
      <c r="M123" s="218"/>
      <c r="N123" s="218">
        <f t="shared" si="41"/>
        <v>97.57</v>
      </c>
      <c r="O123" s="218">
        <f t="shared" si="42"/>
        <v>254.37</v>
      </c>
      <c r="P123" s="218"/>
      <c r="Q123" s="218"/>
      <c r="R123" s="210">
        <f t="shared" si="39"/>
        <v>1385.81</v>
      </c>
      <c r="S123" s="197">
        <f t="shared" si="31"/>
        <v>101183.82130774397</v>
      </c>
      <c r="T123" s="197"/>
      <c r="U123" s="197"/>
      <c r="V123" s="108"/>
      <c r="W123" s="174"/>
      <c r="X123" s="211"/>
      <c r="Y123" s="219"/>
      <c r="Z123" s="211">
        <f t="shared" si="44"/>
        <v>27908.241307743978</v>
      </c>
      <c r="AA123" s="219">
        <f t="shared" si="43"/>
        <v>73275.579999999987</v>
      </c>
    </row>
    <row r="124" spans="1:28" hidden="1" x14ac:dyDescent="0.2">
      <c r="A124" s="176">
        <f t="shared" si="21"/>
        <v>117</v>
      </c>
      <c r="B124" s="222">
        <f t="shared" si="40"/>
        <v>43069</v>
      </c>
      <c r="C124" s="212" t="s">
        <v>151</v>
      </c>
      <c r="D124" s="108">
        <v>11557.93</v>
      </c>
      <c r="E124" s="108">
        <v>-27902.45</v>
      </c>
      <c r="F124" s="223">
        <v>4.2099999999999999E-2</v>
      </c>
      <c r="G124" s="197">
        <f t="shared" si="36"/>
        <v>277.37</v>
      </c>
      <c r="H124" s="224"/>
      <c r="I124" s="225"/>
      <c r="J124" s="197"/>
      <c r="K124" s="197"/>
      <c r="L124" s="197"/>
      <c r="M124" s="218"/>
      <c r="N124" s="218"/>
      <c r="O124" s="218">
        <f t="shared" si="42"/>
        <v>277.37</v>
      </c>
      <c r="P124" s="218"/>
      <c r="Q124" s="218"/>
      <c r="R124" s="210">
        <f t="shared" si="39"/>
        <v>-16067.15</v>
      </c>
      <c r="S124" s="197">
        <f t="shared" si="31"/>
        <v>85116.671307743978</v>
      </c>
      <c r="T124" s="197"/>
      <c r="U124" s="197"/>
      <c r="V124" s="108"/>
      <c r="W124" s="174"/>
      <c r="X124" s="211"/>
      <c r="Y124" s="219"/>
      <c r="Z124" s="211"/>
      <c r="AA124" s="219">
        <f t="shared" si="43"/>
        <v>85116.671307743978</v>
      </c>
    </row>
    <row r="125" spans="1:28" ht="13.5" hidden="1" thickBot="1" x14ac:dyDescent="0.25">
      <c r="A125" s="176">
        <f t="shared" si="21"/>
        <v>118</v>
      </c>
      <c r="B125" s="228">
        <f>+B124+31</f>
        <v>43100</v>
      </c>
      <c r="C125" s="229"/>
      <c r="D125" s="205">
        <v>5944.98</v>
      </c>
      <c r="E125" s="205"/>
      <c r="F125" s="230">
        <v>4.2099999999999999E-2</v>
      </c>
      <c r="G125" s="199">
        <f>ROUND((+S124+E125+(D125/2))*F125/12,2)</f>
        <v>309.05</v>
      </c>
      <c r="H125" s="231"/>
      <c r="I125" s="226"/>
      <c r="J125" s="199"/>
      <c r="K125" s="199"/>
      <c r="L125" s="199"/>
      <c r="M125" s="232"/>
      <c r="N125" s="232"/>
      <c r="O125" s="232">
        <f t="shared" si="42"/>
        <v>309.05</v>
      </c>
      <c r="P125" s="232"/>
      <c r="Q125" s="232"/>
      <c r="R125" s="214">
        <f t="shared" si="39"/>
        <v>6254.03</v>
      </c>
      <c r="S125" s="199">
        <f>+S124+R125</f>
        <v>91370.701307743977</v>
      </c>
      <c r="T125" s="199"/>
      <c r="U125" s="199"/>
      <c r="V125" s="205"/>
      <c r="W125" s="215"/>
      <c r="X125" s="216"/>
      <c r="Y125" s="214"/>
      <c r="Z125" s="216"/>
      <c r="AA125" s="214">
        <f>S125-Z125</f>
        <v>91370.701307743977</v>
      </c>
      <c r="AB125" s="214"/>
    </row>
    <row r="126" spans="1:28" x14ac:dyDescent="0.2">
      <c r="A126" s="176">
        <f t="shared" si="21"/>
        <v>119</v>
      </c>
      <c r="B126" s="222">
        <v>43101</v>
      </c>
      <c r="C126" s="227"/>
      <c r="D126" s="108">
        <v>11022.12</v>
      </c>
      <c r="E126" s="108"/>
      <c r="F126" s="223">
        <v>4.2500000000000003E-2</v>
      </c>
      <c r="G126" s="197">
        <v>343.12</v>
      </c>
      <c r="H126" s="224"/>
      <c r="I126" s="225"/>
      <c r="J126" s="197"/>
      <c r="K126" s="197"/>
      <c r="L126" s="197"/>
      <c r="M126" s="218"/>
      <c r="N126" s="218"/>
      <c r="O126" s="218">
        <v>323.60000000000002</v>
      </c>
      <c r="P126" s="218">
        <v>19.519999999999982</v>
      </c>
      <c r="Q126" s="218"/>
      <c r="R126" s="210">
        <v>11365.240000000002</v>
      </c>
      <c r="S126" s="197">
        <v>102735.94130774398</v>
      </c>
      <c r="T126" s="197"/>
      <c r="U126" s="197"/>
      <c r="V126" s="108"/>
      <c r="W126" s="174"/>
      <c r="X126" s="211"/>
      <c r="Y126" s="219"/>
      <c r="Z126" s="211"/>
      <c r="AA126" s="219">
        <v>91694.301307743983</v>
      </c>
      <c r="AB126" s="219">
        <v>11041.64</v>
      </c>
    </row>
    <row r="127" spans="1:28" x14ac:dyDescent="0.2">
      <c r="A127" s="176">
        <f t="shared" si="21"/>
        <v>120</v>
      </c>
      <c r="B127" s="222">
        <v>43132</v>
      </c>
      <c r="C127" s="227"/>
      <c r="D127" s="108">
        <v>7072.02</v>
      </c>
      <c r="E127" s="108"/>
      <c r="F127" s="223">
        <v>4.2500000000000003E-2</v>
      </c>
      <c r="G127" s="197">
        <v>376.38</v>
      </c>
      <c r="H127" s="224"/>
      <c r="I127" s="225"/>
      <c r="J127" s="197"/>
      <c r="K127" s="197"/>
      <c r="L127" s="197"/>
      <c r="M127" s="218"/>
      <c r="N127" s="218"/>
      <c r="O127" s="218">
        <v>324.75</v>
      </c>
      <c r="P127" s="218">
        <v>51.629999999999995</v>
      </c>
      <c r="Q127" s="218"/>
      <c r="R127" s="210">
        <v>7448.4000000000005</v>
      </c>
      <c r="S127" s="197">
        <v>110184.34130774398</v>
      </c>
      <c r="T127" s="197"/>
      <c r="U127" s="197"/>
      <c r="V127" s="108"/>
      <c r="W127" s="174"/>
      <c r="X127" s="211"/>
      <c r="Y127" s="219"/>
      <c r="Z127" s="211"/>
      <c r="AA127" s="219">
        <v>92019.051307743983</v>
      </c>
      <c r="AB127" s="219">
        <v>18165.289999999994</v>
      </c>
    </row>
    <row r="128" spans="1:28" x14ac:dyDescent="0.2">
      <c r="A128" s="176">
        <f t="shared" si="21"/>
        <v>121</v>
      </c>
      <c r="B128" s="222">
        <v>43160</v>
      </c>
      <c r="C128" s="227"/>
      <c r="D128" s="108">
        <v>2120.0300000000002</v>
      </c>
      <c r="E128" s="108"/>
      <c r="F128" s="223">
        <v>4.2500000000000003E-2</v>
      </c>
      <c r="G128" s="197">
        <v>393.99</v>
      </c>
      <c r="H128" s="224"/>
      <c r="I128" s="225"/>
      <c r="J128" s="197"/>
      <c r="K128" s="197"/>
      <c r="L128" s="197"/>
      <c r="M128" s="218"/>
      <c r="N128" s="218"/>
      <c r="O128" s="218">
        <v>325.89999999999998</v>
      </c>
      <c r="P128" s="218">
        <v>68.090000000000032</v>
      </c>
      <c r="Q128" s="218"/>
      <c r="R128" s="210">
        <v>2514.0200000000004</v>
      </c>
      <c r="S128" s="197">
        <v>112698.36130774398</v>
      </c>
      <c r="T128" s="197"/>
      <c r="U128" s="197"/>
      <c r="V128" s="108"/>
      <c r="W128" s="174"/>
      <c r="X128" s="211"/>
      <c r="Y128" s="219"/>
      <c r="Z128" s="211"/>
      <c r="AA128" s="219">
        <v>92344.951307743977</v>
      </c>
      <c r="AB128" s="219">
        <v>20353.410000000003</v>
      </c>
    </row>
    <row r="129" spans="1:29" x14ac:dyDescent="0.2">
      <c r="A129" s="176">
        <f t="shared" si="21"/>
        <v>122</v>
      </c>
      <c r="B129" s="222">
        <v>43191</v>
      </c>
      <c r="C129" s="227"/>
      <c r="D129" s="108">
        <v>3486.65</v>
      </c>
      <c r="E129" s="108"/>
      <c r="F129" s="223">
        <v>4.4699999999999997E-2</v>
      </c>
      <c r="G129" s="197">
        <v>426.3</v>
      </c>
      <c r="H129" s="224"/>
      <c r="I129" s="225"/>
      <c r="J129" s="197"/>
      <c r="K129" s="197"/>
      <c r="L129" s="197"/>
      <c r="M129" s="218"/>
      <c r="N129" s="218"/>
      <c r="O129" s="218">
        <v>343.98</v>
      </c>
      <c r="P129" s="218">
        <v>82.32</v>
      </c>
      <c r="Q129" s="218"/>
      <c r="R129" s="210">
        <v>3912.9500000000003</v>
      </c>
      <c r="S129" s="197">
        <v>116611.31130774398</v>
      </c>
      <c r="T129" s="197"/>
      <c r="U129" s="197"/>
      <c r="V129" s="108"/>
      <c r="W129" s="174"/>
      <c r="X129" s="211"/>
      <c r="Y129" s="219"/>
      <c r="Z129" s="211"/>
      <c r="AA129" s="219">
        <v>92688.931307743973</v>
      </c>
      <c r="AB129" s="219">
        <v>23922.380000000005</v>
      </c>
    </row>
    <row r="130" spans="1:29" x14ac:dyDescent="0.2">
      <c r="A130" s="176">
        <f t="shared" si="21"/>
        <v>123</v>
      </c>
      <c r="B130" s="222">
        <v>43221</v>
      </c>
      <c r="C130" s="227"/>
      <c r="D130" s="108">
        <v>4127.7</v>
      </c>
      <c r="E130" s="108"/>
      <c r="F130" s="223">
        <v>4.4699999999999997E-2</v>
      </c>
      <c r="G130" s="197">
        <v>442.06</v>
      </c>
      <c r="H130" s="224"/>
      <c r="I130" s="225"/>
      <c r="J130" s="197"/>
      <c r="K130" s="197"/>
      <c r="L130" s="197"/>
      <c r="M130" s="218"/>
      <c r="N130" s="218"/>
      <c r="O130" s="218">
        <v>345.27</v>
      </c>
      <c r="P130" s="218">
        <v>96.79000000000002</v>
      </c>
      <c r="Q130" s="218"/>
      <c r="R130" s="210">
        <v>4569.76</v>
      </c>
      <c r="S130" s="197">
        <v>121181.07130774397</v>
      </c>
      <c r="T130" s="197"/>
      <c r="U130" s="197"/>
      <c r="V130" s="108"/>
      <c r="W130" s="174"/>
      <c r="X130" s="211"/>
      <c r="Y130" s="219"/>
      <c r="Z130" s="211"/>
      <c r="AA130" s="219">
        <v>93034.201307743977</v>
      </c>
      <c r="AB130" s="219">
        <v>28146.869999999995</v>
      </c>
    </row>
    <row r="131" spans="1:29" x14ac:dyDescent="0.2">
      <c r="A131" s="176">
        <f t="shared" si="21"/>
        <v>124</v>
      </c>
      <c r="B131" s="222">
        <v>43252</v>
      </c>
      <c r="C131" s="227"/>
      <c r="D131" s="108">
        <v>6080.13</v>
      </c>
      <c r="E131" s="108"/>
      <c r="F131" s="223">
        <v>4.4699999999999997E-2</v>
      </c>
      <c r="G131" s="197">
        <v>462.72</v>
      </c>
      <c r="H131" s="224"/>
      <c r="I131" s="225"/>
      <c r="J131" s="197"/>
      <c r="K131" s="197"/>
      <c r="L131" s="197"/>
      <c r="M131" s="218"/>
      <c r="N131" s="218"/>
      <c r="O131" s="218">
        <v>346.55</v>
      </c>
      <c r="P131" s="218">
        <v>116.17000000000002</v>
      </c>
      <c r="Q131" s="218"/>
      <c r="R131" s="210">
        <v>6542.85</v>
      </c>
      <c r="S131" s="197">
        <v>127723.92130774398</v>
      </c>
      <c r="T131" s="197"/>
      <c r="U131" s="197"/>
      <c r="V131" s="108"/>
      <c r="W131" s="174"/>
      <c r="X131" s="211"/>
      <c r="Y131" s="219"/>
      <c r="Z131" s="211"/>
      <c r="AA131" s="219">
        <v>93380.75130774398</v>
      </c>
      <c r="AB131" s="219">
        <v>34343.17</v>
      </c>
    </row>
    <row r="132" spans="1:29" x14ac:dyDescent="0.2">
      <c r="A132" s="176">
        <f t="shared" si="21"/>
        <v>125</v>
      </c>
      <c r="B132" s="222">
        <v>43282</v>
      </c>
      <c r="C132" s="227"/>
      <c r="D132" s="108">
        <v>3647.95</v>
      </c>
      <c r="E132" s="108"/>
      <c r="F132" s="223">
        <v>4.6899999999999997E-2</v>
      </c>
      <c r="G132" s="197">
        <v>506.32</v>
      </c>
      <c r="H132" s="224"/>
      <c r="I132" s="225"/>
      <c r="J132" s="197"/>
      <c r="K132" s="197"/>
      <c r="L132" s="197"/>
      <c r="M132" s="218"/>
      <c r="N132" s="218"/>
      <c r="O132" s="218">
        <v>364.96</v>
      </c>
      <c r="P132" s="218">
        <v>141.36000000000001</v>
      </c>
      <c r="Q132" s="218"/>
      <c r="R132" s="210">
        <v>4154.2699999999995</v>
      </c>
      <c r="S132" s="197">
        <v>131878.19130774398</v>
      </c>
      <c r="T132" s="197"/>
      <c r="U132" s="197"/>
      <c r="V132" s="108"/>
      <c r="W132" s="174"/>
      <c r="X132" s="211"/>
      <c r="Y132" s="219"/>
      <c r="Z132" s="211"/>
      <c r="AA132" s="219">
        <v>93745.711307743986</v>
      </c>
      <c r="AB132" s="219">
        <v>38132.479999999996</v>
      </c>
    </row>
    <row r="133" spans="1:29" x14ac:dyDescent="0.2">
      <c r="A133" s="176">
        <f t="shared" si="21"/>
        <v>126</v>
      </c>
      <c r="B133" s="222">
        <v>43313</v>
      </c>
      <c r="C133" s="227"/>
      <c r="D133" s="108">
        <v>4936.38</v>
      </c>
      <c r="E133" s="108"/>
      <c r="F133" s="223">
        <v>4.6899999999999997E-2</v>
      </c>
      <c r="G133" s="197">
        <v>525.07000000000005</v>
      </c>
      <c r="H133" s="224"/>
      <c r="I133" s="225"/>
      <c r="J133" s="197"/>
      <c r="K133" s="197"/>
      <c r="L133" s="197"/>
      <c r="M133" s="218"/>
      <c r="N133" s="218"/>
      <c r="O133" s="218">
        <v>366.39</v>
      </c>
      <c r="P133" s="218">
        <v>158.68000000000006</v>
      </c>
      <c r="Q133" s="218"/>
      <c r="R133" s="210">
        <v>5461.45</v>
      </c>
      <c r="S133" s="197">
        <v>137339.64130774399</v>
      </c>
      <c r="T133" s="197"/>
      <c r="U133" s="197"/>
      <c r="V133" s="108"/>
      <c r="W133" s="174"/>
      <c r="X133" s="211"/>
      <c r="Y133" s="219"/>
      <c r="Z133" s="211"/>
      <c r="AA133" s="219">
        <v>94112.101307743986</v>
      </c>
      <c r="AB133" s="219">
        <v>43227.540000000008</v>
      </c>
    </row>
    <row r="134" spans="1:29" x14ac:dyDescent="0.2">
      <c r="A134" s="176">
        <f t="shared" si="21"/>
        <v>127</v>
      </c>
      <c r="B134" s="222">
        <v>43344</v>
      </c>
      <c r="C134" s="227"/>
      <c r="D134" s="108">
        <v>6519.88</v>
      </c>
      <c r="E134" s="108"/>
      <c r="F134" s="223">
        <v>4.6899999999999997E-2</v>
      </c>
      <c r="G134" s="197">
        <v>549.51</v>
      </c>
      <c r="H134" s="224"/>
      <c r="I134" s="225"/>
      <c r="J134" s="197"/>
      <c r="K134" s="197"/>
      <c r="L134" s="197"/>
      <c r="M134" s="218"/>
      <c r="N134" s="218"/>
      <c r="O134" s="218">
        <v>367.82</v>
      </c>
      <c r="P134" s="218">
        <v>181.69</v>
      </c>
      <c r="Q134" s="218"/>
      <c r="R134" s="210">
        <v>7069.39</v>
      </c>
      <c r="S134" s="197">
        <v>144409.03130774401</v>
      </c>
      <c r="T134" s="197"/>
      <c r="U134" s="197"/>
      <c r="V134" s="108"/>
      <c r="W134" s="174"/>
      <c r="X134" s="211"/>
      <c r="Y134" s="219"/>
      <c r="Z134" s="211"/>
      <c r="AA134" s="219">
        <v>94479.921307743993</v>
      </c>
      <c r="AB134" s="219">
        <v>49929.110000000015</v>
      </c>
    </row>
    <row r="135" spans="1:29" x14ac:dyDescent="0.2">
      <c r="A135" s="176">
        <f t="shared" si="21"/>
        <v>128</v>
      </c>
      <c r="B135" s="222">
        <v>43374</v>
      </c>
      <c r="C135" s="227"/>
      <c r="D135" s="108">
        <v>5235.26</v>
      </c>
      <c r="E135" s="108"/>
      <c r="F135" s="233">
        <v>4.9599999999999998E-2</v>
      </c>
      <c r="G135" s="197">
        <v>607.71</v>
      </c>
      <c r="H135" s="224"/>
      <c r="I135" s="225"/>
      <c r="J135" s="197"/>
      <c r="K135" s="197"/>
      <c r="L135" s="197"/>
      <c r="M135" s="218"/>
      <c r="N135" s="218"/>
      <c r="O135" s="218">
        <v>390.52</v>
      </c>
      <c r="P135" s="218">
        <v>217.19000000000005</v>
      </c>
      <c r="Q135" s="218"/>
      <c r="R135" s="210">
        <v>5842.97</v>
      </c>
      <c r="S135" s="197">
        <v>150252.00130774401</v>
      </c>
      <c r="T135" s="197"/>
      <c r="U135" s="197"/>
      <c r="V135" s="108"/>
      <c r="W135" s="174"/>
      <c r="X135" s="211"/>
      <c r="Y135" s="219"/>
      <c r="Z135" s="211"/>
      <c r="AA135" s="219">
        <v>94870.441307743997</v>
      </c>
      <c r="AB135" s="219">
        <v>55381.560000000012</v>
      </c>
    </row>
    <row r="136" spans="1:29" x14ac:dyDescent="0.2">
      <c r="A136" s="176">
        <f t="shared" si="21"/>
        <v>129</v>
      </c>
      <c r="B136" s="222">
        <v>43405</v>
      </c>
      <c r="C136" s="212" t="s">
        <v>151</v>
      </c>
      <c r="D136" s="108">
        <v>5389</v>
      </c>
      <c r="E136" s="108">
        <v>-94870.441307743982</v>
      </c>
      <c r="F136" s="233">
        <v>4.9599999999999998E-2</v>
      </c>
      <c r="G136" s="197">
        <v>240.05</v>
      </c>
      <c r="H136" s="224"/>
      <c r="I136" s="225"/>
      <c r="J136" s="197"/>
      <c r="K136" s="197"/>
      <c r="L136" s="197"/>
      <c r="M136" s="218"/>
      <c r="N136" s="218"/>
      <c r="O136" s="218"/>
      <c r="P136" s="218">
        <v>240.05</v>
      </c>
      <c r="Q136" s="218"/>
      <c r="R136" s="210">
        <v>-89241.391307743979</v>
      </c>
      <c r="S136" s="197">
        <v>61010.61000000003</v>
      </c>
      <c r="T136" s="197"/>
      <c r="U136" s="197"/>
      <c r="V136" s="108"/>
      <c r="W136" s="174"/>
      <c r="X136" s="211"/>
      <c r="Y136" s="219"/>
      <c r="Z136" s="211"/>
      <c r="AA136" s="219"/>
      <c r="AB136" s="219">
        <v>61010.61000000003</v>
      </c>
    </row>
    <row r="137" spans="1:29" x14ac:dyDescent="0.2">
      <c r="A137" s="176">
        <f t="shared" ref="A137:A152" si="45">+A136+1</f>
        <v>130</v>
      </c>
      <c r="B137" s="234">
        <v>43435</v>
      </c>
      <c r="C137" s="235"/>
      <c r="D137" s="236">
        <v>21226.47</v>
      </c>
      <c r="E137" s="236"/>
      <c r="F137" s="237">
        <v>4.9599999999999998E-2</v>
      </c>
      <c r="G137" s="238">
        <v>296.05</v>
      </c>
      <c r="H137" s="239"/>
      <c r="I137" s="240"/>
      <c r="J137" s="238"/>
      <c r="K137" s="238"/>
      <c r="L137" s="238"/>
      <c r="M137" s="241"/>
      <c r="N137" s="241"/>
      <c r="O137" s="241"/>
      <c r="P137" s="241">
        <v>296.05</v>
      </c>
      <c r="Q137" s="241"/>
      <c r="R137" s="242">
        <v>21522.52</v>
      </c>
      <c r="S137" s="238">
        <v>82533.130000000034</v>
      </c>
      <c r="T137" s="238"/>
      <c r="U137" s="238"/>
      <c r="V137" s="236"/>
      <c r="W137" s="243"/>
      <c r="X137" s="244"/>
      <c r="Y137" s="242"/>
      <c r="Z137" s="244"/>
      <c r="AA137" s="242"/>
      <c r="AB137" s="242">
        <v>82533.130000000034</v>
      </c>
      <c r="AC137" s="245"/>
    </row>
    <row r="138" spans="1:29" x14ac:dyDescent="0.2">
      <c r="A138" s="176">
        <f t="shared" si="45"/>
        <v>131</v>
      </c>
      <c r="B138" s="222">
        <v>43466</v>
      </c>
      <c r="C138" s="227"/>
      <c r="D138" s="108">
        <v>6116.12</v>
      </c>
      <c r="E138" s="108"/>
      <c r="F138" s="233">
        <v>5.1799999999999999E-2</v>
      </c>
      <c r="G138" s="197">
        <v>369.47</v>
      </c>
      <c r="H138" s="224"/>
      <c r="I138" s="225"/>
      <c r="J138" s="197"/>
      <c r="K138" s="197"/>
      <c r="L138" s="197"/>
      <c r="M138" s="218"/>
      <c r="N138" s="218"/>
      <c r="O138" s="218"/>
      <c r="P138" s="218">
        <v>356.27</v>
      </c>
      <c r="Q138" s="218">
        <v>13.200000000000045</v>
      </c>
      <c r="R138" s="210">
        <v>6485.59</v>
      </c>
      <c r="S138" s="197">
        <v>89018.72000000003</v>
      </c>
      <c r="T138" s="197"/>
      <c r="U138" s="197"/>
      <c r="V138" s="108"/>
      <c r="W138" s="174"/>
      <c r="X138" s="211"/>
      <c r="Y138" s="219"/>
      <c r="Z138" s="211"/>
      <c r="AA138" s="219"/>
      <c r="AB138" s="219">
        <v>82889.400000000038</v>
      </c>
      <c r="AC138" s="219">
        <v>6129.3199999999924</v>
      </c>
    </row>
    <row r="139" spans="1:29" x14ac:dyDescent="0.2">
      <c r="A139" s="176">
        <f t="shared" si="45"/>
        <v>132</v>
      </c>
      <c r="B139" s="222">
        <v>43497</v>
      </c>
      <c r="C139" s="227"/>
      <c r="D139" s="108">
        <v>6366.26</v>
      </c>
      <c r="E139" s="108"/>
      <c r="F139" s="233">
        <v>5.1799999999999999E-2</v>
      </c>
      <c r="G139" s="197">
        <v>398</v>
      </c>
      <c r="H139" s="224"/>
      <c r="I139" s="225"/>
      <c r="J139" s="197"/>
      <c r="K139" s="197"/>
      <c r="L139" s="197"/>
      <c r="M139" s="218"/>
      <c r="N139" s="218"/>
      <c r="O139" s="218"/>
      <c r="P139" s="218">
        <v>357.81</v>
      </c>
      <c r="Q139" s="218">
        <v>40.19</v>
      </c>
      <c r="R139" s="210">
        <v>6764.26</v>
      </c>
      <c r="S139" s="197">
        <v>95782.980000000025</v>
      </c>
      <c r="T139" s="197"/>
      <c r="U139" s="197"/>
      <c r="V139" s="108"/>
      <c r="W139" s="174"/>
      <c r="X139" s="211"/>
      <c r="Y139" s="219"/>
      <c r="Z139" s="211"/>
      <c r="AA139" s="219"/>
      <c r="AB139" s="219">
        <v>83247.210000000036</v>
      </c>
      <c r="AC139" s="219">
        <v>12535.76999999999</v>
      </c>
    </row>
    <row r="140" spans="1:29" x14ac:dyDescent="0.2">
      <c r="A140" s="176">
        <f t="shared" si="45"/>
        <v>133</v>
      </c>
      <c r="B140" s="222">
        <v>43525</v>
      </c>
      <c r="C140" s="227"/>
      <c r="D140" s="108">
        <v>7757.76</v>
      </c>
      <c r="E140" s="108"/>
      <c r="F140" s="233">
        <v>5.1799999999999999E-2</v>
      </c>
      <c r="G140" s="197">
        <v>430.21</v>
      </c>
      <c r="H140" s="224"/>
      <c r="I140" s="225"/>
      <c r="J140" s="197"/>
      <c r="K140" s="197"/>
      <c r="L140" s="197"/>
      <c r="M140" s="218"/>
      <c r="N140" s="218"/>
      <c r="O140" s="218"/>
      <c r="P140" s="218">
        <v>359.35</v>
      </c>
      <c r="Q140" s="218">
        <v>70.859999999999957</v>
      </c>
      <c r="R140" s="210">
        <v>8187.97</v>
      </c>
      <c r="S140" s="197">
        <v>103970.95000000003</v>
      </c>
      <c r="T140" s="197"/>
      <c r="U140" s="197"/>
      <c r="V140" s="108"/>
      <c r="W140" s="174"/>
      <c r="X140" s="211"/>
      <c r="Y140" s="219"/>
      <c r="Z140" s="211"/>
      <c r="AA140" s="219"/>
      <c r="AB140" s="219">
        <v>83606.560000000041</v>
      </c>
      <c r="AC140" s="219">
        <v>20364.389999999985</v>
      </c>
    </row>
    <row r="141" spans="1:29" x14ac:dyDescent="0.2">
      <c r="A141" s="176">
        <f t="shared" si="45"/>
        <v>134</v>
      </c>
      <c r="B141" s="222">
        <v>43556</v>
      </c>
      <c r="C141" s="227"/>
      <c r="D141" s="108">
        <v>7421.98</v>
      </c>
      <c r="E141" s="108"/>
      <c r="F141" s="233">
        <v>5.45E-2</v>
      </c>
      <c r="G141" s="197">
        <v>489.06</v>
      </c>
      <c r="H141" s="224"/>
      <c r="I141" s="225"/>
      <c r="J141" s="197"/>
      <c r="K141" s="197"/>
      <c r="L141" s="197"/>
      <c r="M141" s="218"/>
      <c r="N141" s="218"/>
      <c r="O141" s="218"/>
      <c r="P141" s="218">
        <v>379.71</v>
      </c>
      <c r="Q141" s="218">
        <v>109.35000000000002</v>
      </c>
      <c r="R141" s="210">
        <v>7911.04</v>
      </c>
      <c r="S141" s="197">
        <v>111881.99000000002</v>
      </c>
      <c r="T141" s="197"/>
      <c r="U141" s="197"/>
      <c r="V141" s="108"/>
      <c r="W141" s="174"/>
      <c r="X141" s="211"/>
      <c r="Y141" s="219"/>
      <c r="Z141" s="211"/>
      <c r="AA141" s="219"/>
      <c r="AB141" s="219">
        <v>83986.270000000048</v>
      </c>
      <c r="AC141" s="219">
        <v>27895.719999999972</v>
      </c>
    </row>
    <row r="142" spans="1:29" x14ac:dyDescent="0.2">
      <c r="A142" s="176">
        <f t="shared" si="45"/>
        <v>135</v>
      </c>
      <c r="B142" s="222">
        <v>43586</v>
      </c>
      <c r="C142" s="227"/>
      <c r="D142" s="108">
        <v>2709.82</v>
      </c>
      <c r="E142" s="108"/>
      <c r="F142" s="233">
        <v>5.45E-2</v>
      </c>
      <c r="G142" s="197">
        <v>514.28</v>
      </c>
      <c r="H142" s="224"/>
      <c r="I142" s="225"/>
      <c r="J142" s="197"/>
      <c r="K142" s="197"/>
      <c r="L142" s="197"/>
      <c r="M142" s="218"/>
      <c r="N142" s="218"/>
      <c r="O142" s="218"/>
      <c r="P142" s="218">
        <v>381.44</v>
      </c>
      <c r="Q142" s="218">
        <v>132.83999999999997</v>
      </c>
      <c r="R142" s="210">
        <v>3224.1000000000004</v>
      </c>
      <c r="S142" s="197">
        <v>115106.09000000003</v>
      </c>
      <c r="T142" s="197"/>
      <c r="U142" s="197"/>
      <c r="V142" s="108"/>
      <c r="W142" s="174"/>
      <c r="X142" s="211"/>
      <c r="Y142" s="219"/>
      <c r="Z142" s="211"/>
      <c r="AA142" s="219"/>
      <c r="AB142" s="219">
        <v>84367.71000000005</v>
      </c>
      <c r="AC142" s="219">
        <v>30738.379999999976</v>
      </c>
    </row>
    <row r="143" spans="1:29" x14ac:dyDescent="0.2">
      <c r="A143" s="176">
        <f t="shared" si="45"/>
        <v>136</v>
      </c>
      <c r="B143" s="222">
        <v>43617</v>
      </c>
      <c r="C143" s="227"/>
      <c r="D143" s="108">
        <v>4654.3900000000003</v>
      </c>
      <c r="E143" s="108"/>
      <c r="F143" s="233">
        <v>5.45E-2</v>
      </c>
      <c r="G143" s="197">
        <v>533.34</v>
      </c>
      <c r="H143" s="224"/>
      <c r="I143" s="225"/>
      <c r="J143" s="197"/>
      <c r="K143" s="197"/>
      <c r="L143" s="197"/>
      <c r="M143" s="218"/>
      <c r="N143" s="218"/>
      <c r="O143" s="218"/>
      <c r="P143" s="218">
        <v>383.17</v>
      </c>
      <c r="Q143" s="218">
        <v>150.17000000000002</v>
      </c>
      <c r="R143" s="210">
        <v>5187.7300000000005</v>
      </c>
      <c r="S143" s="197">
        <v>120293.82000000002</v>
      </c>
      <c r="T143" s="197"/>
      <c r="U143" s="197"/>
      <c r="V143" s="108"/>
      <c r="W143" s="174"/>
      <c r="X143" s="211"/>
      <c r="Y143" s="219"/>
      <c r="Z143" s="211"/>
      <c r="AA143" s="219"/>
      <c r="AB143" s="219">
        <v>84750.880000000048</v>
      </c>
      <c r="AC143" s="219">
        <v>35542.939999999973</v>
      </c>
    </row>
    <row r="144" spans="1:29" x14ac:dyDescent="0.2">
      <c r="A144" s="176">
        <f t="shared" si="45"/>
        <v>137</v>
      </c>
      <c r="B144" s="222">
        <v>43647</v>
      </c>
      <c r="C144" s="227"/>
      <c r="D144" s="108">
        <v>4734.2700000000004</v>
      </c>
      <c r="E144" s="108"/>
      <c r="F144" s="233">
        <v>5.5E-2</v>
      </c>
      <c r="G144" s="197">
        <v>562.20000000000005</v>
      </c>
      <c r="H144" s="224"/>
      <c r="I144" s="225"/>
      <c r="J144" s="197"/>
      <c r="K144" s="197"/>
      <c r="L144" s="197"/>
      <c r="M144" s="218"/>
      <c r="N144" s="218"/>
      <c r="O144" s="218"/>
      <c r="P144" s="218">
        <v>388.44</v>
      </c>
      <c r="Q144" s="218">
        <v>173.76000000000005</v>
      </c>
      <c r="R144" s="210">
        <v>5296.47</v>
      </c>
      <c r="S144" s="197">
        <v>125590.29000000002</v>
      </c>
      <c r="T144" s="197"/>
      <c r="U144" s="197"/>
      <c r="V144" s="108"/>
      <c r="W144" s="174"/>
      <c r="X144" s="211"/>
      <c r="Y144" s="219"/>
      <c r="Z144" s="211"/>
      <c r="AA144" s="219"/>
      <c r="AB144" s="219">
        <v>85139.320000000051</v>
      </c>
      <c r="AC144" s="219">
        <v>40450.969999999972</v>
      </c>
    </row>
    <row r="145" spans="1:29" x14ac:dyDescent="0.2">
      <c r="A145" s="176">
        <f t="shared" si="45"/>
        <v>138</v>
      </c>
      <c r="B145" s="222">
        <v>43678</v>
      </c>
      <c r="C145" s="227"/>
      <c r="D145" s="108">
        <v>4497.6499999999996</v>
      </c>
      <c r="E145" s="108"/>
      <c r="F145" s="233">
        <v>5.5E-2</v>
      </c>
      <c r="G145" s="197">
        <v>585.92999999999995</v>
      </c>
      <c r="H145" s="224"/>
      <c r="I145" s="225"/>
      <c r="J145" s="197"/>
      <c r="K145" s="197"/>
      <c r="L145" s="197"/>
      <c r="M145" s="218"/>
      <c r="N145" s="218"/>
      <c r="O145" s="218"/>
      <c r="P145" s="218">
        <v>390.22</v>
      </c>
      <c r="Q145" s="218">
        <v>195.70999999999992</v>
      </c>
      <c r="R145" s="210">
        <v>5083.58</v>
      </c>
      <c r="S145" s="197">
        <v>130673.87000000002</v>
      </c>
      <c r="T145" s="197"/>
      <c r="U145" s="197"/>
      <c r="V145" s="108"/>
      <c r="W145" s="174"/>
      <c r="X145" s="211"/>
      <c r="Y145" s="219"/>
      <c r="Z145" s="211"/>
      <c r="AA145" s="219"/>
      <c r="AB145" s="219">
        <v>85529.540000000052</v>
      </c>
      <c r="AC145" s="219">
        <v>45144.329999999973</v>
      </c>
    </row>
    <row r="146" spans="1:29" x14ac:dyDescent="0.2">
      <c r="A146" s="176">
        <f t="shared" si="45"/>
        <v>139</v>
      </c>
      <c r="B146" s="222">
        <v>43709</v>
      </c>
      <c r="C146" s="227"/>
      <c r="D146" s="108"/>
      <c r="E146" s="108"/>
      <c r="F146" s="233">
        <v>5.5E-2</v>
      </c>
      <c r="G146" s="197">
        <v>598.91999999999996</v>
      </c>
      <c r="H146" s="224"/>
      <c r="I146" s="225"/>
      <c r="J146" s="197"/>
      <c r="K146" s="197"/>
      <c r="L146" s="197"/>
      <c r="M146" s="218"/>
      <c r="N146" s="218"/>
      <c r="O146" s="218"/>
      <c r="P146" s="218">
        <v>392.01</v>
      </c>
      <c r="Q146" s="218">
        <v>206.90999999999997</v>
      </c>
      <c r="R146" s="210">
        <v>598.91999999999996</v>
      </c>
      <c r="S146" s="197">
        <v>131272.79000000004</v>
      </c>
      <c r="T146" s="197"/>
      <c r="U146" s="197"/>
      <c r="V146" s="108"/>
      <c r="W146" s="174"/>
      <c r="X146" s="211"/>
      <c r="Y146" s="219"/>
      <c r="Z146" s="211"/>
      <c r="AA146" s="219"/>
      <c r="AB146" s="219">
        <v>85921.550000000047</v>
      </c>
      <c r="AC146" s="219">
        <v>45351.239999999991</v>
      </c>
    </row>
    <row r="147" spans="1:29" x14ac:dyDescent="0.2">
      <c r="A147" s="176">
        <f t="shared" si="45"/>
        <v>140</v>
      </c>
      <c r="B147" s="222">
        <v>43739</v>
      </c>
      <c r="C147" s="227"/>
      <c r="D147" s="108"/>
      <c r="E147" s="108"/>
      <c r="F147" s="246">
        <v>5.4199999999999998E-2</v>
      </c>
      <c r="G147" s="197"/>
      <c r="H147" s="224"/>
      <c r="I147" s="225"/>
      <c r="J147" s="197"/>
      <c r="K147" s="197"/>
      <c r="L147" s="197"/>
      <c r="M147" s="218"/>
      <c r="N147" s="218"/>
      <c r="O147" s="218"/>
      <c r="P147" s="218">
        <v>388.08</v>
      </c>
      <c r="Q147" s="218">
        <v>-388.08</v>
      </c>
      <c r="R147" s="210">
        <v>0</v>
      </c>
      <c r="S147" s="197">
        <v>131272.79000000004</v>
      </c>
      <c r="T147" s="197"/>
      <c r="U147" s="197"/>
      <c r="V147" s="108"/>
      <c r="W147" s="174"/>
      <c r="X147" s="211"/>
      <c r="Y147" s="219"/>
      <c r="Z147" s="211"/>
      <c r="AA147" s="219"/>
      <c r="AB147" s="219">
        <v>86309.630000000048</v>
      </c>
      <c r="AC147" s="219">
        <v>44963.159999999989</v>
      </c>
    </row>
    <row r="148" spans="1:29" x14ac:dyDescent="0.2">
      <c r="A148" s="176">
        <f t="shared" si="45"/>
        <v>141</v>
      </c>
      <c r="D148" s="108"/>
      <c r="E148" s="107"/>
      <c r="F148" s="194"/>
      <c r="G148" s="186"/>
      <c r="H148" s="186"/>
      <c r="I148" s="186"/>
      <c r="J148" s="186"/>
      <c r="K148" s="186"/>
      <c r="L148" s="186"/>
      <c r="M148" s="186"/>
      <c r="N148" s="186"/>
      <c r="O148" s="186"/>
      <c r="P148" s="186"/>
      <c r="Q148" s="186"/>
      <c r="R148" s="183"/>
      <c r="S148" s="186"/>
      <c r="T148" s="186"/>
      <c r="U148" s="186"/>
      <c r="V148" s="107"/>
    </row>
    <row r="149" spans="1:29" x14ac:dyDescent="0.2">
      <c r="A149" s="176">
        <f t="shared" si="45"/>
        <v>142</v>
      </c>
      <c r="B149" s="247" t="s">
        <v>153</v>
      </c>
      <c r="D149" s="107"/>
      <c r="E149" s="107"/>
      <c r="F149" s="107"/>
      <c r="G149" s="107"/>
      <c r="H149" s="107"/>
      <c r="I149" s="107"/>
      <c r="J149" s="248"/>
      <c r="K149" s="107"/>
      <c r="L149" s="107"/>
      <c r="M149" s="107"/>
      <c r="N149" s="107"/>
      <c r="O149" s="107"/>
      <c r="P149" s="107"/>
      <c r="Q149" s="107"/>
      <c r="R149" s="107"/>
      <c r="S149" s="107"/>
      <c r="T149" s="107"/>
      <c r="U149" s="107"/>
      <c r="V149" s="107"/>
    </row>
    <row r="150" spans="1:29" x14ac:dyDescent="0.2">
      <c r="A150" s="176">
        <f t="shared" si="45"/>
        <v>143</v>
      </c>
      <c r="D150" s="107"/>
      <c r="E150" s="107"/>
      <c r="F150" s="107"/>
      <c r="G150" s="107"/>
      <c r="H150" s="107"/>
      <c r="I150" s="107"/>
      <c r="J150" s="107"/>
      <c r="K150" s="107"/>
      <c r="L150" s="107"/>
      <c r="M150" s="107"/>
      <c r="N150" s="107"/>
      <c r="O150" s="107"/>
      <c r="P150" s="107"/>
      <c r="Q150" s="107"/>
      <c r="R150" s="107"/>
      <c r="S150" s="107"/>
      <c r="T150" s="107"/>
      <c r="U150" s="107"/>
      <c r="V150" s="107"/>
    </row>
    <row r="151" spans="1:29" x14ac:dyDescent="0.2">
      <c r="A151" s="176">
        <f t="shared" si="45"/>
        <v>144</v>
      </c>
      <c r="B151" s="249" t="s">
        <v>154</v>
      </c>
      <c r="D151" s="107"/>
      <c r="E151" s="107"/>
      <c r="F151" s="107"/>
      <c r="G151" s="107"/>
      <c r="H151" s="107"/>
      <c r="I151" s="107"/>
      <c r="J151" s="107"/>
      <c r="K151" s="107"/>
      <c r="L151" s="107"/>
      <c r="M151" s="107"/>
      <c r="N151" s="107"/>
      <c r="O151" s="107"/>
      <c r="P151" s="107"/>
      <c r="Q151" s="107"/>
      <c r="R151" s="107"/>
      <c r="S151" s="107"/>
      <c r="T151" s="107"/>
      <c r="U151" s="107"/>
      <c r="V151" s="107"/>
    </row>
    <row r="152" spans="1:29" x14ac:dyDescent="0.2">
      <c r="A152" s="176">
        <f t="shared" si="45"/>
        <v>145</v>
      </c>
      <c r="B152" s="250" t="s">
        <v>155</v>
      </c>
      <c r="D152" s="107"/>
      <c r="E152" s="107"/>
      <c r="F152" s="107"/>
      <c r="G152" s="107"/>
      <c r="H152" s="107"/>
      <c r="I152" s="107"/>
      <c r="J152" s="107"/>
      <c r="K152" s="107"/>
      <c r="L152" s="107"/>
      <c r="M152" s="107"/>
      <c r="N152" s="107"/>
      <c r="O152" s="107"/>
      <c r="P152" s="107"/>
      <c r="Q152" s="107"/>
      <c r="R152" s="107"/>
      <c r="S152" s="107"/>
      <c r="T152" s="107"/>
      <c r="U152" s="107"/>
      <c r="V152" s="107"/>
    </row>
    <row r="153" spans="1:29" x14ac:dyDescent="0.2">
      <c r="A153" s="176"/>
      <c r="B153" s="251"/>
      <c r="D153" s="107"/>
      <c r="E153" s="107"/>
      <c r="F153" s="107"/>
      <c r="G153" s="107"/>
      <c r="H153" s="107"/>
      <c r="I153" s="107"/>
      <c r="J153" s="107"/>
      <c r="K153" s="107"/>
      <c r="L153" s="107"/>
      <c r="M153" s="107"/>
      <c r="N153" s="107"/>
      <c r="O153" s="107"/>
      <c r="P153" s="107"/>
      <c r="Q153" s="107"/>
      <c r="R153" s="107"/>
      <c r="S153" s="107"/>
      <c r="T153" s="107"/>
      <c r="U153" s="107"/>
      <c r="V153" s="2"/>
    </row>
    <row r="154" spans="1:29" x14ac:dyDescent="0.2">
      <c r="D154" s="107"/>
      <c r="E154" s="107"/>
      <c r="F154" s="107"/>
      <c r="G154" s="107"/>
      <c r="H154" s="107"/>
      <c r="I154" s="107"/>
      <c r="J154" s="107"/>
      <c r="K154" s="107"/>
      <c r="L154" s="107"/>
      <c r="M154" s="107"/>
      <c r="N154" s="107"/>
      <c r="O154" s="107"/>
      <c r="P154" s="107"/>
      <c r="Q154" s="107"/>
      <c r="R154" s="107"/>
      <c r="S154" s="107"/>
      <c r="T154" s="107"/>
      <c r="U154" s="107"/>
      <c r="V154" s="2"/>
    </row>
    <row r="155" spans="1:29" x14ac:dyDescent="0.2">
      <c r="D155" s="107"/>
      <c r="E155" s="107"/>
      <c r="F155" s="107"/>
      <c r="G155" s="107"/>
      <c r="H155" s="107"/>
      <c r="I155" s="107"/>
      <c r="J155" s="107"/>
      <c r="K155" s="107"/>
      <c r="L155" s="107"/>
      <c r="M155" s="107"/>
      <c r="N155" s="107"/>
      <c r="O155" s="107"/>
      <c r="P155" s="107"/>
      <c r="Q155" s="107"/>
      <c r="R155" s="107"/>
      <c r="S155" s="107"/>
      <c r="T155" s="107"/>
      <c r="U155" s="107"/>
      <c r="V155" s="2"/>
    </row>
    <row r="156" spans="1:29" x14ac:dyDescent="0.2">
      <c r="D156" s="107"/>
      <c r="E156" s="107"/>
      <c r="F156" s="107"/>
      <c r="G156" s="107"/>
      <c r="H156" s="107"/>
      <c r="I156" s="107"/>
      <c r="J156" s="107"/>
      <c r="K156" s="107"/>
      <c r="L156" s="107"/>
      <c r="M156" s="107"/>
      <c r="N156" s="107"/>
      <c r="O156" s="107"/>
      <c r="P156" s="107"/>
      <c r="Q156" s="107"/>
      <c r="R156" s="107"/>
      <c r="S156" s="107"/>
      <c r="T156" s="107"/>
      <c r="U156" s="107"/>
      <c r="V156" s="2"/>
    </row>
  </sheetData>
  <pageMargins left="0.7" right="0.7" top="0.75" bottom="0.75" header="0.3" footer="0.3"/>
  <pageSetup scale="53" orientation="landscape" horizontalDpi="300" verticalDpi="300" r:id="rId1"/>
  <headerFooter>
    <oddHeader>&amp;RNWN's Advice 19-03
Exhibit A - Supporting Materials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0"/>
  <sheetViews>
    <sheetView showGridLines="0" view="pageLayout" zoomScaleNormal="100" workbookViewId="0">
      <selection activeCell="S2" sqref="S2"/>
    </sheetView>
  </sheetViews>
  <sheetFormatPr defaultColWidth="7.85546875" defaultRowHeight="12.75" outlineLevelCol="1" x14ac:dyDescent="0.2"/>
  <cols>
    <col min="1" max="1" width="4" style="169" customWidth="1"/>
    <col min="2" max="2" width="13.42578125" style="170" customWidth="1"/>
    <col min="3" max="3" width="8.85546875" style="170" customWidth="1"/>
    <col min="4" max="4" width="13.42578125" style="170" customWidth="1"/>
    <col min="5" max="5" width="15.5703125" style="170" bestFit="1" customWidth="1"/>
    <col min="6" max="7" width="13.42578125" style="170" customWidth="1"/>
    <col min="8" max="12" width="13.42578125" style="171" hidden="1" customWidth="1" outlineLevel="1"/>
    <col min="13" max="13" width="9.7109375" style="171" hidden="1" customWidth="1" outlineLevel="1" collapsed="1"/>
    <col min="14" max="14" width="13.42578125" style="183" hidden="1" customWidth="1" outlineLevel="1"/>
    <col min="15" max="15" width="13.42578125" style="183" customWidth="1" collapsed="1"/>
    <col min="16" max="17" width="13.42578125" style="183" customWidth="1"/>
    <col min="18" max="18" width="14.7109375" style="170" bestFit="1" customWidth="1"/>
    <col min="19" max="19" width="13.42578125" style="170" customWidth="1"/>
    <col min="20" max="22" width="13.42578125" style="171" hidden="1" customWidth="1" outlineLevel="1"/>
    <col min="23" max="24" width="13.42578125" style="170" hidden="1" customWidth="1" outlineLevel="1"/>
    <col min="25" max="25" width="13.7109375" style="170" hidden="1" customWidth="1" outlineLevel="1" collapsed="1"/>
    <col min="26" max="26" width="14" style="170" hidden="1" customWidth="1" outlineLevel="1"/>
    <col min="27" max="27" width="13.5703125" style="170" customWidth="1" collapsed="1"/>
    <col min="28" max="29" width="13.42578125" style="170" customWidth="1"/>
    <col min="30" max="16384" width="7.85546875" style="170"/>
  </cols>
  <sheetData>
    <row r="1" spans="1:29" x14ac:dyDescent="0.2">
      <c r="B1" s="170" t="s">
        <v>114</v>
      </c>
      <c r="D1" s="170" t="s">
        <v>115</v>
      </c>
    </row>
    <row r="2" spans="1:29" x14ac:dyDescent="0.2">
      <c r="B2" s="170" t="s">
        <v>116</v>
      </c>
      <c r="D2" s="170" t="s">
        <v>86</v>
      </c>
    </row>
    <row r="3" spans="1:29" x14ac:dyDescent="0.2">
      <c r="B3" s="170" t="s">
        <v>117</v>
      </c>
      <c r="D3" s="182" t="s">
        <v>156</v>
      </c>
    </row>
    <row r="4" spans="1:29" x14ac:dyDescent="0.2">
      <c r="B4" s="170" t="s">
        <v>119</v>
      </c>
      <c r="D4" s="173">
        <v>186312</v>
      </c>
    </row>
    <row r="5" spans="1:29" x14ac:dyDescent="0.2">
      <c r="B5" s="170" t="s">
        <v>120</v>
      </c>
      <c r="D5" s="174" t="s">
        <v>157</v>
      </c>
    </row>
    <row r="6" spans="1:29" x14ac:dyDescent="0.2">
      <c r="D6" s="174" t="s">
        <v>122</v>
      </c>
    </row>
    <row r="8" spans="1:29" x14ac:dyDescent="0.2">
      <c r="A8" s="176">
        <v>1</v>
      </c>
      <c r="B8" s="170" t="s">
        <v>123</v>
      </c>
      <c r="F8" s="179"/>
      <c r="G8" s="179"/>
      <c r="H8" s="177"/>
      <c r="I8" s="177"/>
      <c r="J8" s="177"/>
      <c r="K8" s="177"/>
      <c r="L8" s="177"/>
      <c r="M8" s="177"/>
      <c r="N8" s="252"/>
      <c r="O8" s="252"/>
      <c r="P8" s="252"/>
      <c r="Q8" s="252"/>
    </row>
    <row r="9" spans="1:29" x14ac:dyDescent="0.2">
      <c r="A9" s="176">
        <f t="shared" ref="A9:A72" si="0">+A8+1</f>
        <v>2</v>
      </c>
      <c r="F9" s="179"/>
      <c r="G9" s="179"/>
      <c r="H9" s="178">
        <v>2010</v>
      </c>
      <c r="I9" s="178">
        <v>2011</v>
      </c>
      <c r="J9" s="178">
        <v>2012</v>
      </c>
      <c r="K9" s="178">
        <v>2013</v>
      </c>
      <c r="L9" s="178">
        <v>2014</v>
      </c>
      <c r="M9" s="178">
        <v>2015</v>
      </c>
      <c r="N9" s="253">
        <v>2016</v>
      </c>
      <c r="O9" s="253">
        <v>2017</v>
      </c>
      <c r="P9" s="253">
        <v>2018</v>
      </c>
      <c r="Q9" s="253">
        <v>2019</v>
      </c>
      <c r="T9" s="178">
        <v>2010</v>
      </c>
      <c r="U9" s="178">
        <v>2011</v>
      </c>
      <c r="V9" s="178">
        <v>2012</v>
      </c>
      <c r="W9" s="178">
        <v>2013</v>
      </c>
      <c r="X9" s="178">
        <v>2014</v>
      </c>
      <c r="Y9" s="178">
        <v>2015</v>
      </c>
      <c r="Z9" s="178">
        <v>2016</v>
      </c>
      <c r="AA9" s="178">
        <v>2017</v>
      </c>
      <c r="AB9" s="178">
        <v>2018</v>
      </c>
      <c r="AC9" s="178">
        <v>2019</v>
      </c>
    </row>
    <row r="10" spans="1:29" x14ac:dyDescent="0.2">
      <c r="A10" s="176">
        <f t="shared" si="0"/>
        <v>3</v>
      </c>
      <c r="B10" s="179"/>
      <c r="C10" s="179"/>
      <c r="D10" s="179"/>
      <c r="E10" s="179"/>
      <c r="F10" s="179" t="s">
        <v>124</v>
      </c>
      <c r="G10" s="179"/>
      <c r="H10" s="177" t="s">
        <v>125</v>
      </c>
      <c r="I10" s="177" t="s">
        <v>125</v>
      </c>
      <c r="J10" s="177" t="s">
        <v>125</v>
      </c>
      <c r="K10" s="177" t="s">
        <v>125</v>
      </c>
      <c r="L10" s="177" t="s">
        <v>125</v>
      </c>
      <c r="M10" s="177" t="s">
        <v>125</v>
      </c>
      <c r="N10" s="177" t="s">
        <v>125</v>
      </c>
      <c r="O10" s="177" t="s">
        <v>125</v>
      </c>
      <c r="P10" s="177" t="s">
        <v>125</v>
      </c>
      <c r="Q10" s="177" t="s">
        <v>125</v>
      </c>
      <c r="R10" s="179" t="s">
        <v>20</v>
      </c>
      <c r="S10" s="179"/>
      <c r="T10" s="177" t="s">
        <v>125</v>
      </c>
      <c r="U10" s="177" t="s">
        <v>125</v>
      </c>
      <c r="V10" s="177" t="s">
        <v>125</v>
      </c>
      <c r="W10" s="177" t="s">
        <v>125</v>
      </c>
      <c r="X10" s="177" t="s">
        <v>125</v>
      </c>
      <c r="Y10" s="178" t="s">
        <v>125</v>
      </c>
      <c r="Z10" s="178" t="s">
        <v>125</v>
      </c>
      <c r="AA10" s="178" t="s">
        <v>125</v>
      </c>
      <c r="AB10" s="178" t="s">
        <v>125</v>
      </c>
      <c r="AC10" s="178" t="s">
        <v>125</v>
      </c>
    </row>
    <row r="11" spans="1:29" x14ac:dyDescent="0.2">
      <c r="A11" s="176">
        <f t="shared" si="0"/>
        <v>4</v>
      </c>
      <c r="B11" s="180" t="s">
        <v>126</v>
      </c>
      <c r="C11" s="180" t="s">
        <v>127</v>
      </c>
      <c r="D11" s="180" t="s">
        <v>158</v>
      </c>
      <c r="E11" s="180" t="s">
        <v>129</v>
      </c>
      <c r="F11" s="180" t="s">
        <v>26</v>
      </c>
      <c r="G11" s="180" t="s">
        <v>124</v>
      </c>
      <c r="H11" s="181" t="s">
        <v>124</v>
      </c>
      <c r="I11" s="181" t="s">
        <v>124</v>
      </c>
      <c r="J11" s="181" t="s">
        <v>124</v>
      </c>
      <c r="K11" s="181" t="s">
        <v>124</v>
      </c>
      <c r="L11" s="181" t="s">
        <v>124</v>
      </c>
      <c r="M11" s="181" t="s">
        <v>124</v>
      </c>
      <c r="N11" s="181" t="s">
        <v>124</v>
      </c>
      <c r="O11" s="181" t="s">
        <v>124</v>
      </c>
      <c r="P11" s="181" t="s">
        <v>124</v>
      </c>
      <c r="Q11" s="181" t="s">
        <v>124</v>
      </c>
      <c r="R11" s="180" t="s">
        <v>130</v>
      </c>
      <c r="S11" s="180" t="s">
        <v>131</v>
      </c>
      <c r="T11" s="181" t="s">
        <v>131</v>
      </c>
      <c r="U11" s="181" t="s">
        <v>131</v>
      </c>
      <c r="V11" s="181" t="s">
        <v>131</v>
      </c>
      <c r="W11" s="181" t="s">
        <v>131</v>
      </c>
      <c r="X11" s="181" t="s">
        <v>131</v>
      </c>
      <c r="Y11" s="178" t="s">
        <v>131</v>
      </c>
      <c r="Z11" s="178" t="s">
        <v>131</v>
      </c>
      <c r="AA11" s="178" t="s">
        <v>131</v>
      </c>
      <c r="AB11" s="178" t="s">
        <v>131</v>
      </c>
      <c r="AC11" s="178" t="s">
        <v>131</v>
      </c>
    </row>
    <row r="12" spans="1:29" x14ac:dyDescent="0.2">
      <c r="A12" s="176">
        <f t="shared" si="0"/>
        <v>5</v>
      </c>
      <c r="B12" s="179" t="s">
        <v>132</v>
      </c>
      <c r="C12" s="179" t="s">
        <v>133</v>
      </c>
      <c r="D12" s="179" t="s">
        <v>134</v>
      </c>
      <c r="E12" s="179" t="s">
        <v>135</v>
      </c>
      <c r="F12" s="179" t="s">
        <v>136</v>
      </c>
      <c r="G12" s="179" t="s">
        <v>137</v>
      </c>
      <c r="H12" s="179" t="s">
        <v>137</v>
      </c>
      <c r="I12" s="179" t="s">
        <v>138</v>
      </c>
      <c r="J12" s="179" t="s">
        <v>139</v>
      </c>
      <c r="K12" s="179" t="s">
        <v>140</v>
      </c>
      <c r="L12" s="179" t="s">
        <v>141</v>
      </c>
      <c r="M12" s="179" t="s">
        <v>138</v>
      </c>
      <c r="N12" s="179" t="s">
        <v>139</v>
      </c>
      <c r="O12" s="179" t="s">
        <v>140</v>
      </c>
      <c r="P12" s="179" t="s">
        <v>141</v>
      </c>
      <c r="Q12" s="179" t="s">
        <v>142</v>
      </c>
      <c r="R12" s="179" t="s">
        <v>143</v>
      </c>
      <c r="S12" s="179" t="s">
        <v>144</v>
      </c>
      <c r="T12" s="179" t="s">
        <v>144</v>
      </c>
      <c r="U12" s="179" t="s">
        <v>145</v>
      </c>
      <c r="V12" s="179" t="s">
        <v>146</v>
      </c>
      <c r="W12" s="179" t="s">
        <v>147</v>
      </c>
      <c r="X12" s="179" t="s">
        <v>148</v>
      </c>
      <c r="Y12" s="179" t="s">
        <v>145</v>
      </c>
      <c r="Z12" s="179" t="s">
        <v>146</v>
      </c>
      <c r="AA12" s="179" t="s">
        <v>147</v>
      </c>
      <c r="AB12" s="179" t="s">
        <v>148</v>
      </c>
      <c r="AC12" s="179" t="s">
        <v>149</v>
      </c>
    </row>
    <row r="13" spans="1:29" x14ac:dyDescent="0.2">
      <c r="A13" s="176">
        <f t="shared" si="0"/>
        <v>6</v>
      </c>
      <c r="F13" s="179"/>
      <c r="G13" s="179"/>
      <c r="H13" s="177"/>
      <c r="I13" s="177"/>
      <c r="J13" s="177"/>
      <c r="K13" s="177"/>
      <c r="L13" s="177"/>
      <c r="M13" s="177"/>
      <c r="N13" s="252"/>
      <c r="O13" s="252"/>
      <c r="P13" s="252"/>
      <c r="Q13" s="252"/>
    </row>
    <row r="14" spans="1:29" hidden="1" x14ac:dyDescent="0.2">
      <c r="A14" s="176">
        <f t="shared" si="0"/>
        <v>7</v>
      </c>
      <c r="B14" s="182" t="s">
        <v>150</v>
      </c>
      <c r="D14" s="171"/>
      <c r="E14" s="171"/>
      <c r="F14" s="171"/>
      <c r="G14" s="171"/>
      <c r="R14" s="171"/>
      <c r="S14" s="171"/>
    </row>
    <row r="15" spans="1:29" hidden="1" x14ac:dyDescent="0.2">
      <c r="A15" s="176">
        <f t="shared" si="0"/>
        <v>8</v>
      </c>
      <c r="B15" s="184">
        <v>39021</v>
      </c>
      <c r="D15" s="171"/>
      <c r="E15" s="171"/>
      <c r="F15" s="254"/>
      <c r="G15" s="186"/>
      <c r="H15" s="255"/>
      <c r="I15" s="255"/>
      <c r="J15" s="255"/>
      <c r="K15" s="255"/>
      <c r="L15" s="255"/>
      <c r="M15" s="255"/>
      <c r="N15" s="256"/>
      <c r="O15" s="256"/>
      <c r="P15" s="256"/>
      <c r="Q15" s="256"/>
      <c r="R15" s="171">
        <f t="shared" ref="R15:R46" si="1">SUM(D15:G15)</f>
        <v>0</v>
      </c>
      <c r="S15" s="185">
        <v>31673.3</v>
      </c>
    </row>
    <row r="16" spans="1:29" hidden="1" x14ac:dyDescent="0.2">
      <c r="A16" s="176">
        <f t="shared" si="0"/>
        <v>9</v>
      </c>
      <c r="B16" s="184">
        <f>+B15+30</f>
        <v>39051</v>
      </c>
      <c r="D16" s="171">
        <v>0</v>
      </c>
      <c r="E16" s="171"/>
      <c r="F16" s="254"/>
      <c r="G16" s="187">
        <v>204.29</v>
      </c>
      <c r="H16" s="255"/>
      <c r="I16" s="255"/>
      <c r="J16" s="255"/>
      <c r="K16" s="255"/>
      <c r="L16" s="255"/>
      <c r="M16" s="255"/>
      <c r="N16" s="256"/>
      <c r="O16" s="256"/>
      <c r="P16" s="256"/>
      <c r="Q16" s="256"/>
      <c r="R16" s="171">
        <f t="shared" si="1"/>
        <v>204.29</v>
      </c>
      <c r="S16" s="186">
        <f t="shared" ref="S16:S35" si="2">+S15+R16</f>
        <v>31877.59</v>
      </c>
      <c r="T16" s="185"/>
    </row>
    <row r="17" spans="1:20" hidden="1" x14ac:dyDescent="0.2">
      <c r="A17" s="176">
        <f t="shared" si="0"/>
        <v>10</v>
      </c>
      <c r="B17" s="184">
        <f>+B16+31</f>
        <v>39082</v>
      </c>
      <c r="D17" s="171">
        <v>0</v>
      </c>
      <c r="E17" s="171"/>
      <c r="F17" s="254"/>
      <c r="G17" s="187">
        <v>205.61</v>
      </c>
      <c r="H17" s="255"/>
      <c r="I17" s="255"/>
      <c r="J17" s="255"/>
      <c r="K17" s="255"/>
      <c r="L17" s="255"/>
      <c r="M17" s="255"/>
      <c r="N17" s="256"/>
      <c r="O17" s="256"/>
      <c r="P17" s="256"/>
      <c r="Q17" s="256"/>
      <c r="R17" s="171">
        <f t="shared" si="1"/>
        <v>205.61</v>
      </c>
      <c r="S17" s="186">
        <f t="shared" si="2"/>
        <v>32083.200000000001</v>
      </c>
      <c r="T17" s="185"/>
    </row>
    <row r="18" spans="1:20" hidden="1" x14ac:dyDescent="0.2">
      <c r="A18" s="176">
        <f t="shared" si="0"/>
        <v>11</v>
      </c>
      <c r="B18" s="184">
        <f>+B17+31</f>
        <v>39113</v>
      </c>
      <c r="D18" s="171">
        <v>0</v>
      </c>
      <c r="E18" s="171"/>
      <c r="F18" s="254"/>
      <c r="G18" s="187">
        <v>206.94</v>
      </c>
      <c r="H18" s="255"/>
      <c r="I18" s="255"/>
      <c r="J18" s="255"/>
      <c r="K18" s="255"/>
      <c r="L18" s="255"/>
      <c r="M18" s="255"/>
      <c r="N18" s="256"/>
      <c r="O18" s="256"/>
      <c r="P18" s="256"/>
      <c r="Q18" s="256"/>
      <c r="R18" s="171">
        <f t="shared" si="1"/>
        <v>206.94</v>
      </c>
      <c r="S18" s="186">
        <f t="shared" si="2"/>
        <v>32290.14</v>
      </c>
      <c r="T18" s="185"/>
    </row>
    <row r="19" spans="1:20" hidden="1" x14ac:dyDescent="0.2">
      <c r="A19" s="176">
        <f t="shared" si="0"/>
        <v>12</v>
      </c>
      <c r="B19" s="184">
        <f>+B18+28</f>
        <v>39141</v>
      </c>
      <c r="D19" s="171">
        <v>2824.12</v>
      </c>
      <c r="E19" s="171"/>
      <c r="F19" s="254"/>
      <c r="G19" s="187">
        <v>229.46</v>
      </c>
      <c r="H19" s="255"/>
      <c r="I19" s="255"/>
      <c r="J19" s="255"/>
      <c r="K19" s="255"/>
      <c r="L19" s="255"/>
      <c r="M19" s="255"/>
      <c r="N19" s="256"/>
      <c r="O19" s="256"/>
      <c r="P19" s="256"/>
      <c r="Q19" s="256"/>
      <c r="R19" s="171">
        <f t="shared" si="1"/>
        <v>3053.58</v>
      </c>
      <c r="S19" s="186">
        <f t="shared" si="2"/>
        <v>35343.72</v>
      </c>
      <c r="T19" s="185"/>
    </row>
    <row r="20" spans="1:20" hidden="1" x14ac:dyDescent="0.2">
      <c r="A20" s="176">
        <f t="shared" si="0"/>
        <v>13</v>
      </c>
      <c r="B20" s="184">
        <f>+B19+31</f>
        <v>39172</v>
      </c>
      <c r="D20" s="171">
        <v>0</v>
      </c>
      <c r="E20" s="171"/>
      <c r="F20" s="254"/>
      <c r="G20" s="187">
        <v>240.63</v>
      </c>
      <c r="H20" s="255"/>
      <c r="I20" s="255"/>
      <c r="J20" s="255"/>
      <c r="K20" s="255"/>
      <c r="L20" s="255"/>
      <c r="M20" s="255"/>
      <c r="N20" s="256"/>
      <c r="O20" s="256"/>
      <c r="P20" s="256"/>
      <c r="Q20" s="256"/>
      <c r="R20" s="171">
        <f t="shared" si="1"/>
        <v>240.63</v>
      </c>
      <c r="S20" s="186">
        <f t="shared" si="2"/>
        <v>35584.35</v>
      </c>
      <c r="T20" s="185"/>
    </row>
    <row r="21" spans="1:20" hidden="1" x14ac:dyDescent="0.2">
      <c r="A21" s="176">
        <f t="shared" si="0"/>
        <v>14</v>
      </c>
      <c r="B21" s="184">
        <f>+B20+30</f>
        <v>39202</v>
      </c>
      <c r="D21" s="171">
        <v>1363</v>
      </c>
      <c r="E21" s="171"/>
      <c r="F21" s="254"/>
      <c r="G21" s="187">
        <v>253.77</v>
      </c>
      <c r="H21" s="255"/>
      <c r="I21" s="255"/>
      <c r="J21" s="255"/>
      <c r="K21" s="255"/>
      <c r="L21" s="255"/>
      <c r="M21" s="255"/>
      <c r="N21" s="256"/>
      <c r="O21" s="256"/>
      <c r="P21" s="256"/>
      <c r="Q21" s="256"/>
      <c r="R21" s="171">
        <f t="shared" si="1"/>
        <v>1616.77</v>
      </c>
      <c r="S21" s="186">
        <f t="shared" si="2"/>
        <v>37201.119999999995</v>
      </c>
      <c r="T21" s="185"/>
    </row>
    <row r="22" spans="1:20" hidden="1" x14ac:dyDescent="0.2">
      <c r="A22" s="176">
        <f t="shared" si="0"/>
        <v>15</v>
      </c>
      <c r="B22" s="184">
        <f>+B21+31</f>
        <v>39233</v>
      </c>
      <c r="D22" s="171">
        <v>1453.18</v>
      </c>
      <c r="E22" s="171"/>
      <c r="F22" s="254"/>
      <c r="G22" s="187">
        <v>265.08</v>
      </c>
      <c r="H22" s="255"/>
      <c r="I22" s="255"/>
      <c r="J22" s="255"/>
      <c r="K22" s="255"/>
      <c r="L22" s="255"/>
      <c r="M22" s="255"/>
      <c r="N22" s="256"/>
      <c r="O22" s="256"/>
      <c r="P22" s="256"/>
      <c r="Q22" s="256"/>
      <c r="R22" s="171">
        <f t="shared" si="1"/>
        <v>1718.26</v>
      </c>
      <c r="S22" s="186">
        <f t="shared" si="2"/>
        <v>38919.379999999997</v>
      </c>
      <c r="T22" s="185"/>
    </row>
    <row r="23" spans="1:20" hidden="1" x14ac:dyDescent="0.2">
      <c r="A23" s="176">
        <f t="shared" si="0"/>
        <v>16</v>
      </c>
      <c r="B23" s="184">
        <f>+B22+30</f>
        <v>39263</v>
      </c>
      <c r="D23" s="171">
        <v>1304.94</v>
      </c>
      <c r="E23" s="171"/>
      <c r="F23" s="254"/>
      <c r="G23" s="187">
        <v>275.52999999999997</v>
      </c>
      <c r="H23" s="255"/>
      <c r="I23" s="255"/>
      <c r="J23" s="255"/>
      <c r="K23" s="255"/>
      <c r="L23" s="255"/>
      <c r="M23" s="255"/>
      <c r="N23" s="256"/>
      <c r="O23" s="256"/>
      <c r="P23" s="256"/>
      <c r="Q23" s="256"/>
      <c r="R23" s="171">
        <f t="shared" si="1"/>
        <v>1580.47</v>
      </c>
      <c r="S23" s="186">
        <f t="shared" si="2"/>
        <v>40499.85</v>
      </c>
      <c r="T23" s="185"/>
    </row>
    <row r="24" spans="1:20" hidden="1" x14ac:dyDescent="0.2">
      <c r="A24" s="176">
        <f t="shared" si="0"/>
        <v>17</v>
      </c>
      <c r="B24" s="184">
        <f>+B23+31</f>
        <v>39294</v>
      </c>
      <c r="C24" s="188"/>
      <c r="D24" s="171">
        <v>1251</v>
      </c>
      <c r="E24" s="171"/>
      <c r="F24" s="254"/>
      <c r="G24" s="186">
        <f t="shared" ref="G24:G29" si="3">ROUND((+S23+E24+(D24/2))*0.0825/12,2)</f>
        <v>282.74</v>
      </c>
      <c r="H24" s="255"/>
      <c r="I24" s="255"/>
      <c r="J24" s="255"/>
      <c r="K24" s="255"/>
      <c r="L24" s="255"/>
      <c r="M24" s="255"/>
      <c r="N24" s="256"/>
      <c r="O24" s="256"/>
      <c r="P24" s="256"/>
      <c r="Q24" s="256"/>
      <c r="R24" s="171">
        <f t="shared" si="1"/>
        <v>1533.74</v>
      </c>
      <c r="S24" s="186">
        <f t="shared" si="2"/>
        <v>42033.59</v>
      </c>
    </row>
    <row r="25" spans="1:20" hidden="1" x14ac:dyDescent="0.2">
      <c r="A25" s="176">
        <f t="shared" si="0"/>
        <v>18</v>
      </c>
      <c r="B25" s="184">
        <f>+B24+30</f>
        <v>39324</v>
      </c>
      <c r="C25" s="188"/>
      <c r="D25" s="171">
        <v>0</v>
      </c>
      <c r="E25" s="171"/>
      <c r="F25" s="254"/>
      <c r="G25" s="186">
        <f t="shared" si="3"/>
        <v>288.98</v>
      </c>
      <c r="H25" s="255"/>
      <c r="I25" s="255"/>
      <c r="J25" s="255"/>
      <c r="K25" s="255"/>
      <c r="L25" s="255"/>
      <c r="M25" s="255"/>
      <c r="N25" s="256"/>
      <c r="O25" s="256"/>
      <c r="P25" s="256"/>
      <c r="Q25" s="256"/>
      <c r="R25" s="171">
        <f t="shared" si="1"/>
        <v>288.98</v>
      </c>
      <c r="S25" s="186">
        <f t="shared" si="2"/>
        <v>42322.57</v>
      </c>
    </row>
    <row r="26" spans="1:20" hidden="1" x14ac:dyDescent="0.2">
      <c r="A26" s="176">
        <f t="shared" si="0"/>
        <v>19</v>
      </c>
      <c r="B26" s="184">
        <f>+B25+30</f>
        <v>39354</v>
      </c>
      <c r="C26" s="188"/>
      <c r="D26" s="171">
        <v>0</v>
      </c>
      <c r="E26" s="171"/>
      <c r="F26" s="254"/>
      <c r="G26" s="186">
        <f t="shared" si="3"/>
        <v>290.97000000000003</v>
      </c>
      <c r="H26" s="255"/>
      <c r="I26" s="255"/>
      <c r="J26" s="255"/>
      <c r="K26" s="255"/>
      <c r="L26" s="255"/>
      <c r="M26" s="255"/>
      <c r="N26" s="256"/>
      <c r="O26" s="256"/>
      <c r="P26" s="256"/>
      <c r="Q26" s="256"/>
      <c r="R26" s="171">
        <f t="shared" si="1"/>
        <v>290.97000000000003</v>
      </c>
      <c r="S26" s="186">
        <f t="shared" si="2"/>
        <v>42613.54</v>
      </c>
    </row>
    <row r="27" spans="1:20" hidden="1" x14ac:dyDescent="0.2">
      <c r="A27" s="176">
        <f t="shared" si="0"/>
        <v>20</v>
      </c>
      <c r="B27" s="184">
        <f>+B26+31</f>
        <v>39385</v>
      </c>
      <c r="C27" s="188"/>
      <c r="D27" s="183">
        <v>149.72999999999999</v>
      </c>
      <c r="E27" s="183"/>
      <c r="F27" s="257"/>
      <c r="G27" s="195">
        <f t="shared" si="3"/>
        <v>293.48</v>
      </c>
      <c r="H27" s="256"/>
      <c r="I27" s="256"/>
      <c r="J27" s="256"/>
      <c r="K27" s="256"/>
      <c r="L27" s="256"/>
      <c r="M27" s="256"/>
      <c r="N27" s="256"/>
      <c r="O27" s="256"/>
      <c r="P27" s="256"/>
      <c r="Q27" s="256"/>
      <c r="R27" s="183">
        <f t="shared" si="1"/>
        <v>443.21000000000004</v>
      </c>
      <c r="S27" s="195">
        <f t="shared" si="2"/>
        <v>43056.75</v>
      </c>
    </row>
    <row r="28" spans="1:20" hidden="1" x14ac:dyDescent="0.2">
      <c r="A28" s="176">
        <f t="shared" si="0"/>
        <v>21</v>
      </c>
      <c r="B28" s="184">
        <f>+B27+30</f>
        <v>39415</v>
      </c>
      <c r="D28" s="183">
        <v>1235</v>
      </c>
      <c r="E28" s="183">
        <f>-S27</f>
        <v>-43056.75</v>
      </c>
      <c r="F28" s="257"/>
      <c r="G28" s="195">
        <f t="shared" si="3"/>
        <v>4.25</v>
      </c>
      <c r="H28" s="256"/>
      <c r="I28" s="256"/>
      <c r="J28" s="256"/>
      <c r="K28" s="256"/>
      <c r="L28" s="256"/>
      <c r="M28" s="256"/>
      <c r="N28" s="256"/>
      <c r="O28" s="256"/>
      <c r="P28" s="256"/>
      <c r="Q28" s="256"/>
      <c r="R28" s="183">
        <f t="shared" si="1"/>
        <v>-41817.5</v>
      </c>
      <c r="S28" s="195">
        <f t="shared" si="2"/>
        <v>1239.25</v>
      </c>
    </row>
    <row r="29" spans="1:20" hidden="1" x14ac:dyDescent="0.2">
      <c r="A29" s="176">
        <f t="shared" si="0"/>
        <v>22</v>
      </c>
      <c r="B29" s="184">
        <f>+B28+31</f>
        <v>39446</v>
      </c>
      <c r="D29" s="171">
        <v>0</v>
      </c>
      <c r="E29" s="171"/>
      <c r="F29" s="257"/>
      <c r="G29" s="195">
        <f t="shared" si="3"/>
        <v>8.52</v>
      </c>
      <c r="H29" s="256"/>
      <c r="I29" s="256"/>
      <c r="J29" s="256"/>
      <c r="K29" s="256"/>
      <c r="L29" s="256"/>
      <c r="M29" s="256"/>
      <c r="N29" s="256"/>
      <c r="O29" s="256"/>
      <c r="P29" s="256"/>
      <c r="Q29" s="256"/>
      <c r="R29" s="183">
        <f t="shared" si="1"/>
        <v>8.52</v>
      </c>
      <c r="S29" s="195">
        <f t="shared" si="2"/>
        <v>1247.77</v>
      </c>
    </row>
    <row r="30" spans="1:20" hidden="1" x14ac:dyDescent="0.2">
      <c r="A30" s="176">
        <f t="shared" si="0"/>
        <v>23</v>
      </c>
      <c r="B30" s="184">
        <f>+B29+31</f>
        <v>39477</v>
      </c>
      <c r="D30" s="171">
        <v>0</v>
      </c>
      <c r="F30" s="257"/>
      <c r="G30" s="195">
        <f>ROUND((+S29+E30+(D30/2))*0.0776/12,2)</f>
        <v>8.07</v>
      </c>
      <c r="H30" s="256"/>
      <c r="I30" s="256"/>
      <c r="J30" s="256"/>
      <c r="K30" s="256"/>
      <c r="L30" s="256"/>
      <c r="M30" s="256"/>
      <c r="N30" s="256"/>
      <c r="O30" s="256"/>
      <c r="P30" s="256"/>
      <c r="Q30" s="256"/>
      <c r="R30" s="183">
        <f t="shared" si="1"/>
        <v>8.07</v>
      </c>
      <c r="S30" s="195">
        <f t="shared" si="2"/>
        <v>1255.8399999999999</v>
      </c>
    </row>
    <row r="31" spans="1:20" hidden="1" x14ac:dyDescent="0.2">
      <c r="A31" s="176">
        <f t="shared" si="0"/>
        <v>24</v>
      </c>
      <c r="B31" s="184">
        <f>+B30+29</f>
        <v>39506</v>
      </c>
      <c r="D31" s="171">
        <v>1311</v>
      </c>
      <c r="F31" s="257"/>
      <c r="G31" s="195">
        <f>ROUND((+S30+E31+(D31/2))*0.0776/12,2)</f>
        <v>12.36</v>
      </c>
      <c r="H31" s="256"/>
      <c r="I31" s="256"/>
      <c r="J31" s="256"/>
      <c r="K31" s="256"/>
      <c r="L31" s="256"/>
      <c r="M31" s="256"/>
      <c r="N31" s="256"/>
      <c r="O31" s="256"/>
      <c r="P31" s="256"/>
      <c r="Q31" s="256"/>
      <c r="R31" s="183">
        <f t="shared" si="1"/>
        <v>1323.36</v>
      </c>
      <c r="S31" s="195">
        <f t="shared" si="2"/>
        <v>2579.1999999999998</v>
      </c>
    </row>
    <row r="32" spans="1:20" hidden="1" x14ac:dyDescent="0.2">
      <c r="A32" s="176">
        <f t="shared" si="0"/>
        <v>25</v>
      </c>
      <c r="B32" s="184">
        <f>+B31+31</f>
        <v>39537</v>
      </c>
      <c r="D32" s="171">
        <v>23998.95</v>
      </c>
      <c r="F32" s="257"/>
      <c r="G32" s="195">
        <f>ROUND((+S31+E32+(D32/2))*0.0776/12,2)</f>
        <v>94.28</v>
      </c>
      <c r="H32" s="256"/>
      <c r="I32" s="256"/>
      <c r="J32" s="256"/>
      <c r="K32" s="256"/>
      <c r="L32" s="256"/>
      <c r="M32" s="256"/>
      <c r="N32" s="256"/>
      <c r="O32" s="256"/>
      <c r="P32" s="256"/>
      <c r="Q32" s="256"/>
      <c r="R32" s="183">
        <f t="shared" si="1"/>
        <v>24093.23</v>
      </c>
      <c r="S32" s="195">
        <f t="shared" si="2"/>
        <v>26672.43</v>
      </c>
    </row>
    <row r="33" spans="1:20" hidden="1" x14ac:dyDescent="0.2">
      <c r="A33" s="176">
        <f t="shared" si="0"/>
        <v>26</v>
      </c>
      <c r="B33" s="184">
        <f>+B32+30</f>
        <v>39567</v>
      </c>
      <c r="D33" s="171">
        <v>8074.34</v>
      </c>
      <c r="F33" s="257"/>
      <c r="G33" s="195">
        <f>ROUND((+S32+E33+(D33/2))*0.0677/12,2)</f>
        <v>173.25</v>
      </c>
      <c r="H33" s="256"/>
      <c r="I33" s="256"/>
      <c r="J33" s="256"/>
      <c r="K33" s="256"/>
      <c r="L33" s="256"/>
      <c r="M33" s="256"/>
      <c r="N33" s="256"/>
      <c r="O33" s="256"/>
      <c r="P33" s="256"/>
      <c r="Q33" s="256"/>
      <c r="R33" s="183">
        <f t="shared" si="1"/>
        <v>8247.59</v>
      </c>
      <c r="S33" s="195">
        <f t="shared" si="2"/>
        <v>34920.020000000004</v>
      </c>
    </row>
    <row r="34" spans="1:20" hidden="1" x14ac:dyDescent="0.2">
      <c r="A34" s="176">
        <f t="shared" si="0"/>
        <v>27</v>
      </c>
      <c r="B34" s="184">
        <f>+B33+31</f>
        <v>39598</v>
      </c>
      <c r="D34" s="171">
        <v>8074.34</v>
      </c>
      <c r="F34" s="257"/>
      <c r="G34" s="195">
        <f>ROUND((+S33+E34+(D34/2))*0.0677/12,2)</f>
        <v>219.78</v>
      </c>
      <c r="H34" s="256"/>
      <c r="I34" s="256"/>
      <c r="J34" s="256"/>
      <c r="K34" s="256"/>
      <c r="L34" s="256"/>
      <c r="M34" s="256"/>
      <c r="N34" s="256"/>
      <c r="O34" s="256"/>
      <c r="P34" s="256"/>
      <c r="Q34" s="256"/>
      <c r="R34" s="183">
        <f t="shared" si="1"/>
        <v>8294.1200000000008</v>
      </c>
      <c r="S34" s="195">
        <f t="shared" si="2"/>
        <v>43214.140000000007</v>
      </c>
    </row>
    <row r="35" spans="1:20" hidden="1" x14ac:dyDescent="0.2">
      <c r="A35" s="176">
        <f t="shared" si="0"/>
        <v>28</v>
      </c>
      <c r="B35" s="184">
        <f>+B34+30</f>
        <v>39628</v>
      </c>
      <c r="D35" s="171">
        <v>14945.01</v>
      </c>
      <c r="F35" s="257"/>
      <c r="G35" s="195">
        <f>ROUND((+S34+E35+(D35/2))*0.0677/12,2)</f>
        <v>285.95999999999998</v>
      </c>
      <c r="H35" s="256"/>
      <c r="I35" s="256"/>
      <c r="J35" s="256"/>
      <c r="K35" s="256"/>
      <c r="L35" s="256"/>
      <c r="M35" s="256"/>
      <c r="N35" s="256"/>
      <c r="O35" s="256"/>
      <c r="P35" s="256"/>
      <c r="Q35" s="256"/>
      <c r="R35" s="183">
        <f t="shared" si="1"/>
        <v>15230.97</v>
      </c>
      <c r="S35" s="195">
        <f t="shared" si="2"/>
        <v>58445.110000000008</v>
      </c>
    </row>
    <row r="36" spans="1:20" hidden="1" x14ac:dyDescent="0.2">
      <c r="A36" s="176">
        <f t="shared" si="0"/>
        <v>29</v>
      </c>
      <c r="B36" s="184">
        <f>+B35+31</f>
        <v>39659</v>
      </c>
      <c r="D36" s="171">
        <v>8074.34</v>
      </c>
      <c r="F36" s="257"/>
      <c r="G36" s="195">
        <f>ROUND((+S35+E36+(D36/2))*0.053/12,2)</f>
        <v>275.95999999999998</v>
      </c>
      <c r="H36" s="256"/>
      <c r="I36" s="256"/>
      <c r="J36" s="256"/>
      <c r="K36" s="256"/>
      <c r="L36" s="256"/>
      <c r="M36" s="256"/>
      <c r="N36" s="256"/>
      <c r="O36" s="256"/>
      <c r="P36" s="256"/>
      <c r="Q36" s="256"/>
      <c r="R36" s="183">
        <f t="shared" si="1"/>
        <v>8350.2999999999993</v>
      </c>
      <c r="S36" s="195">
        <f>+S35+R36</f>
        <v>66795.41</v>
      </c>
      <c r="T36" s="258"/>
    </row>
    <row r="37" spans="1:20" hidden="1" x14ac:dyDescent="0.2">
      <c r="A37" s="176">
        <f t="shared" si="0"/>
        <v>30</v>
      </c>
      <c r="B37" s="184">
        <f>+B36+30</f>
        <v>39689</v>
      </c>
      <c r="D37" s="171">
        <v>26615.279999999999</v>
      </c>
      <c r="F37" s="257"/>
      <c r="G37" s="195">
        <f>ROUND((+S36+E37+(D37/2))*0.053/12,2)</f>
        <v>353.79</v>
      </c>
      <c r="H37" s="256"/>
      <c r="I37" s="256"/>
      <c r="J37" s="256"/>
      <c r="K37" s="256"/>
      <c r="L37" s="256"/>
      <c r="M37" s="256"/>
      <c r="N37" s="256"/>
      <c r="O37" s="256"/>
      <c r="P37" s="256"/>
      <c r="Q37" s="256"/>
      <c r="R37" s="183">
        <f t="shared" si="1"/>
        <v>26969.07</v>
      </c>
      <c r="S37" s="195">
        <f>+S36+R37</f>
        <v>93764.48000000001</v>
      </c>
      <c r="T37" s="258"/>
    </row>
    <row r="38" spans="1:20" hidden="1" x14ac:dyDescent="0.2">
      <c r="A38" s="176">
        <f t="shared" si="0"/>
        <v>31</v>
      </c>
      <c r="B38" s="184">
        <f>+B37+30</f>
        <v>39719</v>
      </c>
      <c r="D38" s="171">
        <v>7046.72</v>
      </c>
      <c r="F38" s="257"/>
      <c r="G38" s="195">
        <f>ROUND((+S37+E38+(D38/2))*0.053/12,2)</f>
        <v>429.69</v>
      </c>
      <c r="H38" s="256"/>
      <c r="I38" s="256"/>
      <c r="J38" s="256"/>
      <c r="K38" s="256"/>
      <c r="L38" s="256"/>
      <c r="M38" s="256"/>
      <c r="N38" s="256"/>
      <c r="O38" s="256"/>
      <c r="P38" s="256"/>
      <c r="Q38" s="256"/>
      <c r="R38" s="183">
        <f t="shared" si="1"/>
        <v>7476.41</v>
      </c>
      <c r="S38" s="195">
        <f>+S37+R38</f>
        <v>101240.89000000001</v>
      </c>
      <c r="T38" s="258"/>
    </row>
    <row r="39" spans="1:20" hidden="1" x14ac:dyDescent="0.2">
      <c r="A39" s="176">
        <f t="shared" si="0"/>
        <v>32</v>
      </c>
      <c r="B39" s="184">
        <f>+B38+31</f>
        <v>39750</v>
      </c>
      <c r="D39" s="171">
        <v>10545.14</v>
      </c>
      <c r="F39" s="257"/>
      <c r="G39" s="195">
        <f>ROUND((+S38+E39+(D39/2))*0.05/12,2)</f>
        <v>443.81</v>
      </c>
      <c r="H39" s="256"/>
      <c r="I39" s="256"/>
      <c r="J39" s="256"/>
      <c r="K39" s="256"/>
      <c r="L39" s="256"/>
      <c r="M39" s="256"/>
      <c r="N39" s="256"/>
      <c r="O39" s="256"/>
      <c r="P39" s="256"/>
      <c r="Q39" s="256"/>
      <c r="R39" s="183">
        <f t="shared" si="1"/>
        <v>10988.949999999999</v>
      </c>
      <c r="S39" s="195">
        <f>+S38+R39</f>
        <v>112229.84000000001</v>
      </c>
      <c r="T39" s="258"/>
    </row>
    <row r="40" spans="1:20" hidden="1" x14ac:dyDescent="0.2">
      <c r="A40" s="176">
        <f t="shared" si="0"/>
        <v>33</v>
      </c>
      <c r="B40" s="184">
        <f>+B39+30</f>
        <v>39780</v>
      </c>
      <c r="D40" s="171">
        <v>-8184.35</v>
      </c>
      <c r="E40" s="171">
        <f>-S39</f>
        <v>-112229.84000000001</v>
      </c>
      <c r="F40" s="257"/>
      <c r="G40" s="195">
        <f>ROUND((+S39+(D40/2))*0.05/12,2)</f>
        <v>450.57</v>
      </c>
      <c r="H40" s="256"/>
      <c r="I40" s="256"/>
      <c r="J40" s="256"/>
      <c r="K40" s="256"/>
      <c r="L40" s="256"/>
      <c r="M40" s="256"/>
      <c r="N40" s="256"/>
      <c r="O40" s="256"/>
      <c r="P40" s="256"/>
      <c r="Q40" s="256"/>
      <c r="R40" s="183">
        <f t="shared" si="1"/>
        <v>-119963.62000000001</v>
      </c>
      <c r="S40" s="195">
        <f t="shared" ref="S40:S46" si="4">+S39+R40</f>
        <v>-7733.7799999999988</v>
      </c>
      <c r="T40" s="258"/>
    </row>
    <row r="41" spans="1:20" hidden="1" x14ac:dyDescent="0.2">
      <c r="A41" s="176">
        <f t="shared" si="0"/>
        <v>34</v>
      </c>
      <c r="B41" s="184">
        <f>+B40+31</f>
        <v>39811</v>
      </c>
      <c r="D41" s="288">
        <v>8368.74</v>
      </c>
      <c r="F41" s="257"/>
      <c r="G41" s="195">
        <f>ROUND((+S40+E41+(D41/2))*0.05/12,2)</f>
        <v>-14.79</v>
      </c>
      <c r="H41" s="256"/>
      <c r="I41" s="256"/>
      <c r="J41" s="256"/>
      <c r="K41" s="256"/>
      <c r="L41" s="256"/>
      <c r="M41" s="256"/>
      <c r="N41" s="256"/>
      <c r="O41" s="256"/>
      <c r="P41" s="256"/>
      <c r="Q41" s="256"/>
      <c r="R41" s="183">
        <f t="shared" si="1"/>
        <v>8353.9499999999989</v>
      </c>
      <c r="S41" s="195">
        <f t="shared" si="4"/>
        <v>620.17000000000007</v>
      </c>
      <c r="T41" s="258"/>
    </row>
    <row r="42" spans="1:20" hidden="1" x14ac:dyDescent="0.2">
      <c r="A42" s="176">
        <f t="shared" si="0"/>
        <v>35</v>
      </c>
      <c r="B42" s="184">
        <f>+B41+31</f>
        <v>39842</v>
      </c>
      <c r="D42" s="171">
        <v>8108.21</v>
      </c>
      <c r="F42" s="257"/>
      <c r="G42" s="195">
        <f>ROUND((+S41+E42+(D42/2))*0.0452/12,2)</f>
        <v>17.61</v>
      </c>
      <c r="H42" s="256"/>
      <c r="I42" s="256"/>
      <c r="J42" s="256"/>
      <c r="K42" s="256"/>
      <c r="L42" s="256"/>
      <c r="M42" s="256"/>
      <c r="N42" s="256"/>
      <c r="O42" s="256"/>
      <c r="P42" s="256"/>
      <c r="Q42" s="256"/>
      <c r="R42" s="183">
        <f t="shared" si="1"/>
        <v>8125.82</v>
      </c>
      <c r="S42" s="195">
        <f t="shared" si="4"/>
        <v>8745.99</v>
      </c>
      <c r="T42" s="258"/>
    </row>
    <row r="43" spans="1:20" hidden="1" x14ac:dyDescent="0.2">
      <c r="A43" s="176">
        <f t="shared" si="0"/>
        <v>36</v>
      </c>
      <c r="B43" s="184">
        <f>+B42+28</f>
        <v>39870</v>
      </c>
      <c r="D43" s="171">
        <v>3473.79</v>
      </c>
      <c r="F43" s="257"/>
      <c r="G43" s="195">
        <f>ROUND((+S42+E43+(D43/2))*0.0452/12,2)</f>
        <v>39.49</v>
      </c>
      <c r="H43" s="256"/>
      <c r="I43" s="256"/>
      <c r="J43" s="256"/>
      <c r="K43" s="256"/>
      <c r="L43" s="256"/>
      <c r="M43" s="256"/>
      <c r="N43" s="256"/>
      <c r="O43" s="256"/>
      <c r="P43" s="256"/>
      <c r="Q43" s="256"/>
      <c r="R43" s="183">
        <f t="shared" si="1"/>
        <v>3513.2799999999997</v>
      </c>
      <c r="S43" s="195">
        <f t="shared" si="4"/>
        <v>12259.27</v>
      </c>
      <c r="T43" s="258"/>
    </row>
    <row r="44" spans="1:20" hidden="1" x14ac:dyDescent="0.2">
      <c r="A44" s="176">
        <f t="shared" si="0"/>
        <v>37</v>
      </c>
      <c r="B44" s="184">
        <f>+B43+31</f>
        <v>39901</v>
      </c>
      <c r="D44" s="171">
        <v>9017.4699999999993</v>
      </c>
      <c r="F44" s="257"/>
      <c r="G44" s="195">
        <f>ROUND((+S43+E44+(D44/2))*0.0452/12,2)</f>
        <v>63.16</v>
      </c>
      <c r="H44" s="256"/>
      <c r="I44" s="256"/>
      <c r="J44" s="256"/>
      <c r="K44" s="256"/>
      <c r="L44" s="256"/>
      <c r="M44" s="256"/>
      <c r="N44" s="256"/>
      <c r="O44" s="256"/>
      <c r="P44" s="256"/>
      <c r="Q44" s="256"/>
      <c r="R44" s="183">
        <f t="shared" si="1"/>
        <v>9080.6299999999992</v>
      </c>
      <c r="S44" s="195">
        <f t="shared" si="4"/>
        <v>21339.9</v>
      </c>
      <c r="T44" s="258"/>
    </row>
    <row r="45" spans="1:20" hidden="1" x14ac:dyDescent="0.2">
      <c r="A45" s="176">
        <f t="shared" si="0"/>
        <v>38</v>
      </c>
      <c r="B45" s="184">
        <f>+B44+30</f>
        <v>39931</v>
      </c>
      <c r="D45" s="171">
        <v>9110.82</v>
      </c>
      <c r="F45" s="257"/>
      <c r="G45" s="195">
        <f>ROUND((+S44+E45+(D45/2))*0.0337/12,2)</f>
        <v>72.72</v>
      </c>
      <c r="H45" s="256"/>
      <c r="I45" s="256"/>
      <c r="J45" s="256"/>
      <c r="K45" s="256"/>
      <c r="L45" s="256"/>
      <c r="M45" s="256"/>
      <c r="N45" s="256"/>
      <c r="O45" s="256"/>
      <c r="P45" s="256"/>
      <c r="Q45" s="256"/>
      <c r="R45" s="183">
        <f t="shared" si="1"/>
        <v>9183.5399999999991</v>
      </c>
      <c r="S45" s="195">
        <f t="shared" si="4"/>
        <v>30523.440000000002</v>
      </c>
      <c r="T45" s="258"/>
    </row>
    <row r="46" spans="1:20" hidden="1" x14ac:dyDescent="0.2">
      <c r="A46" s="176">
        <f t="shared" si="0"/>
        <v>39</v>
      </c>
      <c r="B46" s="184">
        <f>+B45+31</f>
        <v>39962</v>
      </c>
      <c r="D46" s="258">
        <v>-34329.360000000001</v>
      </c>
      <c r="F46" s="257"/>
      <c r="G46" s="195">
        <f>ROUND((+S45+E46+(D46/2))*0.0337/12,2)</f>
        <v>37.520000000000003</v>
      </c>
      <c r="H46" s="256"/>
      <c r="I46" s="256"/>
      <c r="J46" s="256"/>
      <c r="K46" s="256"/>
      <c r="L46" s="256"/>
      <c r="M46" s="256"/>
      <c r="N46" s="256"/>
      <c r="O46" s="256"/>
      <c r="P46" s="256"/>
      <c r="Q46" s="256"/>
      <c r="R46" s="183">
        <f t="shared" si="1"/>
        <v>-34291.840000000004</v>
      </c>
      <c r="S46" s="195">
        <f t="shared" si="4"/>
        <v>-3768.4000000000015</v>
      </c>
      <c r="T46" s="258"/>
    </row>
    <row r="47" spans="1:20" hidden="1" x14ac:dyDescent="0.2">
      <c r="A47" s="176">
        <f>+A14+1</f>
        <v>8</v>
      </c>
      <c r="B47" s="184">
        <f>+B46+30</f>
        <v>39992</v>
      </c>
      <c r="D47" s="171">
        <v>0</v>
      </c>
      <c r="F47" s="257"/>
      <c r="G47" s="195"/>
      <c r="H47" s="256"/>
      <c r="I47" s="256"/>
      <c r="J47" s="256"/>
      <c r="K47" s="256"/>
      <c r="L47" s="256"/>
      <c r="M47" s="256"/>
      <c r="N47" s="256"/>
      <c r="O47" s="256"/>
      <c r="P47" s="256"/>
      <c r="Q47" s="256"/>
      <c r="R47" s="183"/>
      <c r="S47" s="185">
        <v>0</v>
      </c>
    </row>
    <row r="48" spans="1:20" hidden="1" x14ac:dyDescent="0.2">
      <c r="A48" s="176">
        <f t="shared" si="0"/>
        <v>9</v>
      </c>
      <c r="B48" s="184">
        <f>+B47+31</f>
        <v>40023</v>
      </c>
      <c r="D48" s="171">
        <v>3778.98</v>
      </c>
      <c r="F48" s="257"/>
      <c r="G48" s="195">
        <v>0</v>
      </c>
      <c r="H48" s="256"/>
      <c r="I48" s="256"/>
      <c r="J48" s="256"/>
      <c r="K48" s="256"/>
      <c r="L48" s="256"/>
      <c r="M48" s="256"/>
      <c r="N48" s="256"/>
      <c r="O48" s="256"/>
      <c r="P48" s="256"/>
      <c r="Q48" s="256"/>
      <c r="R48" s="183">
        <f t="shared" ref="R48:R53" si="5">SUM(D48:G48)</f>
        <v>3778.98</v>
      </c>
      <c r="S48" s="195">
        <f>+S47+R48</f>
        <v>3778.98</v>
      </c>
    </row>
    <row r="49" spans="1:22" hidden="1" x14ac:dyDescent="0.2">
      <c r="A49" s="176">
        <f t="shared" si="0"/>
        <v>10</v>
      </c>
      <c r="B49" s="184">
        <f>+B48+30</f>
        <v>40053</v>
      </c>
      <c r="D49" s="171">
        <v>0</v>
      </c>
      <c r="F49" s="257"/>
      <c r="G49" s="195">
        <v>0</v>
      </c>
      <c r="H49" s="256"/>
      <c r="I49" s="256"/>
      <c r="J49" s="256"/>
      <c r="K49" s="256"/>
      <c r="L49" s="256"/>
      <c r="M49" s="256"/>
      <c r="N49" s="256"/>
      <c r="O49" s="256"/>
      <c r="P49" s="256"/>
      <c r="Q49" s="256"/>
      <c r="R49" s="183">
        <f t="shared" si="5"/>
        <v>0</v>
      </c>
      <c r="S49" s="195">
        <f>+S48+R49</f>
        <v>3778.98</v>
      </c>
    </row>
    <row r="50" spans="1:22" hidden="1" x14ac:dyDescent="0.2">
      <c r="A50" s="176">
        <f t="shared" si="0"/>
        <v>11</v>
      </c>
      <c r="B50" s="184">
        <f>+B49+30</f>
        <v>40083</v>
      </c>
      <c r="D50" s="171">
        <v>407500</v>
      </c>
      <c r="F50" s="257"/>
      <c r="G50" s="259">
        <v>0</v>
      </c>
      <c r="H50" s="256"/>
      <c r="I50" s="256"/>
      <c r="J50" s="256"/>
      <c r="K50" s="256"/>
      <c r="L50" s="256"/>
      <c r="M50" s="256"/>
      <c r="N50" s="256"/>
      <c r="O50" s="256"/>
      <c r="P50" s="256"/>
      <c r="Q50" s="256"/>
      <c r="R50" s="183">
        <f t="shared" si="5"/>
        <v>407500</v>
      </c>
      <c r="S50" s="195">
        <f>+S49+R50</f>
        <v>411278.98</v>
      </c>
    </row>
    <row r="51" spans="1:22" hidden="1" x14ac:dyDescent="0.2">
      <c r="A51" s="176">
        <f t="shared" si="0"/>
        <v>12</v>
      </c>
      <c r="B51" s="184">
        <f>+B50+31</f>
        <v>40114</v>
      </c>
      <c r="D51" s="171">
        <v>0</v>
      </c>
      <c r="F51" s="257"/>
      <c r="G51" s="195">
        <f>ROUND((+S50+E51+(D51/2))*0.0325/12,2)</f>
        <v>1113.8800000000001</v>
      </c>
      <c r="H51" s="256"/>
      <c r="I51" s="256"/>
      <c r="J51" s="256"/>
      <c r="K51" s="256"/>
      <c r="L51" s="256"/>
      <c r="M51" s="256"/>
      <c r="N51" s="256"/>
      <c r="O51" s="256"/>
      <c r="P51" s="256"/>
      <c r="Q51" s="256"/>
      <c r="R51" s="183">
        <f t="shared" si="5"/>
        <v>1113.8800000000001</v>
      </c>
      <c r="S51" s="195">
        <f>+S50+R51</f>
        <v>412392.86</v>
      </c>
    </row>
    <row r="52" spans="1:22" hidden="1" x14ac:dyDescent="0.2">
      <c r="A52" s="176">
        <f t="shared" si="0"/>
        <v>13</v>
      </c>
      <c r="B52" s="184">
        <f>+B51+30</f>
        <v>40144</v>
      </c>
      <c r="D52" s="171">
        <v>0</v>
      </c>
      <c r="F52" s="257"/>
      <c r="G52" s="195">
        <f>ROUND((+S51+E52+(D52/2))*0.0325/12,2)</f>
        <v>1116.9000000000001</v>
      </c>
      <c r="H52" s="256"/>
      <c r="I52" s="256"/>
      <c r="J52" s="256"/>
      <c r="K52" s="256"/>
      <c r="L52" s="256"/>
      <c r="M52" s="256"/>
      <c r="N52" s="256"/>
      <c r="O52" s="256"/>
      <c r="P52" s="256"/>
      <c r="Q52" s="256"/>
      <c r="R52" s="183">
        <f t="shared" si="5"/>
        <v>1116.9000000000001</v>
      </c>
      <c r="S52" s="195">
        <f>+S51+R52</f>
        <v>413509.76</v>
      </c>
    </row>
    <row r="53" spans="1:22" ht="13.5" hidden="1" thickBot="1" x14ac:dyDescent="0.25">
      <c r="A53" s="176">
        <f t="shared" si="0"/>
        <v>14</v>
      </c>
      <c r="B53" s="184">
        <f>+B52+31</f>
        <v>40175</v>
      </c>
      <c r="D53" s="191">
        <v>0</v>
      </c>
      <c r="E53" s="190"/>
      <c r="F53" s="260"/>
      <c r="G53" s="192">
        <f>ROUND((+S52+E53+(D53/2))*0.0325/12,2)</f>
        <v>1119.92</v>
      </c>
      <c r="H53" s="261"/>
      <c r="I53" s="261"/>
      <c r="J53" s="261"/>
      <c r="K53" s="261"/>
      <c r="L53" s="261"/>
      <c r="M53" s="261"/>
      <c r="N53" s="256"/>
      <c r="O53" s="256"/>
      <c r="P53" s="256"/>
      <c r="Q53" s="256"/>
      <c r="R53" s="191">
        <f t="shared" si="5"/>
        <v>1119.92</v>
      </c>
      <c r="S53" s="192">
        <f t="shared" ref="S53:S88" si="6">+S52+R53</f>
        <v>414629.68</v>
      </c>
      <c r="T53" s="191"/>
      <c r="U53" s="191"/>
      <c r="V53" s="191"/>
    </row>
    <row r="54" spans="1:22" hidden="1" x14ac:dyDescent="0.2">
      <c r="A54" s="176">
        <f t="shared" si="0"/>
        <v>15</v>
      </c>
      <c r="B54" s="184">
        <f>+B53+31</f>
        <v>40206</v>
      </c>
      <c r="D54" s="183"/>
      <c r="E54" s="202"/>
      <c r="F54" s="257"/>
      <c r="G54" s="195"/>
      <c r="H54" s="256"/>
      <c r="I54" s="256"/>
      <c r="J54" s="256"/>
      <c r="K54" s="256"/>
      <c r="L54" s="256"/>
      <c r="M54" s="256"/>
      <c r="N54" s="256"/>
      <c r="O54" s="256"/>
      <c r="P54" s="256"/>
      <c r="Q54" s="256"/>
      <c r="R54" s="183"/>
      <c r="S54" s="195"/>
      <c r="T54" s="183"/>
      <c r="U54" s="183"/>
      <c r="V54" s="183"/>
    </row>
    <row r="55" spans="1:22" hidden="1" x14ac:dyDescent="0.2">
      <c r="A55" s="176">
        <f t="shared" si="0"/>
        <v>16</v>
      </c>
      <c r="B55" s="184">
        <f>+B53+31</f>
        <v>40206</v>
      </c>
      <c r="D55" s="171">
        <v>0</v>
      </c>
      <c r="F55" s="257">
        <v>3.2500000000000001E-2</v>
      </c>
      <c r="G55" s="195">
        <f>ROUND((+S53+E55+(D55/2))*F55/12,2)</f>
        <v>1122.96</v>
      </c>
      <c r="H55" s="262">
        <f t="shared" ref="H55:H66" si="7">+G55</f>
        <v>1122.96</v>
      </c>
      <c r="I55" s="262"/>
      <c r="J55" s="262"/>
      <c r="K55" s="262"/>
      <c r="L55" s="262"/>
      <c r="M55" s="262"/>
      <c r="N55" s="262"/>
      <c r="O55" s="262"/>
      <c r="P55" s="262"/>
      <c r="Q55" s="262"/>
      <c r="R55" s="183">
        <f t="shared" ref="R55:R86" si="8">SUM(D55:G55)</f>
        <v>1122.9925000000001</v>
      </c>
      <c r="S55" s="195">
        <f>+S53+R55</f>
        <v>415752.67249999999</v>
      </c>
    </row>
    <row r="56" spans="1:22" hidden="1" x14ac:dyDescent="0.2">
      <c r="A56" s="176">
        <f t="shared" si="0"/>
        <v>17</v>
      </c>
      <c r="B56" s="184">
        <f>+B55+28</f>
        <v>40234</v>
      </c>
      <c r="D56" s="171">
        <v>407500</v>
      </c>
      <c r="F56" s="257">
        <v>3.2500000000000001E-2</v>
      </c>
      <c r="G56" s="195">
        <f>ROUND((+S55+E56+(D56/2))*F56/12,2)</f>
        <v>1677.82</v>
      </c>
      <c r="H56" s="262">
        <f t="shared" si="7"/>
        <v>1677.82</v>
      </c>
      <c r="I56" s="262"/>
      <c r="J56" s="262"/>
      <c r="K56" s="262"/>
      <c r="L56" s="262"/>
      <c r="M56" s="262"/>
      <c r="N56" s="262"/>
      <c r="O56" s="262"/>
      <c r="P56" s="262"/>
      <c r="Q56" s="262"/>
      <c r="R56" s="183">
        <f t="shared" si="8"/>
        <v>409177.85249999998</v>
      </c>
      <c r="S56" s="195">
        <f t="shared" si="6"/>
        <v>824930.52499999991</v>
      </c>
    </row>
    <row r="57" spans="1:22" hidden="1" x14ac:dyDescent="0.2">
      <c r="A57" s="176">
        <f t="shared" si="0"/>
        <v>18</v>
      </c>
      <c r="B57" s="184">
        <f>+B56+31</f>
        <v>40265</v>
      </c>
      <c r="D57" s="171">
        <v>0</v>
      </c>
      <c r="F57" s="257">
        <v>3.2500000000000001E-2</v>
      </c>
      <c r="G57" s="259">
        <v>2223.81</v>
      </c>
      <c r="H57" s="262">
        <f t="shared" si="7"/>
        <v>2223.81</v>
      </c>
      <c r="I57" s="262"/>
      <c r="J57" s="262"/>
      <c r="K57" s="262"/>
      <c r="L57" s="262"/>
      <c r="M57" s="262"/>
      <c r="N57" s="262"/>
      <c r="O57" s="262"/>
      <c r="P57" s="262"/>
      <c r="Q57" s="262"/>
      <c r="R57" s="183">
        <f t="shared" si="8"/>
        <v>2223.8424999999997</v>
      </c>
      <c r="S57" s="195">
        <f t="shared" si="6"/>
        <v>827154.36749999993</v>
      </c>
    </row>
    <row r="58" spans="1:22" hidden="1" x14ac:dyDescent="0.2">
      <c r="A58" s="176">
        <f t="shared" si="0"/>
        <v>19</v>
      </c>
      <c r="B58" s="184">
        <f>+B57+30</f>
        <v>40295</v>
      </c>
      <c r="D58" s="171">
        <v>0</v>
      </c>
      <c r="F58" s="257">
        <v>3.2500000000000001E-2</v>
      </c>
      <c r="G58" s="195">
        <f t="shared" ref="G58:G64" si="9">ROUND((+S57+E58+(D58/2))*F58/12,2)</f>
        <v>2240.21</v>
      </c>
      <c r="H58" s="262">
        <f t="shared" si="7"/>
        <v>2240.21</v>
      </c>
      <c r="I58" s="262"/>
      <c r="J58" s="262"/>
      <c r="K58" s="262"/>
      <c r="L58" s="262"/>
      <c r="M58" s="262"/>
      <c r="N58" s="262"/>
      <c r="O58" s="262"/>
      <c r="P58" s="262"/>
      <c r="Q58" s="262"/>
      <c r="R58" s="183">
        <f t="shared" si="8"/>
        <v>2240.2424999999998</v>
      </c>
      <c r="S58" s="195">
        <f t="shared" si="6"/>
        <v>829394.61</v>
      </c>
    </row>
    <row r="59" spans="1:22" hidden="1" x14ac:dyDescent="0.2">
      <c r="A59" s="176">
        <f t="shared" si="0"/>
        <v>20</v>
      </c>
      <c r="B59" s="184">
        <f>+B58+31</f>
        <v>40326</v>
      </c>
      <c r="D59" s="171">
        <v>0</v>
      </c>
      <c r="F59" s="257">
        <v>3.2500000000000001E-2</v>
      </c>
      <c r="G59" s="195">
        <f t="shared" si="9"/>
        <v>2246.2800000000002</v>
      </c>
      <c r="H59" s="262">
        <f t="shared" si="7"/>
        <v>2246.2800000000002</v>
      </c>
      <c r="I59" s="262"/>
      <c r="J59" s="262"/>
      <c r="K59" s="262"/>
      <c r="L59" s="262"/>
      <c r="M59" s="262"/>
      <c r="N59" s="262"/>
      <c r="O59" s="262"/>
      <c r="P59" s="262"/>
      <c r="Q59" s="262"/>
      <c r="R59" s="183">
        <f t="shared" si="8"/>
        <v>2246.3125</v>
      </c>
      <c r="S59" s="195">
        <f t="shared" si="6"/>
        <v>831640.92249999999</v>
      </c>
    </row>
    <row r="60" spans="1:22" hidden="1" x14ac:dyDescent="0.2">
      <c r="A60" s="176">
        <f t="shared" si="0"/>
        <v>21</v>
      </c>
      <c r="B60" s="184">
        <f>+B59+30</f>
        <v>40356</v>
      </c>
      <c r="D60" s="171">
        <v>0</v>
      </c>
      <c r="F60" s="257">
        <v>3.2500000000000001E-2</v>
      </c>
      <c r="G60" s="195">
        <f t="shared" si="9"/>
        <v>2252.36</v>
      </c>
      <c r="H60" s="262">
        <f t="shared" si="7"/>
        <v>2252.36</v>
      </c>
      <c r="I60" s="262"/>
      <c r="J60" s="262"/>
      <c r="K60" s="262"/>
      <c r="L60" s="262"/>
      <c r="M60" s="262"/>
      <c r="N60" s="262"/>
      <c r="O60" s="262"/>
      <c r="P60" s="262"/>
      <c r="Q60" s="262"/>
      <c r="R60" s="183">
        <f t="shared" si="8"/>
        <v>2252.3924999999999</v>
      </c>
      <c r="S60" s="195">
        <f t="shared" si="6"/>
        <v>833893.31499999994</v>
      </c>
      <c r="T60" s="171">
        <f t="shared" ref="T60:T66" si="10">+S60</f>
        <v>833893.31499999994</v>
      </c>
    </row>
    <row r="61" spans="1:22" hidden="1" x14ac:dyDescent="0.2">
      <c r="A61" s="176">
        <f t="shared" si="0"/>
        <v>22</v>
      </c>
      <c r="B61" s="184">
        <f>+B60+31</f>
        <v>40387</v>
      </c>
      <c r="D61" s="171">
        <v>87708</v>
      </c>
      <c r="F61" s="257">
        <v>3.2500000000000001E-2</v>
      </c>
      <c r="G61" s="195">
        <f t="shared" si="9"/>
        <v>2377.23</v>
      </c>
      <c r="H61" s="262">
        <f t="shared" si="7"/>
        <v>2377.23</v>
      </c>
      <c r="I61" s="262"/>
      <c r="J61" s="262"/>
      <c r="K61" s="262"/>
      <c r="L61" s="262"/>
      <c r="M61" s="262"/>
      <c r="N61" s="262"/>
      <c r="O61" s="262"/>
      <c r="P61" s="262"/>
      <c r="Q61" s="262"/>
      <c r="R61" s="183">
        <f t="shared" si="8"/>
        <v>90085.262499999997</v>
      </c>
      <c r="S61" s="195">
        <f t="shared" si="6"/>
        <v>923978.5774999999</v>
      </c>
      <c r="T61" s="171">
        <f t="shared" si="10"/>
        <v>923978.5774999999</v>
      </c>
    </row>
    <row r="62" spans="1:22" hidden="1" x14ac:dyDescent="0.2">
      <c r="A62" s="176">
        <f t="shared" si="0"/>
        <v>23</v>
      </c>
      <c r="B62" s="184">
        <f>+B61+30</f>
        <v>40417</v>
      </c>
      <c r="D62" s="171">
        <v>0</v>
      </c>
      <c r="F62" s="257">
        <v>3.2500000000000001E-2</v>
      </c>
      <c r="G62" s="195">
        <f t="shared" si="9"/>
        <v>2502.44</v>
      </c>
      <c r="H62" s="262">
        <f t="shared" si="7"/>
        <v>2502.44</v>
      </c>
      <c r="I62" s="262"/>
      <c r="J62" s="262"/>
      <c r="K62" s="262"/>
      <c r="L62" s="262"/>
      <c r="M62" s="262"/>
      <c r="N62" s="262"/>
      <c r="O62" s="262"/>
      <c r="P62" s="262"/>
      <c r="Q62" s="262"/>
      <c r="R62" s="183">
        <f t="shared" si="8"/>
        <v>2502.4724999999999</v>
      </c>
      <c r="S62" s="195">
        <f t="shared" si="6"/>
        <v>926481.04999999993</v>
      </c>
      <c r="T62" s="171">
        <f t="shared" si="10"/>
        <v>926481.04999999993</v>
      </c>
    </row>
    <row r="63" spans="1:22" hidden="1" x14ac:dyDescent="0.2">
      <c r="A63" s="176">
        <f t="shared" si="0"/>
        <v>24</v>
      </c>
      <c r="B63" s="184">
        <f>+B62+30</f>
        <v>40447</v>
      </c>
      <c r="D63" s="171">
        <v>0</v>
      </c>
      <c r="F63" s="257">
        <v>3.2500000000000001E-2</v>
      </c>
      <c r="G63" s="195">
        <f t="shared" si="9"/>
        <v>2509.2199999999998</v>
      </c>
      <c r="H63" s="262">
        <f t="shared" si="7"/>
        <v>2509.2199999999998</v>
      </c>
      <c r="I63" s="262"/>
      <c r="J63" s="262"/>
      <c r="K63" s="262"/>
      <c r="L63" s="262"/>
      <c r="M63" s="262"/>
      <c r="N63" s="262"/>
      <c r="O63" s="262"/>
      <c r="P63" s="262"/>
      <c r="Q63" s="262"/>
      <c r="R63" s="183">
        <f t="shared" si="8"/>
        <v>2509.2524999999996</v>
      </c>
      <c r="S63" s="195">
        <f t="shared" si="6"/>
        <v>928990.30249999987</v>
      </c>
      <c r="T63" s="171">
        <f t="shared" si="10"/>
        <v>928990.30249999987</v>
      </c>
    </row>
    <row r="64" spans="1:22" hidden="1" x14ac:dyDescent="0.2">
      <c r="A64" s="176">
        <f t="shared" si="0"/>
        <v>25</v>
      </c>
      <c r="B64" s="184">
        <f>+B63+31</f>
        <v>40478</v>
      </c>
      <c r="D64" s="171">
        <v>495208</v>
      </c>
      <c r="F64" s="257">
        <v>3.2500000000000001E-2</v>
      </c>
      <c r="G64" s="195">
        <f t="shared" si="9"/>
        <v>3186.61</v>
      </c>
      <c r="H64" s="262">
        <f t="shared" si="7"/>
        <v>3186.61</v>
      </c>
      <c r="I64" s="262"/>
      <c r="J64" s="262"/>
      <c r="K64" s="262"/>
      <c r="L64" s="262"/>
      <c r="M64" s="262"/>
      <c r="N64" s="262"/>
      <c r="O64" s="262"/>
      <c r="P64" s="262"/>
      <c r="Q64" s="262"/>
      <c r="R64" s="183">
        <f t="shared" si="8"/>
        <v>498394.64249999996</v>
      </c>
      <c r="S64" s="195">
        <f t="shared" si="6"/>
        <v>1427384.9449999998</v>
      </c>
      <c r="T64" s="171">
        <f t="shared" si="10"/>
        <v>1427384.9449999998</v>
      </c>
    </row>
    <row r="65" spans="1:22" hidden="1" x14ac:dyDescent="0.2">
      <c r="A65" s="176">
        <f t="shared" si="0"/>
        <v>26</v>
      </c>
      <c r="B65" s="184">
        <f>+B64+30</f>
        <v>40508</v>
      </c>
      <c r="D65" s="171">
        <v>0</v>
      </c>
      <c r="E65" s="171">
        <f>-S64</f>
        <v>-1427384.9449999998</v>
      </c>
      <c r="F65" s="257">
        <v>3.2500000000000001E-2</v>
      </c>
      <c r="G65" s="195">
        <f>ROUND((+S64+(D65/2))*F65/12,2)</f>
        <v>3865.83</v>
      </c>
      <c r="H65" s="262">
        <f t="shared" si="7"/>
        <v>3865.83</v>
      </c>
      <c r="I65" s="262"/>
      <c r="J65" s="262"/>
      <c r="K65" s="262"/>
      <c r="L65" s="262"/>
      <c r="M65" s="262"/>
      <c r="N65" s="262"/>
      <c r="O65" s="262"/>
      <c r="P65" s="262"/>
      <c r="Q65" s="262"/>
      <c r="R65" s="183">
        <f t="shared" si="8"/>
        <v>-1423519.0824999998</v>
      </c>
      <c r="S65" s="195">
        <f t="shared" si="6"/>
        <v>3865.8625000000466</v>
      </c>
      <c r="T65" s="171">
        <f t="shared" si="10"/>
        <v>3865.8625000000466</v>
      </c>
    </row>
    <row r="66" spans="1:22" ht="13.5" hidden="1" thickBot="1" x14ac:dyDescent="0.25">
      <c r="A66" s="176">
        <f t="shared" si="0"/>
        <v>27</v>
      </c>
      <c r="B66" s="189">
        <f>+B65+31</f>
        <v>40539</v>
      </c>
      <c r="C66" s="190"/>
      <c r="D66" s="191">
        <v>0</v>
      </c>
      <c r="E66" s="190"/>
      <c r="F66" s="260">
        <v>3.2500000000000001E-2</v>
      </c>
      <c r="G66" s="192">
        <f t="shared" ref="G66:G129" si="11">ROUND((+S65+E66+(D66/2))*F66/12,2)</f>
        <v>10.47</v>
      </c>
      <c r="H66" s="263">
        <f t="shared" si="7"/>
        <v>10.47</v>
      </c>
      <c r="I66" s="264"/>
      <c r="J66" s="264"/>
      <c r="K66" s="264"/>
      <c r="L66" s="264"/>
      <c r="M66" s="264"/>
      <c r="N66" s="262"/>
      <c r="O66" s="262"/>
      <c r="P66" s="262"/>
      <c r="Q66" s="262"/>
      <c r="R66" s="191">
        <f t="shared" si="8"/>
        <v>10.502500000000001</v>
      </c>
      <c r="S66" s="192">
        <f t="shared" si="6"/>
        <v>3876.3650000000466</v>
      </c>
      <c r="T66" s="191">
        <f t="shared" si="10"/>
        <v>3876.3650000000466</v>
      </c>
      <c r="U66" s="191">
        <v>0</v>
      </c>
      <c r="V66" s="191"/>
    </row>
    <row r="67" spans="1:22" hidden="1" x14ac:dyDescent="0.2">
      <c r="A67" s="176">
        <f t="shared" si="0"/>
        <v>28</v>
      </c>
      <c r="B67" s="184">
        <f>+B66+31</f>
        <v>40570</v>
      </c>
      <c r="D67" s="171">
        <v>0</v>
      </c>
      <c r="F67" s="257">
        <v>3.2500000000000001E-2</v>
      </c>
      <c r="G67" s="195">
        <f t="shared" si="11"/>
        <v>10.5</v>
      </c>
      <c r="H67" s="265">
        <f t="shared" ref="H67:H76" si="12">ROUND(T66*F67/12,2)</f>
        <v>10.5</v>
      </c>
      <c r="I67" s="262">
        <f t="shared" ref="I67:I78" si="13">+G67-H67</f>
        <v>0</v>
      </c>
      <c r="J67" s="262"/>
      <c r="K67" s="262"/>
      <c r="L67" s="262"/>
      <c r="M67" s="262"/>
      <c r="N67" s="262"/>
      <c r="O67" s="262"/>
      <c r="P67" s="262"/>
      <c r="Q67" s="262"/>
      <c r="R67" s="183">
        <f t="shared" si="8"/>
        <v>10.532500000000001</v>
      </c>
      <c r="S67" s="195">
        <f t="shared" si="6"/>
        <v>3886.8975000000464</v>
      </c>
      <c r="T67" s="171">
        <f t="shared" ref="T67:T76" si="14">+T66+H67</f>
        <v>3886.8650000000466</v>
      </c>
      <c r="U67" s="171">
        <f>+S67-T67</f>
        <v>3.2499999999799911E-2</v>
      </c>
    </row>
    <row r="68" spans="1:22" hidden="1" x14ac:dyDescent="0.2">
      <c r="A68" s="176">
        <f t="shared" si="0"/>
        <v>29</v>
      </c>
      <c r="B68" s="184">
        <f>+B67+28</f>
        <v>40598</v>
      </c>
      <c r="D68" s="171">
        <v>0</v>
      </c>
      <c r="F68" s="257">
        <v>3.2500000000000001E-2</v>
      </c>
      <c r="G68" s="195">
        <f t="shared" si="11"/>
        <v>10.53</v>
      </c>
      <c r="H68" s="265">
        <f t="shared" si="12"/>
        <v>10.53</v>
      </c>
      <c r="I68" s="262">
        <f t="shared" si="13"/>
        <v>0</v>
      </c>
      <c r="J68" s="262"/>
      <c r="K68" s="262"/>
      <c r="L68" s="262"/>
      <c r="M68" s="262"/>
      <c r="N68" s="262"/>
      <c r="O68" s="262"/>
      <c r="P68" s="262"/>
      <c r="Q68" s="262"/>
      <c r="R68" s="183">
        <f t="shared" si="8"/>
        <v>10.5625</v>
      </c>
      <c r="S68" s="195">
        <f t="shared" si="6"/>
        <v>3897.4600000000464</v>
      </c>
      <c r="T68" s="171">
        <f t="shared" si="14"/>
        <v>3897.3950000000468</v>
      </c>
      <c r="U68" s="171">
        <f t="shared" ref="U68:U76" si="15">+S68-T68</f>
        <v>6.4999999999599822E-2</v>
      </c>
    </row>
    <row r="69" spans="1:22" hidden="1" x14ac:dyDescent="0.2">
      <c r="A69" s="176">
        <f t="shared" si="0"/>
        <v>30</v>
      </c>
      <c r="B69" s="184">
        <f>+B68+31</f>
        <v>40629</v>
      </c>
      <c r="D69" s="171">
        <v>495208</v>
      </c>
      <c r="F69" s="257">
        <v>3.2500000000000001E-2</v>
      </c>
      <c r="G69" s="195">
        <f t="shared" si="11"/>
        <v>681.15</v>
      </c>
      <c r="H69" s="265">
        <f t="shared" si="12"/>
        <v>10.56</v>
      </c>
      <c r="I69" s="262">
        <f t="shared" si="13"/>
        <v>670.59</v>
      </c>
      <c r="J69" s="262"/>
      <c r="K69" s="262"/>
      <c r="L69" s="262"/>
      <c r="M69" s="262"/>
      <c r="N69" s="262"/>
      <c r="O69" s="262"/>
      <c r="P69" s="262"/>
      <c r="Q69" s="262"/>
      <c r="R69" s="183">
        <f t="shared" si="8"/>
        <v>495889.1825</v>
      </c>
      <c r="S69" s="195">
        <f t="shared" si="6"/>
        <v>499786.64250000002</v>
      </c>
      <c r="T69" s="171">
        <f t="shared" si="14"/>
        <v>3907.9550000000468</v>
      </c>
      <c r="U69" s="171">
        <f t="shared" si="15"/>
        <v>495878.68749999994</v>
      </c>
    </row>
    <row r="70" spans="1:22" hidden="1" x14ac:dyDescent="0.2">
      <c r="A70" s="176">
        <f t="shared" si="0"/>
        <v>31</v>
      </c>
      <c r="B70" s="184">
        <f>+B69+30</f>
        <v>40659</v>
      </c>
      <c r="D70" s="171">
        <f>329872-182936</f>
        <v>146936</v>
      </c>
      <c r="F70" s="257">
        <v>3.2500000000000001E-2</v>
      </c>
      <c r="G70" s="195">
        <f t="shared" si="11"/>
        <v>1552.56</v>
      </c>
      <c r="H70" s="265">
        <f t="shared" si="12"/>
        <v>10.58</v>
      </c>
      <c r="I70" s="262">
        <f t="shared" si="13"/>
        <v>1541.98</v>
      </c>
      <c r="J70" s="262"/>
      <c r="K70" s="262"/>
      <c r="L70" s="262"/>
      <c r="M70" s="262"/>
      <c r="N70" s="262"/>
      <c r="O70" s="262"/>
      <c r="P70" s="262"/>
      <c r="Q70" s="262"/>
      <c r="R70" s="183">
        <f t="shared" si="8"/>
        <v>148488.5925</v>
      </c>
      <c r="S70" s="195">
        <f t="shared" si="6"/>
        <v>648275.23499999999</v>
      </c>
      <c r="T70" s="171">
        <f t="shared" si="14"/>
        <v>3918.5350000000467</v>
      </c>
      <c r="U70" s="171">
        <f t="shared" si="15"/>
        <v>644356.69999999995</v>
      </c>
    </row>
    <row r="71" spans="1:22" hidden="1" x14ac:dyDescent="0.2">
      <c r="A71" s="176">
        <f t="shared" si="0"/>
        <v>32</v>
      </c>
      <c r="B71" s="184">
        <f>+B70+31</f>
        <v>40690</v>
      </c>
      <c r="D71" s="171">
        <v>0</v>
      </c>
      <c r="F71" s="257">
        <v>3.2500000000000001E-2</v>
      </c>
      <c r="G71" s="195">
        <f t="shared" si="11"/>
        <v>1755.75</v>
      </c>
      <c r="H71" s="265">
        <f t="shared" si="12"/>
        <v>10.61</v>
      </c>
      <c r="I71" s="262">
        <f t="shared" si="13"/>
        <v>1745.14</v>
      </c>
      <c r="J71" s="262"/>
      <c r="K71" s="262"/>
      <c r="L71" s="262"/>
      <c r="M71" s="262"/>
      <c r="N71" s="262"/>
      <c r="O71" s="262"/>
      <c r="P71" s="262"/>
      <c r="Q71" s="262"/>
      <c r="R71" s="183">
        <f t="shared" si="8"/>
        <v>1755.7825</v>
      </c>
      <c r="S71" s="195">
        <f t="shared" si="6"/>
        <v>650031.01749999996</v>
      </c>
      <c r="T71" s="171">
        <f t="shared" si="14"/>
        <v>3929.1450000000468</v>
      </c>
      <c r="U71" s="171">
        <f t="shared" si="15"/>
        <v>646101.87249999994</v>
      </c>
    </row>
    <row r="72" spans="1:22" hidden="1" x14ac:dyDescent="0.2">
      <c r="A72" s="176">
        <f t="shared" si="0"/>
        <v>33</v>
      </c>
      <c r="B72" s="184">
        <f>+B71+30</f>
        <v>40720</v>
      </c>
      <c r="D72" s="171">
        <v>0</v>
      </c>
      <c r="F72" s="257">
        <v>3.2500000000000001E-2</v>
      </c>
      <c r="G72" s="195">
        <f t="shared" si="11"/>
        <v>1760.5</v>
      </c>
      <c r="H72" s="265">
        <f t="shared" si="12"/>
        <v>10.64</v>
      </c>
      <c r="I72" s="262">
        <f t="shared" si="13"/>
        <v>1749.86</v>
      </c>
      <c r="J72" s="262"/>
      <c r="K72" s="262"/>
      <c r="L72" s="262"/>
      <c r="M72" s="262"/>
      <c r="N72" s="262"/>
      <c r="O72" s="262"/>
      <c r="P72" s="262"/>
      <c r="Q72" s="262"/>
      <c r="R72" s="183">
        <f t="shared" si="8"/>
        <v>1760.5325</v>
      </c>
      <c r="S72" s="195">
        <f t="shared" si="6"/>
        <v>651791.54999999993</v>
      </c>
      <c r="T72" s="171">
        <f t="shared" si="14"/>
        <v>3939.7850000000467</v>
      </c>
      <c r="U72" s="171">
        <f t="shared" si="15"/>
        <v>647851.7649999999</v>
      </c>
    </row>
    <row r="73" spans="1:22" hidden="1" x14ac:dyDescent="0.2">
      <c r="A73" s="176">
        <f t="shared" ref="A73:A136" si="16">+A72+1</f>
        <v>34</v>
      </c>
      <c r="B73" s="184">
        <f>+B72+31</f>
        <v>40751</v>
      </c>
      <c r="D73" s="171">
        <f>-11</f>
        <v>-11</v>
      </c>
      <c r="F73" s="257">
        <v>3.2500000000000001E-2</v>
      </c>
      <c r="G73" s="195">
        <f t="shared" si="11"/>
        <v>1765.25</v>
      </c>
      <c r="H73" s="265">
        <f t="shared" si="12"/>
        <v>10.67</v>
      </c>
      <c r="I73" s="262">
        <f t="shared" si="13"/>
        <v>1754.58</v>
      </c>
      <c r="J73" s="262"/>
      <c r="K73" s="262"/>
      <c r="L73" s="262"/>
      <c r="M73" s="262"/>
      <c r="N73" s="262"/>
      <c r="O73" s="262"/>
      <c r="P73" s="262"/>
      <c r="Q73" s="262"/>
      <c r="R73" s="183">
        <f t="shared" si="8"/>
        <v>1754.2825</v>
      </c>
      <c r="S73" s="195">
        <f t="shared" si="6"/>
        <v>653545.8324999999</v>
      </c>
      <c r="T73" s="171">
        <f t="shared" si="14"/>
        <v>3950.4550000000468</v>
      </c>
      <c r="U73" s="171">
        <f t="shared" si="15"/>
        <v>649595.37749999983</v>
      </c>
    </row>
    <row r="74" spans="1:22" hidden="1" x14ac:dyDescent="0.2">
      <c r="A74" s="176">
        <f t="shared" si="16"/>
        <v>35</v>
      </c>
      <c r="B74" s="184">
        <f>+B73+31</f>
        <v>40782</v>
      </c>
      <c r="D74" s="171">
        <v>0</v>
      </c>
      <c r="F74" s="257">
        <v>3.2500000000000001E-2</v>
      </c>
      <c r="G74" s="195">
        <f t="shared" si="11"/>
        <v>1770.02</v>
      </c>
      <c r="H74" s="265">
        <f t="shared" si="12"/>
        <v>10.7</v>
      </c>
      <c r="I74" s="262">
        <f t="shared" si="13"/>
        <v>1759.32</v>
      </c>
      <c r="J74" s="262"/>
      <c r="K74" s="262"/>
      <c r="L74" s="262"/>
      <c r="M74" s="262"/>
      <c r="N74" s="262"/>
      <c r="O74" s="262"/>
      <c r="P74" s="262"/>
      <c r="Q74" s="262"/>
      <c r="R74" s="183">
        <f t="shared" si="8"/>
        <v>1770.0525</v>
      </c>
      <c r="S74" s="195">
        <f t="shared" si="6"/>
        <v>655315.88499999989</v>
      </c>
      <c r="T74" s="171">
        <f t="shared" si="14"/>
        <v>3961.1550000000466</v>
      </c>
      <c r="U74" s="171">
        <f t="shared" si="15"/>
        <v>651354.72999999986</v>
      </c>
    </row>
    <row r="75" spans="1:22" hidden="1" x14ac:dyDescent="0.2">
      <c r="A75" s="176">
        <f t="shared" si="16"/>
        <v>36</v>
      </c>
      <c r="B75" s="184">
        <f>+B74+30</f>
        <v>40812</v>
      </c>
      <c r="D75" s="171">
        <v>0</v>
      </c>
      <c r="F75" s="257">
        <v>3.2500000000000001E-2</v>
      </c>
      <c r="G75" s="195">
        <f t="shared" si="11"/>
        <v>1774.81</v>
      </c>
      <c r="H75" s="265">
        <f t="shared" si="12"/>
        <v>10.73</v>
      </c>
      <c r="I75" s="262">
        <f t="shared" si="13"/>
        <v>1764.08</v>
      </c>
      <c r="J75" s="262"/>
      <c r="K75" s="262"/>
      <c r="L75" s="262"/>
      <c r="M75" s="262"/>
      <c r="N75" s="262"/>
      <c r="O75" s="262"/>
      <c r="P75" s="262"/>
      <c r="Q75" s="262"/>
      <c r="R75" s="183">
        <f t="shared" si="8"/>
        <v>1774.8425</v>
      </c>
      <c r="S75" s="195">
        <f t="shared" si="6"/>
        <v>657090.72749999992</v>
      </c>
      <c r="T75" s="171">
        <f t="shared" si="14"/>
        <v>3971.8850000000466</v>
      </c>
      <c r="U75" s="171">
        <f t="shared" si="15"/>
        <v>653118.84249999991</v>
      </c>
    </row>
    <row r="76" spans="1:22" hidden="1" x14ac:dyDescent="0.2">
      <c r="A76" s="176">
        <f t="shared" si="16"/>
        <v>37</v>
      </c>
      <c r="B76" s="184">
        <f>+B75+30</f>
        <v>40842</v>
      </c>
      <c r="D76" s="171">
        <v>0</v>
      </c>
      <c r="F76" s="257">
        <v>3.2500000000000001E-2</v>
      </c>
      <c r="G76" s="195">
        <f t="shared" si="11"/>
        <v>1779.62</v>
      </c>
      <c r="H76" s="265">
        <f t="shared" si="12"/>
        <v>10.76</v>
      </c>
      <c r="I76" s="262">
        <f t="shared" si="13"/>
        <v>1768.86</v>
      </c>
      <c r="J76" s="262"/>
      <c r="K76" s="262"/>
      <c r="L76" s="262"/>
      <c r="M76" s="262"/>
      <c r="N76" s="262"/>
      <c r="O76" s="262"/>
      <c r="P76" s="262"/>
      <c r="Q76" s="262"/>
      <c r="R76" s="183">
        <f t="shared" si="8"/>
        <v>1779.6524999999999</v>
      </c>
      <c r="S76" s="195">
        <f t="shared" si="6"/>
        <v>658870.37999999989</v>
      </c>
      <c r="T76" s="171">
        <f t="shared" si="14"/>
        <v>3982.6450000000468</v>
      </c>
      <c r="U76" s="171">
        <f t="shared" si="15"/>
        <v>654887.73499999987</v>
      </c>
    </row>
    <row r="77" spans="1:22" hidden="1" x14ac:dyDescent="0.2">
      <c r="A77" s="176">
        <f t="shared" si="16"/>
        <v>38</v>
      </c>
      <c r="B77" s="184">
        <f>+B76+30</f>
        <v>40872</v>
      </c>
      <c r="C77" s="200"/>
      <c r="D77" s="171">
        <v>0</v>
      </c>
      <c r="E77" s="171">
        <f>-S65+0.13</f>
        <v>-3865.7325000000465</v>
      </c>
      <c r="F77" s="257">
        <v>3.2500000000000001E-2</v>
      </c>
      <c r="G77" s="198">
        <f t="shared" si="11"/>
        <v>1773.97</v>
      </c>
      <c r="H77" s="265"/>
      <c r="I77" s="262">
        <f t="shared" si="13"/>
        <v>1773.97</v>
      </c>
      <c r="J77" s="262"/>
      <c r="K77" s="262"/>
      <c r="L77" s="262"/>
      <c r="M77" s="262"/>
      <c r="N77" s="262"/>
      <c r="O77" s="262"/>
      <c r="P77" s="262"/>
      <c r="Q77" s="262"/>
      <c r="R77" s="183">
        <f t="shared" si="8"/>
        <v>-2091.7300000000469</v>
      </c>
      <c r="S77" s="195">
        <f t="shared" si="6"/>
        <v>656778.64999999979</v>
      </c>
      <c r="U77" s="171">
        <f>+S77-T77</f>
        <v>656778.64999999979</v>
      </c>
    </row>
    <row r="78" spans="1:22" ht="13.5" hidden="1" thickBot="1" x14ac:dyDescent="0.25">
      <c r="A78" s="176">
        <f t="shared" si="16"/>
        <v>39</v>
      </c>
      <c r="B78" s="189">
        <f>+B77+31</f>
        <v>40903</v>
      </c>
      <c r="C78" s="190"/>
      <c r="D78" s="191">
        <v>0</v>
      </c>
      <c r="E78" s="190"/>
      <c r="F78" s="260">
        <v>3.2500000000000001E-2</v>
      </c>
      <c r="G78" s="192">
        <f t="shared" si="11"/>
        <v>1778.78</v>
      </c>
      <c r="H78" s="264"/>
      <c r="I78" s="264">
        <f t="shared" si="13"/>
        <v>1778.78</v>
      </c>
      <c r="J78" s="264"/>
      <c r="K78" s="264"/>
      <c r="L78" s="264"/>
      <c r="M78" s="264"/>
      <c r="N78" s="262"/>
      <c r="O78" s="262"/>
      <c r="P78" s="262"/>
      <c r="Q78" s="262"/>
      <c r="R78" s="191">
        <f t="shared" si="8"/>
        <v>1778.8125</v>
      </c>
      <c r="S78" s="192">
        <f t="shared" si="6"/>
        <v>658557.46249999979</v>
      </c>
      <c r="T78" s="191"/>
      <c r="U78" s="191">
        <f>+S78-T78</f>
        <v>658557.46249999979</v>
      </c>
      <c r="V78" s="191"/>
    </row>
    <row r="79" spans="1:22" hidden="1" x14ac:dyDescent="0.2">
      <c r="A79" s="176">
        <f t="shared" si="16"/>
        <v>40</v>
      </c>
      <c r="B79" s="170">
        <f>+B78+31</f>
        <v>40934</v>
      </c>
      <c r="D79" s="171">
        <v>0</v>
      </c>
      <c r="F79" s="257">
        <v>3.2500000000000001E-2</v>
      </c>
      <c r="G79" s="195">
        <f t="shared" si="11"/>
        <v>1783.59</v>
      </c>
      <c r="H79" s="262"/>
      <c r="I79" s="265">
        <f t="shared" ref="I79:I89" si="17">ROUND(U78*F79/12,2)</f>
        <v>1783.59</v>
      </c>
      <c r="J79" s="262">
        <f t="shared" ref="J79:J90" si="18">+G79-I79</f>
        <v>0</v>
      </c>
      <c r="K79" s="262"/>
      <c r="L79" s="262"/>
      <c r="M79" s="262"/>
      <c r="N79" s="262"/>
      <c r="O79" s="262"/>
      <c r="P79" s="262"/>
      <c r="Q79" s="262"/>
      <c r="R79" s="183">
        <f t="shared" si="8"/>
        <v>1783.6224999999999</v>
      </c>
      <c r="S79" s="195">
        <f t="shared" si="6"/>
        <v>660341.08499999985</v>
      </c>
      <c r="U79" s="171">
        <f>+U78+I79</f>
        <v>660341.05249999976</v>
      </c>
      <c r="V79" s="171">
        <f>+S79-U79</f>
        <v>3.2500000088475645E-2</v>
      </c>
    </row>
    <row r="80" spans="1:22" hidden="1" x14ac:dyDescent="0.2">
      <c r="A80" s="176">
        <f t="shared" si="16"/>
        <v>41</v>
      </c>
      <c r="B80" s="170">
        <f>+B79+29</f>
        <v>40963</v>
      </c>
      <c r="D80" s="107">
        <v>630957</v>
      </c>
      <c r="F80" s="257">
        <v>3.2500000000000001E-2</v>
      </c>
      <c r="G80" s="195">
        <f t="shared" si="11"/>
        <v>2642.84</v>
      </c>
      <c r="H80" s="262"/>
      <c r="I80" s="265">
        <f t="shared" si="17"/>
        <v>1788.42</v>
      </c>
      <c r="J80" s="262">
        <f t="shared" si="18"/>
        <v>854.42000000000007</v>
      </c>
      <c r="K80" s="262"/>
      <c r="L80" s="262"/>
      <c r="M80" s="262"/>
      <c r="N80" s="262"/>
      <c r="O80" s="262"/>
      <c r="P80" s="262"/>
      <c r="Q80" s="262"/>
      <c r="R80" s="183">
        <f t="shared" si="8"/>
        <v>633599.87249999994</v>
      </c>
      <c r="S80" s="195">
        <f t="shared" si="6"/>
        <v>1293940.9574999998</v>
      </c>
      <c r="U80" s="171">
        <f t="shared" ref="U80:U88" si="19">+U79+I80</f>
        <v>662129.4724999998</v>
      </c>
      <c r="V80" s="171">
        <f t="shared" ref="V80:V88" si="20">+S80-U80</f>
        <v>631811.48499999999</v>
      </c>
    </row>
    <row r="81" spans="1:23" hidden="1" x14ac:dyDescent="0.2">
      <c r="A81" s="176">
        <f t="shared" si="16"/>
        <v>42</v>
      </c>
      <c r="B81" s="170">
        <f>+B80+31</f>
        <v>40994</v>
      </c>
      <c r="D81" s="171">
        <v>0</v>
      </c>
      <c r="F81" s="257">
        <v>3.2500000000000001E-2</v>
      </c>
      <c r="G81" s="195">
        <f t="shared" si="11"/>
        <v>3504.42</v>
      </c>
      <c r="H81" s="262"/>
      <c r="I81" s="265">
        <f t="shared" si="17"/>
        <v>1793.27</v>
      </c>
      <c r="J81" s="262">
        <f t="shared" si="18"/>
        <v>1711.15</v>
      </c>
      <c r="K81" s="262"/>
      <c r="L81" s="262"/>
      <c r="M81" s="262"/>
      <c r="N81" s="262"/>
      <c r="O81" s="262"/>
      <c r="P81" s="262"/>
      <c r="Q81" s="262"/>
      <c r="R81" s="183">
        <f t="shared" si="8"/>
        <v>3504.4524999999999</v>
      </c>
      <c r="S81" s="195">
        <f t="shared" si="6"/>
        <v>1297445.4099999997</v>
      </c>
      <c r="U81" s="171">
        <f t="shared" si="19"/>
        <v>663922.74249999982</v>
      </c>
      <c r="V81" s="171">
        <f t="shared" si="20"/>
        <v>633522.66749999986</v>
      </c>
    </row>
    <row r="82" spans="1:23" hidden="1" x14ac:dyDescent="0.2">
      <c r="A82" s="176">
        <f t="shared" si="16"/>
        <v>43</v>
      </c>
      <c r="B82" s="170">
        <f>+B81+30</f>
        <v>41024</v>
      </c>
      <c r="D82" s="171">
        <v>0</v>
      </c>
      <c r="F82" s="257">
        <v>3.2500000000000001E-2</v>
      </c>
      <c r="G82" s="195">
        <f t="shared" si="11"/>
        <v>3513.91</v>
      </c>
      <c r="H82" s="262"/>
      <c r="I82" s="265">
        <f t="shared" si="17"/>
        <v>1798.12</v>
      </c>
      <c r="J82" s="262">
        <f t="shared" si="18"/>
        <v>1715.79</v>
      </c>
      <c r="K82" s="262"/>
      <c r="L82" s="262"/>
      <c r="M82" s="262"/>
      <c r="N82" s="262"/>
      <c r="O82" s="262"/>
      <c r="P82" s="262"/>
      <c r="Q82" s="262"/>
      <c r="R82" s="183">
        <f t="shared" si="8"/>
        <v>3513.9424999999997</v>
      </c>
      <c r="S82" s="195">
        <f t="shared" si="6"/>
        <v>1300959.3524999996</v>
      </c>
      <c r="U82" s="171">
        <f t="shared" si="19"/>
        <v>665720.86249999981</v>
      </c>
      <c r="V82" s="171">
        <f t="shared" si="20"/>
        <v>635238.48999999976</v>
      </c>
    </row>
    <row r="83" spans="1:23" hidden="1" x14ac:dyDescent="0.2">
      <c r="A83" s="176">
        <f t="shared" si="16"/>
        <v>44</v>
      </c>
      <c r="B83" s="170">
        <f>+B82+31</f>
        <v>41055</v>
      </c>
      <c r="D83" s="171">
        <v>0</v>
      </c>
      <c r="F83" s="257">
        <v>3.2500000000000001E-2</v>
      </c>
      <c r="G83" s="195">
        <f t="shared" si="11"/>
        <v>3523.43</v>
      </c>
      <c r="H83" s="262"/>
      <c r="I83" s="265">
        <f t="shared" si="17"/>
        <v>1802.99</v>
      </c>
      <c r="J83" s="262">
        <f t="shared" si="18"/>
        <v>1720.4399999999998</v>
      </c>
      <c r="K83" s="262"/>
      <c r="L83" s="262"/>
      <c r="M83" s="262"/>
      <c r="N83" s="262"/>
      <c r="O83" s="262"/>
      <c r="P83" s="262"/>
      <c r="Q83" s="262"/>
      <c r="R83" s="183">
        <f t="shared" si="8"/>
        <v>3523.4624999999996</v>
      </c>
      <c r="S83" s="195">
        <f t="shared" si="6"/>
        <v>1304482.8149999995</v>
      </c>
      <c r="U83" s="171">
        <f t="shared" si="19"/>
        <v>667523.8524999998</v>
      </c>
      <c r="V83" s="171">
        <f t="shared" si="20"/>
        <v>636958.96249999967</v>
      </c>
    </row>
    <row r="84" spans="1:23" hidden="1" x14ac:dyDescent="0.2">
      <c r="A84" s="176">
        <f t="shared" si="16"/>
        <v>45</v>
      </c>
      <c r="B84" s="170">
        <f>+B83+30</f>
        <v>41085</v>
      </c>
      <c r="D84" s="171">
        <v>0</v>
      </c>
      <c r="F84" s="257">
        <v>3.2500000000000001E-2</v>
      </c>
      <c r="G84" s="195">
        <f t="shared" si="11"/>
        <v>3532.97</v>
      </c>
      <c r="H84" s="262"/>
      <c r="I84" s="265">
        <f t="shared" si="17"/>
        <v>1807.88</v>
      </c>
      <c r="J84" s="262">
        <f t="shared" si="18"/>
        <v>1725.0899999999997</v>
      </c>
      <c r="K84" s="262"/>
      <c r="L84" s="262"/>
      <c r="M84" s="262"/>
      <c r="N84" s="262"/>
      <c r="O84" s="262"/>
      <c r="P84" s="262"/>
      <c r="Q84" s="262"/>
      <c r="R84" s="183">
        <f t="shared" si="8"/>
        <v>3533.0024999999996</v>
      </c>
      <c r="S84" s="195">
        <f t="shared" si="6"/>
        <v>1308015.8174999994</v>
      </c>
      <c r="U84" s="171">
        <f t="shared" si="19"/>
        <v>669331.73249999981</v>
      </c>
      <c r="V84" s="171">
        <f t="shared" si="20"/>
        <v>638684.08499999961</v>
      </c>
    </row>
    <row r="85" spans="1:23" hidden="1" x14ac:dyDescent="0.2">
      <c r="A85" s="176">
        <f t="shared" si="16"/>
        <v>46</v>
      </c>
      <c r="B85" s="170">
        <f>+B84+31</f>
        <v>41116</v>
      </c>
      <c r="D85" s="171">
        <v>0</v>
      </c>
      <c r="F85" s="257">
        <v>3.2500000000000001E-2</v>
      </c>
      <c r="G85" s="195">
        <f t="shared" si="11"/>
        <v>3542.54</v>
      </c>
      <c r="H85" s="262"/>
      <c r="I85" s="265">
        <f t="shared" si="17"/>
        <v>1812.77</v>
      </c>
      <c r="J85" s="262">
        <f t="shared" si="18"/>
        <v>1729.77</v>
      </c>
      <c r="K85" s="262"/>
      <c r="L85" s="262"/>
      <c r="M85" s="262"/>
      <c r="N85" s="262"/>
      <c r="O85" s="262"/>
      <c r="P85" s="262"/>
      <c r="Q85" s="262"/>
      <c r="R85" s="183">
        <f t="shared" si="8"/>
        <v>3542.5724999999998</v>
      </c>
      <c r="S85" s="195">
        <f t="shared" si="6"/>
        <v>1311558.3899999994</v>
      </c>
      <c r="U85" s="171">
        <f t="shared" si="19"/>
        <v>671144.50249999983</v>
      </c>
      <c r="V85" s="171">
        <f t="shared" si="20"/>
        <v>640413.8874999996</v>
      </c>
    </row>
    <row r="86" spans="1:23" hidden="1" x14ac:dyDescent="0.2">
      <c r="A86" s="176">
        <f t="shared" si="16"/>
        <v>47</v>
      </c>
      <c r="B86" s="170">
        <f>+B85+31</f>
        <v>41147</v>
      </c>
      <c r="D86" s="171">
        <v>0</v>
      </c>
      <c r="F86" s="257">
        <v>3.2500000000000001E-2</v>
      </c>
      <c r="G86" s="195">
        <f t="shared" si="11"/>
        <v>3552.14</v>
      </c>
      <c r="H86" s="262"/>
      <c r="I86" s="265">
        <f t="shared" si="17"/>
        <v>1817.68</v>
      </c>
      <c r="J86" s="262">
        <f t="shared" si="18"/>
        <v>1734.4599999999998</v>
      </c>
      <c r="K86" s="262"/>
      <c r="L86" s="262"/>
      <c r="M86" s="262"/>
      <c r="N86" s="262"/>
      <c r="O86" s="262"/>
      <c r="P86" s="262"/>
      <c r="Q86" s="262"/>
      <c r="R86" s="183">
        <f t="shared" si="8"/>
        <v>3552.1724999999997</v>
      </c>
      <c r="S86" s="195">
        <f t="shared" si="6"/>
        <v>1315110.5624999995</v>
      </c>
      <c r="U86" s="171">
        <f t="shared" si="19"/>
        <v>672962.18249999988</v>
      </c>
      <c r="V86" s="171">
        <f t="shared" si="20"/>
        <v>642148.37999999966</v>
      </c>
    </row>
    <row r="87" spans="1:23" hidden="1" x14ac:dyDescent="0.2">
      <c r="A87" s="176">
        <f t="shared" si="16"/>
        <v>48</v>
      </c>
      <c r="B87" s="170">
        <f>+B86+30</f>
        <v>41177</v>
      </c>
      <c r="D87" s="171">
        <v>0</v>
      </c>
      <c r="F87" s="257">
        <v>3.2500000000000001E-2</v>
      </c>
      <c r="G87" s="195">
        <f t="shared" si="11"/>
        <v>3561.76</v>
      </c>
      <c r="H87" s="262"/>
      <c r="I87" s="265">
        <f t="shared" si="17"/>
        <v>1822.61</v>
      </c>
      <c r="J87" s="262">
        <f t="shared" si="18"/>
        <v>1739.1500000000003</v>
      </c>
      <c r="K87" s="262"/>
      <c r="L87" s="262"/>
      <c r="M87" s="262"/>
      <c r="N87" s="262"/>
      <c r="O87" s="262"/>
      <c r="P87" s="262"/>
      <c r="Q87" s="262"/>
      <c r="R87" s="183">
        <f t="shared" ref="R87:R135" si="21">SUM(D87:G87)</f>
        <v>3561.7925</v>
      </c>
      <c r="S87" s="195">
        <f t="shared" si="6"/>
        <v>1318672.3549999995</v>
      </c>
      <c r="U87" s="171">
        <f t="shared" si="19"/>
        <v>674784.79249999986</v>
      </c>
      <c r="V87" s="171">
        <f t="shared" si="20"/>
        <v>643887.56249999965</v>
      </c>
    </row>
    <row r="88" spans="1:23" hidden="1" x14ac:dyDescent="0.2">
      <c r="A88" s="176">
        <f t="shared" si="16"/>
        <v>49</v>
      </c>
      <c r="B88" s="170">
        <f>+B87+31</f>
        <v>41208</v>
      </c>
      <c r="D88" s="171">
        <v>630957</v>
      </c>
      <c r="F88" s="257">
        <v>3.2500000000000001E-2</v>
      </c>
      <c r="G88" s="195">
        <f t="shared" si="11"/>
        <v>4425.83</v>
      </c>
      <c r="H88" s="262"/>
      <c r="I88" s="265">
        <f t="shared" si="17"/>
        <v>1827.54</v>
      </c>
      <c r="J88" s="262">
        <f t="shared" si="18"/>
        <v>2598.29</v>
      </c>
      <c r="K88" s="262"/>
      <c r="L88" s="262"/>
      <c r="M88" s="262"/>
      <c r="N88" s="262"/>
      <c r="O88" s="262"/>
      <c r="P88" s="262"/>
      <c r="Q88" s="262"/>
      <c r="R88" s="183">
        <f t="shared" si="21"/>
        <v>635382.86249999993</v>
      </c>
      <c r="S88" s="195">
        <f t="shared" si="6"/>
        <v>1954055.2174999993</v>
      </c>
      <c r="U88" s="171">
        <f t="shared" si="19"/>
        <v>676612.3324999999</v>
      </c>
      <c r="V88" s="171">
        <f t="shared" si="20"/>
        <v>1277442.8849999993</v>
      </c>
    </row>
    <row r="89" spans="1:23" hidden="1" x14ac:dyDescent="0.2">
      <c r="A89" s="176">
        <f t="shared" si="16"/>
        <v>50</v>
      </c>
      <c r="B89" s="170">
        <f>+B88+30</f>
        <v>41238</v>
      </c>
      <c r="C89" s="200">
        <v>1</v>
      </c>
      <c r="D89" s="171">
        <v>0</v>
      </c>
      <c r="E89" s="171">
        <f>-U88</f>
        <v>-676612.3324999999</v>
      </c>
      <c r="F89" s="257">
        <v>3.2500000000000001E-2</v>
      </c>
      <c r="G89" s="195">
        <f t="shared" si="11"/>
        <v>3459.74</v>
      </c>
      <c r="H89" s="262"/>
      <c r="I89" s="265">
        <f t="shared" si="17"/>
        <v>1832.49</v>
      </c>
      <c r="J89" s="262">
        <f t="shared" si="18"/>
        <v>1627.2499999999998</v>
      </c>
      <c r="K89" s="262"/>
      <c r="L89" s="262"/>
      <c r="M89" s="262"/>
      <c r="N89" s="262"/>
      <c r="O89" s="262"/>
      <c r="P89" s="262"/>
      <c r="Q89" s="262"/>
      <c r="R89" s="183">
        <f t="shared" si="21"/>
        <v>-673152.55999999994</v>
      </c>
      <c r="S89" s="195">
        <f>+S88+R89</f>
        <v>1280902.6574999993</v>
      </c>
      <c r="V89" s="171">
        <f>+S89-U89</f>
        <v>1280902.6574999993</v>
      </c>
    </row>
    <row r="90" spans="1:23" ht="13.5" hidden="1" thickBot="1" x14ac:dyDescent="0.25">
      <c r="A90" s="176">
        <f t="shared" si="16"/>
        <v>51</v>
      </c>
      <c r="B90" s="190">
        <f>+B89+31</f>
        <v>41269</v>
      </c>
      <c r="C90" s="201">
        <v>2</v>
      </c>
      <c r="D90" s="191">
        <v>0</v>
      </c>
      <c r="E90" s="191">
        <v>0.24</v>
      </c>
      <c r="F90" s="260">
        <v>3.2500000000000001E-2</v>
      </c>
      <c r="G90" s="192">
        <f t="shared" si="11"/>
        <v>3469.11</v>
      </c>
      <c r="H90" s="264"/>
      <c r="I90" s="263"/>
      <c r="J90" s="264">
        <f t="shared" si="18"/>
        <v>3469.11</v>
      </c>
      <c r="K90" s="264"/>
      <c r="L90" s="264"/>
      <c r="M90" s="264"/>
      <c r="N90" s="262"/>
      <c r="O90" s="262"/>
      <c r="P90" s="262"/>
      <c r="Q90" s="262"/>
      <c r="R90" s="191">
        <f t="shared" si="21"/>
        <v>3469.3825000000002</v>
      </c>
      <c r="S90" s="192">
        <f>+S89+R90</f>
        <v>1284372.0399999993</v>
      </c>
      <c r="T90" s="191"/>
      <c r="U90" s="191"/>
      <c r="V90" s="191">
        <f>+S90-U90</f>
        <v>1284372.0399999993</v>
      </c>
      <c r="W90" s="190"/>
    </row>
    <row r="91" spans="1:23" hidden="1" x14ac:dyDescent="0.2">
      <c r="A91" s="176">
        <f t="shared" si="16"/>
        <v>52</v>
      </c>
      <c r="B91" s="202">
        <f>+B90+31</f>
        <v>41300</v>
      </c>
      <c r="D91" s="171">
        <v>0</v>
      </c>
      <c r="F91" s="257">
        <v>3.2500000000000001E-2</v>
      </c>
      <c r="G91" s="195">
        <f t="shared" si="11"/>
        <v>3478.51</v>
      </c>
      <c r="H91" s="262"/>
      <c r="I91" s="265"/>
      <c r="J91" s="265">
        <f t="shared" ref="J91:J100" si="22">ROUND(V90*F91/12,2)</f>
        <v>3478.51</v>
      </c>
      <c r="K91" s="262">
        <f t="shared" ref="K91:K102" si="23">+G91-J91</f>
        <v>0</v>
      </c>
      <c r="L91" s="262"/>
      <c r="M91" s="262"/>
      <c r="N91" s="262"/>
      <c r="O91" s="262"/>
      <c r="P91" s="262"/>
      <c r="Q91" s="262"/>
      <c r="R91" s="183">
        <f t="shared" si="21"/>
        <v>3478.5425</v>
      </c>
      <c r="S91" s="195">
        <f>+S90+R91</f>
        <v>1287850.5824999993</v>
      </c>
      <c r="V91" s="171">
        <f>+V90+J91</f>
        <v>1287850.5499999993</v>
      </c>
      <c r="W91" s="203">
        <f>+S91-V91</f>
        <v>3.2499999972060323E-2</v>
      </c>
    </row>
    <row r="92" spans="1:23" hidden="1" x14ac:dyDescent="0.2">
      <c r="A92" s="176">
        <f t="shared" si="16"/>
        <v>53</v>
      </c>
      <c r="B92" s="184">
        <f>+B91+28</f>
        <v>41328</v>
      </c>
      <c r="D92" s="171">
        <v>0</v>
      </c>
      <c r="F92" s="257">
        <v>3.2500000000000001E-2</v>
      </c>
      <c r="G92" s="195">
        <f t="shared" si="11"/>
        <v>3487.93</v>
      </c>
      <c r="H92" s="262"/>
      <c r="I92" s="265"/>
      <c r="J92" s="265">
        <f t="shared" si="22"/>
        <v>3487.93</v>
      </c>
      <c r="K92" s="262">
        <f t="shared" si="23"/>
        <v>0</v>
      </c>
      <c r="L92" s="262"/>
      <c r="M92" s="262"/>
      <c r="N92" s="262"/>
      <c r="O92" s="262"/>
      <c r="P92" s="262"/>
      <c r="Q92" s="262"/>
      <c r="R92" s="183">
        <f t="shared" si="21"/>
        <v>3487.9624999999996</v>
      </c>
      <c r="S92" s="195">
        <f>+S91+R92</f>
        <v>1291338.5449999992</v>
      </c>
      <c r="V92" s="171">
        <f>+V91+J92</f>
        <v>1291338.4799999993</v>
      </c>
      <c r="W92" s="203">
        <f>+S92-V92</f>
        <v>6.4999999944120646E-2</v>
      </c>
    </row>
    <row r="93" spans="1:23" hidden="1" x14ac:dyDescent="0.2">
      <c r="A93" s="176">
        <f t="shared" si="16"/>
        <v>54</v>
      </c>
      <c r="B93" s="184">
        <f>+B92+31</f>
        <v>41359</v>
      </c>
      <c r="D93" s="171">
        <v>645551</v>
      </c>
      <c r="F93" s="257">
        <v>3.2500000000000001E-2</v>
      </c>
      <c r="G93" s="195">
        <f t="shared" si="11"/>
        <v>4371.5600000000004</v>
      </c>
      <c r="H93" s="262"/>
      <c r="I93" s="265"/>
      <c r="J93" s="265">
        <f t="shared" si="22"/>
        <v>3497.38</v>
      </c>
      <c r="K93" s="262">
        <f t="shared" si="23"/>
        <v>874.18000000000029</v>
      </c>
      <c r="L93" s="262"/>
      <c r="M93" s="262"/>
      <c r="N93" s="262"/>
      <c r="O93" s="262"/>
      <c r="P93" s="262"/>
      <c r="Q93" s="262"/>
      <c r="R93" s="183">
        <f t="shared" si="21"/>
        <v>649922.59250000003</v>
      </c>
      <c r="S93" s="195">
        <f>+S92+R93</f>
        <v>1941261.1374999993</v>
      </c>
      <c r="V93" s="171">
        <f>+V92+J93</f>
        <v>1294835.8599999992</v>
      </c>
      <c r="W93" s="203">
        <f>+S93-V93</f>
        <v>646425.27750000008</v>
      </c>
    </row>
    <row r="94" spans="1:23" hidden="1" x14ac:dyDescent="0.2">
      <c r="A94" s="176">
        <f t="shared" si="16"/>
        <v>55</v>
      </c>
      <c r="B94" s="170">
        <f>+B93+30</f>
        <v>41389</v>
      </c>
      <c r="D94" s="171">
        <v>0</v>
      </c>
      <c r="F94" s="257">
        <v>3.2500000000000001E-2</v>
      </c>
      <c r="G94" s="195">
        <f t="shared" si="11"/>
        <v>5257.58</v>
      </c>
      <c r="H94" s="262"/>
      <c r="I94" s="265"/>
      <c r="J94" s="265">
        <f t="shared" si="22"/>
        <v>3506.85</v>
      </c>
      <c r="K94" s="262">
        <f t="shared" si="23"/>
        <v>1750.73</v>
      </c>
      <c r="L94" s="262"/>
      <c r="M94" s="262"/>
      <c r="N94" s="262"/>
      <c r="O94" s="262"/>
      <c r="P94" s="262"/>
      <c r="Q94" s="262"/>
      <c r="R94" s="183">
        <f t="shared" si="21"/>
        <v>5257.6125000000002</v>
      </c>
      <c r="S94" s="195">
        <f t="shared" ref="S94:S134" si="24">+S93+R94</f>
        <v>1946518.7499999993</v>
      </c>
      <c r="V94" s="171">
        <f t="shared" ref="V94:V100" si="25">+V93+J94</f>
        <v>1298342.7099999993</v>
      </c>
      <c r="W94" s="203">
        <f t="shared" ref="W94:W102" si="26">+S94-V94</f>
        <v>648176.04</v>
      </c>
    </row>
    <row r="95" spans="1:23" hidden="1" x14ac:dyDescent="0.2">
      <c r="A95" s="176">
        <f t="shared" si="16"/>
        <v>56</v>
      </c>
      <c r="B95" s="170">
        <f>+B94+31</f>
        <v>41420</v>
      </c>
      <c r="D95" s="171">
        <v>0</v>
      </c>
      <c r="F95" s="257">
        <v>3.2500000000000001E-2</v>
      </c>
      <c r="G95" s="195">
        <f t="shared" si="11"/>
        <v>5271.82</v>
      </c>
      <c r="H95" s="262"/>
      <c r="I95" s="265"/>
      <c r="J95" s="265">
        <f t="shared" si="22"/>
        <v>3516.34</v>
      </c>
      <c r="K95" s="262">
        <f t="shared" si="23"/>
        <v>1755.4799999999996</v>
      </c>
      <c r="L95" s="262"/>
      <c r="M95" s="262"/>
      <c r="N95" s="262"/>
      <c r="O95" s="262"/>
      <c r="P95" s="262"/>
      <c r="Q95" s="262"/>
      <c r="R95" s="183">
        <f t="shared" si="21"/>
        <v>5271.8525</v>
      </c>
      <c r="S95" s="195">
        <f t="shared" si="24"/>
        <v>1951790.6024999993</v>
      </c>
      <c r="V95" s="171">
        <f t="shared" si="25"/>
        <v>1301859.0499999993</v>
      </c>
      <c r="W95" s="203">
        <f t="shared" si="26"/>
        <v>649931.55249999999</v>
      </c>
    </row>
    <row r="96" spans="1:23" hidden="1" x14ac:dyDescent="0.2">
      <c r="A96" s="176">
        <f t="shared" si="16"/>
        <v>57</v>
      </c>
      <c r="B96" s="170">
        <f>+B95+30</f>
        <v>41450</v>
      </c>
      <c r="D96" s="171">
        <v>0</v>
      </c>
      <c r="F96" s="257">
        <v>3.2500000000000001E-2</v>
      </c>
      <c r="G96" s="195">
        <f t="shared" si="11"/>
        <v>5286.1</v>
      </c>
      <c r="H96" s="262"/>
      <c r="I96" s="265"/>
      <c r="J96" s="265">
        <f t="shared" si="22"/>
        <v>3525.87</v>
      </c>
      <c r="K96" s="262">
        <f t="shared" si="23"/>
        <v>1760.2300000000005</v>
      </c>
      <c r="L96" s="262"/>
      <c r="M96" s="262"/>
      <c r="N96" s="262"/>
      <c r="O96" s="262"/>
      <c r="P96" s="262"/>
      <c r="Q96" s="262"/>
      <c r="R96" s="183">
        <f t="shared" si="21"/>
        <v>5286.1325000000006</v>
      </c>
      <c r="S96" s="195">
        <f t="shared" si="24"/>
        <v>1957076.7349999994</v>
      </c>
      <c r="V96" s="171">
        <f t="shared" si="25"/>
        <v>1305384.9199999995</v>
      </c>
      <c r="W96" s="203">
        <f t="shared" si="26"/>
        <v>651691.81499999994</v>
      </c>
    </row>
    <row r="97" spans="1:24" hidden="1" x14ac:dyDescent="0.2">
      <c r="A97" s="176">
        <f t="shared" si="16"/>
        <v>58</v>
      </c>
      <c r="B97" s="170">
        <f>+B96+31</f>
        <v>41481</v>
      </c>
      <c r="D97" s="171">
        <v>0</v>
      </c>
      <c r="F97" s="257">
        <v>3.2500000000000001E-2</v>
      </c>
      <c r="G97" s="195">
        <f t="shared" si="11"/>
        <v>5300.42</v>
      </c>
      <c r="H97" s="262"/>
      <c r="I97" s="265"/>
      <c r="J97" s="265">
        <f t="shared" si="22"/>
        <v>3535.42</v>
      </c>
      <c r="K97" s="262">
        <f t="shared" si="23"/>
        <v>1765</v>
      </c>
      <c r="L97" s="262"/>
      <c r="M97" s="262"/>
      <c r="N97" s="262"/>
      <c r="O97" s="262"/>
      <c r="P97" s="262"/>
      <c r="Q97" s="262"/>
      <c r="R97" s="183">
        <f t="shared" si="21"/>
        <v>5300.4525000000003</v>
      </c>
      <c r="S97" s="195">
        <f t="shared" si="24"/>
        <v>1962377.1874999993</v>
      </c>
      <c r="V97" s="171">
        <f t="shared" si="25"/>
        <v>1308920.3399999994</v>
      </c>
      <c r="W97" s="203">
        <f t="shared" si="26"/>
        <v>653456.84749999992</v>
      </c>
    </row>
    <row r="98" spans="1:24" hidden="1" x14ac:dyDescent="0.2">
      <c r="A98" s="176">
        <f t="shared" si="16"/>
        <v>59</v>
      </c>
      <c r="B98" s="170">
        <f>+B97+31</f>
        <v>41512</v>
      </c>
      <c r="D98" s="171">
        <v>0</v>
      </c>
      <c r="F98" s="257">
        <v>3.2500000000000001E-2</v>
      </c>
      <c r="G98" s="195">
        <f t="shared" si="11"/>
        <v>5314.77</v>
      </c>
      <c r="H98" s="262"/>
      <c r="I98" s="265"/>
      <c r="J98" s="265">
        <f t="shared" si="22"/>
        <v>3544.99</v>
      </c>
      <c r="K98" s="262">
        <f t="shared" si="23"/>
        <v>1769.7800000000007</v>
      </c>
      <c r="L98" s="262"/>
      <c r="M98" s="262"/>
      <c r="N98" s="262"/>
      <c r="O98" s="262"/>
      <c r="P98" s="262"/>
      <c r="Q98" s="262"/>
      <c r="R98" s="183">
        <f t="shared" si="21"/>
        <v>5314.8025000000007</v>
      </c>
      <c r="S98" s="195">
        <f t="shared" si="24"/>
        <v>1967691.9899999993</v>
      </c>
      <c r="V98" s="171">
        <f t="shared" si="25"/>
        <v>1312465.3299999994</v>
      </c>
      <c r="W98" s="203">
        <f t="shared" si="26"/>
        <v>655226.65999999992</v>
      </c>
    </row>
    <row r="99" spans="1:24" hidden="1" x14ac:dyDescent="0.2">
      <c r="A99" s="176">
        <f t="shared" si="16"/>
        <v>60</v>
      </c>
      <c r="B99" s="170">
        <f>+B98+30</f>
        <v>41542</v>
      </c>
      <c r="D99" s="171">
        <v>0</v>
      </c>
      <c r="F99" s="257">
        <v>3.2500000000000001E-2</v>
      </c>
      <c r="G99" s="195">
        <f t="shared" si="11"/>
        <v>5329.17</v>
      </c>
      <c r="H99" s="262"/>
      <c r="I99" s="265"/>
      <c r="J99" s="265">
        <f t="shared" si="22"/>
        <v>3554.59</v>
      </c>
      <c r="K99" s="262">
        <f t="shared" si="23"/>
        <v>1774.58</v>
      </c>
      <c r="L99" s="262"/>
      <c r="M99" s="262"/>
      <c r="N99" s="262"/>
      <c r="O99" s="262"/>
      <c r="P99" s="262"/>
      <c r="Q99" s="262"/>
      <c r="R99" s="183">
        <f t="shared" si="21"/>
        <v>5329.2025000000003</v>
      </c>
      <c r="S99" s="195">
        <f t="shared" si="24"/>
        <v>1973021.1924999992</v>
      </c>
      <c r="V99" s="171">
        <f>+V98+J99</f>
        <v>1316019.9199999995</v>
      </c>
      <c r="W99" s="203">
        <f t="shared" si="26"/>
        <v>657001.27249999973</v>
      </c>
    </row>
    <row r="100" spans="1:24" hidden="1" x14ac:dyDescent="0.2">
      <c r="A100" s="176">
        <f t="shared" si="16"/>
        <v>61</v>
      </c>
      <c r="B100" s="170">
        <f>+B99+31</f>
        <v>41573</v>
      </c>
      <c r="D100" s="171">
        <v>645551</v>
      </c>
      <c r="F100" s="257">
        <v>3.2500000000000001E-2</v>
      </c>
      <c r="G100" s="195">
        <f t="shared" si="11"/>
        <v>6217.78</v>
      </c>
      <c r="H100" s="262"/>
      <c r="I100" s="265"/>
      <c r="J100" s="265">
        <f t="shared" si="22"/>
        <v>3564.22</v>
      </c>
      <c r="K100" s="262">
        <f t="shared" si="23"/>
        <v>2653.56</v>
      </c>
      <c r="L100" s="262"/>
      <c r="M100" s="262"/>
      <c r="N100" s="262"/>
      <c r="O100" s="262"/>
      <c r="P100" s="262"/>
      <c r="Q100" s="262"/>
      <c r="R100" s="183">
        <f t="shared" si="21"/>
        <v>651768.8125</v>
      </c>
      <c r="S100" s="195">
        <f t="shared" si="24"/>
        <v>2624790.004999999</v>
      </c>
      <c r="V100" s="219">
        <f t="shared" si="25"/>
        <v>1319584.1399999994</v>
      </c>
      <c r="W100" s="203">
        <f t="shared" si="26"/>
        <v>1305205.8649999995</v>
      </c>
    </row>
    <row r="101" spans="1:24" hidden="1" x14ac:dyDescent="0.2">
      <c r="A101" s="176">
        <f t="shared" si="16"/>
        <v>62</v>
      </c>
      <c r="B101" s="170">
        <f>+B100+30</f>
        <v>41603</v>
      </c>
      <c r="C101" s="200">
        <v>1</v>
      </c>
      <c r="D101" s="171">
        <v>0</v>
      </c>
      <c r="E101" s="171">
        <f>-V100</f>
        <v>-1319584.1399999994</v>
      </c>
      <c r="F101" s="257">
        <v>3.2500000000000001E-2</v>
      </c>
      <c r="G101" s="195">
        <f t="shared" si="11"/>
        <v>3534.93</v>
      </c>
      <c r="H101" s="262"/>
      <c r="I101" s="265"/>
      <c r="J101" s="265"/>
      <c r="K101" s="262">
        <f t="shared" si="23"/>
        <v>3534.93</v>
      </c>
      <c r="L101" s="262"/>
      <c r="M101" s="262"/>
      <c r="N101" s="262"/>
      <c r="O101" s="262"/>
      <c r="P101" s="262"/>
      <c r="Q101" s="262"/>
      <c r="R101" s="183">
        <f t="shared" si="21"/>
        <v>-1316049.1774999995</v>
      </c>
      <c r="S101" s="195">
        <f t="shared" si="24"/>
        <v>1308740.8274999994</v>
      </c>
      <c r="W101" s="203">
        <f t="shared" si="26"/>
        <v>1308740.8274999994</v>
      </c>
    </row>
    <row r="102" spans="1:24" ht="13.5" hidden="1" thickBot="1" x14ac:dyDescent="0.25">
      <c r="A102" s="176">
        <f t="shared" si="16"/>
        <v>63</v>
      </c>
      <c r="B102" s="190">
        <f>+B101+31</f>
        <v>41634</v>
      </c>
      <c r="C102" s="190"/>
      <c r="D102" s="191">
        <v>0</v>
      </c>
      <c r="E102" s="190"/>
      <c r="F102" s="260">
        <v>3.2500000000000001E-2</v>
      </c>
      <c r="G102" s="192">
        <f t="shared" si="11"/>
        <v>3544.51</v>
      </c>
      <c r="H102" s="264"/>
      <c r="I102" s="263"/>
      <c r="J102" s="263"/>
      <c r="K102" s="264">
        <f t="shared" si="23"/>
        <v>3544.51</v>
      </c>
      <c r="L102" s="264"/>
      <c r="M102" s="264"/>
      <c r="N102" s="264"/>
      <c r="O102" s="264"/>
      <c r="P102" s="264"/>
      <c r="Q102" s="264"/>
      <c r="R102" s="191">
        <f t="shared" si="21"/>
        <v>3544.5425</v>
      </c>
      <c r="S102" s="192">
        <f t="shared" si="24"/>
        <v>1312285.3699999994</v>
      </c>
      <c r="T102" s="191"/>
      <c r="U102" s="191"/>
      <c r="V102" s="191"/>
      <c r="W102" s="206">
        <f t="shared" si="26"/>
        <v>1312285.3699999994</v>
      </c>
      <c r="X102" s="190"/>
    </row>
    <row r="103" spans="1:24" hidden="1" x14ac:dyDescent="0.2">
      <c r="A103" s="176">
        <f t="shared" si="16"/>
        <v>64</v>
      </c>
      <c r="B103" s="202">
        <f>+B102+31</f>
        <v>41665</v>
      </c>
      <c r="D103" s="171">
        <v>0</v>
      </c>
      <c r="F103" s="257">
        <v>3.2500000000000001E-2</v>
      </c>
      <c r="G103" s="195">
        <f t="shared" si="11"/>
        <v>3554.11</v>
      </c>
      <c r="H103" s="262"/>
      <c r="I103" s="265"/>
      <c r="J103" s="262"/>
      <c r="K103" s="265">
        <f t="shared" ref="K103:K112" si="27">ROUND(W102*F103/12,2)</f>
        <v>3554.11</v>
      </c>
      <c r="L103" s="262">
        <f t="shared" ref="L103:L114" si="28">+G103-K103</f>
        <v>0</v>
      </c>
      <c r="M103" s="262"/>
      <c r="N103" s="262"/>
      <c r="O103" s="262"/>
      <c r="P103" s="262"/>
      <c r="Q103" s="262"/>
      <c r="R103" s="183">
        <f t="shared" si="21"/>
        <v>3554.1424999999999</v>
      </c>
      <c r="S103" s="195">
        <f t="shared" si="24"/>
        <v>1315839.5124999995</v>
      </c>
      <c r="W103" s="171">
        <f>+W102+K103</f>
        <v>1315839.4799999995</v>
      </c>
      <c r="X103" s="171">
        <f>+S103-W103</f>
        <v>3.2499999972060323E-2</v>
      </c>
    </row>
    <row r="104" spans="1:24" hidden="1" x14ac:dyDescent="0.2">
      <c r="A104" s="176">
        <f t="shared" si="16"/>
        <v>65</v>
      </c>
      <c r="B104" s="184">
        <f>+B103+28</f>
        <v>41693</v>
      </c>
      <c r="D104" s="171">
        <v>527177</v>
      </c>
      <c r="F104" s="257">
        <v>3.2500000000000001E-2</v>
      </c>
      <c r="G104" s="195">
        <f t="shared" si="11"/>
        <v>4277.62</v>
      </c>
      <c r="H104" s="262"/>
      <c r="I104" s="265"/>
      <c r="J104" s="262"/>
      <c r="K104" s="265">
        <f t="shared" si="27"/>
        <v>3563.73</v>
      </c>
      <c r="L104" s="262">
        <f t="shared" si="28"/>
        <v>713.88999999999987</v>
      </c>
      <c r="M104" s="262"/>
      <c r="N104" s="262"/>
      <c r="O104" s="262"/>
      <c r="P104" s="262"/>
      <c r="Q104" s="262"/>
      <c r="R104" s="183">
        <f t="shared" si="21"/>
        <v>531454.65249999997</v>
      </c>
      <c r="S104" s="195">
        <f t="shared" si="24"/>
        <v>1847294.1649999996</v>
      </c>
      <c r="W104" s="171">
        <f t="shared" ref="W104:W112" si="29">+W103+K104</f>
        <v>1319403.2099999995</v>
      </c>
      <c r="X104" s="183">
        <f t="shared" ref="X104:X114" si="30">+S104-W104</f>
        <v>527890.95500000007</v>
      </c>
    </row>
    <row r="105" spans="1:24" hidden="1" x14ac:dyDescent="0.2">
      <c r="A105" s="176">
        <f t="shared" si="16"/>
        <v>66</v>
      </c>
      <c r="B105" s="184">
        <f>+B104+31</f>
        <v>41724</v>
      </c>
      <c r="D105" s="171">
        <v>0</v>
      </c>
      <c r="F105" s="257">
        <v>3.2500000000000001E-2</v>
      </c>
      <c r="G105" s="195">
        <f t="shared" si="11"/>
        <v>5003.09</v>
      </c>
      <c r="H105" s="262"/>
      <c r="I105" s="265"/>
      <c r="J105" s="262"/>
      <c r="K105" s="265">
        <f t="shared" si="27"/>
        <v>3573.38</v>
      </c>
      <c r="L105" s="262">
        <f t="shared" si="28"/>
        <v>1429.71</v>
      </c>
      <c r="M105" s="262"/>
      <c r="N105" s="262"/>
      <c r="O105" s="262"/>
      <c r="P105" s="262"/>
      <c r="Q105" s="262"/>
      <c r="R105" s="183">
        <f t="shared" si="21"/>
        <v>5003.1225000000004</v>
      </c>
      <c r="S105" s="195">
        <f t="shared" si="24"/>
        <v>1852297.2874999996</v>
      </c>
      <c r="W105" s="171">
        <f t="shared" si="29"/>
        <v>1322976.5899999994</v>
      </c>
      <c r="X105" s="183">
        <f t="shared" si="30"/>
        <v>529320.69750000024</v>
      </c>
    </row>
    <row r="106" spans="1:24" hidden="1" x14ac:dyDescent="0.2">
      <c r="A106" s="176">
        <f t="shared" si="16"/>
        <v>67</v>
      </c>
      <c r="B106" s="170">
        <f>+B105+30</f>
        <v>41754</v>
      </c>
      <c r="D106" s="171">
        <v>0</v>
      </c>
      <c r="F106" s="257">
        <v>3.2500000000000001E-2</v>
      </c>
      <c r="G106" s="195">
        <f t="shared" si="11"/>
        <v>5016.6400000000003</v>
      </c>
      <c r="H106" s="262"/>
      <c r="I106" s="265"/>
      <c r="J106" s="262"/>
      <c r="K106" s="265">
        <f t="shared" si="27"/>
        <v>3583.06</v>
      </c>
      <c r="L106" s="262">
        <f t="shared" si="28"/>
        <v>1433.5800000000004</v>
      </c>
      <c r="M106" s="262"/>
      <c r="N106" s="262"/>
      <c r="O106" s="262"/>
      <c r="P106" s="262"/>
      <c r="Q106" s="262"/>
      <c r="R106" s="183">
        <f t="shared" si="21"/>
        <v>5016.6725000000006</v>
      </c>
      <c r="S106" s="195">
        <f t="shared" si="24"/>
        <v>1857313.9599999997</v>
      </c>
      <c r="W106" s="171">
        <f t="shared" si="29"/>
        <v>1326559.6499999994</v>
      </c>
      <c r="X106" s="183">
        <f>+S106-W106</f>
        <v>530754.31000000029</v>
      </c>
    </row>
    <row r="107" spans="1:24" hidden="1" x14ac:dyDescent="0.2">
      <c r="A107" s="176">
        <f t="shared" si="16"/>
        <v>68</v>
      </c>
      <c r="B107" s="170">
        <f>+B106+31</f>
        <v>41785</v>
      </c>
      <c r="D107" s="171">
        <v>0</v>
      </c>
      <c r="F107" s="257">
        <v>3.2500000000000001E-2</v>
      </c>
      <c r="G107" s="195">
        <f t="shared" si="11"/>
        <v>5030.2299999999996</v>
      </c>
      <c r="H107" s="262"/>
      <c r="I107" s="265"/>
      <c r="J107" s="262"/>
      <c r="K107" s="265">
        <f t="shared" si="27"/>
        <v>3592.77</v>
      </c>
      <c r="L107" s="262">
        <f t="shared" si="28"/>
        <v>1437.4599999999996</v>
      </c>
      <c r="M107" s="262"/>
      <c r="N107" s="262"/>
      <c r="O107" s="262"/>
      <c r="P107" s="262"/>
      <c r="Q107" s="262"/>
      <c r="R107" s="183">
        <f t="shared" si="21"/>
        <v>5030.2624999999998</v>
      </c>
      <c r="S107" s="195">
        <f t="shared" si="24"/>
        <v>1862344.2224999997</v>
      </c>
      <c r="W107" s="171">
        <f t="shared" si="29"/>
        <v>1330152.4199999995</v>
      </c>
      <c r="X107" s="183">
        <f t="shared" si="30"/>
        <v>532191.80250000022</v>
      </c>
    </row>
    <row r="108" spans="1:24" hidden="1" x14ac:dyDescent="0.2">
      <c r="A108" s="176">
        <f t="shared" si="16"/>
        <v>69</v>
      </c>
      <c r="B108" s="170">
        <f>+B107+30</f>
        <v>41815</v>
      </c>
      <c r="D108" s="171">
        <v>0</v>
      </c>
      <c r="F108" s="257">
        <v>3.2500000000000001E-2</v>
      </c>
      <c r="G108" s="195">
        <f t="shared" si="11"/>
        <v>5043.8500000000004</v>
      </c>
      <c r="H108" s="262"/>
      <c r="I108" s="265"/>
      <c r="J108" s="262"/>
      <c r="K108" s="265">
        <f t="shared" si="27"/>
        <v>3602.5</v>
      </c>
      <c r="L108" s="262">
        <f t="shared" si="28"/>
        <v>1441.3500000000004</v>
      </c>
      <c r="M108" s="262"/>
      <c r="N108" s="262"/>
      <c r="O108" s="262"/>
      <c r="P108" s="262"/>
      <c r="Q108" s="262"/>
      <c r="R108" s="183">
        <f t="shared" si="21"/>
        <v>5043.8825000000006</v>
      </c>
      <c r="S108" s="195">
        <f t="shared" si="24"/>
        <v>1867388.1049999997</v>
      </c>
      <c r="W108" s="171">
        <f t="shared" si="29"/>
        <v>1333754.9199999995</v>
      </c>
      <c r="X108" s="183">
        <f t="shared" si="30"/>
        <v>533633.18500000029</v>
      </c>
    </row>
    <row r="109" spans="1:24" hidden="1" x14ac:dyDescent="0.2">
      <c r="A109" s="176">
        <f t="shared" si="16"/>
        <v>70</v>
      </c>
      <c r="B109" s="170">
        <f>+B108+31</f>
        <v>41846</v>
      </c>
      <c r="D109" s="171">
        <v>0</v>
      </c>
      <c r="F109" s="257">
        <v>3.2500000000000001E-2</v>
      </c>
      <c r="G109" s="195">
        <f t="shared" si="11"/>
        <v>5057.51</v>
      </c>
      <c r="H109" s="262"/>
      <c r="I109" s="265"/>
      <c r="J109" s="262"/>
      <c r="K109" s="265">
        <f t="shared" si="27"/>
        <v>3612.25</v>
      </c>
      <c r="L109" s="262">
        <f t="shared" si="28"/>
        <v>1445.2600000000002</v>
      </c>
      <c r="M109" s="262"/>
      <c r="N109" s="262"/>
      <c r="O109" s="262"/>
      <c r="P109" s="262"/>
      <c r="Q109" s="262"/>
      <c r="R109" s="183">
        <f t="shared" si="21"/>
        <v>5057.5425000000005</v>
      </c>
      <c r="S109" s="195">
        <f t="shared" si="24"/>
        <v>1872445.6474999997</v>
      </c>
      <c r="W109" s="171">
        <f t="shared" si="29"/>
        <v>1337367.1699999995</v>
      </c>
      <c r="X109" s="183">
        <f t="shared" si="30"/>
        <v>535078.47750000027</v>
      </c>
    </row>
    <row r="110" spans="1:24" hidden="1" x14ac:dyDescent="0.2">
      <c r="A110" s="176">
        <f t="shared" si="16"/>
        <v>71</v>
      </c>
      <c r="B110" s="170">
        <f>+B109+31</f>
        <v>41877</v>
      </c>
      <c r="D110" s="171">
        <v>0</v>
      </c>
      <c r="F110" s="257">
        <v>3.2500000000000001E-2</v>
      </c>
      <c r="G110" s="195">
        <f t="shared" si="11"/>
        <v>5071.21</v>
      </c>
      <c r="H110" s="262"/>
      <c r="I110" s="265"/>
      <c r="J110" s="262"/>
      <c r="K110" s="265">
        <f t="shared" si="27"/>
        <v>3622.04</v>
      </c>
      <c r="L110" s="262">
        <f t="shared" si="28"/>
        <v>1449.17</v>
      </c>
      <c r="M110" s="262"/>
      <c r="N110" s="262"/>
      <c r="O110" s="262"/>
      <c r="P110" s="262"/>
      <c r="Q110" s="262"/>
      <c r="R110" s="183">
        <f t="shared" si="21"/>
        <v>5071.2425000000003</v>
      </c>
      <c r="S110" s="195">
        <f t="shared" si="24"/>
        <v>1877516.8899999997</v>
      </c>
      <c r="W110" s="171">
        <f t="shared" si="29"/>
        <v>1340989.2099999995</v>
      </c>
      <c r="X110" s="183">
        <f t="shared" si="30"/>
        <v>536527.68000000017</v>
      </c>
    </row>
    <row r="111" spans="1:24" hidden="1" x14ac:dyDescent="0.2">
      <c r="A111" s="176">
        <f t="shared" si="16"/>
        <v>72</v>
      </c>
      <c r="B111" s="170">
        <f>+B110+30</f>
        <v>41907</v>
      </c>
      <c r="D111" s="171">
        <v>0</v>
      </c>
      <c r="F111" s="257">
        <v>3.2500000000000001E-2</v>
      </c>
      <c r="G111" s="195">
        <f t="shared" si="11"/>
        <v>5084.9399999999996</v>
      </c>
      <c r="H111" s="262"/>
      <c r="I111" s="265"/>
      <c r="J111" s="262"/>
      <c r="K111" s="265">
        <f t="shared" si="27"/>
        <v>3631.85</v>
      </c>
      <c r="L111" s="262">
        <f t="shared" si="28"/>
        <v>1453.0899999999997</v>
      </c>
      <c r="M111" s="262"/>
      <c r="N111" s="262"/>
      <c r="O111" s="262"/>
      <c r="P111" s="262"/>
      <c r="Q111" s="262"/>
      <c r="R111" s="183">
        <f t="shared" si="21"/>
        <v>5084.9724999999999</v>
      </c>
      <c r="S111" s="195">
        <f t="shared" si="24"/>
        <v>1882601.8624999996</v>
      </c>
      <c r="W111" s="171">
        <f t="shared" si="29"/>
        <v>1344621.0599999996</v>
      </c>
      <c r="X111" s="183">
        <f t="shared" si="30"/>
        <v>537980.80249999999</v>
      </c>
    </row>
    <row r="112" spans="1:24" hidden="1" x14ac:dyDescent="0.2">
      <c r="A112" s="176">
        <f t="shared" si="16"/>
        <v>73</v>
      </c>
      <c r="B112" s="170">
        <f>+B111+31</f>
        <v>41938</v>
      </c>
      <c r="D112" s="171">
        <v>527177</v>
      </c>
      <c r="F112" s="257">
        <v>3.2500000000000001E-2</v>
      </c>
      <c r="G112" s="195">
        <f t="shared" si="11"/>
        <v>5812.6</v>
      </c>
      <c r="H112" s="262"/>
      <c r="I112" s="265"/>
      <c r="J112" s="262"/>
      <c r="K112" s="265">
        <f t="shared" si="27"/>
        <v>3641.68</v>
      </c>
      <c r="L112" s="262">
        <f t="shared" si="28"/>
        <v>2170.9200000000005</v>
      </c>
      <c r="M112" s="262"/>
      <c r="N112" s="262"/>
      <c r="O112" s="262"/>
      <c r="P112" s="262"/>
      <c r="Q112" s="262"/>
      <c r="R112" s="183">
        <f t="shared" si="21"/>
        <v>532989.63249999995</v>
      </c>
      <c r="S112" s="195">
        <f t="shared" si="24"/>
        <v>2415591.4949999996</v>
      </c>
      <c r="W112" s="171">
        <f t="shared" si="29"/>
        <v>1348262.7399999995</v>
      </c>
      <c r="X112" s="183">
        <f t="shared" si="30"/>
        <v>1067328.7550000001</v>
      </c>
    </row>
    <row r="113" spans="1:28" hidden="1" x14ac:dyDescent="0.2">
      <c r="A113" s="176">
        <f t="shared" si="16"/>
        <v>74</v>
      </c>
      <c r="B113" s="170">
        <f>+B112+30</f>
        <v>41968</v>
      </c>
      <c r="C113" s="200">
        <v>1</v>
      </c>
      <c r="D113" s="171">
        <v>0</v>
      </c>
      <c r="E113" s="171">
        <f>-W112</f>
        <v>-1348262.7399999995</v>
      </c>
      <c r="F113" s="257">
        <v>3.2500000000000001E-2</v>
      </c>
      <c r="G113" s="195">
        <f t="shared" si="11"/>
        <v>2890.68</v>
      </c>
      <c r="H113" s="262"/>
      <c r="I113" s="265"/>
      <c r="J113" s="262"/>
      <c r="K113" s="265"/>
      <c r="L113" s="262">
        <f t="shared" si="28"/>
        <v>2890.68</v>
      </c>
      <c r="M113" s="262"/>
      <c r="N113" s="262"/>
      <c r="O113" s="262"/>
      <c r="P113" s="262"/>
      <c r="Q113" s="262"/>
      <c r="R113" s="183">
        <f t="shared" si="21"/>
        <v>-1345372.0274999996</v>
      </c>
      <c r="S113" s="195">
        <f t="shared" si="24"/>
        <v>1070219.4675</v>
      </c>
      <c r="W113" s="171"/>
      <c r="X113" s="183">
        <f t="shared" si="30"/>
        <v>1070219.4675</v>
      </c>
    </row>
    <row r="114" spans="1:28" ht="13.5" hidden="1" thickBot="1" x14ac:dyDescent="0.25">
      <c r="A114" s="176">
        <f t="shared" si="16"/>
        <v>75</v>
      </c>
      <c r="B114" s="190">
        <f>+B113+31</f>
        <v>41999</v>
      </c>
      <c r="C114" s="190"/>
      <c r="D114" s="191">
        <v>0</v>
      </c>
      <c r="E114" s="190"/>
      <c r="F114" s="260">
        <v>3.2500000000000001E-2</v>
      </c>
      <c r="G114" s="192">
        <f t="shared" si="11"/>
        <v>2898.51</v>
      </c>
      <c r="H114" s="264"/>
      <c r="I114" s="263"/>
      <c r="J114" s="264"/>
      <c r="K114" s="264"/>
      <c r="L114" s="264">
        <f t="shared" si="28"/>
        <v>2898.51</v>
      </c>
      <c r="M114" s="264"/>
      <c r="N114" s="264"/>
      <c r="O114" s="264"/>
      <c r="P114" s="264"/>
      <c r="Q114" s="264"/>
      <c r="R114" s="191">
        <f t="shared" si="21"/>
        <v>2898.5425</v>
      </c>
      <c r="S114" s="191">
        <f t="shared" si="24"/>
        <v>1073118.01</v>
      </c>
      <c r="T114" s="191"/>
      <c r="U114" s="191"/>
      <c r="V114" s="191"/>
      <c r="W114" s="191"/>
      <c r="X114" s="191">
        <f t="shared" si="30"/>
        <v>1073118.01</v>
      </c>
      <c r="Y114" s="191"/>
    </row>
    <row r="115" spans="1:28" hidden="1" x14ac:dyDescent="0.2">
      <c r="A115" s="176">
        <f t="shared" si="16"/>
        <v>76</v>
      </c>
      <c r="B115" s="202">
        <f>+B114+30</f>
        <v>42029</v>
      </c>
      <c r="C115" s="202"/>
      <c r="D115" s="183">
        <v>0</v>
      </c>
      <c r="E115" s="202"/>
      <c r="F115" s="266">
        <v>3.2500000000000001E-2</v>
      </c>
      <c r="G115" s="195">
        <f t="shared" si="11"/>
        <v>2906.36</v>
      </c>
      <c r="H115" s="262"/>
      <c r="I115" s="265"/>
      <c r="J115" s="262"/>
      <c r="K115" s="262"/>
      <c r="L115" s="262">
        <f t="shared" ref="L115:L124" si="31">ROUND(X114*F115/12,2)</f>
        <v>2906.36</v>
      </c>
      <c r="M115" s="262">
        <f t="shared" ref="M115:M126" si="32">+G115-L115</f>
        <v>0</v>
      </c>
      <c r="N115" s="262"/>
      <c r="O115" s="262"/>
      <c r="P115" s="262"/>
      <c r="Q115" s="262"/>
      <c r="R115" s="183">
        <f t="shared" si="21"/>
        <v>2906.3924999999999</v>
      </c>
      <c r="S115" s="195">
        <f t="shared" si="24"/>
        <v>1076024.4025000001</v>
      </c>
      <c r="T115" s="183"/>
      <c r="U115" s="183"/>
      <c r="V115" s="183"/>
      <c r="W115" s="171"/>
      <c r="X115" s="183">
        <f>X114+L115</f>
        <v>1076024.3700000001</v>
      </c>
      <c r="Y115" s="171">
        <f>S115-X115</f>
        <v>3.2499999972060323E-2</v>
      </c>
    </row>
    <row r="116" spans="1:28" hidden="1" x14ac:dyDescent="0.2">
      <c r="A116" s="176">
        <f t="shared" si="16"/>
        <v>77</v>
      </c>
      <c r="B116" s="202">
        <f>+B115+28</f>
        <v>42057</v>
      </c>
      <c r="C116" s="202"/>
      <c r="D116" s="183">
        <v>0</v>
      </c>
      <c r="E116" s="202"/>
      <c r="F116" s="266">
        <v>3.2500000000000001E-2</v>
      </c>
      <c r="G116" s="195">
        <f t="shared" si="11"/>
        <v>2914.23</v>
      </c>
      <c r="H116" s="262"/>
      <c r="I116" s="265"/>
      <c r="J116" s="262"/>
      <c r="K116" s="262"/>
      <c r="L116" s="262">
        <f t="shared" si="31"/>
        <v>2914.23</v>
      </c>
      <c r="M116" s="262">
        <f t="shared" si="32"/>
        <v>0</v>
      </c>
      <c r="N116" s="262"/>
      <c r="O116" s="262"/>
      <c r="P116" s="262"/>
      <c r="Q116" s="262"/>
      <c r="R116" s="183">
        <f t="shared" si="21"/>
        <v>2914.2624999999998</v>
      </c>
      <c r="S116" s="195">
        <f t="shared" si="24"/>
        <v>1078938.665</v>
      </c>
      <c r="T116" s="183"/>
      <c r="U116" s="183"/>
      <c r="V116" s="183"/>
      <c r="W116" s="171"/>
      <c r="X116" s="183">
        <f t="shared" ref="X116:X124" si="33">X115+L116</f>
        <v>1078938.6000000001</v>
      </c>
      <c r="Y116" s="171">
        <f t="shared" ref="Y116:Y126" si="34">S116-X116</f>
        <v>6.4999999944120646E-2</v>
      </c>
    </row>
    <row r="117" spans="1:28" hidden="1" x14ac:dyDescent="0.2">
      <c r="A117" s="176">
        <f t="shared" si="16"/>
        <v>78</v>
      </c>
      <c r="B117" s="202">
        <f t="shared" ref="B117:B124" si="35">+B116+31</f>
        <v>42088</v>
      </c>
      <c r="C117" s="202"/>
      <c r="D117" s="183">
        <v>0</v>
      </c>
      <c r="E117" s="202"/>
      <c r="F117" s="266">
        <v>3.2500000000000001E-2</v>
      </c>
      <c r="G117" s="195">
        <f t="shared" si="11"/>
        <v>2922.13</v>
      </c>
      <c r="H117" s="262"/>
      <c r="I117" s="265"/>
      <c r="J117" s="262"/>
      <c r="K117" s="262"/>
      <c r="L117" s="262">
        <f t="shared" si="31"/>
        <v>2922.13</v>
      </c>
      <c r="M117" s="262">
        <f t="shared" si="32"/>
        <v>0</v>
      </c>
      <c r="N117" s="262"/>
      <c r="O117" s="262"/>
      <c r="P117" s="262"/>
      <c r="Q117" s="262"/>
      <c r="R117" s="183">
        <f t="shared" si="21"/>
        <v>2922.1624999999999</v>
      </c>
      <c r="S117" s="195">
        <f t="shared" si="24"/>
        <v>1081860.8275000001</v>
      </c>
      <c r="T117" s="183"/>
      <c r="U117" s="183"/>
      <c r="V117" s="183"/>
      <c r="W117" s="171"/>
      <c r="X117" s="183">
        <f t="shared" si="33"/>
        <v>1081860.73</v>
      </c>
      <c r="Y117" s="171">
        <f t="shared" si="34"/>
        <v>9.7500000149011612E-2</v>
      </c>
    </row>
    <row r="118" spans="1:28" hidden="1" x14ac:dyDescent="0.2">
      <c r="A118" s="176">
        <f t="shared" si="16"/>
        <v>79</v>
      </c>
      <c r="B118" s="202">
        <f>+B117+30</f>
        <v>42118</v>
      </c>
      <c r="C118" s="202"/>
      <c r="D118" s="183">
        <v>678392</v>
      </c>
      <c r="E118" s="202"/>
      <c r="F118" s="266">
        <v>3.2500000000000001E-2</v>
      </c>
      <c r="G118" s="195">
        <f t="shared" si="11"/>
        <v>3848.7</v>
      </c>
      <c r="H118" s="262"/>
      <c r="I118" s="265"/>
      <c r="J118" s="262"/>
      <c r="K118" s="262"/>
      <c r="L118" s="262">
        <f t="shared" si="31"/>
        <v>2930.04</v>
      </c>
      <c r="M118" s="262">
        <f t="shared" si="32"/>
        <v>918.65999999999985</v>
      </c>
      <c r="N118" s="262"/>
      <c r="O118" s="262"/>
      <c r="P118" s="262"/>
      <c r="Q118" s="262"/>
      <c r="R118" s="183">
        <f t="shared" si="21"/>
        <v>682240.73249999993</v>
      </c>
      <c r="S118" s="195">
        <f t="shared" si="24"/>
        <v>1764101.56</v>
      </c>
      <c r="T118" s="183"/>
      <c r="U118" s="183"/>
      <c r="V118" s="183"/>
      <c r="W118" s="171"/>
      <c r="X118" s="183">
        <f t="shared" si="33"/>
        <v>1084790.77</v>
      </c>
      <c r="Y118" s="171">
        <f t="shared" si="34"/>
        <v>679310.79</v>
      </c>
    </row>
    <row r="119" spans="1:28" hidden="1" x14ac:dyDescent="0.2">
      <c r="A119" s="176">
        <f t="shared" si="16"/>
        <v>80</v>
      </c>
      <c r="B119" s="202">
        <f t="shared" si="35"/>
        <v>42149</v>
      </c>
      <c r="C119" s="202"/>
      <c r="D119" s="183">
        <v>0</v>
      </c>
      <c r="E119" s="202"/>
      <c r="F119" s="266">
        <v>3.2500000000000001E-2</v>
      </c>
      <c r="G119" s="195">
        <f t="shared" si="11"/>
        <v>4777.78</v>
      </c>
      <c r="H119" s="262"/>
      <c r="I119" s="265"/>
      <c r="J119" s="262"/>
      <c r="K119" s="262"/>
      <c r="L119" s="262">
        <f t="shared" si="31"/>
        <v>2937.98</v>
      </c>
      <c r="M119" s="262">
        <f t="shared" si="32"/>
        <v>1839.7999999999997</v>
      </c>
      <c r="N119" s="262"/>
      <c r="O119" s="262"/>
      <c r="P119" s="262"/>
      <c r="Q119" s="262"/>
      <c r="R119" s="183">
        <f t="shared" si="21"/>
        <v>4777.8125</v>
      </c>
      <c r="S119" s="195">
        <f t="shared" si="24"/>
        <v>1768879.3725000001</v>
      </c>
      <c r="T119" s="183"/>
      <c r="U119" s="183"/>
      <c r="V119" s="183"/>
      <c r="W119" s="171"/>
      <c r="X119" s="183">
        <f t="shared" si="33"/>
        <v>1087728.75</v>
      </c>
      <c r="Y119" s="171">
        <f t="shared" si="34"/>
        <v>681150.62250000006</v>
      </c>
    </row>
    <row r="120" spans="1:28" hidden="1" x14ac:dyDescent="0.2">
      <c r="A120" s="176">
        <f t="shared" si="16"/>
        <v>81</v>
      </c>
      <c r="B120" s="202">
        <f>+B119+30</f>
        <v>42179</v>
      </c>
      <c r="C120" s="202"/>
      <c r="D120" s="183">
        <v>0</v>
      </c>
      <c r="E120" s="202"/>
      <c r="F120" s="266">
        <v>3.2500000000000001E-2</v>
      </c>
      <c r="G120" s="195">
        <f t="shared" si="11"/>
        <v>4790.71</v>
      </c>
      <c r="H120" s="262"/>
      <c r="I120" s="265"/>
      <c r="J120" s="262"/>
      <c r="K120" s="262"/>
      <c r="L120" s="262">
        <f t="shared" si="31"/>
        <v>2945.93</v>
      </c>
      <c r="M120" s="262">
        <f t="shared" si="32"/>
        <v>1844.7800000000002</v>
      </c>
      <c r="N120" s="262"/>
      <c r="O120" s="262"/>
      <c r="P120" s="262"/>
      <c r="Q120" s="262"/>
      <c r="R120" s="183">
        <f t="shared" si="21"/>
        <v>4790.7425000000003</v>
      </c>
      <c r="S120" s="195">
        <f t="shared" si="24"/>
        <v>1773670.115</v>
      </c>
      <c r="T120" s="183"/>
      <c r="U120" s="183"/>
      <c r="V120" s="183"/>
      <c r="W120" s="171"/>
      <c r="X120" s="183">
        <f t="shared" si="33"/>
        <v>1090674.68</v>
      </c>
      <c r="Y120" s="171">
        <f t="shared" si="34"/>
        <v>682995.43500000006</v>
      </c>
    </row>
    <row r="121" spans="1:28" hidden="1" x14ac:dyDescent="0.2">
      <c r="A121" s="176">
        <f t="shared" si="16"/>
        <v>82</v>
      </c>
      <c r="B121" s="202">
        <f t="shared" si="35"/>
        <v>42210</v>
      </c>
      <c r="C121" s="202"/>
      <c r="D121" s="183">
        <v>0</v>
      </c>
      <c r="E121" s="202"/>
      <c r="F121" s="266">
        <v>3.2500000000000001E-2</v>
      </c>
      <c r="G121" s="195">
        <f t="shared" si="11"/>
        <v>4803.6899999999996</v>
      </c>
      <c r="H121" s="262"/>
      <c r="I121" s="265"/>
      <c r="J121" s="262"/>
      <c r="K121" s="262"/>
      <c r="L121" s="262">
        <f t="shared" si="31"/>
        <v>2953.91</v>
      </c>
      <c r="M121" s="262">
        <f t="shared" si="32"/>
        <v>1849.7799999999997</v>
      </c>
      <c r="N121" s="262"/>
      <c r="O121" s="262"/>
      <c r="P121" s="262"/>
      <c r="Q121" s="262"/>
      <c r="R121" s="183">
        <f t="shared" si="21"/>
        <v>4803.7224999999999</v>
      </c>
      <c r="S121" s="198">
        <f t="shared" si="24"/>
        <v>1778473.8374999999</v>
      </c>
      <c r="T121" s="183"/>
      <c r="U121" s="183"/>
      <c r="V121" s="183"/>
      <c r="W121" s="171"/>
      <c r="X121" s="183">
        <f t="shared" si="33"/>
        <v>1093628.5899999999</v>
      </c>
      <c r="Y121" s="171">
        <f t="shared" si="34"/>
        <v>684845.24750000006</v>
      </c>
    </row>
    <row r="122" spans="1:28" hidden="1" x14ac:dyDescent="0.2">
      <c r="A122" s="176">
        <f t="shared" si="16"/>
        <v>83</v>
      </c>
      <c r="B122" s="202">
        <f t="shared" si="35"/>
        <v>42241</v>
      </c>
      <c r="C122" s="202"/>
      <c r="D122" s="183">
        <v>0</v>
      </c>
      <c r="E122" s="267">
        <v>1.04</v>
      </c>
      <c r="F122" s="266">
        <v>3.2500000000000001E-2</v>
      </c>
      <c r="G122" s="195">
        <f t="shared" si="11"/>
        <v>4816.7</v>
      </c>
      <c r="H122" s="262"/>
      <c r="I122" s="265"/>
      <c r="J122" s="262"/>
      <c r="K122" s="262"/>
      <c r="L122" s="262">
        <f t="shared" si="31"/>
        <v>2961.91</v>
      </c>
      <c r="M122" s="262">
        <f t="shared" si="32"/>
        <v>1854.79</v>
      </c>
      <c r="N122" s="262"/>
      <c r="O122" s="262"/>
      <c r="P122" s="262"/>
      <c r="Q122" s="262"/>
      <c r="R122" s="183">
        <f t="shared" si="21"/>
        <v>4817.7725</v>
      </c>
      <c r="S122" s="195">
        <f t="shared" si="24"/>
        <v>1783291.6099999999</v>
      </c>
      <c r="T122" s="183"/>
      <c r="U122" s="183"/>
      <c r="V122" s="183"/>
      <c r="W122" s="171"/>
      <c r="X122" s="183">
        <f t="shared" si="33"/>
        <v>1096590.4999999998</v>
      </c>
      <c r="Y122" s="171">
        <f t="shared" si="34"/>
        <v>686701.1100000001</v>
      </c>
    </row>
    <row r="123" spans="1:28" hidden="1" x14ac:dyDescent="0.2">
      <c r="A123" s="176">
        <f t="shared" si="16"/>
        <v>84</v>
      </c>
      <c r="B123" s="202">
        <f>+B122+30</f>
        <v>42271</v>
      </c>
      <c r="C123" s="268"/>
      <c r="D123" s="183">
        <v>0</v>
      </c>
      <c r="E123" s="202"/>
      <c r="F123" s="266">
        <v>3.2500000000000001E-2</v>
      </c>
      <c r="G123" s="195">
        <f t="shared" si="11"/>
        <v>4829.75</v>
      </c>
      <c r="H123" s="262"/>
      <c r="I123" s="265"/>
      <c r="J123" s="262"/>
      <c r="K123" s="262"/>
      <c r="L123" s="262">
        <f t="shared" si="31"/>
        <v>2969.93</v>
      </c>
      <c r="M123" s="262">
        <f t="shared" si="32"/>
        <v>1859.8200000000002</v>
      </c>
      <c r="N123" s="262"/>
      <c r="O123" s="262"/>
      <c r="P123" s="262"/>
      <c r="Q123" s="262"/>
      <c r="R123" s="183">
        <f t="shared" si="21"/>
        <v>4829.7825000000003</v>
      </c>
      <c r="S123" s="195">
        <f t="shared" si="24"/>
        <v>1788121.3924999998</v>
      </c>
      <c r="T123" s="183"/>
      <c r="U123" s="183"/>
      <c r="V123" s="183"/>
      <c r="W123" s="171"/>
      <c r="X123" s="183">
        <f t="shared" si="33"/>
        <v>1099560.4299999997</v>
      </c>
      <c r="Y123" s="171">
        <f t="shared" si="34"/>
        <v>688560.96250000014</v>
      </c>
    </row>
    <row r="124" spans="1:28" hidden="1" x14ac:dyDescent="0.2">
      <c r="A124" s="176">
        <f t="shared" si="16"/>
        <v>85</v>
      </c>
      <c r="B124" s="269">
        <f t="shared" si="35"/>
        <v>42302</v>
      </c>
      <c r="C124" s="270"/>
      <c r="D124" s="210">
        <v>757123</v>
      </c>
      <c r="E124" s="174"/>
      <c r="F124" s="223">
        <v>3.2500000000000001E-2</v>
      </c>
      <c r="G124" s="198">
        <f t="shared" si="11"/>
        <v>5868.1</v>
      </c>
      <c r="H124" s="265"/>
      <c r="I124" s="265"/>
      <c r="J124" s="265"/>
      <c r="K124" s="265"/>
      <c r="L124" s="265">
        <f t="shared" si="31"/>
        <v>2977.98</v>
      </c>
      <c r="M124" s="265">
        <f t="shared" si="32"/>
        <v>2890.1200000000003</v>
      </c>
      <c r="N124" s="265"/>
      <c r="O124" s="265"/>
      <c r="P124" s="265"/>
      <c r="Q124" s="265"/>
      <c r="R124" s="210">
        <f t="shared" si="21"/>
        <v>762991.13249999995</v>
      </c>
      <c r="S124" s="198">
        <f t="shared" si="24"/>
        <v>2551112.5249999999</v>
      </c>
      <c r="T124" s="210"/>
      <c r="U124" s="210"/>
      <c r="V124" s="210"/>
      <c r="W124" s="219"/>
      <c r="X124" s="210">
        <f t="shared" si="33"/>
        <v>1102538.4099999997</v>
      </c>
      <c r="Y124" s="219">
        <f t="shared" si="34"/>
        <v>1448574.1150000002</v>
      </c>
    </row>
    <row r="125" spans="1:28" hidden="1" x14ac:dyDescent="0.2">
      <c r="A125" s="176">
        <f t="shared" si="16"/>
        <v>86</v>
      </c>
      <c r="B125" s="170">
        <f>+B124+30</f>
        <v>42332</v>
      </c>
      <c r="C125" s="212" t="s">
        <v>151</v>
      </c>
      <c r="D125" s="171">
        <v>0</v>
      </c>
      <c r="E125" s="171">
        <v>-1102538.02</v>
      </c>
      <c r="F125" s="223">
        <v>3.2500000000000001E-2</v>
      </c>
      <c r="G125" s="198">
        <f t="shared" si="11"/>
        <v>3923.22</v>
      </c>
      <c r="H125" s="265"/>
      <c r="I125" s="265"/>
      <c r="J125" s="265"/>
      <c r="K125" s="265"/>
      <c r="L125" s="265"/>
      <c r="M125" s="265">
        <f t="shared" si="32"/>
        <v>3923.22</v>
      </c>
      <c r="N125" s="265"/>
      <c r="O125" s="265"/>
      <c r="P125" s="265"/>
      <c r="Q125" s="265"/>
      <c r="R125" s="210">
        <f t="shared" si="21"/>
        <v>-1098614.7675000001</v>
      </c>
      <c r="S125" s="198">
        <f t="shared" si="24"/>
        <v>1452497.7574999998</v>
      </c>
      <c r="T125" s="210"/>
      <c r="U125" s="210"/>
      <c r="V125" s="210"/>
      <c r="W125" s="219"/>
      <c r="X125" s="210"/>
      <c r="Y125" s="219">
        <f t="shared" si="34"/>
        <v>1452497.7574999998</v>
      </c>
    </row>
    <row r="126" spans="1:28" ht="13.5" hidden="1" thickBot="1" x14ac:dyDescent="0.25">
      <c r="A126" s="272">
        <f t="shared" si="16"/>
        <v>87</v>
      </c>
      <c r="B126" s="190">
        <f>+B125+31</f>
        <v>42363</v>
      </c>
      <c r="C126" s="190"/>
      <c r="D126" s="191">
        <v>0</v>
      </c>
      <c r="E126" s="190"/>
      <c r="F126" s="230">
        <v>3.2500000000000001E-2</v>
      </c>
      <c r="G126" s="199">
        <f t="shared" si="11"/>
        <v>3933.85</v>
      </c>
      <c r="H126" s="263"/>
      <c r="I126" s="263"/>
      <c r="J126" s="263"/>
      <c r="K126" s="263"/>
      <c r="L126" s="263"/>
      <c r="M126" s="263">
        <f t="shared" si="32"/>
        <v>3933.85</v>
      </c>
      <c r="N126" s="263"/>
      <c r="O126" s="263"/>
      <c r="P126" s="263"/>
      <c r="Q126" s="263"/>
      <c r="R126" s="214">
        <f t="shared" si="21"/>
        <v>3933.8824999999997</v>
      </c>
      <c r="S126" s="199">
        <f t="shared" si="24"/>
        <v>1456431.64</v>
      </c>
      <c r="T126" s="214"/>
      <c r="U126" s="214"/>
      <c r="V126" s="214"/>
      <c r="W126" s="214"/>
      <c r="X126" s="214"/>
      <c r="Y126" s="214">
        <f t="shared" si="34"/>
        <v>1456431.64</v>
      </c>
      <c r="Z126" s="190"/>
      <c r="AA126" s="190"/>
      <c r="AB126" s="190"/>
    </row>
    <row r="127" spans="1:28" hidden="1" x14ac:dyDescent="0.2">
      <c r="A127" s="176">
        <f t="shared" si="16"/>
        <v>88</v>
      </c>
      <c r="B127" s="170">
        <f>B126+31</f>
        <v>42394</v>
      </c>
      <c r="D127" s="171">
        <v>0</v>
      </c>
      <c r="F127" s="223">
        <v>3.2500000000000001E-2</v>
      </c>
      <c r="G127" s="198">
        <f t="shared" si="11"/>
        <v>3944.5</v>
      </c>
      <c r="H127" s="265"/>
      <c r="I127" s="265"/>
      <c r="J127" s="265"/>
      <c r="K127" s="265"/>
      <c r="L127" s="265"/>
      <c r="M127" s="265">
        <f t="shared" ref="M127:M136" si="36">ROUND(Y126*F127/12,2)</f>
        <v>3944.5</v>
      </c>
      <c r="N127" s="265">
        <f t="shared" ref="N127:N138" si="37">+G127-M127</f>
        <v>0</v>
      </c>
      <c r="O127" s="265"/>
      <c r="P127" s="265"/>
      <c r="Q127" s="265"/>
      <c r="R127" s="210">
        <f t="shared" si="21"/>
        <v>3944.5324999999998</v>
      </c>
      <c r="S127" s="198">
        <f t="shared" si="24"/>
        <v>1460376.1724999999</v>
      </c>
      <c r="T127" s="210"/>
      <c r="U127" s="210"/>
      <c r="V127" s="210"/>
      <c r="W127" s="219"/>
      <c r="X127" s="210"/>
      <c r="Y127" s="219">
        <f>+Y126+M127</f>
        <v>1460376.14</v>
      </c>
      <c r="Z127" s="219">
        <f>S127-Y127</f>
        <v>3.2499999972060323E-2</v>
      </c>
    </row>
    <row r="128" spans="1:28" hidden="1" x14ac:dyDescent="0.2">
      <c r="A128" s="176">
        <f t="shared" si="16"/>
        <v>89</v>
      </c>
      <c r="B128" s="170">
        <f>B127+31</f>
        <v>42425</v>
      </c>
      <c r="D128" s="171">
        <v>0</v>
      </c>
      <c r="F128" s="223">
        <v>3.2500000000000001E-2</v>
      </c>
      <c r="G128" s="198">
        <f t="shared" si="11"/>
        <v>3955.19</v>
      </c>
      <c r="H128" s="265"/>
      <c r="I128" s="265"/>
      <c r="J128" s="265"/>
      <c r="K128" s="265"/>
      <c r="L128" s="265"/>
      <c r="M128" s="265">
        <f t="shared" si="36"/>
        <v>3955.19</v>
      </c>
      <c r="N128" s="265">
        <f t="shared" si="37"/>
        <v>0</v>
      </c>
      <c r="O128" s="265"/>
      <c r="P128" s="265"/>
      <c r="Q128" s="265"/>
      <c r="R128" s="210">
        <f t="shared" si="21"/>
        <v>3955.2224999999999</v>
      </c>
      <c r="S128" s="198">
        <f t="shared" si="24"/>
        <v>1464331.3949999998</v>
      </c>
      <c r="T128" s="210"/>
      <c r="U128" s="210"/>
      <c r="V128" s="210"/>
      <c r="W128" s="219"/>
      <c r="X128" s="210"/>
      <c r="Y128" s="219">
        <f t="shared" ref="Y128:Y136" si="38">+Y127+M128</f>
        <v>1464331.3299999998</v>
      </c>
      <c r="Z128" s="219">
        <f t="shared" ref="Z128:Z138" si="39">S128-Y128</f>
        <v>6.4999999944120646E-2</v>
      </c>
    </row>
    <row r="129" spans="1:28" hidden="1" x14ac:dyDescent="0.2">
      <c r="A129" s="176">
        <f t="shared" si="16"/>
        <v>90</v>
      </c>
      <c r="B129" s="170">
        <f>B128+29</f>
        <v>42454</v>
      </c>
      <c r="D129" s="171">
        <v>768840</v>
      </c>
      <c r="F129" s="223">
        <v>3.2500000000000001E-2</v>
      </c>
      <c r="G129" s="198">
        <f t="shared" si="11"/>
        <v>5007.04</v>
      </c>
      <c r="H129" s="265"/>
      <c r="I129" s="265"/>
      <c r="J129" s="265"/>
      <c r="K129" s="265"/>
      <c r="L129" s="265"/>
      <c r="M129" s="265">
        <f t="shared" si="36"/>
        <v>3965.9</v>
      </c>
      <c r="N129" s="265">
        <f t="shared" si="37"/>
        <v>1041.1399999999999</v>
      </c>
      <c r="O129" s="265"/>
      <c r="P129" s="265"/>
      <c r="Q129" s="265"/>
      <c r="R129" s="210">
        <f t="shared" si="21"/>
        <v>773847.07250000001</v>
      </c>
      <c r="S129" s="198">
        <f t="shared" si="24"/>
        <v>2238178.4674999998</v>
      </c>
      <c r="T129" s="210"/>
      <c r="U129" s="210"/>
      <c r="V129" s="210"/>
      <c r="W129" s="219"/>
      <c r="X129" s="210"/>
      <c r="Y129" s="219">
        <f t="shared" si="38"/>
        <v>1468297.2299999997</v>
      </c>
      <c r="Z129" s="219">
        <f t="shared" si="39"/>
        <v>769881.23750000005</v>
      </c>
    </row>
    <row r="130" spans="1:28" hidden="1" x14ac:dyDescent="0.2">
      <c r="A130" s="176">
        <f t="shared" si="16"/>
        <v>91</v>
      </c>
      <c r="B130" s="170">
        <f>B129+31</f>
        <v>42485</v>
      </c>
      <c r="D130" s="171">
        <v>0</v>
      </c>
      <c r="F130" s="223">
        <v>3.460000825458099E-2</v>
      </c>
      <c r="G130" s="198">
        <f t="shared" ref="G130:G172" si="40">ROUND((+S129+E130+(D130/2))*F130/12,2)</f>
        <v>6453.42</v>
      </c>
      <c r="H130" s="262"/>
      <c r="I130" s="265"/>
      <c r="J130" s="262"/>
      <c r="K130" s="262"/>
      <c r="L130" s="265"/>
      <c r="M130" s="265">
        <f t="shared" si="36"/>
        <v>4233.59</v>
      </c>
      <c r="N130" s="265">
        <f t="shared" si="37"/>
        <v>2219.83</v>
      </c>
      <c r="O130" s="265"/>
      <c r="P130" s="265"/>
      <c r="Q130" s="265"/>
      <c r="R130" s="210">
        <f t="shared" si="21"/>
        <v>6453.4546000082546</v>
      </c>
      <c r="S130" s="198">
        <f t="shared" si="24"/>
        <v>2244631.922100008</v>
      </c>
      <c r="T130" s="210"/>
      <c r="U130" s="210"/>
      <c r="V130" s="210"/>
      <c r="W130" s="219"/>
      <c r="X130" s="210"/>
      <c r="Y130" s="219">
        <f t="shared" si="38"/>
        <v>1472530.8199999998</v>
      </c>
      <c r="Z130" s="219">
        <f t="shared" si="39"/>
        <v>772101.10210000817</v>
      </c>
    </row>
    <row r="131" spans="1:28" hidden="1" x14ac:dyDescent="0.2">
      <c r="A131" s="176">
        <f t="shared" si="16"/>
        <v>92</v>
      </c>
      <c r="B131" s="170">
        <f>B130+30</f>
        <v>42515</v>
      </c>
      <c r="D131" s="171">
        <v>0</v>
      </c>
      <c r="F131" s="223">
        <v>3.460000825458099E-2</v>
      </c>
      <c r="G131" s="198">
        <f t="shared" si="40"/>
        <v>6472.02</v>
      </c>
      <c r="H131" s="262"/>
      <c r="I131" s="265"/>
      <c r="J131" s="262"/>
      <c r="K131" s="262"/>
      <c r="L131" s="265"/>
      <c r="M131" s="265">
        <f t="shared" si="36"/>
        <v>4245.8</v>
      </c>
      <c r="N131" s="265">
        <f t="shared" si="37"/>
        <v>2226.2200000000003</v>
      </c>
      <c r="O131" s="265"/>
      <c r="P131" s="265"/>
      <c r="Q131" s="265"/>
      <c r="R131" s="210">
        <f t="shared" si="21"/>
        <v>6472.054600008255</v>
      </c>
      <c r="S131" s="198">
        <f t="shared" si="24"/>
        <v>2251103.9767000163</v>
      </c>
      <c r="T131" s="210"/>
      <c r="U131" s="210"/>
      <c r="V131" s="210"/>
      <c r="W131" s="219"/>
      <c r="X131" s="210"/>
      <c r="Y131" s="219">
        <f t="shared" si="38"/>
        <v>1476776.6199999999</v>
      </c>
      <c r="Z131" s="219">
        <f t="shared" si="39"/>
        <v>774327.35670001642</v>
      </c>
    </row>
    <row r="132" spans="1:28" hidden="1" x14ac:dyDescent="0.2">
      <c r="A132" s="176">
        <f t="shared" si="16"/>
        <v>93</v>
      </c>
      <c r="B132" s="174">
        <f>B131+30</f>
        <v>42545</v>
      </c>
      <c r="C132" s="174"/>
      <c r="D132" s="219">
        <v>0</v>
      </c>
      <c r="E132" s="174"/>
      <c r="F132" s="223">
        <v>3.460000825458099E-2</v>
      </c>
      <c r="G132" s="198">
        <f t="shared" si="40"/>
        <v>6490.68</v>
      </c>
      <c r="H132" s="262"/>
      <c r="I132" s="265"/>
      <c r="J132" s="262"/>
      <c r="K132" s="262"/>
      <c r="L132" s="265"/>
      <c r="M132" s="265">
        <f t="shared" si="36"/>
        <v>4258.04</v>
      </c>
      <c r="N132" s="265">
        <f t="shared" si="37"/>
        <v>2232.6400000000003</v>
      </c>
      <c r="O132" s="265"/>
      <c r="P132" s="265"/>
      <c r="Q132" s="265"/>
      <c r="R132" s="210">
        <f t="shared" si="21"/>
        <v>6490.7146000082548</v>
      </c>
      <c r="S132" s="198">
        <f t="shared" si="24"/>
        <v>2257594.6913000247</v>
      </c>
      <c r="T132" s="210"/>
      <c r="U132" s="210"/>
      <c r="V132" s="210"/>
      <c r="W132" s="219"/>
      <c r="X132" s="210"/>
      <c r="Y132" s="219">
        <f t="shared" si="38"/>
        <v>1481034.66</v>
      </c>
      <c r="Z132" s="219">
        <f t="shared" si="39"/>
        <v>776560.03130002483</v>
      </c>
    </row>
    <row r="133" spans="1:28" hidden="1" x14ac:dyDescent="0.2">
      <c r="A133" s="176">
        <f t="shared" si="16"/>
        <v>94</v>
      </c>
      <c r="B133" s="170">
        <f>B132+31</f>
        <v>42576</v>
      </c>
      <c r="D133" s="171">
        <v>0</v>
      </c>
      <c r="F133" s="223">
        <v>3.5000000000000003E-2</v>
      </c>
      <c r="G133" s="198">
        <f t="shared" si="40"/>
        <v>6584.65</v>
      </c>
      <c r="H133" s="262"/>
      <c r="I133" s="265"/>
      <c r="J133" s="262"/>
      <c r="K133" s="262"/>
      <c r="L133" s="265"/>
      <c r="M133" s="265">
        <f t="shared" si="36"/>
        <v>4319.68</v>
      </c>
      <c r="N133" s="265">
        <f t="shared" si="37"/>
        <v>2264.9699999999993</v>
      </c>
      <c r="O133" s="265"/>
      <c r="P133" s="265"/>
      <c r="Q133" s="265"/>
      <c r="R133" s="210">
        <f t="shared" si="21"/>
        <v>6584.6849999999995</v>
      </c>
      <c r="S133" s="198">
        <f t="shared" si="24"/>
        <v>2264179.3763000248</v>
      </c>
      <c r="T133" s="210"/>
      <c r="U133" s="210"/>
      <c r="V133" s="210"/>
      <c r="W133" s="219"/>
      <c r="X133" s="210"/>
      <c r="Y133" s="219">
        <f t="shared" si="38"/>
        <v>1485354.3399999999</v>
      </c>
      <c r="Z133" s="219">
        <f t="shared" si="39"/>
        <v>778825.03630002495</v>
      </c>
    </row>
    <row r="134" spans="1:28" hidden="1" x14ac:dyDescent="0.2">
      <c r="A134" s="176">
        <f t="shared" si="16"/>
        <v>95</v>
      </c>
      <c r="B134" s="170">
        <f>B133+31</f>
        <v>42607</v>
      </c>
      <c r="D134" s="171">
        <v>0</v>
      </c>
      <c r="F134" s="223">
        <v>3.5000000000000003E-2</v>
      </c>
      <c r="G134" s="198">
        <f t="shared" si="40"/>
        <v>6603.86</v>
      </c>
      <c r="H134" s="262"/>
      <c r="I134" s="265"/>
      <c r="J134" s="262"/>
      <c r="K134" s="262"/>
      <c r="L134" s="265"/>
      <c r="M134" s="265">
        <f t="shared" si="36"/>
        <v>4332.28</v>
      </c>
      <c r="N134" s="265">
        <f t="shared" si="37"/>
        <v>2271.58</v>
      </c>
      <c r="O134" s="265"/>
      <c r="P134" s="265"/>
      <c r="Q134" s="265"/>
      <c r="R134" s="210">
        <f t="shared" si="21"/>
        <v>6603.8949999999995</v>
      </c>
      <c r="S134" s="198">
        <f t="shared" si="24"/>
        <v>2270783.2713000248</v>
      </c>
      <c r="T134" s="210"/>
      <c r="U134" s="210"/>
      <c r="V134" s="210"/>
      <c r="W134" s="219"/>
      <c r="X134" s="210"/>
      <c r="Y134" s="219">
        <f t="shared" si="38"/>
        <v>1489686.6199999999</v>
      </c>
      <c r="Z134" s="219">
        <f t="shared" si="39"/>
        <v>781096.65130002494</v>
      </c>
    </row>
    <row r="135" spans="1:28" hidden="1" x14ac:dyDescent="0.2">
      <c r="A135" s="176">
        <f t="shared" si="16"/>
        <v>96</v>
      </c>
      <c r="B135" s="170">
        <f>B134+30</f>
        <v>42637</v>
      </c>
      <c r="C135" s="221"/>
      <c r="D135" s="171">
        <v>768839</v>
      </c>
      <c r="F135" s="223">
        <v>3.5000000000000003E-2</v>
      </c>
      <c r="G135" s="198">
        <f t="shared" si="40"/>
        <v>7744.34</v>
      </c>
      <c r="H135" s="262"/>
      <c r="I135" s="265"/>
      <c r="J135" s="262"/>
      <c r="K135" s="262"/>
      <c r="L135" s="265"/>
      <c r="M135" s="265">
        <f t="shared" si="36"/>
        <v>4344.92</v>
      </c>
      <c r="N135" s="265">
        <f t="shared" si="37"/>
        <v>3399.42</v>
      </c>
      <c r="O135" s="265"/>
      <c r="P135" s="265"/>
      <c r="Q135" s="265"/>
      <c r="R135" s="210">
        <f t="shared" si="21"/>
        <v>776583.375</v>
      </c>
      <c r="S135" s="198">
        <f>+S134+R135</f>
        <v>3047366.6463000248</v>
      </c>
      <c r="T135" s="210"/>
      <c r="U135" s="210"/>
      <c r="V135" s="210"/>
      <c r="W135" s="219"/>
      <c r="X135" s="210"/>
      <c r="Y135" s="219">
        <f t="shared" si="38"/>
        <v>1494031.5399999998</v>
      </c>
      <c r="Z135" s="219">
        <f t="shared" si="39"/>
        <v>1553335.106300025</v>
      </c>
    </row>
    <row r="136" spans="1:28" hidden="1" x14ac:dyDescent="0.2">
      <c r="A136" s="176">
        <f t="shared" si="16"/>
        <v>97</v>
      </c>
      <c r="B136" s="170">
        <f>B135+31</f>
        <v>42668</v>
      </c>
      <c r="C136" s="221"/>
      <c r="D136" s="171">
        <v>0</v>
      </c>
      <c r="F136" s="223">
        <v>3.5000000000000003E-2</v>
      </c>
      <c r="G136" s="198">
        <f t="shared" si="40"/>
        <v>8888.15</v>
      </c>
      <c r="H136" s="262"/>
      <c r="I136" s="265"/>
      <c r="J136" s="262"/>
      <c r="K136" s="262"/>
      <c r="L136" s="265"/>
      <c r="M136" s="265">
        <f t="shared" si="36"/>
        <v>4357.59</v>
      </c>
      <c r="N136" s="265">
        <f t="shared" si="37"/>
        <v>4530.5599999999995</v>
      </c>
      <c r="O136" s="265"/>
      <c r="P136" s="265"/>
      <c r="Q136" s="265"/>
      <c r="R136" s="210">
        <f>SUM(D136:G136)</f>
        <v>8888.1849999999995</v>
      </c>
      <c r="S136" s="198">
        <f>+S135+R136</f>
        <v>3056254.8313000249</v>
      </c>
      <c r="T136" s="210"/>
      <c r="U136" s="210"/>
      <c r="V136" s="210"/>
      <c r="W136" s="219"/>
      <c r="X136" s="210"/>
      <c r="Y136" s="219">
        <f t="shared" si="38"/>
        <v>1498389.13</v>
      </c>
      <c r="Z136" s="219">
        <f t="shared" si="39"/>
        <v>1557865.701300025</v>
      </c>
    </row>
    <row r="137" spans="1:28" hidden="1" x14ac:dyDescent="0.2">
      <c r="A137" s="176">
        <f t="shared" ref="A137:A178" si="41">+A136+1</f>
        <v>98</v>
      </c>
      <c r="B137" s="170">
        <f t="shared" ref="B137:B149" si="42">B136+31</f>
        <v>42699</v>
      </c>
      <c r="C137" s="212" t="s">
        <v>151</v>
      </c>
      <c r="D137" s="171">
        <v>0</v>
      </c>
      <c r="E137" s="273">
        <f>-Y136</f>
        <v>-1498389.13</v>
      </c>
      <c r="F137" s="223">
        <v>3.5000000000000003E-2</v>
      </c>
      <c r="G137" s="198">
        <f t="shared" si="40"/>
        <v>4543.7700000000004</v>
      </c>
      <c r="H137" s="262"/>
      <c r="I137" s="265"/>
      <c r="J137" s="262"/>
      <c r="K137" s="262"/>
      <c r="L137" s="265"/>
      <c r="M137" s="265"/>
      <c r="N137" s="265">
        <f t="shared" si="37"/>
        <v>4543.7700000000004</v>
      </c>
      <c r="O137" s="265"/>
      <c r="P137" s="265"/>
      <c r="Q137" s="265"/>
      <c r="R137" s="210">
        <f>D137+E137+G137</f>
        <v>-1493845.3599999999</v>
      </c>
      <c r="S137" s="198">
        <f>+S136+R137</f>
        <v>1562409.471300025</v>
      </c>
      <c r="T137" s="210"/>
      <c r="U137" s="210"/>
      <c r="V137" s="210"/>
      <c r="W137" s="219"/>
      <c r="X137" s="210"/>
      <c r="Y137" s="219"/>
      <c r="Z137" s="219">
        <f t="shared" si="39"/>
        <v>1562409.471300025</v>
      </c>
    </row>
    <row r="138" spans="1:28" ht="13.5" hidden="1" thickBot="1" x14ac:dyDescent="0.25">
      <c r="A138" s="272">
        <f t="shared" si="41"/>
        <v>99</v>
      </c>
      <c r="B138" s="190">
        <f t="shared" si="42"/>
        <v>42730</v>
      </c>
      <c r="C138" s="190"/>
      <c r="D138" s="191">
        <v>400000</v>
      </c>
      <c r="E138" s="190"/>
      <c r="F138" s="230">
        <v>3.5000000000000003E-2</v>
      </c>
      <c r="G138" s="199">
        <f t="shared" si="40"/>
        <v>5140.3599999999997</v>
      </c>
      <c r="H138" s="263"/>
      <c r="I138" s="263"/>
      <c r="J138" s="263"/>
      <c r="K138" s="263"/>
      <c r="L138" s="263"/>
      <c r="M138" s="263"/>
      <c r="N138" s="263">
        <f t="shared" si="37"/>
        <v>5140.3599999999997</v>
      </c>
      <c r="O138" s="263"/>
      <c r="P138" s="263"/>
      <c r="Q138" s="263"/>
      <c r="R138" s="214">
        <f t="shared" ref="R138:R148" si="43">D138+E138+G138</f>
        <v>405140.36</v>
      </c>
      <c r="S138" s="199">
        <f>+S137+R138</f>
        <v>1967549.8313000249</v>
      </c>
      <c r="T138" s="214"/>
      <c r="U138" s="214"/>
      <c r="V138" s="214"/>
      <c r="W138" s="214"/>
      <c r="X138" s="214"/>
      <c r="Y138" s="214"/>
      <c r="Z138" s="214">
        <f t="shared" si="39"/>
        <v>1967549.8313000249</v>
      </c>
      <c r="AA138" s="190"/>
      <c r="AB138" s="190"/>
    </row>
    <row r="139" spans="1:28" hidden="1" x14ac:dyDescent="0.2">
      <c r="A139" s="176">
        <f t="shared" si="41"/>
        <v>100</v>
      </c>
      <c r="B139" s="170">
        <f t="shared" si="42"/>
        <v>42761</v>
      </c>
      <c r="C139" s="221"/>
      <c r="D139" s="171">
        <v>0</v>
      </c>
      <c r="F139" s="223">
        <v>3.5000000000000003E-2</v>
      </c>
      <c r="G139" s="198">
        <f t="shared" si="40"/>
        <v>5738.69</v>
      </c>
      <c r="H139" s="262"/>
      <c r="I139" s="265"/>
      <c r="J139" s="262"/>
      <c r="K139" s="262"/>
      <c r="L139" s="265"/>
      <c r="M139" s="265"/>
      <c r="N139" s="265">
        <f>ROUND(Z138*F139/12,2)</f>
        <v>5738.69</v>
      </c>
      <c r="O139" s="265">
        <f>+G139-N139</f>
        <v>0</v>
      </c>
      <c r="P139" s="265"/>
      <c r="Q139" s="265"/>
      <c r="R139" s="210">
        <f t="shared" si="43"/>
        <v>5738.69</v>
      </c>
      <c r="S139" s="198">
        <f t="shared" ref="S139:S172" si="44">+S138+R139</f>
        <v>1973288.5213000248</v>
      </c>
      <c r="T139" s="210"/>
      <c r="U139" s="210"/>
      <c r="V139" s="210"/>
      <c r="W139" s="219"/>
      <c r="X139" s="210"/>
      <c r="Y139" s="219"/>
      <c r="Z139" s="219">
        <f>+Z138+N139</f>
        <v>1973288.5213000248</v>
      </c>
      <c r="AA139" s="219">
        <f>S139-Z139</f>
        <v>0</v>
      </c>
    </row>
    <row r="140" spans="1:28" hidden="1" x14ac:dyDescent="0.2">
      <c r="A140" s="176">
        <f t="shared" si="41"/>
        <v>101</v>
      </c>
      <c r="B140" s="170">
        <f t="shared" si="42"/>
        <v>42792</v>
      </c>
      <c r="C140" s="221"/>
      <c r="D140" s="171">
        <v>0</v>
      </c>
      <c r="F140" s="223">
        <v>3.5000000000000003E-2</v>
      </c>
      <c r="G140" s="198">
        <f t="shared" si="40"/>
        <v>5755.42</v>
      </c>
      <c r="H140" s="262"/>
      <c r="I140" s="265"/>
      <c r="J140" s="262"/>
      <c r="K140" s="262"/>
      <c r="L140" s="265"/>
      <c r="M140" s="265"/>
      <c r="N140" s="265">
        <f t="shared" ref="N140:N148" si="45">ROUND(Z139*F140/12,2)</f>
        <v>5755.42</v>
      </c>
      <c r="O140" s="265">
        <f t="shared" ref="O140:O149" si="46">+G140-N140</f>
        <v>0</v>
      </c>
      <c r="P140" s="265"/>
      <c r="Q140" s="265"/>
      <c r="R140" s="210">
        <f t="shared" si="43"/>
        <v>5755.42</v>
      </c>
      <c r="S140" s="198">
        <f t="shared" si="44"/>
        <v>1979043.9413000247</v>
      </c>
      <c r="T140" s="210"/>
      <c r="U140" s="210"/>
      <c r="V140" s="210"/>
      <c r="W140" s="219"/>
      <c r="X140" s="210"/>
      <c r="Y140" s="219"/>
      <c r="Z140" s="219">
        <f t="shared" ref="Z140:Z148" si="47">+Z139+N140</f>
        <v>1979043.9413000247</v>
      </c>
      <c r="AA140" s="219">
        <f t="shared" ref="AA140:AA149" si="48">S140-Z140</f>
        <v>0</v>
      </c>
    </row>
    <row r="141" spans="1:28" hidden="1" x14ac:dyDescent="0.2">
      <c r="A141" s="176">
        <f t="shared" si="41"/>
        <v>102</v>
      </c>
      <c r="B141" s="170">
        <f t="shared" si="42"/>
        <v>42823</v>
      </c>
      <c r="C141" s="221"/>
      <c r="D141" s="171">
        <v>544100</v>
      </c>
      <c r="F141" s="223">
        <v>3.5000000000000003E-2</v>
      </c>
      <c r="G141" s="198">
        <f t="shared" si="40"/>
        <v>6565.69</v>
      </c>
      <c r="H141" s="262"/>
      <c r="I141" s="265"/>
      <c r="J141" s="262"/>
      <c r="K141" s="262"/>
      <c r="L141" s="265"/>
      <c r="M141" s="265"/>
      <c r="N141" s="265">
        <f t="shared" si="45"/>
        <v>5772.21</v>
      </c>
      <c r="O141" s="265">
        <f t="shared" si="46"/>
        <v>793.47999999999956</v>
      </c>
      <c r="P141" s="265"/>
      <c r="Q141" s="265"/>
      <c r="R141" s="210">
        <f t="shared" si="43"/>
        <v>550665.68999999994</v>
      </c>
      <c r="S141" s="198">
        <f t="shared" si="44"/>
        <v>2529709.6313000247</v>
      </c>
      <c r="T141" s="210"/>
      <c r="U141" s="210"/>
      <c r="V141" s="210"/>
      <c r="W141" s="219"/>
      <c r="X141" s="210"/>
      <c r="Y141" s="219"/>
      <c r="Z141" s="219">
        <f t="shared" si="47"/>
        <v>1984816.1513000247</v>
      </c>
      <c r="AA141" s="219">
        <f t="shared" si="48"/>
        <v>544893.48</v>
      </c>
    </row>
    <row r="142" spans="1:28" hidden="1" x14ac:dyDescent="0.2">
      <c r="A142" s="176">
        <f t="shared" si="41"/>
        <v>103</v>
      </c>
      <c r="B142" s="170">
        <f t="shared" si="42"/>
        <v>42854</v>
      </c>
      <c r="C142" s="221"/>
      <c r="D142" s="171">
        <v>0</v>
      </c>
      <c r="F142" s="223">
        <v>3.7100000000000001E-2</v>
      </c>
      <c r="G142" s="198">
        <f t="shared" si="40"/>
        <v>7821.02</v>
      </c>
      <c r="H142" s="262"/>
      <c r="I142" s="265"/>
      <c r="J142" s="262"/>
      <c r="K142" s="262"/>
      <c r="L142" s="265"/>
      <c r="M142" s="265"/>
      <c r="N142" s="265">
        <f t="shared" si="45"/>
        <v>6136.39</v>
      </c>
      <c r="O142" s="265">
        <f t="shared" si="46"/>
        <v>1684.63</v>
      </c>
      <c r="P142" s="265"/>
      <c r="Q142" s="265"/>
      <c r="R142" s="210">
        <f t="shared" si="43"/>
        <v>7821.02</v>
      </c>
      <c r="S142" s="198">
        <f t="shared" si="44"/>
        <v>2537530.6513000247</v>
      </c>
      <c r="T142" s="210"/>
      <c r="U142" s="210"/>
      <c r="V142" s="210"/>
      <c r="W142" s="219"/>
      <c r="X142" s="210"/>
      <c r="Y142" s="219"/>
      <c r="Z142" s="219">
        <f t="shared" si="47"/>
        <v>1990952.5413000246</v>
      </c>
      <c r="AA142" s="219">
        <f t="shared" si="48"/>
        <v>546578.1100000001</v>
      </c>
    </row>
    <row r="143" spans="1:28" hidden="1" x14ac:dyDescent="0.2">
      <c r="A143" s="176">
        <f t="shared" si="41"/>
        <v>104</v>
      </c>
      <c r="B143" s="170">
        <f t="shared" si="42"/>
        <v>42885</v>
      </c>
      <c r="C143" s="221"/>
      <c r="D143" s="171">
        <v>0</v>
      </c>
      <c r="F143" s="223">
        <v>3.7100000000000001E-2</v>
      </c>
      <c r="G143" s="198">
        <f t="shared" si="40"/>
        <v>7845.2</v>
      </c>
      <c r="H143" s="262"/>
      <c r="I143" s="265"/>
      <c r="J143" s="262"/>
      <c r="K143" s="262"/>
      <c r="L143" s="265"/>
      <c r="M143" s="265"/>
      <c r="N143" s="265">
        <f t="shared" si="45"/>
        <v>6155.36</v>
      </c>
      <c r="O143" s="265">
        <f t="shared" si="46"/>
        <v>1689.8400000000001</v>
      </c>
      <c r="P143" s="265"/>
      <c r="Q143" s="265"/>
      <c r="R143" s="210">
        <f t="shared" si="43"/>
        <v>7845.2</v>
      </c>
      <c r="S143" s="198">
        <f t="shared" si="44"/>
        <v>2545375.8513000249</v>
      </c>
      <c r="T143" s="210"/>
      <c r="U143" s="210"/>
      <c r="V143" s="210"/>
      <c r="W143" s="219"/>
      <c r="X143" s="210"/>
      <c r="Y143" s="219"/>
      <c r="Z143" s="219">
        <f t="shared" si="47"/>
        <v>1997107.9013000247</v>
      </c>
      <c r="AA143" s="219">
        <f t="shared" si="48"/>
        <v>548267.95000000019</v>
      </c>
    </row>
    <row r="144" spans="1:28" hidden="1" x14ac:dyDescent="0.2">
      <c r="A144" s="176">
        <f t="shared" si="41"/>
        <v>105</v>
      </c>
      <c r="B144" s="170">
        <f t="shared" si="42"/>
        <v>42916</v>
      </c>
      <c r="C144" s="221"/>
      <c r="D144" s="171">
        <v>0</v>
      </c>
      <c r="F144" s="223">
        <v>3.7100000000000001E-2</v>
      </c>
      <c r="G144" s="198">
        <f t="shared" si="40"/>
        <v>7869.45</v>
      </c>
      <c r="H144" s="262"/>
      <c r="I144" s="265"/>
      <c r="J144" s="262"/>
      <c r="K144" s="262"/>
      <c r="L144" s="265"/>
      <c r="M144" s="265"/>
      <c r="N144" s="265">
        <f t="shared" si="45"/>
        <v>6174.39</v>
      </c>
      <c r="O144" s="265">
        <f t="shared" si="46"/>
        <v>1695.0599999999995</v>
      </c>
      <c r="P144" s="265"/>
      <c r="Q144" s="265"/>
      <c r="R144" s="210">
        <f t="shared" si="43"/>
        <v>7869.45</v>
      </c>
      <c r="S144" s="198">
        <f t="shared" si="44"/>
        <v>2553245.3013000251</v>
      </c>
      <c r="T144" s="210"/>
      <c r="U144" s="210"/>
      <c r="V144" s="210"/>
      <c r="W144" s="219"/>
      <c r="X144" s="210"/>
      <c r="Y144" s="219"/>
      <c r="Z144" s="219">
        <f t="shared" si="47"/>
        <v>2003282.2913000246</v>
      </c>
      <c r="AA144" s="219">
        <f t="shared" si="48"/>
        <v>549963.01000000047</v>
      </c>
    </row>
    <row r="145" spans="1:28" hidden="1" x14ac:dyDescent="0.2">
      <c r="A145" s="176">
        <f t="shared" si="41"/>
        <v>106</v>
      </c>
      <c r="B145" s="170">
        <f t="shared" si="42"/>
        <v>42947</v>
      </c>
      <c r="C145" s="220" t="s">
        <v>152</v>
      </c>
      <c r="D145" s="171">
        <v>538367</v>
      </c>
      <c r="E145" s="203">
        <v>-1.18</v>
      </c>
      <c r="F145" s="223">
        <v>3.9600000000000003E-2</v>
      </c>
      <c r="G145" s="198">
        <f t="shared" si="40"/>
        <v>9314.01</v>
      </c>
      <c r="H145" s="262"/>
      <c r="I145" s="265"/>
      <c r="J145" s="262"/>
      <c r="K145" s="262"/>
      <c r="L145" s="265"/>
      <c r="M145" s="265"/>
      <c r="N145" s="265">
        <f t="shared" si="45"/>
        <v>6610.83</v>
      </c>
      <c r="O145" s="265">
        <f t="shared" si="46"/>
        <v>2703.1800000000003</v>
      </c>
      <c r="P145" s="265"/>
      <c r="Q145" s="265"/>
      <c r="R145" s="210">
        <f t="shared" si="43"/>
        <v>547679.82999999996</v>
      </c>
      <c r="S145" s="198">
        <f t="shared" si="44"/>
        <v>3100925.1313000252</v>
      </c>
      <c r="T145" s="210"/>
      <c r="U145" s="210"/>
      <c r="V145" s="210"/>
      <c r="W145" s="219"/>
      <c r="X145" s="210"/>
      <c r="Y145" s="219"/>
      <c r="Z145" s="219">
        <f t="shared" si="47"/>
        <v>2009893.1213000247</v>
      </c>
      <c r="AA145" s="219">
        <f t="shared" si="48"/>
        <v>1091032.0100000005</v>
      </c>
    </row>
    <row r="146" spans="1:28" hidden="1" x14ac:dyDescent="0.2">
      <c r="A146" s="176">
        <f t="shared" si="41"/>
        <v>107</v>
      </c>
      <c r="B146" s="170">
        <f t="shared" si="42"/>
        <v>42978</v>
      </c>
      <c r="C146" s="221"/>
      <c r="D146" s="219">
        <v>0</v>
      </c>
      <c r="F146" s="223">
        <v>3.9600000000000003E-2</v>
      </c>
      <c r="G146" s="198">
        <f t="shared" si="40"/>
        <v>10233.049999999999</v>
      </c>
      <c r="H146" s="262"/>
      <c r="I146" s="265"/>
      <c r="J146" s="262"/>
      <c r="K146" s="262"/>
      <c r="L146" s="265"/>
      <c r="M146" s="265"/>
      <c r="N146" s="265">
        <f t="shared" si="45"/>
        <v>6632.65</v>
      </c>
      <c r="O146" s="265">
        <f t="shared" si="46"/>
        <v>3600.3999999999996</v>
      </c>
      <c r="P146" s="265"/>
      <c r="Q146" s="265"/>
      <c r="R146" s="210">
        <f t="shared" si="43"/>
        <v>10233.049999999999</v>
      </c>
      <c r="S146" s="198">
        <f t="shared" si="44"/>
        <v>3111158.181300025</v>
      </c>
      <c r="T146" s="210"/>
      <c r="U146" s="210"/>
      <c r="V146" s="210"/>
      <c r="W146" s="219"/>
      <c r="X146" s="210"/>
      <c r="Y146" s="219"/>
      <c r="Z146" s="219">
        <f t="shared" si="47"/>
        <v>2016525.7713000246</v>
      </c>
      <c r="AA146" s="219">
        <f t="shared" si="48"/>
        <v>1094632.4100000004</v>
      </c>
    </row>
    <row r="147" spans="1:28" hidden="1" x14ac:dyDescent="0.2">
      <c r="A147" s="176">
        <f t="shared" si="41"/>
        <v>108</v>
      </c>
      <c r="B147" s="170">
        <f>B146+29</f>
        <v>43007</v>
      </c>
      <c r="C147" s="221"/>
      <c r="D147" s="171">
        <v>938367</v>
      </c>
      <c r="F147" s="223">
        <v>3.9600000000000003E-2</v>
      </c>
      <c r="G147" s="198">
        <f t="shared" si="40"/>
        <v>11815.13</v>
      </c>
      <c r="H147" s="262"/>
      <c r="I147" s="265"/>
      <c r="J147" s="262"/>
      <c r="K147" s="262"/>
      <c r="L147" s="265"/>
      <c r="M147" s="265"/>
      <c r="N147" s="265">
        <f t="shared" si="45"/>
        <v>6654.54</v>
      </c>
      <c r="O147" s="265">
        <f t="shared" si="46"/>
        <v>5160.5899999999992</v>
      </c>
      <c r="P147" s="265"/>
      <c r="Q147" s="265"/>
      <c r="R147" s="210">
        <f t="shared" si="43"/>
        <v>950182.13</v>
      </c>
      <c r="S147" s="198">
        <f t="shared" si="44"/>
        <v>4061340.3113000249</v>
      </c>
      <c r="T147" s="210"/>
      <c r="U147" s="210"/>
      <c r="V147" s="210"/>
      <c r="W147" s="219"/>
      <c r="X147" s="210"/>
      <c r="Y147" s="219"/>
      <c r="Z147" s="219">
        <f t="shared" si="47"/>
        <v>2023180.3113000246</v>
      </c>
      <c r="AA147" s="219">
        <f t="shared" si="48"/>
        <v>2038160.0000000002</v>
      </c>
    </row>
    <row r="148" spans="1:28" hidden="1" x14ac:dyDescent="0.2">
      <c r="A148" s="176">
        <f t="shared" si="41"/>
        <v>109</v>
      </c>
      <c r="B148" s="170">
        <f t="shared" si="42"/>
        <v>43038</v>
      </c>
      <c r="C148" s="221"/>
      <c r="D148" s="171">
        <v>0</v>
      </c>
      <c r="F148" s="223">
        <v>4.2099999999999999E-2</v>
      </c>
      <c r="G148" s="198">
        <f t="shared" si="40"/>
        <v>14248.54</v>
      </c>
      <c r="H148" s="262"/>
      <c r="I148" s="265"/>
      <c r="J148" s="262"/>
      <c r="K148" s="262"/>
      <c r="L148" s="265"/>
      <c r="M148" s="265"/>
      <c r="N148" s="265">
        <f t="shared" si="45"/>
        <v>7097.99</v>
      </c>
      <c r="O148" s="265">
        <f t="shared" si="46"/>
        <v>7150.5500000000011</v>
      </c>
      <c r="P148" s="265"/>
      <c r="Q148" s="265"/>
      <c r="R148" s="210">
        <f t="shared" si="43"/>
        <v>14248.54</v>
      </c>
      <c r="S148" s="198">
        <f t="shared" si="44"/>
        <v>4075588.8513000249</v>
      </c>
      <c r="T148" s="210"/>
      <c r="U148" s="210"/>
      <c r="V148" s="210"/>
      <c r="W148" s="219"/>
      <c r="X148" s="210"/>
      <c r="Y148" s="219"/>
      <c r="Z148" s="219">
        <f t="shared" si="47"/>
        <v>2030278.3013000246</v>
      </c>
      <c r="AA148" s="219">
        <f t="shared" si="48"/>
        <v>2045310.5500000003</v>
      </c>
    </row>
    <row r="149" spans="1:28" hidden="1" x14ac:dyDescent="0.2">
      <c r="A149" s="176">
        <f t="shared" si="41"/>
        <v>110</v>
      </c>
      <c r="B149" s="170">
        <f t="shared" si="42"/>
        <v>43069</v>
      </c>
      <c r="C149" s="212" t="s">
        <v>151</v>
      </c>
      <c r="D149" s="171">
        <v>0</v>
      </c>
      <c r="E149" s="203">
        <v>-2029856.81</v>
      </c>
      <c r="F149" s="223">
        <v>4.2099999999999999E-2</v>
      </c>
      <c r="G149" s="198">
        <f>ROUND((+S148+E149+(D149/2))*F149/12,2)</f>
        <v>7177.11</v>
      </c>
      <c r="H149" s="262"/>
      <c r="I149" s="265"/>
      <c r="J149" s="262"/>
      <c r="K149" s="262"/>
      <c r="L149" s="265"/>
      <c r="M149" s="265"/>
      <c r="N149" s="265"/>
      <c r="O149" s="265">
        <f t="shared" si="46"/>
        <v>7177.11</v>
      </c>
      <c r="P149" s="265"/>
      <c r="Q149" s="265"/>
      <c r="R149" s="210">
        <f>D149+E149+G149</f>
        <v>-2022679.7</v>
      </c>
      <c r="S149" s="198">
        <f t="shared" si="44"/>
        <v>2052909.1513000249</v>
      </c>
      <c r="T149" s="210"/>
      <c r="U149" s="210"/>
      <c r="V149" s="210"/>
      <c r="W149" s="219"/>
      <c r="X149" s="210"/>
      <c r="Y149" s="219"/>
      <c r="Z149" s="219"/>
      <c r="AA149" s="219">
        <f t="shared" si="48"/>
        <v>2052909.1513000249</v>
      </c>
    </row>
    <row r="150" spans="1:28" ht="13.5" hidden="1" thickBot="1" x14ac:dyDescent="0.25">
      <c r="A150" s="176">
        <f t="shared" si="41"/>
        <v>111</v>
      </c>
      <c r="B150" s="190">
        <f>B149+31</f>
        <v>43100</v>
      </c>
      <c r="C150" s="274"/>
      <c r="D150" s="191">
        <v>100000</v>
      </c>
      <c r="E150" s="190"/>
      <c r="F150" s="230">
        <v>4.2099999999999999E-2</v>
      </c>
      <c r="G150" s="199">
        <f>ROUND((+S149+E150+(D150/2))*F150/12,2)</f>
        <v>7377.71</v>
      </c>
      <c r="H150" s="264"/>
      <c r="I150" s="263"/>
      <c r="J150" s="264"/>
      <c r="K150" s="264"/>
      <c r="L150" s="263"/>
      <c r="M150" s="263"/>
      <c r="N150" s="263"/>
      <c r="O150" s="263">
        <f>+G150-N150</f>
        <v>7377.71</v>
      </c>
      <c r="P150" s="263"/>
      <c r="Q150" s="263"/>
      <c r="R150" s="214">
        <f>D150+E150+G150</f>
        <v>107377.71</v>
      </c>
      <c r="S150" s="199">
        <f>+S149+R150</f>
        <v>2160286.8613000251</v>
      </c>
      <c r="T150" s="214"/>
      <c r="U150" s="214"/>
      <c r="V150" s="214"/>
      <c r="W150" s="214"/>
      <c r="X150" s="214"/>
      <c r="Y150" s="214"/>
      <c r="Z150" s="214"/>
      <c r="AA150" s="214">
        <f>S150-Z150</f>
        <v>2160286.8613000251</v>
      </c>
      <c r="AB150" s="190"/>
    </row>
    <row r="151" spans="1:28" x14ac:dyDescent="0.2">
      <c r="A151" s="176">
        <f t="shared" si="41"/>
        <v>112</v>
      </c>
      <c r="B151" s="222">
        <v>43101</v>
      </c>
      <c r="C151" s="221"/>
      <c r="D151" s="171">
        <v>100000</v>
      </c>
      <c r="F151" s="223">
        <v>4.2500000000000003E-2</v>
      </c>
      <c r="G151" s="198">
        <f t="shared" si="40"/>
        <v>7828.1</v>
      </c>
      <c r="H151" s="262"/>
      <c r="I151" s="265"/>
      <c r="J151" s="262"/>
      <c r="K151" s="262"/>
      <c r="L151" s="265"/>
      <c r="M151" s="265"/>
      <c r="N151" s="265"/>
      <c r="O151" s="265">
        <f>ROUND(AA150*F151/12,2)</f>
        <v>7651.02</v>
      </c>
      <c r="P151" s="265">
        <f>G151-O151</f>
        <v>177.07999999999993</v>
      </c>
      <c r="Q151" s="265"/>
      <c r="R151" s="210">
        <f t="shared" ref="R151:R172" si="49">D151+E151+G151</f>
        <v>107828.1</v>
      </c>
      <c r="S151" s="198">
        <f t="shared" si="44"/>
        <v>2268114.9613000252</v>
      </c>
      <c r="T151" s="210"/>
      <c r="U151" s="210"/>
      <c r="V151" s="210"/>
      <c r="W151" s="219"/>
      <c r="X151" s="210"/>
      <c r="Y151" s="219"/>
      <c r="Z151" s="219"/>
      <c r="AA151" s="219">
        <f>AA150+O151</f>
        <v>2167937.8813000252</v>
      </c>
      <c r="AB151" s="219">
        <f>S151-AA151</f>
        <v>100177.08000000007</v>
      </c>
    </row>
    <row r="152" spans="1:28" x14ac:dyDescent="0.2">
      <c r="A152" s="176">
        <f t="shared" si="41"/>
        <v>113</v>
      </c>
      <c r="B152" s="222">
        <v>43132</v>
      </c>
      <c r="C152" s="221"/>
      <c r="D152" s="171">
        <v>822689</v>
      </c>
      <c r="F152" s="223">
        <v>4.2500000000000003E-2</v>
      </c>
      <c r="G152" s="198">
        <f t="shared" si="40"/>
        <v>9489.75</v>
      </c>
      <c r="H152" s="262"/>
      <c r="I152" s="265"/>
      <c r="J152" s="262"/>
      <c r="K152" s="262"/>
      <c r="L152" s="265"/>
      <c r="M152" s="265"/>
      <c r="N152" s="265"/>
      <c r="O152" s="265">
        <f t="shared" ref="O152:O160" si="50">ROUND(AA151*F152/12,2)</f>
        <v>7678.11</v>
      </c>
      <c r="P152" s="265">
        <f t="shared" ref="P152:P162" si="51">G152-O152</f>
        <v>1811.6400000000003</v>
      </c>
      <c r="Q152" s="265"/>
      <c r="R152" s="210">
        <f t="shared" si="49"/>
        <v>832178.75</v>
      </c>
      <c r="S152" s="198">
        <f t="shared" si="44"/>
        <v>3100293.7113000252</v>
      </c>
      <c r="T152" s="210"/>
      <c r="U152" s="210"/>
      <c r="V152" s="210"/>
      <c r="W152" s="219"/>
      <c r="X152" s="210"/>
      <c r="Y152" s="219"/>
      <c r="Z152" s="219"/>
      <c r="AA152" s="219">
        <f>AA151+O152</f>
        <v>2175615.991300025</v>
      </c>
      <c r="AB152" s="219">
        <f t="shared" ref="AB152:AB162" si="52">S152-AA152</f>
        <v>924677.7200000002</v>
      </c>
    </row>
    <row r="153" spans="1:28" x14ac:dyDescent="0.2">
      <c r="A153" s="176">
        <f t="shared" si="41"/>
        <v>114</v>
      </c>
      <c r="B153" s="222">
        <v>43160</v>
      </c>
      <c r="C153" s="221"/>
      <c r="D153" s="171">
        <v>0</v>
      </c>
      <c r="F153" s="223">
        <v>4.2500000000000003E-2</v>
      </c>
      <c r="G153" s="198">
        <f t="shared" si="40"/>
        <v>10980.21</v>
      </c>
      <c r="H153" s="262"/>
      <c r="I153" s="265"/>
      <c r="J153" s="262"/>
      <c r="K153" s="262"/>
      <c r="L153" s="265"/>
      <c r="M153" s="265"/>
      <c r="N153" s="265"/>
      <c r="O153" s="265">
        <f t="shared" si="50"/>
        <v>7705.31</v>
      </c>
      <c r="P153" s="265">
        <f t="shared" si="51"/>
        <v>3274.8999999999987</v>
      </c>
      <c r="Q153" s="265"/>
      <c r="R153" s="210">
        <f t="shared" si="49"/>
        <v>10980.21</v>
      </c>
      <c r="S153" s="198">
        <f t="shared" si="44"/>
        <v>3111273.9213000252</v>
      </c>
      <c r="T153" s="210"/>
      <c r="U153" s="210"/>
      <c r="V153" s="210"/>
      <c r="W153" s="219"/>
      <c r="X153" s="210"/>
      <c r="Y153" s="219"/>
      <c r="Z153" s="219"/>
      <c r="AA153" s="219">
        <f t="shared" ref="AA153:AA159" si="53">AA152+O153</f>
        <v>2183321.3013000251</v>
      </c>
      <c r="AB153" s="219">
        <f t="shared" si="52"/>
        <v>927952.62000000011</v>
      </c>
    </row>
    <row r="154" spans="1:28" x14ac:dyDescent="0.2">
      <c r="A154" s="176">
        <f t="shared" si="41"/>
        <v>115</v>
      </c>
      <c r="B154" s="222">
        <v>43191</v>
      </c>
      <c r="C154" s="221"/>
      <c r="D154" s="171">
        <v>0</v>
      </c>
      <c r="F154" s="223">
        <v>4.4699999999999997E-2</v>
      </c>
      <c r="G154" s="198">
        <f t="shared" si="40"/>
        <v>11589.5</v>
      </c>
      <c r="H154" s="262"/>
      <c r="I154" s="265"/>
      <c r="J154" s="262"/>
      <c r="K154" s="262"/>
      <c r="L154" s="265"/>
      <c r="M154" s="265"/>
      <c r="N154" s="265"/>
      <c r="O154" s="265">
        <f t="shared" si="50"/>
        <v>8132.87</v>
      </c>
      <c r="P154" s="265">
        <f t="shared" si="51"/>
        <v>3456.63</v>
      </c>
      <c r="Q154" s="265"/>
      <c r="R154" s="210">
        <f t="shared" si="49"/>
        <v>11589.5</v>
      </c>
      <c r="S154" s="198">
        <f t="shared" si="44"/>
        <v>3122863.4213000252</v>
      </c>
      <c r="T154" s="210"/>
      <c r="U154" s="210"/>
      <c r="V154" s="210"/>
      <c r="W154" s="219"/>
      <c r="X154" s="210"/>
      <c r="Y154" s="219"/>
      <c r="Z154" s="219"/>
      <c r="AA154" s="219">
        <f t="shared" si="53"/>
        <v>2191454.1713000252</v>
      </c>
      <c r="AB154" s="219">
        <f t="shared" si="52"/>
        <v>931409.25</v>
      </c>
    </row>
    <row r="155" spans="1:28" x14ac:dyDescent="0.2">
      <c r="A155" s="176">
        <f t="shared" si="41"/>
        <v>116</v>
      </c>
      <c r="B155" s="222">
        <v>43221</v>
      </c>
      <c r="C155" s="221"/>
      <c r="D155" s="171">
        <v>75861.5</v>
      </c>
      <c r="F155" s="223">
        <v>4.4699999999999997E-2</v>
      </c>
      <c r="G155" s="198">
        <f t="shared" si="40"/>
        <v>11773.96</v>
      </c>
      <c r="H155" s="262"/>
      <c r="I155" s="265"/>
      <c r="J155" s="262"/>
      <c r="K155" s="262"/>
      <c r="L155" s="265"/>
      <c r="M155" s="265"/>
      <c r="N155" s="265"/>
      <c r="O155" s="265">
        <f t="shared" si="50"/>
        <v>8163.17</v>
      </c>
      <c r="P155" s="265">
        <f t="shared" si="51"/>
        <v>3610.7899999999991</v>
      </c>
      <c r="Q155" s="265"/>
      <c r="R155" s="210">
        <f t="shared" si="49"/>
        <v>87635.459999999992</v>
      </c>
      <c r="S155" s="198">
        <f t="shared" si="44"/>
        <v>3210498.8813000252</v>
      </c>
      <c r="T155" s="210"/>
      <c r="U155" s="210"/>
      <c r="V155" s="210"/>
      <c r="W155" s="219"/>
      <c r="X155" s="210"/>
      <c r="Y155" s="219"/>
      <c r="Z155" s="219"/>
      <c r="AA155" s="219">
        <f t="shared" si="53"/>
        <v>2199617.3413000251</v>
      </c>
      <c r="AB155" s="219">
        <f t="shared" si="52"/>
        <v>1010881.54</v>
      </c>
    </row>
    <row r="156" spans="1:28" x14ac:dyDescent="0.2">
      <c r="A156" s="176">
        <f t="shared" si="41"/>
        <v>117</v>
      </c>
      <c r="B156" s="222">
        <v>43252</v>
      </c>
      <c r="C156" s="221"/>
      <c r="D156" s="171">
        <v>37930.75</v>
      </c>
      <c r="F156" s="223">
        <v>4.4699999999999997E-2</v>
      </c>
      <c r="G156" s="198">
        <f t="shared" si="40"/>
        <v>12029.75</v>
      </c>
      <c r="H156" s="262"/>
      <c r="I156" s="265"/>
      <c r="J156" s="262"/>
      <c r="K156" s="262"/>
      <c r="L156" s="265"/>
      <c r="M156" s="265"/>
      <c r="N156" s="265"/>
      <c r="O156" s="265">
        <f t="shared" si="50"/>
        <v>8193.57</v>
      </c>
      <c r="P156" s="265">
        <f t="shared" si="51"/>
        <v>3836.1800000000003</v>
      </c>
      <c r="Q156" s="265"/>
      <c r="R156" s="210">
        <f t="shared" si="49"/>
        <v>49960.5</v>
      </c>
      <c r="S156" s="198">
        <f t="shared" si="44"/>
        <v>3260459.3813000252</v>
      </c>
      <c r="T156" s="210"/>
      <c r="U156" s="210"/>
      <c r="V156" s="210"/>
      <c r="W156" s="219"/>
      <c r="X156" s="210"/>
      <c r="Y156" s="219"/>
      <c r="Z156" s="219"/>
      <c r="AA156" s="219">
        <f t="shared" si="53"/>
        <v>2207810.9113000249</v>
      </c>
      <c r="AB156" s="219">
        <f t="shared" si="52"/>
        <v>1052648.4700000002</v>
      </c>
    </row>
    <row r="157" spans="1:28" x14ac:dyDescent="0.2">
      <c r="A157" s="176">
        <f t="shared" si="41"/>
        <v>118</v>
      </c>
      <c r="B157" s="222">
        <v>43282</v>
      </c>
      <c r="C157" s="221"/>
      <c r="D157" s="171">
        <v>683433</v>
      </c>
      <c r="F157" s="223">
        <v>4.6899999999999997E-2</v>
      </c>
      <c r="G157" s="198">
        <f t="shared" si="40"/>
        <v>14078.5</v>
      </c>
      <c r="H157" s="262"/>
      <c r="I157" s="265"/>
      <c r="J157" s="262"/>
      <c r="K157" s="262"/>
      <c r="L157" s="265"/>
      <c r="M157" s="265"/>
      <c r="N157" s="265"/>
      <c r="O157" s="265">
        <f t="shared" si="50"/>
        <v>8628.86</v>
      </c>
      <c r="P157" s="265">
        <f t="shared" si="51"/>
        <v>5449.6399999999994</v>
      </c>
      <c r="Q157" s="265"/>
      <c r="R157" s="210">
        <f t="shared" si="49"/>
        <v>697511.5</v>
      </c>
      <c r="S157" s="198">
        <f t="shared" si="44"/>
        <v>3957970.8813000252</v>
      </c>
      <c r="T157" s="210"/>
      <c r="U157" s="210"/>
      <c r="V157" s="210"/>
      <c r="W157" s="219"/>
      <c r="X157" s="210"/>
      <c r="Y157" s="219"/>
      <c r="Z157" s="219"/>
      <c r="AA157" s="219">
        <f t="shared" si="53"/>
        <v>2216439.7713000248</v>
      </c>
      <c r="AB157" s="219">
        <f t="shared" si="52"/>
        <v>1741531.1100000003</v>
      </c>
    </row>
    <row r="158" spans="1:28" x14ac:dyDescent="0.2">
      <c r="A158" s="176">
        <f t="shared" si="41"/>
        <v>119</v>
      </c>
      <c r="B158" s="222">
        <v>43313</v>
      </c>
      <c r="C158" s="221"/>
      <c r="D158" s="171">
        <v>0</v>
      </c>
      <c r="F158" s="223">
        <v>4.6899999999999997E-2</v>
      </c>
      <c r="G158" s="198">
        <f t="shared" si="40"/>
        <v>15469.07</v>
      </c>
      <c r="H158" s="262"/>
      <c r="I158" s="265"/>
      <c r="J158" s="262"/>
      <c r="K158" s="262"/>
      <c r="L158" s="265"/>
      <c r="M158" s="265"/>
      <c r="N158" s="265"/>
      <c r="O158" s="265">
        <f t="shared" si="50"/>
        <v>8662.59</v>
      </c>
      <c r="P158" s="265">
        <f t="shared" si="51"/>
        <v>6806.48</v>
      </c>
      <c r="Q158" s="265"/>
      <c r="R158" s="210">
        <f t="shared" si="49"/>
        <v>15469.07</v>
      </c>
      <c r="S158" s="198">
        <f t="shared" si="44"/>
        <v>3973439.951300025</v>
      </c>
      <c r="T158" s="210"/>
      <c r="U158" s="210"/>
      <c r="V158" s="210"/>
      <c r="W158" s="219"/>
      <c r="X158" s="210"/>
      <c r="Y158" s="219"/>
      <c r="Z158" s="219"/>
      <c r="AA158" s="219">
        <f t="shared" si="53"/>
        <v>2225102.3613000247</v>
      </c>
      <c r="AB158" s="219">
        <f t="shared" si="52"/>
        <v>1748337.5900000003</v>
      </c>
    </row>
    <row r="159" spans="1:28" x14ac:dyDescent="0.2">
      <c r="A159" s="176">
        <f t="shared" si="41"/>
        <v>120</v>
      </c>
      <c r="B159" s="222">
        <v>43344</v>
      </c>
      <c r="C159" s="221"/>
      <c r="D159" s="171">
        <v>37930.75</v>
      </c>
      <c r="F159" s="223">
        <v>4.6899999999999997E-2</v>
      </c>
      <c r="G159" s="198">
        <f t="shared" si="40"/>
        <v>15603.65</v>
      </c>
      <c r="H159" s="262"/>
      <c r="I159" s="265"/>
      <c r="J159" s="262"/>
      <c r="K159" s="262"/>
      <c r="L159" s="265"/>
      <c r="M159" s="265"/>
      <c r="N159" s="265"/>
      <c r="O159" s="265">
        <f t="shared" si="50"/>
        <v>8696.44</v>
      </c>
      <c r="P159" s="265">
        <f t="shared" si="51"/>
        <v>6907.2099999999991</v>
      </c>
      <c r="Q159" s="265"/>
      <c r="R159" s="210">
        <f t="shared" si="49"/>
        <v>53534.400000000001</v>
      </c>
      <c r="S159" s="198">
        <f t="shared" si="44"/>
        <v>4026974.3513000249</v>
      </c>
      <c r="T159" s="210"/>
      <c r="U159" s="210"/>
      <c r="V159" s="210"/>
      <c r="W159" s="219"/>
      <c r="X159" s="210"/>
      <c r="Y159" s="219"/>
      <c r="Z159" s="219"/>
      <c r="AA159" s="219">
        <f t="shared" si="53"/>
        <v>2233798.8013000246</v>
      </c>
      <c r="AB159" s="219">
        <f t="shared" si="52"/>
        <v>1793175.5500000003</v>
      </c>
    </row>
    <row r="160" spans="1:28" x14ac:dyDescent="0.2">
      <c r="A160" s="176">
        <f t="shared" si="41"/>
        <v>121</v>
      </c>
      <c r="B160" s="222">
        <v>43374</v>
      </c>
      <c r="C160" s="221"/>
      <c r="D160" s="171">
        <v>822690</v>
      </c>
      <c r="F160" s="233">
        <v>4.9599999999999998E-2</v>
      </c>
      <c r="G160" s="198">
        <f t="shared" si="40"/>
        <v>18345.05</v>
      </c>
      <c r="H160" s="262"/>
      <c r="I160" s="265"/>
      <c r="J160" s="262"/>
      <c r="K160" s="262"/>
      <c r="L160" s="265"/>
      <c r="M160" s="265"/>
      <c r="N160" s="265"/>
      <c r="O160" s="265">
        <f t="shared" si="50"/>
        <v>9233.0400000000009</v>
      </c>
      <c r="P160" s="265">
        <f t="shared" si="51"/>
        <v>9112.0099999999984</v>
      </c>
      <c r="Q160" s="265"/>
      <c r="R160" s="210">
        <f t="shared" si="49"/>
        <v>841035.05</v>
      </c>
      <c r="S160" s="198">
        <f t="shared" si="44"/>
        <v>4868009.4013000252</v>
      </c>
      <c r="T160" s="210"/>
      <c r="U160" s="210"/>
      <c r="V160" s="210"/>
      <c r="W160" s="219"/>
      <c r="X160" s="210"/>
      <c r="Y160" s="219"/>
      <c r="Z160" s="219"/>
      <c r="AA160" s="219">
        <f>AA159+O160</f>
        <v>2243031.8413000247</v>
      </c>
      <c r="AB160" s="219">
        <f t="shared" si="52"/>
        <v>2624977.5600000005</v>
      </c>
    </row>
    <row r="161" spans="1:29" x14ac:dyDescent="0.2">
      <c r="A161" s="176">
        <f t="shared" si="41"/>
        <v>122</v>
      </c>
      <c r="B161" s="222">
        <v>43405</v>
      </c>
      <c r="C161" s="221"/>
      <c r="D161" s="171">
        <v>0</v>
      </c>
      <c r="E161" s="203">
        <v>-2243031.8413000247</v>
      </c>
      <c r="F161" s="233">
        <v>4.9599999999999998E-2</v>
      </c>
      <c r="G161" s="198">
        <f t="shared" si="40"/>
        <v>10849.91</v>
      </c>
      <c r="H161" s="262"/>
      <c r="I161" s="265"/>
      <c r="J161" s="262"/>
      <c r="K161" s="262"/>
      <c r="L161" s="265"/>
      <c r="M161" s="265"/>
      <c r="N161" s="265"/>
      <c r="O161" s="265"/>
      <c r="P161" s="265">
        <f t="shared" si="51"/>
        <v>10849.91</v>
      </c>
      <c r="Q161" s="265"/>
      <c r="R161" s="210">
        <f t="shared" si="49"/>
        <v>-2232181.9313000245</v>
      </c>
      <c r="S161" s="198">
        <f t="shared" si="44"/>
        <v>2635827.4700000007</v>
      </c>
      <c r="T161" s="210"/>
      <c r="U161" s="210"/>
      <c r="V161" s="210"/>
      <c r="W161" s="219"/>
      <c r="X161" s="210"/>
      <c r="Y161" s="219"/>
      <c r="Z161" s="219"/>
      <c r="AA161" s="219"/>
      <c r="AB161" s="219">
        <f t="shared" si="52"/>
        <v>2635827.4700000007</v>
      </c>
    </row>
    <row r="162" spans="1:29" x14ac:dyDescent="0.2">
      <c r="A162" s="176">
        <f t="shared" si="41"/>
        <v>123</v>
      </c>
      <c r="B162" s="234">
        <v>43435</v>
      </c>
      <c r="C162" s="275"/>
      <c r="D162" s="289">
        <v>46025.25</v>
      </c>
      <c r="E162" s="245"/>
      <c r="F162" s="237">
        <v>4.9599999999999998E-2</v>
      </c>
      <c r="G162" s="238">
        <f t="shared" si="40"/>
        <v>10989.87</v>
      </c>
      <c r="H162" s="276"/>
      <c r="I162" s="277"/>
      <c r="J162" s="276"/>
      <c r="K162" s="276"/>
      <c r="L162" s="277"/>
      <c r="M162" s="277"/>
      <c r="N162" s="277"/>
      <c r="O162" s="277"/>
      <c r="P162" s="277">
        <f t="shared" si="51"/>
        <v>10989.87</v>
      </c>
      <c r="Q162" s="277"/>
      <c r="R162" s="242">
        <f t="shared" si="49"/>
        <v>57015.12</v>
      </c>
      <c r="S162" s="238">
        <f t="shared" si="44"/>
        <v>2692842.5900000008</v>
      </c>
      <c r="T162" s="242"/>
      <c r="U162" s="242"/>
      <c r="V162" s="242"/>
      <c r="W162" s="242"/>
      <c r="X162" s="242"/>
      <c r="Y162" s="242"/>
      <c r="Z162" s="242"/>
      <c r="AA162" s="242"/>
      <c r="AB162" s="242">
        <f t="shared" si="52"/>
        <v>2692842.5900000008</v>
      </c>
      <c r="AC162" s="245"/>
    </row>
    <row r="163" spans="1:29" x14ac:dyDescent="0.2">
      <c r="A163" s="176">
        <f t="shared" si="41"/>
        <v>124</v>
      </c>
      <c r="B163" s="222">
        <v>43466</v>
      </c>
      <c r="C163" s="221"/>
      <c r="D163" s="171">
        <v>0</v>
      </c>
      <c r="F163" s="233">
        <v>5.1799999999999999E-2</v>
      </c>
      <c r="G163" s="198">
        <f t="shared" si="40"/>
        <v>11624.1</v>
      </c>
      <c r="H163" s="262"/>
      <c r="I163" s="265"/>
      <c r="J163" s="262"/>
      <c r="K163" s="262"/>
      <c r="L163" s="265"/>
      <c r="M163" s="265"/>
      <c r="N163" s="265"/>
      <c r="O163" s="265"/>
      <c r="P163" s="265">
        <f>ROUND(AB162*F163/12,2)</f>
        <v>11624.1</v>
      </c>
      <c r="Q163" s="265">
        <f>G163-P163</f>
        <v>0</v>
      </c>
      <c r="R163" s="210">
        <f t="shared" si="49"/>
        <v>11624.1</v>
      </c>
      <c r="S163" s="198">
        <f t="shared" si="44"/>
        <v>2704466.6900000009</v>
      </c>
      <c r="T163" s="210"/>
      <c r="U163" s="210"/>
      <c r="V163" s="210"/>
      <c r="W163" s="219"/>
      <c r="X163" s="210"/>
      <c r="Y163" s="219"/>
      <c r="Z163" s="219"/>
      <c r="AA163" s="219"/>
      <c r="AB163" s="219">
        <f>AB162+P163</f>
        <v>2704466.6900000009</v>
      </c>
      <c r="AC163" s="219">
        <f>S163-AB163</f>
        <v>0</v>
      </c>
    </row>
    <row r="164" spans="1:29" x14ac:dyDescent="0.2">
      <c r="A164" s="176">
        <f t="shared" si="41"/>
        <v>125</v>
      </c>
      <c r="B164" s="222">
        <v>43497</v>
      </c>
      <c r="C164" s="221"/>
      <c r="D164" s="171">
        <v>0</v>
      </c>
      <c r="F164" s="233">
        <v>5.1799999999999999E-2</v>
      </c>
      <c r="G164" s="198">
        <f t="shared" si="40"/>
        <v>11674.28</v>
      </c>
      <c r="H164" s="262"/>
      <c r="I164" s="265"/>
      <c r="J164" s="262"/>
      <c r="K164" s="262"/>
      <c r="L164" s="265"/>
      <c r="M164" s="265"/>
      <c r="N164" s="265"/>
      <c r="O164" s="265"/>
      <c r="P164" s="265">
        <f t="shared" ref="P164:P172" si="54">ROUND(AB163*F164/12,2)</f>
        <v>11674.28</v>
      </c>
      <c r="Q164" s="265"/>
      <c r="R164" s="210">
        <f t="shared" si="49"/>
        <v>11674.28</v>
      </c>
      <c r="S164" s="198">
        <f t="shared" si="44"/>
        <v>2716140.9700000007</v>
      </c>
      <c r="T164" s="210"/>
      <c r="U164" s="210"/>
      <c r="V164" s="210"/>
      <c r="W164" s="219"/>
      <c r="X164" s="210"/>
      <c r="Y164" s="219"/>
      <c r="Z164" s="219"/>
      <c r="AA164" s="219"/>
      <c r="AB164" s="219">
        <f t="shared" ref="AB164:AB172" si="55">AB163+P164</f>
        <v>2716140.9700000007</v>
      </c>
      <c r="AC164" s="219">
        <f t="shared" ref="AC164:AC172" si="56">S164-AB164</f>
        <v>0</v>
      </c>
    </row>
    <row r="165" spans="1:29" x14ac:dyDescent="0.2">
      <c r="A165" s="176">
        <f t="shared" si="41"/>
        <v>126</v>
      </c>
      <c r="B165" s="222">
        <v>43525</v>
      </c>
      <c r="C165" s="221"/>
      <c r="D165" s="171">
        <v>846025.25</v>
      </c>
      <c r="F165" s="233">
        <v>5.1799999999999999E-2</v>
      </c>
      <c r="G165" s="198">
        <f t="shared" si="40"/>
        <v>13550.68</v>
      </c>
      <c r="H165" s="262"/>
      <c r="I165" s="265"/>
      <c r="J165" s="262"/>
      <c r="K165" s="262"/>
      <c r="L165" s="265"/>
      <c r="M165" s="265"/>
      <c r="N165" s="265"/>
      <c r="O165" s="265"/>
      <c r="P165" s="265">
        <f t="shared" si="54"/>
        <v>11724.68</v>
      </c>
      <c r="Q165" s="265"/>
      <c r="R165" s="210">
        <f t="shared" si="49"/>
        <v>859575.93</v>
      </c>
      <c r="S165" s="198">
        <f t="shared" si="44"/>
        <v>3575716.9000000008</v>
      </c>
      <c r="T165" s="210"/>
      <c r="U165" s="210"/>
      <c r="V165" s="210"/>
      <c r="W165" s="219"/>
      <c r="X165" s="210"/>
      <c r="Y165" s="219"/>
      <c r="Z165" s="219"/>
      <c r="AA165" s="219"/>
      <c r="AB165" s="219">
        <f t="shared" si="55"/>
        <v>2727865.6500000008</v>
      </c>
      <c r="AC165" s="219">
        <f t="shared" si="56"/>
        <v>847851.25</v>
      </c>
    </row>
    <row r="166" spans="1:29" x14ac:dyDescent="0.2">
      <c r="A166" s="176">
        <f t="shared" si="41"/>
        <v>127</v>
      </c>
      <c r="B166" s="222">
        <v>43556</v>
      </c>
      <c r="C166" s="221"/>
      <c r="D166" s="171">
        <v>0</v>
      </c>
      <c r="F166" s="233">
        <v>5.45E-2</v>
      </c>
      <c r="G166" s="198">
        <f t="shared" si="40"/>
        <v>16239.71</v>
      </c>
      <c r="H166" s="262"/>
      <c r="I166" s="265"/>
      <c r="J166" s="262"/>
      <c r="K166" s="262"/>
      <c r="L166" s="265"/>
      <c r="M166" s="265"/>
      <c r="N166" s="265"/>
      <c r="O166" s="265"/>
      <c r="P166" s="265">
        <f t="shared" si="54"/>
        <v>12389.06</v>
      </c>
      <c r="Q166" s="265"/>
      <c r="R166" s="210">
        <f t="shared" si="49"/>
        <v>16239.71</v>
      </c>
      <c r="S166" s="198">
        <f t="shared" si="44"/>
        <v>3591956.6100000008</v>
      </c>
      <c r="T166" s="210"/>
      <c r="U166" s="210"/>
      <c r="V166" s="210"/>
      <c r="W166" s="219"/>
      <c r="X166" s="210"/>
      <c r="Y166" s="219"/>
      <c r="Z166" s="219"/>
      <c r="AA166" s="219"/>
      <c r="AB166" s="219">
        <f t="shared" si="55"/>
        <v>2740254.7100000009</v>
      </c>
      <c r="AC166" s="219">
        <f t="shared" si="56"/>
        <v>851701.89999999991</v>
      </c>
    </row>
    <row r="167" spans="1:29" x14ac:dyDescent="0.2">
      <c r="A167" s="176">
        <f t="shared" si="41"/>
        <v>128</v>
      </c>
      <c r="B167" s="222">
        <v>43586</v>
      </c>
      <c r="C167" s="221"/>
      <c r="D167" s="171">
        <v>0</v>
      </c>
      <c r="F167" s="233">
        <v>5.45E-2</v>
      </c>
      <c r="G167" s="198">
        <f t="shared" si="40"/>
        <v>16313.47</v>
      </c>
      <c r="H167" s="262"/>
      <c r="I167" s="265"/>
      <c r="J167" s="262"/>
      <c r="K167" s="262"/>
      <c r="L167" s="265"/>
      <c r="M167" s="265"/>
      <c r="N167" s="265"/>
      <c r="O167" s="265"/>
      <c r="P167" s="265">
        <f t="shared" si="54"/>
        <v>12445.32</v>
      </c>
      <c r="Q167" s="265"/>
      <c r="R167" s="210">
        <f t="shared" si="49"/>
        <v>16313.47</v>
      </c>
      <c r="S167" s="198">
        <f t="shared" si="44"/>
        <v>3608270.080000001</v>
      </c>
      <c r="T167" s="210"/>
      <c r="U167" s="210"/>
      <c r="V167" s="210"/>
      <c r="W167" s="219"/>
      <c r="X167" s="210"/>
      <c r="Y167" s="219"/>
      <c r="Z167" s="219"/>
      <c r="AA167" s="219"/>
      <c r="AB167" s="219">
        <f t="shared" si="55"/>
        <v>2752700.0300000007</v>
      </c>
      <c r="AC167" s="219">
        <f t="shared" si="56"/>
        <v>855570.05000000028</v>
      </c>
    </row>
    <row r="168" spans="1:29" x14ac:dyDescent="0.2">
      <c r="A168" s="176">
        <f t="shared" si="41"/>
        <v>129</v>
      </c>
      <c r="B168" s="222">
        <v>43617</v>
      </c>
      <c r="C168" s="221"/>
      <c r="D168" s="171">
        <v>46025.25</v>
      </c>
      <c r="F168" s="233">
        <v>5.45E-2</v>
      </c>
      <c r="G168" s="198">
        <f t="shared" si="40"/>
        <v>16492.080000000002</v>
      </c>
      <c r="H168" s="262"/>
      <c r="I168" s="265"/>
      <c r="J168" s="262"/>
      <c r="K168" s="262"/>
      <c r="L168" s="265"/>
      <c r="M168" s="265"/>
      <c r="N168" s="265"/>
      <c r="O168" s="265"/>
      <c r="P168" s="265">
        <f t="shared" si="54"/>
        <v>12501.85</v>
      </c>
      <c r="Q168" s="265"/>
      <c r="R168" s="210">
        <f t="shared" si="49"/>
        <v>62517.33</v>
      </c>
      <c r="S168" s="198">
        <f t="shared" si="44"/>
        <v>3670787.4100000011</v>
      </c>
      <c r="T168" s="210"/>
      <c r="U168" s="210"/>
      <c r="V168" s="210"/>
      <c r="W168" s="219"/>
      <c r="X168" s="210"/>
      <c r="Y168" s="219"/>
      <c r="Z168" s="219"/>
      <c r="AA168" s="219"/>
      <c r="AB168" s="219">
        <f t="shared" si="55"/>
        <v>2765201.8800000008</v>
      </c>
      <c r="AC168" s="219">
        <f t="shared" si="56"/>
        <v>905585.53000000026</v>
      </c>
    </row>
    <row r="169" spans="1:29" x14ac:dyDescent="0.2">
      <c r="A169" s="176">
        <f t="shared" si="41"/>
        <v>130</v>
      </c>
      <c r="B169" s="222">
        <v>43647</v>
      </c>
      <c r="C169" s="221"/>
      <c r="D169" s="171">
        <v>500000</v>
      </c>
      <c r="F169" s="233">
        <v>5.5E-2</v>
      </c>
      <c r="G169" s="198">
        <f t="shared" si="40"/>
        <v>17970.28</v>
      </c>
      <c r="H169" s="262"/>
      <c r="I169" s="265"/>
      <c r="J169" s="262"/>
      <c r="K169" s="262"/>
      <c r="L169" s="265"/>
      <c r="M169" s="265"/>
      <c r="N169" s="265"/>
      <c r="O169" s="265"/>
      <c r="P169" s="265">
        <f t="shared" si="54"/>
        <v>12673.84</v>
      </c>
      <c r="Q169" s="265"/>
      <c r="R169" s="210">
        <f t="shared" si="49"/>
        <v>517970.28</v>
      </c>
      <c r="S169" s="198">
        <f t="shared" si="44"/>
        <v>4188757.6900000013</v>
      </c>
      <c r="T169" s="210"/>
      <c r="U169" s="210"/>
      <c r="V169" s="210"/>
      <c r="W169" s="219"/>
      <c r="X169" s="210"/>
      <c r="Y169" s="219"/>
      <c r="Z169" s="219"/>
      <c r="AA169" s="219"/>
      <c r="AB169" s="219">
        <f t="shared" si="55"/>
        <v>2777875.7200000007</v>
      </c>
      <c r="AC169" s="219">
        <f t="shared" si="56"/>
        <v>1410881.9700000007</v>
      </c>
    </row>
    <row r="170" spans="1:29" x14ac:dyDescent="0.2">
      <c r="A170" s="176">
        <f t="shared" si="41"/>
        <v>131</v>
      </c>
      <c r="B170" s="222">
        <v>43678</v>
      </c>
      <c r="C170" s="221"/>
      <c r="D170" s="219">
        <v>0</v>
      </c>
      <c r="F170" s="233">
        <v>5.5E-2</v>
      </c>
      <c r="G170" s="198">
        <f t="shared" si="40"/>
        <v>19198.47</v>
      </c>
      <c r="H170" s="262"/>
      <c r="I170" s="265"/>
      <c r="J170" s="262"/>
      <c r="K170" s="262"/>
      <c r="L170" s="265"/>
      <c r="M170" s="265"/>
      <c r="N170" s="265"/>
      <c r="O170" s="265"/>
      <c r="P170" s="265">
        <f t="shared" si="54"/>
        <v>12731.93</v>
      </c>
      <c r="Q170" s="265"/>
      <c r="R170" s="210">
        <f t="shared" si="49"/>
        <v>19198.47</v>
      </c>
      <c r="S170" s="198">
        <f t="shared" si="44"/>
        <v>4207956.1600000011</v>
      </c>
      <c r="T170" s="210"/>
      <c r="U170" s="210"/>
      <c r="V170" s="210"/>
      <c r="W170" s="219"/>
      <c r="X170" s="210"/>
      <c r="Y170" s="219"/>
      <c r="Z170" s="219"/>
      <c r="AA170" s="219"/>
      <c r="AB170" s="219">
        <f t="shared" si="55"/>
        <v>2790607.6500000008</v>
      </c>
      <c r="AC170" s="219">
        <f t="shared" si="56"/>
        <v>1417348.5100000002</v>
      </c>
    </row>
    <row r="171" spans="1:29" x14ac:dyDescent="0.2">
      <c r="A171" s="176">
        <f t="shared" si="41"/>
        <v>132</v>
      </c>
      <c r="B171" s="222">
        <v>43709</v>
      </c>
      <c r="C171" s="221"/>
      <c r="D171" s="171"/>
      <c r="F171" s="233">
        <v>5.5E-2</v>
      </c>
      <c r="G171" s="198">
        <f t="shared" si="40"/>
        <v>19286.47</v>
      </c>
      <c r="H171" s="262"/>
      <c r="I171" s="265"/>
      <c r="J171" s="262"/>
      <c r="K171" s="262"/>
      <c r="L171" s="265"/>
      <c r="M171" s="265"/>
      <c r="N171" s="265"/>
      <c r="O171" s="265"/>
      <c r="P171" s="265">
        <f t="shared" si="54"/>
        <v>12790.29</v>
      </c>
      <c r="Q171" s="265"/>
      <c r="R171" s="210">
        <f t="shared" si="49"/>
        <v>19286.47</v>
      </c>
      <c r="S171" s="198">
        <f t="shared" si="44"/>
        <v>4227242.6300000008</v>
      </c>
      <c r="T171" s="210"/>
      <c r="U171" s="210"/>
      <c r="V171" s="210"/>
      <c r="W171" s="219"/>
      <c r="X171" s="210"/>
      <c r="Y171" s="219"/>
      <c r="Z171" s="219"/>
      <c r="AA171" s="219"/>
      <c r="AB171" s="219">
        <f t="shared" si="55"/>
        <v>2803397.9400000009</v>
      </c>
      <c r="AC171" s="219">
        <f t="shared" si="56"/>
        <v>1423844.69</v>
      </c>
    </row>
    <row r="172" spans="1:29" x14ac:dyDescent="0.2">
      <c r="A172" s="176">
        <f t="shared" si="41"/>
        <v>133</v>
      </c>
      <c r="B172" s="222">
        <v>43739</v>
      </c>
      <c r="C172" s="221"/>
      <c r="D172" s="171"/>
      <c r="F172" s="246">
        <v>5.4199999999999998E-2</v>
      </c>
      <c r="G172" s="198">
        <f t="shared" si="40"/>
        <v>19093.05</v>
      </c>
      <c r="H172" s="262"/>
      <c r="I172" s="265"/>
      <c r="J172" s="262"/>
      <c r="K172" s="262"/>
      <c r="L172" s="265"/>
      <c r="M172" s="265"/>
      <c r="N172" s="265"/>
      <c r="O172" s="265"/>
      <c r="P172" s="265">
        <f t="shared" si="54"/>
        <v>12662.01</v>
      </c>
      <c r="Q172" s="265"/>
      <c r="R172" s="210">
        <f t="shared" si="49"/>
        <v>19093.05</v>
      </c>
      <c r="S172" s="198">
        <f t="shared" si="44"/>
        <v>4246335.6800000006</v>
      </c>
      <c r="T172" s="210"/>
      <c r="U172" s="210"/>
      <c r="V172" s="210"/>
      <c r="W172" s="219"/>
      <c r="X172" s="210"/>
      <c r="Y172" s="219"/>
      <c r="Z172" s="219"/>
      <c r="AA172" s="219"/>
      <c r="AB172" s="219">
        <f t="shared" si="55"/>
        <v>2816059.9500000007</v>
      </c>
      <c r="AC172" s="219">
        <f t="shared" si="56"/>
        <v>1430275.73</v>
      </c>
    </row>
    <row r="173" spans="1:29" x14ac:dyDescent="0.2">
      <c r="A173" s="176">
        <f t="shared" si="41"/>
        <v>134</v>
      </c>
      <c r="B173" s="222"/>
      <c r="C173" s="221"/>
      <c r="D173" s="171"/>
      <c r="F173" s="233"/>
      <c r="G173" s="198"/>
      <c r="H173" s="262"/>
      <c r="I173" s="265"/>
      <c r="J173" s="262"/>
      <c r="K173" s="262"/>
      <c r="L173" s="265"/>
      <c r="M173" s="265"/>
      <c r="N173" s="265"/>
      <c r="O173" s="265"/>
      <c r="P173" s="265"/>
      <c r="Q173" s="265"/>
      <c r="R173" s="210"/>
      <c r="S173" s="198"/>
      <c r="T173" s="210"/>
      <c r="U173" s="210"/>
      <c r="V173" s="210"/>
      <c r="W173" s="219"/>
      <c r="X173" s="210"/>
      <c r="Y173" s="219"/>
      <c r="Z173" s="219"/>
      <c r="AA173" s="219"/>
      <c r="AB173" s="219"/>
    </row>
    <row r="174" spans="1:29" x14ac:dyDescent="0.2">
      <c r="A174" s="176">
        <f t="shared" si="41"/>
        <v>135</v>
      </c>
      <c r="D174" s="171"/>
      <c r="F174" s="223"/>
      <c r="G174" s="198"/>
      <c r="H174" s="262"/>
      <c r="I174" s="265"/>
      <c r="J174" s="262"/>
      <c r="K174" s="262"/>
      <c r="L174" s="265"/>
      <c r="M174" s="265"/>
      <c r="N174" s="265"/>
      <c r="O174" s="265"/>
      <c r="P174" s="265"/>
      <c r="Q174" s="265"/>
      <c r="R174" s="210"/>
      <c r="S174" s="198"/>
      <c r="T174" s="210"/>
      <c r="U174" s="210"/>
      <c r="V174" s="210"/>
      <c r="W174" s="219"/>
      <c r="X174" s="210"/>
      <c r="Y174" s="219"/>
      <c r="Z174" s="219"/>
    </row>
    <row r="175" spans="1:29" x14ac:dyDescent="0.2">
      <c r="A175" s="176">
        <f t="shared" si="41"/>
        <v>136</v>
      </c>
      <c r="B175" s="247" t="s">
        <v>153</v>
      </c>
      <c r="D175" s="171"/>
      <c r="F175" s="257"/>
      <c r="G175" s="195"/>
      <c r="H175" s="262"/>
      <c r="I175" s="262"/>
      <c r="J175" s="262"/>
      <c r="K175" s="262"/>
      <c r="L175" s="262"/>
      <c r="M175" s="262"/>
      <c r="N175" s="262"/>
      <c r="O175" s="262"/>
      <c r="P175" s="262"/>
      <c r="Q175" s="262"/>
      <c r="R175" s="183"/>
      <c r="S175" s="195"/>
    </row>
    <row r="176" spans="1:29" x14ac:dyDescent="0.2">
      <c r="A176" s="176">
        <f t="shared" si="41"/>
        <v>137</v>
      </c>
      <c r="F176" s="254"/>
      <c r="H176" s="255"/>
      <c r="I176" s="255"/>
      <c r="J176" s="255"/>
      <c r="K176" s="255"/>
      <c r="L176" s="255"/>
      <c r="M176" s="255"/>
      <c r="N176" s="256"/>
      <c r="O176" s="256"/>
      <c r="P176" s="256"/>
      <c r="Q176" s="256"/>
      <c r="S176" s="203"/>
    </row>
    <row r="177" spans="1:19" x14ac:dyDescent="0.2">
      <c r="A177" s="176">
        <f t="shared" si="41"/>
        <v>138</v>
      </c>
      <c r="B177" s="249" t="s">
        <v>154</v>
      </c>
      <c r="F177" s="254"/>
      <c r="H177" s="255"/>
      <c r="I177" s="255"/>
      <c r="J177" s="255"/>
      <c r="K177" s="255"/>
      <c r="L177" s="255"/>
      <c r="M177" s="255"/>
      <c r="N177" s="256"/>
      <c r="O177" s="256"/>
      <c r="P177" s="256"/>
      <c r="Q177" s="256"/>
      <c r="S177" s="203"/>
    </row>
    <row r="178" spans="1:19" x14ac:dyDescent="0.2">
      <c r="A178" s="176">
        <f t="shared" si="41"/>
        <v>139</v>
      </c>
      <c r="B178" s="250" t="s">
        <v>155</v>
      </c>
      <c r="F178" s="254"/>
      <c r="H178" s="255"/>
      <c r="I178" s="255"/>
      <c r="J178" s="255"/>
      <c r="K178" s="255"/>
      <c r="L178" s="255"/>
      <c r="M178" s="255"/>
      <c r="N178" s="256"/>
      <c r="O178" s="256"/>
      <c r="P178" s="256"/>
      <c r="Q178" s="256"/>
    </row>
    <row r="179" spans="1:19" x14ac:dyDescent="0.2">
      <c r="A179" s="176"/>
      <c r="B179" s="251"/>
      <c r="F179" s="254"/>
      <c r="H179" s="255"/>
      <c r="I179" s="255"/>
      <c r="J179" s="255"/>
      <c r="K179" s="255"/>
      <c r="L179" s="255"/>
      <c r="M179" s="255"/>
      <c r="N179" s="256"/>
      <c r="O179" s="256"/>
      <c r="P179" s="256"/>
      <c r="Q179" s="256"/>
    </row>
    <row r="180" spans="1:19" x14ac:dyDescent="0.2">
      <c r="F180" s="254"/>
      <c r="H180" s="255"/>
      <c r="I180" s="255"/>
      <c r="J180" s="255"/>
      <c r="K180" s="255"/>
      <c r="L180" s="255"/>
      <c r="M180" s="255"/>
      <c r="N180" s="256"/>
      <c r="O180" s="256"/>
      <c r="P180" s="256"/>
      <c r="Q180" s="256"/>
    </row>
  </sheetData>
  <pageMargins left="0.7" right="0.7" top="0.75" bottom="0.75" header="0.3" footer="0.3"/>
  <pageSetup scale="53" orientation="landscape" horizontalDpi="300" verticalDpi="300" r:id="rId1"/>
  <headerFooter>
    <oddHeader>&amp;RNWN's Advice 19-03
Exhibit A - Supporting Materials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9"/>
  <sheetViews>
    <sheetView showGridLines="0" view="pageLayout" zoomScaleNormal="100" workbookViewId="0">
      <selection activeCell="S2" sqref="S2"/>
    </sheetView>
  </sheetViews>
  <sheetFormatPr defaultColWidth="7.85546875" defaultRowHeight="12.75" x14ac:dyDescent="0.2"/>
  <cols>
    <col min="1" max="1" width="4" style="169" customWidth="1"/>
    <col min="2" max="2" width="13.42578125" style="170" customWidth="1"/>
    <col min="3" max="3" width="12.28515625" style="170" customWidth="1"/>
    <col min="4" max="9" width="14.42578125" style="171" customWidth="1"/>
    <col min="10" max="10" width="13.42578125" style="170" customWidth="1"/>
    <col min="11" max="11" width="13.42578125" style="170" hidden="1" customWidth="1"/>
    <col min="12" max="12" width="13.5703125" style="170" customWidth="1"/>
    <col min="13" max="20" width="13.42578125" style="170" customWidth="1"/>
    <col min="21" max="16384" width="7.85546875" style="170"/>
  </cols>
  <sheetData>
    <row r="1" spans="1:10" x14ac:dyDescent="0.2">
      <c r="B1" s="170" t="s">
        <v>114</v>
      </c>
      <c r="D1" s="171" t="s">
        <v>115</v>
      </c>
    </row>
    <row r="2" spans="1:10" x14ac:dyDescent="0.2">
      <c r="B2" s="170" t="s">
        <v>116</v>
      </c>
      <c r="D2" s="171" t="s">
        <v>86</v>
      </c>
    </row>
    <row r="3" spans="1:10" x14ac:dyDescent="0.2">
      <c r="B3" s="170" t="s">
        <v>117</v>
      </c>
      <c r="D3" s="172" t="s">
        <v>159</v>
      </c>
    </row>
    <row r="4" spans="1:10" x14ac:dyDescent="0.2">
      <c r="B4" s="170" t="s">
        <v>119</v>
      </c>
      <c r="D4" s="173">
        <v>186316</v>
      </c>
    </row>
    <row r="5" spans="1:10" x14ac:dyDescent="0.2">
      <c r="D5" s="174" t="s">
        <v>121</v>
      </c>
    </row>
    <row r="6" spans="1:10" x14ac:dyDescent="0.2">
      <c r="D6" s="174" t="s">
        <v>122</v>
      </c>
    </row>
    <row r="8" spans="1:10" x14ac:dyDescent="0.2">
      <c r="A8" s="176">
        <v>1</v>
      </c>
      <c r="B8" s="170" t="s">
        <v>123</v>
      </c>
      <c r="G8" s="177"/>
    </row>
    <row r="9" spans="1:10" x14ac:dyDescent="0.2">
      <c r="A9" s="176">
        <f t="shared" ref="A9:A72" si="0">+A8+1</f>
        <v>2</v>
      </c>
      <c r="G9" s="177"/>
    </row>
    <row r="10" spans="1:10" x14ac:dyDescent="0.2">
      <c r="A10" s="176">
        <f t="shared" si="0"/>
        <v>3</v>
      </c>
      <c r="B10" s="179"/>
      <c r="C10" s="179"/>
      <c r="D10" s="177"/>
      <c r="E10" s="177"/>
      <c r="F10" s="177"/>
      <c r="G10" s="177"/>
      <c r="H10" s="177"/>
      <c r="I10" s="177"/>
    </row>
    <row r="11" spans="1:10" x14ac:dyDescent="0.2">
      <c r="A11" s="176">
        <f t="shared" si="0"/>
        <v>4</v>
      </c>
      <c r="B11" s="180" t="s">
        <v>126</v>
      </c>
      <c r="C11" s="180" t="s">
        <v>127</v>
      </c>
      <c r="D11" s="181" t="s">
        <v>160</v>
      </c>
      <c r="E11" s="181" t="s">
        <v>129</v>
      </c>
      <c r="F11" s="181" t="s">
        <v>161</v>
      </c>
      <c r="G11" s="181" t="s">
        <v>124</v>
      </c>
      <c r="H11" s="181" t="s">
        <v>130</v>
      </c>
      <c r="I11" s="181" t="s">
        <v>131</v>
      </c>
    </row>
    <row r="12" spans="1:10" x14ac:dyDescent="0.2">
      <c r="A12" s="176">
        <f t="shared" si="0"/>
        <v>5</v>
      </c>
      <c r="B12" s="179" t="s">
        <v>132</v>
      </c>
      <c r="C12" s="179" t="s">
        <v>133</v>
      </c>
      <c r="D12" s="177" t="s">
        <v>134</v>
      </c>
      <c r="E12" s="177" t="s">
        <v>135</v>
      </c>
      <c r="F12" s="177" t="s">
        <v>136</v>
      </c>
      <c r="G12" s="177" t="s">
        <v>137</v>
      </c>
      <c r="H12" s="177" t="s">
        <v>143</v>
      </c>
      <c r="I12" s="177" t="s">
        <v>162</v>
      </c>
      <c r="J12" s="179"/>
    </row>
    <row r="13" spans="1:10" x14ac:dyDescent="0.2">
      <c r="A13" s="176">
        <f t="shared" si="0"/>
        <v>6</v>
      </c>
      <c r="G13" s="177"/>
    </row>
    <row r="14" spans="1:10" hidden="1" x14ac:dyDescent="0.2">
      <c r="A14" s="176">
        <f t="shared" si="0"/>
        <v>7</v>
      </c>
      <c r="B14" s="182" t="s">
        <v>150</v>
      </c>
    </row>
    <row r="15" spans="1:10" hidden="1" x14ac:dyDescent="0.2">
      <c r="A15" s="176">
        <f t="shared" si="0"/>
        <v>8</v>
      </c>
      <c r="B15" s="184">
        <v>39021</v>
      </c>
      <c r="G15" s="186"/>
      <c r="I15" s="185">
        <v>-13030.91</v>
      </c>
    </row>
    <row r="16" spans="1:10" hidden="1" x14ac:dyDescent="0.2">
      <c r="A16" s="176">
        <f t="shared" si="0"/>
        <v>9</v>
      </c>
      <c r="B16" s="184">
        <f>+B15+30</f>
        <v>39051</v>
      </c>
      <c r="D16" s="171">
        <f>-4162.84-5802.59</f>
        <v>-9965.43</v>
      </c>
      <c r="G16" s="187">
        <f>-97.47-130.24</f>
        <v>-227.71</v>
      </c>
      <c r="H16" s="171">
        <f t="shared" ref="H16:H27" si="1">SUM(D16:G16)</f>
        <v>-10193.14</v>
      </c>
      <c r="I16" s="186">
        <f t="shared" ref="I16:I79" si="2">+I15+H16</f>
        <v>-23224.05</v>
      </c>
    </row>
    <row r="17" spans="1:10" hidden="1" x14ac:dyDescent="0.2">
      <c r="A17" s="176">
        <f t="shared" si="0"/>
        <v>10</v>
      </c>
      <c r="B17" s="184">
        <f>+B16+31</f>
        <v>39082</v>
      </c>
      <c r="D17" s="171">
        <v>-16560.62</v>
      </c>
      <c r="G17" s="187">
        <f>ROUND((+I16+E17+(D17/2))*0.0774/12,2)</f>
        <v>-203.2</v>
      </c>
      <c r="H17" s="171">
        <f t="shared" si="1"/>
        <v>-16763.82</v>
      </c>
      <c r="I17" s="186">
        <f t="shared" si="2"/>
        <v>-39987.869999999995</v>
      </c>
    </row>
    <row r="18" spans="1:10" hidden="1" x14ac:dyDescent="0.2">
      <c r="A18" s="176">
        <f t="shared" si="0"/>
        <v>11</v>
      </c>
      <c r="B18" s="184">
        <f>+B17+31</f>
        <v>39113</v>
      </c>
      <c r="D18" s="171">
        <v>-21812.880000000001</v>
      </c>
      <c r="G18" s="187">
        <f>ROUND((+I17+E18+(D18/2))*0.0774/12,2)</f>
        <v>-328.27</v>
      </c>
      <c r="H18" s="171">
        <f t="shared" si="1"/>
        <v>-22141.15</v>
      </c>
      <c r="I18" s="186">
        <f t="shared" si="2"/>
        <v>-62129.02</v>
      </c>
    </row>
    <row r="19" spans="1:10" hidden="1" x14ac:dyDescent="0.2">
      <c r="A19" s="176">
        <f t="shared" si="0"/>
        <v>12</v>
      </c>
      <c r="B19" s="184">
        <f>+B18+28</f>
        <v>39141</v>
      </c>
      <c r="D19" s="171">
        <v>-19555.72</v>
      </c>
      <c r="G19" s="187">
        <f>ROUND((+I18+E19+(D19/2))*0.0817/12,2)</f>
        <v>-489.57</v>
      </c>
      <c r="H19" s="171">
        <f t="shared" si="1"/>
        <v>-20045.29</v>
      </c>
      <c r="I19" s="186">
        <f t="shared" si="2"/>
        <v>-82174.31</v>
      </c>
    </row>
    <row r="20" spans="1:10" hidden="1" x14ac:dyDescent="0.2">
      <c r="A20" s="176">
        <f t="shared" si="0"/>
        <v>13</v>
      </c>
      <c r="B20" s="184">
        <f>+B19+31</f>
        <v>39172</v>
      </c>
      <c r="D20" s="171">
        <v>-14293.31</v>
      </c>
      <c r="G20" s="187">
        <f>ROUND((+I19+E20+(D20/2))*0.0817/12,2)</f>
        <v>-608.13</v>
      </c>
      <c r="H20" s="171">
        <f t="shared" si="1"/>
        <v>-14901.439999999999</v>
      </c>
      <c r="I20" s="186">
        <f t="shared" si="2"/>
        <v>-97075.75</v>
      </c>
    </row>
    <row r="21" spans="1:10" hidden="1" x14ac:dyDescent="0.2">
      <c r="A21" s="176">
        <f t="shared" si="0"/>
        <v>14</v>
      </c>
      <c r="B21" s="184">
        <f>+B20+30</f>
        <v>39202</v>
      </c>
      <c r="D21" s="171">
        <v>-10069.36</v>
      </c>
      <c r="G21" s="187">
        <f>ROUND((+I20+E21+(D21/2))*0.0817/12,2)</f>
        <v>-695.2</v>
      </c>
      <c r="H21" s="171">
        <f t="shared" si="1"/>
        <v>-10764.560000000001</v>
      </c>
      <c r="I21" s="186">
        <f t="shared" si="2"/>
        <v>-107840.31</v>
      </c>
    </row>
    <row r="22" spans="1:10" hidden="1" x14ac:dyDescent="0.2">
      <c r="A22" s="176">
        <f t="shared" si="0"/>
        <v>15</v>
      </c>
      <c r="B22" s="184">
        <f>+B21+31</f>
        <v>39233</v>
      </c>
      <c r="D22" s="171">
        <v>-7689.33</v>
      </c>
      <c r="G22" s="187">
        <f>ROUND((+I21+E22+(D22/2))*0.0817/12,2)</f>
        <v>-760.39</v>
      </c>
      <c r="H22" s="171">
        <f t="shared" si="1"/>
        <v>-8449.7199999999993</v>
      </c>
      <c r="I22" s="186">
        <f t="shared" si="2"/>
        <v>-116290.03</v>
      </c>
    </row>
    <row r="23" spans="1:10" hidden="1" x14ac:dyDescent="0.2">
      <c r="A23" s="176">
        <f t="shared" si="0"/>
        <v>16</v>
      </c>
      <c r="B23" s="184">
        <f>+B22+30</f>
        <v>39263</v>
      </c>
      <c r="D23" s="171">
        <v>-5206.83</v>
      </c>
      <c r="G23" s="187">
        <v>-831.64</v>
      </c>
      <c r="H23" s="171">
        <f t="shared" si="1"/>
        <v>-6038.47</v>
      </c>
      <c r="I23" s="186">
        <f t="shared" si="2"/>
        <v>-122328.5</v>
      </c>
    </row>
    <row r="24" spans="1:10" hidden="1" x14ac:dyDescent="0.2">
      <c r="A24" s="176">
        <f t="shared" si="0"/>
        <v>17</v>
      </c>
      <c r="B24" s="184">
        <f>+B23+31</f>
        <v>39294</v>
      </c>
      <c r="C24" s="290"/>
      <c r="D24" s="171">
        <v>-4231.8</v>
      </c>
      <c r="G24" s="186">
        <f>ROUND((+I23+E24+(D24/2))*0.0825/12,2)</f>
        <v>-855.56</v>
      </c>
      <c r="H24" s="171">
        <f t="shared" si="1"/>
        <v>-5087.3600000000006</v>
      </c>
      <c r="I24" s="186">
        <f t="shared" si="2"/>
        <v>-127415.86</v>
      </c>
    </row>
    <row r="25" spans="1:10" hidden="1" x14ac:dyDescent="0.2">
      <c r="A25" s="176">
        <f t="shared" si="0"/>
        <v>18</v>
      </c>
      <c r="B25" s="184">
        <f>+B24+30</f>
        <v>39324</v>
      </c>
      <c r="C25" s="290"/>
      <c r="D25" s="171">
        <v>-3873.64</v>
      </c>
      <c r="G25" s="186">
        <f>ROUND((+I24+E25+(D25/2))*0.0825/12,2)</f>
        <v>-889.3</v>
      </c>
      <c r="H25" s="171">
        <f t="shared" si="1"/>
        <v>-4762.9399999999996</v>
      </c>
      <c r="I25" s="186">
        <f t="shared" si="2"/>
        <v>-132178.79999999999</v>
      </c>
    </row>
    <row r="26" spans="1:10" hidden="1" x14ac:dyDescent="0.2">
      <c r="A26" s="176">
        <f t="shared" si="0"/>
        <v>19</v>
      </c>
      <c r="B26" s="184">
        <f>+B25+30</f>
        <v>39354</v>
      </c>
      <c r="C26" s="290"/>
      <c r="D26" s="171">
        <v>-4241.1899999999996</v>
      </c>
      <c r="G26" s="186">
        <f>ROUND((+I25+E26+(D26/2))*0.0825/12,2)</f>
        <v>-923.31</v>
      </c>
      <c r="H26" s="171">
        <f t="shared" si="1"/>
        <v>-5164.5</v>
      </c>
      <c r="I26" s="186">
        <f t="shared" si="2"/>
        <v>-137343.29999999999</v>
      </c>
    </row>
    <row r="27" spans="1:10" hidden="1" x14ac:dyDescent="0.2">
      <c r="A27" s="176">
        <f t="shared" si="0"/>
        <v>20</v>
      </c>
      <c r="B27" s="184">
        <f>+B26+31</f>
        <v>39385</v>
      </c>
      <c r="C27" s="290"/>
      <c r="D27" s="183">
        <v>-6718.68</v>
      </c>
      <c r="E27" s="183"/>
      <c r="F27" s="183"/>
      <c r="G27" s="195">
        <f>ROUND((+I26+E27+(D27/2))*0.0825/12,2)</f>
        <v>-967.33</v>
      </c>
      <c r="H27" s="183">
        <f t="shared" si="1"/>
        <v>-7686.01</v>
      </c>
      <c r="I27" s="186">
        <f t="shared" si="2"/>
        <v>-145029.31</v>
      </c>
    </row>
    <row r="28" spans="1:10" hidden="1" x14ac:dyDescent="0.2">
      <c r="A28" s="176">
        <f t="shared" si="0"/>
        <v>21</v>
      </c>
      <c r="B28" s="184">
        <f>+B27+30</f>
        <v>39415</v>
      </c>
      <c r="C28" s="170" t="s">
        <v>163</v>
      </c>
      <c r="D28" s="183">
        <v>-5438.45</v>
      </c>
      <c r="E28" s="291">
        <f>-'[2]186311 Furnace Program'!E28-'[2]186312 Energy Eff Res &amp; Comm'!E28-'[2]186314 WA-LIEE'!E28</f>
        <v>229121.62999999998</v>
      </c>
      <c r="F28" s="291"/>
      <c r="G28" s="195">
        <f>ROUND((+I27+E28+(D28/2))*0.0825/12,2)</f>
        <v>559.44000000000005</v>
      </c>
      <c r="H28" s="183">
        <f t="shared" ref="H28:H36" si="3">SUM(D28:G28)</f>
        <v>224242.61999999997</v>
      </c>
      <c r="I28" s="186">
        <f t="shared" si="2"/>
        <v>79213.309999999969</v>
      </c>
      <c r="J28" s="171"/>
    </row>
    <row r="29" spans="1:10" hidden="1" x14ac:dyDescent="0.2">
      <c r="A29" s="176">
        <f t="shared" si="0"/>
        <v>22</v>
      </c>
      <c r="B29" s="184"/>
      <c r="C29" s="170" t="s">
        <v>164</v>
      </c>
      <c r="D29" s="183">
        <v>-2495.64</v>
      </c>
      <c r="E29" s="291"/>
      <c r="F29" s="291"/>
      <c r="G29" s="195">
        <f>ROUND((+(D29/2))*0.0825/12,2)</f>
        <v>-8.58</v>
      </c>
      <c r="H29" s="183">
        <f>SUM(D29:G29)</f>
        <v>-2504.2199999999998</v>
      </c>
      <c r="I29" s="186">
        <f t="shared" si="2"/>
        <v>76709.089999999967</v>
      </c>
    </row>
    <row r="30" spans="1:10" hidden="1" x14ac:dyDescent="0.2">
      <c r="A30" s="176">
        <f t="shared" si="0"/>
        <v>23</v>
      </c>
      <c r="B30" s="184">
        <f>+B28+31</f>
        <v>39446</v>
      </c>
      <c r="D30" s="183">
        <v>-7384.94</v>
      </c>
      <c r="E30" s="183"/>
      <c r="F30" s="183"/>
      <c r="G30" s="186">
        <f>ROUND((+I29+E30+(D30/2))*0.0825/12,2)</f>
        <v>501.99</v>
      </c>
      <c r="H30" s="183">
        <f t="shared" si="3"/>
        <v>-6882.95</v>
      </c>
      <c r="I30" s="186">
        <f t="shared" si="2"/>
        <v>69826.13999999997</v>
      </c>
    </row>
    <row r="31" spans="1:10" hidden="1" x14ac:dyDescent="0.2">
      <c r="A31" s="176">
        <f t="shared" si="0"/>
        <v>24</v>
      </c>
      <c r="B31" s="184">
        <f>+B30+31</f>
        <v>39477</v>
      </c>
      <c r="D31" s="171">
        <v>-8916.48</v>
      </c>
      <c r="G31" s="195">
        <f>ROUND((+I30+E31+(D31/2))*0.0776/12,2)</f>
        <v>422.71</v>
      </c>
      <c r="H31" s="183">
        <f t="shared" si="3"/>
        <v>-8493.77</v>
      </c>
      <c r="I31" s="186">
        <f t="shared" si="2"/>
        <v>61332.369999999966</v>
      </c>
    </row>
    <row r="32" spans="1:10" hidden="1" x14ac:dyDescent="0.2">
      <c r="A32" s="176">
        <f t="shared" si="0"/>
        <v>25</v>
      </c>
      <c r="B32" s="184">
        <f>+B31+29</f>
        <v>39506</v>
      </c>
      <c r="D32" s="171">
        <v>-8434.6</v>
      </c>
      <c r="G32" s="195">
        <f>ROUND((+I31+E32+(D32/2))*0.0776/12,2)</f>
        <v>369.34</v>
      </c>
      <c r="H32" s="183">
        <f t="shared" si="3"/>
        <v>-8065.26</v>
      </c>
      <c r="I32" s="186">
        <f t="shared" si="2"/>
        <v>53267.109999999964</v>
      </c>
    </row>
    <row r="33" spans="1:9" hidden="1" x14ac:dyDescent="0.2">
      <c r="A33" s="176">
        <f t="shared" si="0"/>
        <v>26</v>
      </c>
      <c r="B33" s="184">
        <f>+B32+31</f>
        <v>39537</v>
      </c>
      <c r="D33" s="171">
        <v>-6175.15</v>
      </c>
      <c r="G33" s="195">
        <f>ROUND((+I32+E33+(D33/2))*0.0776/12,2)</f>
        <v>324.49</v>
      </c>
      <c r="H33" s="183">
        <f t="shared" si="3"/>
        <v>-5850.66</v>
      </c>
      <c r="I33" s="186">
        <f t="shared" si="2"/>
        <v>47416.449999999968</v>
      </c>
    </row>
    <row r="34" spans="1:9" hidden="1" x14ac:dyDescent="0.2">
      <c r="A34" s="176">
        <f t="shared" si="0"/>
        <v>27</v>
      </c>
      <c r="B34" s="184">
        <f>+B33+30</f>
        <v>39567</v>
      </c>
      <c r="D34" s="171">
        <v>-6283.12</v>
      </c>
      <c r="G34" s="195">
        <f>ROUND((+I33+E34+(D34/2))*0.0677/12,2)</f>
        <v>249.78</v>
      </c>
      <c r="H34" s="183">
        <f t="shared" si="3"/>
        <v>-6033.34</v>
      </c>
      <c r="I34" s="186">
        <f t="shared" si="2"/>
        <v>41383.109999999971</v>
      </c>
    </row>
    <row r="35" spans="1:9" hidden="1" x14ac:dyDescent="0.2">
      <c r="A35" s="176">
        <f t="shared" si="0"/>
        <v>28</v>
      </c>
      <c r="B35" s="184">
        <f>+B34+31</f>
        <v>39598</v>
      </c>
      <c r="D35" s="171">
        <v>-4255.4799999999996</v>
      </c>
      <c r="G35" s="195">
        <f>ROUND((+I34+E35+(D35/2))*0.0677/12,2)</f>
        <v>221.47</v>
      </c>
      <c r="H35" s="183">
        <f t="shared" si="3"/>
        <v>-4034.0099999999998</v>
      </c>
      <c r="I35" s="186">
        <f t="shared" si="2"/>
        <v>37349.099999999969</v>
      </c>
    </row>
    <row r="36" spans="1:9" hidden="1" x14ac:dyDescent="0.2">
      <c r="A36" s="176">
        <f t="shared" si="0"/>
        <v>29</v>
      </c>
      <c r="B36" s="184">
        <f>+B35+30</f>
        <v>39628</v>
      </c>
      <c r="D36" s="171">
        <v>-2883.88</v>
      </c>
      <c r="G36" s="195">
        <f>ROUND((+I35+E36+(D36/2))*0.0677/12,2)</f>
        <v>202.58</v>
      </c>
      <c r="H36" s="183">
        <f t="shared" si="3"/>
        <v>-2681.3</v>
      </c>
      <c r="I36" s="186">
        <f t="shared" si="2"/>
        <v>34667.799999999967</v>
      </c>
    </row>
    <row r="37" spans="1:9" hidden="1" x14ac:dyDescent="0.2">
      <c r="A37" s="176">
        <f t="shared" si="0"/>
        <v>30</v>
      </c>
      <c r="B37" s="184">
        <f>+B36+31</f>
        <v>39659</v>
      </c>
      <c r="D37" s="171">
        <v>-2194.9</v>
      </c>
      <c r="G37" s="195">
        <f>ROUND((+I36+E37+(D37/2))*0.053/12,2)</f>
        <v>148.27000000000001</v>
      </c>
      <c r="H37" s="183">
        <f>SUM(D37:G37)</f>
        <v>-2046.63</v>
      </c>
      <c r="I37" s="186">
        <f t="shared" si="2"/>
        <v>32621.169999999966</v>
      </c>
    </row>
    <row r="38" spans="1:9" hidden="1" x14ac:dyDescent="0.2">
      <c r="A38" s="176">
        <f t="shared" si="0"/>
        <v>31</v>
      </c>
      <c r="B38" s="184">
        <f>+B37+30</f>
        <v>39689</v>
      </c>
      <c r="D38" s="171">
        <v>-1860.51</v>
      </c>
      <c r="G38" s="195">
        <f>ROUND((+I37+E38+(D38/2))*0.053/12,2)</f>
        <v>139.97</v>
      </c>
      <c r="H38" s="183">
        <f>SUM(D38:G38)</f>
        <v>-1720.54</v>
      </c>
      <c r="I38" s="186">
        <f t="shared" si="2"/>
        <v>30900.629999999965</v>
      </c>
    </row>
    <row r="39" spans="1:9" hidden="1" x14ac:dyDescent="0.2">
      <c r="A39" s="176">
        <f t="shared" si="0"/>
        <v>32</v>
      </c>
      <c r="B39" s="184">
        <f>+B38+30</f>
        <v>39719</v>
      </c>
      <c r="D39" s="171">
        <v>-1951.36</v>
      </c>
      <c r="G39" s="195">
        <f>ROUND((+I38+E39+(D39/2))*0.053/12,2)</f>
        <v>132.16999999999999</v>
      </c>
      <c r="H39" s="183">
        <f>SUM(D39:G39)</f>
        <v>-1819.1899999999998</v>
      </c>
      <c r="I39" s="186">
        <f t="shared" si="2"/>
        <v>29081.439999999966</v>
      </c>
    </row>
    <row r="40" spans="1:9" hidden="1" x14ac:dyDescent="0.2">
      <c r="A40" s="176">
        <f t="shared" si="0"/>
        <v>33</v>
      </c>
      <c r="B40" s="184">
        <f>+B39+31</f>
        <v>39750</v>
      </c>
      <c r="D40" s="171">
        <v>-2595.63</v>
      </c>
      <c r="G40" s="195">
        <f>ROUND((+I39+E40+(D40/2))*0.05/12,2)</f>
        <v>115.77</v>
      </c>
      <c r="H40" s="183">
        <f>SUM(D40:G40)</f>
        <v>-2479.86</v>
      </c>
      <c r="I40" s="186">
        <f t="shared" si="2"/>
        <v>26601.579999999965</v>
      </c>
    </row>
    <row r="41" spans="1:9" hidden="1" x14ac:dyDescent="0.2">
      <c r="A41" s="176">
        <f t="shared" si="0"/>
        <v>34</v>
      </c>
      <c r="B41" s="184">
        <f>+B40+30</f>
        <v>39780</v>
      </c>
      <c r="D41" s="171">
        <v>-8654.91</v>
      </c>
      <c r="E41" s="171">
        <f>-'[2]186311 Furnace Program'!E40-'[2]186312 Energy Eff Res &amp; Comm'!E40</f>
        <v>174725.40000000002</v>
      </c>
      <c r="G41" s="195">
        <f>ROUND((+I40+E41+(D41/2))*0.05/12,2)</f>
        <v>820.83</v>
      </c>
      <c r="H41" s="183">
        <f t="shared" ref="H41:H46" si="4">SUM(D41:G41)</f>
        <v>166891.32</v>
      </c>
      <c r="I41" s="186">
        <f t="shared" si="2"/>
        <v>193492.89999999997</v>
      </c>
    </row>
    <row r="42" spans="1:9" hidden="1" x14ac:dyDescent="0.2">
      <c r="A42" s="176">
        <f t="shared" si="0"/>
        <v>35</v>
      </c>
      <c r="B42" s="184">
        <f>+B41+31</f>
        <v>39811</v>
      </c>
      <c r="D42" s="171">
        <v>-22381</v>
      </c>
      <c r="G42" s="195">
        <f>ROUND((+I41+E42+(D42/2))*0.05/12,2)</f>
        <v>759.59</v>
      </c>
      <c r="H42" s="183">
        <f t="shared" si="4"/>
        <v>-21621.41</v>
      </c>
      <c r="I42" s="186">
        <f t="shared" si="2"/>
        <v>171871.48999999996</v>
      </c>
    </row>
    <row r="43" spans="1:9" hidden="1" x14ac:dyDescent="0.2">
      <c r="A43" s="176">
        <f t="shared" si="0"/>
        <v>36</v>
      </c>
      <c r="B43" s="184">
        <f>+B42+31</f>
        <v>39842</v>
      </c>
      <c r="D43" s="171">
        <v>-31654</v>
      </c>
      <c r="G43" s="195">
        <f>ROUND((+I42+E43+(D43/2))*0.0452/12,2)</f>
        <v>587.77</v>
      </c>
      <c r="H43" s="183">
        <f t="shared" si="4"/>
        <v>-31066.23</v>
      </c>
      <c r="I43" s="186">
        <f t="shared" si="2"/>
        <v>140805.25999999995</v>
      </c>
    </row>
    <row r="44" spans="1:9" hidden="1" x14ac:dyDescent="0.2">
      <c r="A44" s="176">
        <f t="shared" si="0"/>
        <v>37</v>
      </c>
      <c r="B44" s="184">
        <f>+B43+28</f>
        <v>39870</v>
      </c>
      <c r="D44" s="171">
        <v>-27760.19</v>
      </c>
      <c r="G44" s="195">
        <f>ROUND((+I43+E44+(D44/2))*0.0452/12,2)</f>
        <v>478.08</v>
      </c>
      <c r="H44" s="183">
        <f t="shared" si="4"/>
        <v>-27282.109999999997</v>
      </c>
      <c r="I44" s="186">
        <f t="shared" si="2"/>
        <v>113523.14999999995</v>
      </c>
    </row>
    <row r="45" spans="1:9" hidden="1" x14ac:dyDescent="0.2">
      <c r="A45" s="176">
        <f t="shared" si="0"/>
        <v>38</v>
      </c>
      <c r="B45" s="184">
        <f>+B44+31</f>
        <v>39901</v>
      </c>
      <c r="D45" s="171">
        <v>-24931.21</v>
      </c>
      <c r="G45" s="195">
        <f>ROUND((+I44+E45+(D45/2))*0.0452/12,2)</f>
        <v>380.65</v>
      </c>
      <c r="H45" s="183">
        <f t="shared" si="4"/>
        <v>-24550.559999999998</v>
      </c>
      <c r="I45" s="186">
        <f t="shared" si="2"/>
        <v>88972.589999999953</v>
      </c>
    </row>
    <row r="46" spans="1:9" hidden="1" x14ac:dyDescent="0.2">
      <c r="A46" s="176">
        <f t="shared" si="0"/>
        <v>39</v>
      </c>
      <c r="B46" s="184">
        <f>+B45+30</f>
        <v>39931</v>
      </c>
      <c r="D46" s="171">
        <v>-18377</v>
      </c>
      <c r="G46" s="195">
        <f>ROUND((+I45+E46+(D46/2))*0.0337/12,2)</f>
        <v>224.06</v>
      </c>
      <c r="H46" s="183">
        <f t="shared" si="4"/>
        <v>-18152.939999999999</v>
      </c>
      <c r="I46" s="186">
        <f t="shared" si="2"/>
        <v>70819.649999999951</v>
      </c>
    </row>
    <row r="47" spans="1:9" hidden="1" x14ac:dyDescent="0.2">
      <c r="A47" s="176">
        <f t="shared" si="0"/>
        <v>40</v>
      </c>
      <c r="B47" s="184">
        <f>+B46+31</f>
        <v>39962</v>
      </c>
      <c r="D47" s="171">
        <v>-11707.03</v>
      </c>
      <c r="G47" s="195">
        <f>ROUND((+I46+E47+(D47/2))*0.0337/12,2)</f>
        <v>182.45</v>
      </c>
      <c r="H47" s="183">
        <f t="shared" ref="H47:H52" si="5">SUM(D47:G47)</f>
        <v>-11524.58</v>
      </c>
      <c r="I47" s="186">
        <f t="shared" si="2"/>
        <v>59295.069999999949</v>
      </c>
    </row>
    <row r="48" spans="1:9" hidden="1" x14ac:dyDescent="0.2">
      <c r="A48" s="176">
        <f t="shared" si="0"/>
        <v>41</v>
      </c>
      <c r="B48" s="184">
        <f>+B47+30</f>
        <v>39992</v>
      </c>
      <c r="D48" s="171">
        <v>-7334.12</v>
      </c>
      <c r="G48" s="195">
        <f>ROUND((+I47+E48+(D48/2))*0.0337/12,2)</f>
        <v>156.22</v>
      </c>
      <c r="H48" s="183">
        <f t="shared" si="5"/>
        <v>-7177.9</v>
      </c>
      <c r="I48" s="186">
        <f t="shared" si="2"/>
        <v>52117.169999999947</v>
      </c>
    </row>
    <row r="49" spans="1:11" hidden="1" x14ac:dyDescent="0.2">
      <c r="A49" s="176">
        <f t="shared" si="0"/>
        <v>42</v>
      </c>
      <c r="B49" s="184">
        <f>+B48+31</f>
        <v>40023</v>
      </c>
      <c r="D49" s="171">
        <v>-6029.48</v>
      </c>
      <c r="G49" s="195">
        <f>ROUND((+I48+E49+(D49/2))*0.0325/12,2)</f>
        <v>132.99</v>
      </c>
      <c r="H49" s="183">
        <f t="shared" si="5"/>
        <v>-5896.49</v>
      </c>
      <c r="I49" s="186">
        <f t="shared" si="2"/>
        <v>46220.679999999949</v>
      </c>
    </row>
    <row r="50" spans="1:11" hidden="1" x14ac:dyDescent="0.2">
      <c r="A50" s="176">
        <f t="shared" si="0"/>
        <v>43</v>
      </c>
      <c r="B50" s="184">
        <f>+B49+30</f>
        <v>40053</v>
      </c>
      <c r="D50" s="171">
        <v>-5655.84</v>
      </c>
      <c r="G50" s="195">
        <f>ROUND((+I49+E50+(D50/2))*0.0325/12,2)</f>
        <v>117.52</v>
      </c>
      <c r="H50" s="183">
        <f t="shared" si="5"/>
        <v>-5538.32</v>
      </c>
      <c r="I50" s="186">
        <f t="shared" si="2"/>
        <v>40682.35999999995</v>
      </c>
    </row>
    <row r="51" spans="1:11" hidden="1" x14ac:dyDescent="0.2">
      <c r="A51" s="176">
        <f t="shared" si="0"/>
        <v>44</v>
      </c>
      <c r="B51" s="184">
        <f>+B50+30</f>
        <v>40083</v>
      </c>
      <c r="D51" s="171">
        <v>-6051.15</v>
      </c>
      <c r="G51" s="195">
        <f>ROUND((+I50+E51+(D51/2))*0.0325/12,2)</f>
        <v>101.99</v>
      </c>
      <c r="H51" s="183">
        <f t="shared" si="5"/>
        <v>-5949.16</v>
      </c>
      <c r="I51" s="186">
        <f t="shared" si="2"/>
        <v>34733.199999999953</v>
      </c>
    </row>
    <row r="52" spans="1:11" hidden="1" x14ac:dyDescent="0.2">
      <c r="A52" s="176">
        <f t="shared" si="0"/>
        <v>45</v>
      </c>
      <c r="B52" s="184">
        <f>+B51+31</f>
        <v>40114</v>
      </c>
      <c r="D52" s="171">
        <v>-8449.0499999999993</v>
      </c>
      <c r="G52" s="195">
        <f>ROUND((+I51+E52+(D52/2))*0.0325/12,2)</f>
        <v>82.63</v>
      </c>
      <c r="H52" s="183">
        <f t="shared" si="5"/>
        <v>-8366.42</v>
      </c>
      <c r="I52" s="186">
        <f t="shared" si="2"/>
        <v>26366.779999999955</v>
      </c>
    </row>
    <row r="53" spans="1:11" hidden="1" x14ac:dyDescent="0.2">
      <c r="A53" s="176">
        <f t="shared" si="0"/>
        <v>46</v>
      </c>
      <c r="B53" s="184">
        <f>+B52+30</f>
        <v>40144</v>
      </c>
      <c r="D53" s="171">
        <v>-7292.06</v>
      </c>
      <c r="G53" s="195">
        <f>ROUND((+I52+E53+(D53/2))*0.0325/12,2)</f>
        <v>61.54</v>
      </c>
      <c r="H53" s="183">
        <f t="shared" ref="H53:H59" si="6">SUM(D53:G53)</f>
        <v>-7230.52</v>
      </c>
      <c r="I53" s="186">
        <f t="shared" si="2"/>
        <v>19136.259999999955</v>
      </c>
    </row>
    <row r="54" spans="1:11" hidden="1" x14ac:dyDescent="0.2">
      <c r="A54" s="176">
        <f t="shared" si="0"/>
        <v>47</v>
      </c>
      <c r="B54" s="184">
        <f>+B53+30</f>
        <v>40174</v>
      </c>
      <c r="G54" s="195"/>
      <c r="H54" s="183"/>
      <c r="I54" s="186"/>
    </row>
    <row r="55" spans="1:11" hidden="1" x14ac:dyDescent="0.2">
      <c r="A55" s="176">
        <f t="shared" si="0"/>
        <v>48</v>
      </c>
      <c r="B55" s="184"/>
      <c r="C55" s="170" t="s">
        <v>164</v>
      </c>
      <c r="D55" s="171">
        <v>-3563.29</v>
      </c>
      <c r="E55" s="271">
        <v>60396.83</v>
      </c>
      <c r="G55" s="195">
        <f>ROUND((+E55+(D55/2))*0.0325/12,2)</f>
        <v>158.75</v>
      </c>
      <c r="H55" s="183">
        <f t="shared" si="6"/>
        <v>56992.29</v>
      </c>
      <c r="I55" s="186">
        <f>+I53+H55</f>
        <v>76128.549999999959</v>
      </c>
    </row>
    <row r="56" spans="1:11" hidden="1" x14ac:dyDescent="0.2">
      <c r="A56" s="176">
        <f t="shared" si="0"/>
        <v>49</v>
      </c>
      <c r="B56" s="184">
        <f>+B53+31</f>
        <v>40175</v>
      </c>
      <c r="D56" s="171">
        <v>-11781.02</v>
      </c>
      <c r="E56" s="185">
        <v>1200</v>
      </c>
      <c r="G56" s="195">
        <f t="shared" ref="G56:G67" si="7">ROUND((+I55+E56+(D56/2))*0.0325/12,2)</f>
        <v>193.48</v>
      </c>
      <c r="H56" s="183">
        <f t="shared" si="6"/>
        <v>-10387.540000000001</v>
      </c>
      <c r="I56" s="186">
        <f t="shared" si="2"/>
        <v>65741.009999999951</v>
      </c>
    </row>
    <row r="57" spans="1:11" hidden="1" x14ac:dyDescent="0.2">
      <c r="A57" s="176">
        <f t="shared" si="0"/>
        <v>50</v>
      </c>
      <c r="B57" s="184">
        <f>+B56+31</f>
        <v>40206</v>
      </c>
      <c r="D57" s="171">
        <v>-13379.91</v>
      </c>
      <c r="G57" s="195">
        <f t="shared" si="7"/>
        <v>159.93</v>
      </c>
      <c r="H57" s="183">
        <f t="shared" si="6"/>
        <v>-13219.98</v>
      </c>
      <c r="I57" s="186">
        <f t="shared" si="2"/>
        <v>52521.029999999955</v>
      </c>
    </row>
    <row r="58" spans="1:11" hidden="1" x14ac:dyDescent="0.2">
      <c r="A58" s="176">
        <f t="shared" si="0"/>
        <v>51</v>
      </c>
      <c r="B58" s="184">
        <f>+B57+29</f>
        <v>40235</v>
      </c>
      <c r="D58" s="171">
        <v>-9204.7800000000007</v>
      </c>
      <c r="G58" s="195">
        <f t="shared" si="7"/>
        <v>129.78</v>
      </c>
      <c r="H58" s="183">
        <f t="shared" si="6"/>
        <v>-9075</v>
      </c>
      <c r="I58" s="186">
        <f t="shared" si="2"/>
        <v>43446.029999999955</v>
      </c>
    </row>
    <row r="59" spans="1:11" hidden="1" x14ac:dyDescent="0.2">
      <c r="A59" s="176">
        <f t="shared" si="0"/>
        <v>52</v>
      </c>
      <c r="B59" s="184">
        <f>+B58+31</f>
        <v>40266</v>
      </c>
      <c r="D59" s="171">
        <v>-7805.35</v>
      </c>
      <c r="G59" s="195">
        <f t="shared" si="7"/>
        <v>107.1</v>
      </c>
      <c r="H59" s="183">
        <f t="shared" si="6"/>
        <v>-7698.25</v>
      </c>
      <c r="I59" s="186">
        <f t="shared" si="2"/>
        <v>35747.779999999955</v>
      </c>
    </row>
    <row r="60" spans="1:11" hidden="1" x14ac:dyDescent="0.2">
      <c r="A60" s="176">
        <f t="shared" si="0"/>
        <v>53</v>
      </c>
      <c r="B60" s="184">
        <f>+B59+30</f>
        <v>40296</v>
      </c>
      <c r="D60" s="171">
        <v>-7383.21</v>
      </c>
      <c r="G60" s="195">
        <f t="shared" si="7"/>
        <v>86.82</v>
      </c>
      <c r="H60" s="183">
        <f t="shared" ref="H60:H69" si="8">SUM(D60:G60)</f>
        <v>-7296.39</v>
      </c>
      <c r="I60" s="186">
        <f t="shared" si="2"/>
        <v>28451.389999999956</v>
      </c>
    </row>
    <row r="61" spans="1:11" hidden="1" x14ac:dyDescent="0.2">
      <c r="A61" s="176">
        <f t="shared" si="0"/>
        <v>54</v>
      </c>
      <c r="B61" s="184">
        <f>+B60+31</f>
        <v>40327</v>
      </c>
      <c r="D61" s="171">
        <v>-5638.66</v>
      </c>
      <c r="G61" s="195">
        <f t="shared" si="7"/>
        <v>69.42</v>
      </c>
      <c r="H61" s="183">
        <f t="shared" si="8"/>
        <v>-5569.24</v>
      </c>
      <c r="I61" s="186">
        <f t="shared" si="2"/>
        <v>22882.149999999958</v>
      </c>
    </row>
    <row r="62" spans="1:11" hidden="1" x14ac:dyDescent="0.2">
      <c r="A62" s="176">
        <f t="shared" si="0"/>
        <v>55</v>
      </c>
      <c r="B62" s="184">
        <f>+B61+30</f>
        <v>40357</v>
      </c>
      <c r="D62" s="171">
        <v>-4466.12</v>
      </c>
      <c r="G62" s="195">
        <f t="shared" si="7"/>
        <v>55.92</v>
      </c>
      <c r="H62" s="183">
        <f t="shared" si="8"/>
        <v>-4410.2</v>
      </c>
      <c r="I62" s="186">
        <f t="shared" si="2"/>
        <v>18471.949999999957</v>
      </c>
    </row>
    <row r="63" spans="1:11" hidden="1" x14ac:dyDescent="0.2">
      <c r="A63" s="176">
        <f t="shared" si="0"/>
        <v>56</v>
      </c>
      <c r="B63" s="184">
        <f>+B62+31</f>
        <v>40388</v>
      </c>
      <c r="D63" s="171">
        <v>-3202.14</v>
      </c>
      <c r="G63" s="195">
        <f t="shared" si="7"/>
        <v>45.69</v>
      </c>
      <c r="H63" s="183">
        <f t="shared" si="8"/>
        <v>-3156.45</v>
      </c>
      <c r="I63" s="186">
        <f t="shared" si="2"/>
        <v>15315.499999999956</v>
      </c>
      <c r="K63" s="292">
        <v>1</v>
      </c>
    </row>
    <row r="64" spans="1:11" hidden="1" x14ac:dyDescent="0.2">
      <c r="A64" s="176">
        <f t="shared" si="0"/>
        <v>57</v>
      </c>
      <c r="B64" s="184">
        <f>+B63+30</f>
        <v>40418</v>
      </c>
      <c r="D64" s="171">
        <v>-2618.2399999999998</v>
      </c>
      <c r="G64" s="195">
        <f t="shared" si="7"/>
        <v>37.93</v>
      </c>
      <c r="H64" s="183">
        <f t="shared" si="8"/>
        <v>-2580.31</v>
      </c>
      <c r="I64" s="186">
        <f t="shared" si="2"/>
        <v>12735.189999999957</v>
      </c>
      <c r="K64" s="292">
        <f>+K63+7</f>
        <v>8</v>
      </c>
    </row>
    <row r="65" spans="1:12" hidden="1" x14ac:dyDescent="0.2">
      <c r="A65" s="176">
        <f t="shared" si="0"/>
        <v>58</v>
      </c>
      <c r="B65" s="184">
        <f>+B64+30</f>
        <v>40448</v>
      </c>
      <c r="D65" s="171">
        <v>-2850.8599999999992</v>
      </c>
      <c r="G65" s="195">
        <f t="shared" si="7"/>
        <v>30.63</v>
      </c>
      <c r="H65" s="183">
        <f t="shared" si="8"/>
        <v>-2820.2299999999991</v>
      </c>
      <c r="I65" s="186">
        <f t="shared" si="2"/>
        <v>9914.9599999999573</v>
      </c>
      <c r="K65" s="292">
        <f>+K64+7</f>
        <v>15</v>
      </c>
    </row>
    <row r="66" spans="1:12" hidden="1" x14ac:dyDescent="0.2">
      <c r="A66" s="176">
        <f t="shared" si="0"/>
        <v>59</v>
      </c>
      <c r="B66" s="184">
        <f>+B65+31</f>
        <v>40479</v>
      </c>
      <c r="D66" s="171">
        <v>-3486.78</v>
      </c>
      <c r="G66" s="195">
        <f t="shared" si="7"/>
        <v>22.13</v>
      </c>
      <c r="H66" s="183">
        <f t="shared" si="8"/>
        <v>-3464.65</v>
      </c>
      <c r="I66" s="186">
        <f t="shared" si="2"/>
        <v>6450.3099999999577</v>
      </c>
      <c r="K66" s="292">
        <f>+K65+7</f>
        <v>22</v>
      </c>
    </row>
    <row r="67" spans="1:12" hidden="1" x14ac:dyDescent="0.2">
      <c r="A67" s="176">
        <f t="shared" si="0"/>
        <v>60</v>
      </c>
      <c r="B67" s="184">
        <f>+B66+30</f>
        <v>40509</v>
      </c>
      <c r="C67" s="170" t="s">
        <v>165</v>
      </c>
      <c r="D67" s="171">
        <v>-2899.69</v>
      </c>
      <c r="G67" s="195">
        <f t="shared" si="7"/>
        <v>13.54</v>
      </c>
      <c r="H67" s="183">
        <f t="shared" si="8"/>
        <v>-2886.15</v>
      </c>
      <c r="I67" s="186">
        <f t="shared" si="2"/>
        <v>3564.1599999999576</v>
      </c>
    </row>
    <row r="68" spans="1:12" hidden="1" x14ac:dyDescent="0.2">
      <c r="A68" s="176">
        <f t="shared" si="0"/>
        <v>61</v>
      </c>
      <c r="B68" s="184"/>
      <c r="C68" s="170" t="s">
        <v>166</v>
      </c>
      <c r="D68" s="171">
        <v>-33814.769999999997</v>
      </c>
      <c r="E68" s="171">
        <v>1596718.43</v>
      </c>
      <c r="G68" s="293">
        <v>-45.79</v>
      </c>
      <c r="H68" s="183">
        <f t="shared" si="8"/>
        <v>1562857.8699999999</v>
      </c>
      <c r="I68" s="186">
        <f t="shared" si="2"/>
        <v>1566422.0299999998</v>
      </c>
    </row>
    <row r="69" spans="1:12" hidden="1" x14ac:dyDescent="0.2">
      <c r="A69" s="176">
        <f t="shared" si="0"/>
        <v>62</v>
      </c>
      <c r="B69" s="184">
        <f>+B67+31</f>
        <v>40540</v>
      </c>
      <c r="D69" s="171">
        <v>-163693.14000000001</v>
      </c>
      <c r="G69" s="195">
        <f>ROUND((+I68+E69+(D69/2))*0.0325/12,2)</f>
        <v>4020.73</v>
      </c>
      <c r="H69" s="183">
        <f t="shared" si="8"/>
        <v>-159672.41</v>
      </c>
      <c r="I69" s="186">
        <f t="shared" si="2"/>
        <v>1406749.6199999999</v>
      </c>
    </row>
    <row r="70" spans="1:12" hidden="1" x14ac:dyDescent="0.2">
      <c r="A70" s="176">
        <f t="shared" si="0"/>
        <v>63</v>
      </c>
      <c r="B70" s="184">
        <f>+B69+31</f>
        <v>40571</v>
      </c>
      <c r="D70" s="171">
        <v>-193997.29</v>
      </c>
      <c r="F70" s="294">
        <v>3.2500000000000001E-2</v>
      </c>
      <c r="G70" s="195">
        <f>ROUND((+I69+E70+(D70/2))*F70/12,2)</f>
        <v>3547.24</v>
      </c>
      <c r="H70" s="183">
        <f>SUM(D70:E70,G70)</f>
        <v>-190450.05000000002</v>
      </c>
      <c r="I70" s="186">
        <f t="shared" si="2"/>
        <v>1216299.5699999998</v>
      </c>
      <c r="J70" s="295"/>
      <c r="K70" s="292"/>
    </row>
    <row r="71" spans="1:12" hidden="1" x14ac:dyDescent="0.2">
      <c r="A71" s="176">
        <f t="shared" si="0"/>
        <v>64</v>
      </c>
      <c r="B71" s="184">
        <f>+B70+29</f>
        <v>40600</v>
      </c>
      <c r="D71" s="171">
        <v>-153492.57999999999</v>
      </c>
      <c r="F71" s="294">
        <v>3.2500000000000001E-2</v>
      </c>
      <c r="G71" s="195">
        <f t="shared" ref="G71:G80" si="9">ROUND((+I70+E71+(D71/2))*F71/12,2)</f>
        <v>3086.29</v>
      </c>
      <c r="H71" s="183">
        <f t="shared" ref="H71:H131" si="10">SUM(D71:E71,G71)</f>
        <v>-150406.28999999998</v>
      </c>
      <c r="I71" s="186">
        <f t="shared" si="2"/>
        <v>1065893.2799999998</v>
      </c>
      <c r="J71" s="295"/>
    </row>
    <row r="72" spans="1:12" hidden="1" x14ac:dyDescent="0.2">
      <c r="A72" s="176">
        <f t="shared" si="0"/>
        <v>65</v>
      </c>
      <c r="B72" s="184">
        <f>+B71+31</f>
        <v>40631</v>
      </c>
      <c r="D72" s="171">
        <v>-159996.48000000001</v>
      </c>
      <c r="F72" s="294">
        <v>3.2500000000000001E-2</v>
      </c>
      <c r="G72" s="195">
        <f t="shared" si="9"/>
        <v>2670.13</v>
      </c>
      <c r="H72" s="183">
        <f t="shared" si="10"/>
        <v>-157326.35</v>
      </c>
      <c r="I72" s="186">
        <f t="shared" si="2"/>
        <v>908566.92999999982</v>
      </c>
      <c r="J72" s="295"/>
    </row>
    <row r="73" spans="1:12" hidden="1" x14ac:dyDescent="0.2">
      <c r="A73" s="176">
        <f t="shared" ref="A73:A136" si="11">+A72+1</f>
        <v>66</v>
      </c>
      <c r="B73" s="184">
        <f>+B72+30</f>
        <v>40661</v>
      </c>
      <c r="D73" s="171">
        <v>-117984.34</v>
      </c>
      <c r="F73" s="294">
        <v>3.2500000000000001E-2</v>
      </c>
      <c r="G73" s="195">
        <f t="shared" si="9"/>
        <v>2300.9299999999998</v>
      </c>
      <c r="H73" s="183">
        <f t="shared" si="10"/>
        <v>-115683.41</v>
      </c>
      <c r="I73" s="186">
        <f t="shared" si="2"/>
        <v>792883.51999999979</v>
      </c>
      <c r="J73" s="295"/>
    </row>
    <row r="74" spans="1:12" hidden="1" x14ac:dyDescent="0.2">
      <c r="A74" s="176">
        <f t="shared" si="11"/>
        <v>67</v>
      </c>
      <c r="B74" s="184">
        <f>+B73+31</f>
        <v>40692</v>
      </c>
      <c r="D74" s="171">
        <v>-91358.51</v>
      </c>
      <c r="F74" s="294">
        <v>3.2500000000000001E-2</v>
      </c>
      <c r="G74" s="195">
        <f t="shared" si="9"/>
        <v>2023.68</v>
      </c>
      <c r="H74" s="183">
        <f t="shared" si="10"/>
        <v>-89334.83</v>
      </c>
      <c r="I74" s="186">
        <f t="shared" si="2"/>
        <v>703548.68999999983</v>
      </c>
      <c r="J74" s="295"/>
    </row>
    <row r="75" spans="1:12" hidden="1" x14ac:dyDescent="0.2">
      <c r="A75" s="176">
        <f t="shared" si="11"/>
        <v>68</v>
      </c>
      <c r="B75" s="184">
        <f>+B74+30</f>
        <v>40722</v>
      </c>
      <c r="D75" s="171">
        <v>-56048.639999999999</v>
      </c>
      <c r="F75" s="294">
        <v>3.2500000000000001E-2</v>
      </c>
      <c r="G75" s="195">
        <f t="shared" si="9"/>
        <v>1829.55</v>
      </c>
      <c r="H75" s="183">
        <f t="shared" si="10"/>
        <v>-54219.09</v>
      </c>
      <c r="I75" s="186">
        <f t="shared" si="2"/>
        <v>649329.59999999986</v>
      </c>
      <c r="J75" s="295"/>
    </row>
    <row r="76" spans="1:12" hidden="1" x14ac:dyDescent="0.2">
      <c r="A76" s="176">
        <f t="shared" si="11"/>
        <v>69</v>
      </c>
      <c r="B76" s="184">
        <f>+B75+31</f>
        <v>40753</v>
      </c>
      <c r="D76" s="171">
        <v>-37283.749999999993</v>
      </c>
      <c r="F76" s="294">
        <v>3.2500000000000001E-2</v>
      </c>
      <c r="G76" s="195">
        <f t="shared" si="9"/>
        <v>1708.11</v>
      </c>
      <c r="H76" s="183">
        <f t="shared" si="10"/>
        <v>-35575.639999999992</v>
      </c>
      <c r="I76" s="186">
        <f t="shared" si="2"/>
        <v>613753.95999999985</v>
      </c>
      <c r="J76" s="295"/>
    </row>
    <row r="77" spans="1:12" hidden="1" x14ac:dyDescent="0.2">
      <c r="A77" s="176">
        <f t="shared" si="11"/>
        <v>70</v>
      </c>
      <c r="B77" s="184">
        <f>+B76+30</f>
        <v>40783</v>
      </c>
      <c r="D77" s="171">
        <v>-30394.639999999999</v>
      </c>
      <c r="F77" s="294">
        <v>3.2500000000000001E-2</v>
      </c>
      <c r="G77" s="195">
        <f t="shared" si="9"/>
        <v>1621.09</v>
      </c>
      <c r="H77" s="183">
        <f t="shared" si="10"/>
        <v>-28773.55</v>
      </c>
      <c r="I77" s="186">
        <f t="shared" si="2"/>
        <v>584980.4099999998</v>
      </c>
      <c r="J77" s="295"/>
    </row>
    <row r="78" spans="1:12" hidden="1" x14ac:dyDescent="0.2">
      <c r="A78" s="176">
        <f t="shared" si="11"/>
        <v>71</v>
      </c>
      <c r="B78" s="184">
        <f>+B77+30</f>
        <v>40813</v>
      </c>
      <c r="D78" s="171">
        <v>-31586.74</v>
      </c>
      <c r="F78" s="294">
        <v>3.2500000000000001E-2</v>
      </c>
      <c r="G78" s="195">
        <f t="shared" si="9"/>
        <v>1541.55</v>
      </c>
      <c r="H78" s="183">
        <f t="shared" si="10"/>
        <v>-30045.190000000002</v>
      </c>
      <c r="I78" s="186">
        <f t="shared" si="2"/>
        <v>554935.21999999974</v>
      </c>
      <c r="J78" s="295"/>
    </row>
    <row r="79" spans="1:12" hidden="1" x14ac:dyDescent="0.2">
      <c r="A79" s="176">
        <f t="shared" si="11"/>
        <v>72</v>
      </c>
      <c r="B79" s="184">
        <f>+B78+31</f>
        <v>40844</v>
      </c>
      <c r="D79" s="171">
        <v>-42391.76</v>
      </c>
      <c r="F79" s="294">
        <v>3.2500000000000001E-2</v>
      </c>
      <c r="G79" s="195">
        <f t="shared" si="9"/>
        <v>1445.54</v>
      </c>
      <c r="H79" s="183">
        <f t="shared" si="10"/>
        <v>-40946.22</v>
      </c>
      <c r="I79" s="186">
        <f t="shared" si="2"/>
        <v>513988.99999999977</v>
      </c>
      <c r="J79" s="295"/>
    </row>
    <row r="80" spans="1:12" hidden="1" x14ac:dyDescent="0.2">
      <c r="A80" s="176">
        <f t="shared" si="11"/>
        <v>73</v>
      </c>
      <c r="B80" s="184">
        <f>+B79+30</f>
        <v>40874</v>
      </c>
      <c r="C80" s="170" t="s">
        <v>165</v>
      </c>
      <c r="D80" s="171">
        <v>-50646.140000000007</v>
      </c>
      <c r="F80" s="294">
        <v>3.2500000000000001E-2</v>
      </c>
      <c r="G80" s="195">
        <f t="shared" si="9"/>
        <v>1323.47</v>
      </c>
      <c r="H80" s="183">
        <f t="shared" si="10"/>
        <v>-49322.670000000006</v>
      </c>
      <c r="I80" s="186">
        <f t="shared" ref="I80:I143" si="12">+I79+H80</f>
        <v>464666.32999999978</v>
      </c>
      <c r="J80" s="295"/>
      <c r="L80" s="203"/>
    </row>
    <row r="81" spans="1:10" hidden="1" x14ac:dyDescent="0.2">
      <c r="A81" s="176">
        <f t="shared" si="11"/>
        <v>74</v>
      </c>
      <c r="B81" s="184"/>
      <c r="C81" s="170" t="s">
        <v>166</v>
      </c>
      <c r="D81" s="171">
        <v>-18581.710000000003</v>
      </c>
      <c r="E81" s="296">
        <v>10594.61</v>
      </c>
      <c r="F81" s="294">
        <v>3.2500000000000001E-2</v>
      </c>
      <c r="G81" s="219">
        <f>ROUND((+E81+(D81/2))*F81/12,2)</f>
        <v>3.53</v>
      </c>
      <c r="H81" s="183">
        <f t="shared" si="10"/>
        <v>-7983.5700000000024</v>
      </c>
      <c r="I81" s="186">
        <f t="shared" si="12"/>
        <v>456682.75999999978</v>
      </c>
      <c r="J81" s="295"/>
    </row>
    <row r="82" spans="1:10" hidden="1" x14ac:dyDescent="0.2">
      <c r="A82" s="176">
        <f t="shared" si="11"/>
        <v>75</v>
      </c>
      <c r="B82" s="184">
        <f>+B80+31</f>
        <v>40905</v>
      </c>
      <c r="D82" s="171">
        <v>-78990.070000000007</v>
      </c>
      <c r="F82" s="294">
        <v>3.2500000000000001E-2</v>
      </c>
      <c r="G82" s="195">
        <f t="shared" ref="G82:G92" si="13">ROUND((+I81+E82+(D82/2))*F82/12,2)</f>
        <v>1129.8800000000001</v>
      </c>
      <c r="H82" s="183">
        <f t="shared" si="10"/>
        <v>-77860.19</v>
      </c>
      <c r="I82" s="186">
        <f t="shared" si="12"/>
        <v>378822.56999999977</v>
      </c>
      <c r="J82" s="295"/>
    </row>
    <row r="83" spans="1:10" hidden="1" x14ac:dyDescent="0.2">
      <c r="A83" s="176">
        <f t="shared" si="11"/>
        <v>76</v>
      </c>
      <c r="B83" s="170">
        <f>+B82+31</f>
        <v>40936</v>
      </c>
      <c r="D83" s="171">
        <v>-87387.42</v>
      </c>
      <c r="F83" s="294">
        <v>3.2500000000000001E-2</v>
      </c>
      <c r="G83" s="195">
        <f t="shared" si="13"/>
        <v>907.64</v>
      </c>
      <c r="H83" s="183">
        <f t="shared" si="10"/>
        <v>-86479.78</v>
      </c>
      <c r="I83" s="186">
        <f t="shared" si="12"/>
        <v>292342.7899999998</v>
      </c>
      <c r="J83" s="295"/>
    </row>
    <row r="84" spans="1:10" hidden="1" x14ac:dyDescent="0.2">
      <c r="A84" s="176">
        <f t="shared" si="11"/>
        <v>77</v>
      </c>
      <c r="B84" s="170">
        <f>+B83+29</f>
        <v>40965</v>
      </c>
      <c r="D84" s="171">
        <v>-72643.399999999994</v>
      </c>
      <c r="F84" s="294">
        <v>3.2500000000000001E-2</v>
      </c>
      <c r="G84" s="195">
        <f t="shared" si="13"/>
        <v>693.39</v>
      </c>
      <c r="H84" s="183">
        <f t="shared" si="10"/>
        <v>-71950.009999999995</v>
      </c>
      <c r="I84" s="186">
        <f t="shared" si="12"/>
        <v>220392.7799999998</v>
      </c>
      <c r="J84" s="295"/>
    </row>
    <row r="85" spans="1:10" hidden="1" x14ac:dyDescent="0.2">
      <c r="A85" s="176">
        <f t="shared" si="11"/>
        <v>78</v>
      </c>
      <c r="B85" s="170">
        <f>+B84+31</f>
        <v>40996</v>
      </c>
      <c r="D85" s="171">
        <v>-68556.159999999989</v>
      </c>
      <c r="F85" s="294">
        <v>3.2500000000000001E-2</v>
      </c>
      <c r="G85" s="195">
        <f t="shared" si="13"/>
        <v>504.06</v>
      </c>
      <c r="H85" s="183">
        <f t="shared" si="10"/>
        <v>-68052.099999999991</v>
      </c>
      <c r="I85" s="186">
        <f t="shared" si="12"/>
        <v>152340.67999999982</v>
      </c>
      <c r="J85" s="295"/>
    </row>
    <row r="86" spans="1:10" hidden="1" x14ac:dyDescent="0.2">
      <c r="A86" s="176">
        <f t="shared" si="11"/>
        <v>79</v>
      </c>
      <c r="B86" s="170">
        <f>+B85+30</f>
        <v>41026</v>
      </c>
      <c r="D86" s="171">
        <v>-53007.990000000005</v>
      </c>
      <c r="F86" s="294">
        <v>3.2500000000000001E-2</v>
      </c>
      <c r="G86" s="195">
        <v>340.83</v>
      </c>
      <c r="H86" s="183">
        <f t="shared" si="10"/>
        <v>-52667.16</v>
      </c>
      <c r="I86" s="186">
        <f t="shared" si="12"/>
        <v>99673.519999999815</v>
      </c>
      <c r="J86" s="295"/>
    </row>
    <row r="87" spans="1:10" hidden="1" x14ac:dyDescent="0.2">
      <c r="A87" s="176">
        <f t="shared" si="11"/>
        <v>80</v>
      </c>
      <c r="B87" s="170">
        <f>+B86+31</f>
        <v>41057</v>
      </c>
      <c r="D87" s="171">
        <v>-31902.640000000007</v>
      </c>
      <c r="F87" s="294">
        <v>3.2500000000000001E-2</v>
      </c>
      <c r="G87" s="195">
        <f t="shared" si="13"/>
        <v>226.75</v>
      </c>
      <c r="H87" s="183">
        <f t="shared" si="10"/>
        <v>-31675.890000000007</v>
      </c>
      <c r="I87" s="186">
        <f t="shared" si="12"/>
        <v>67997.629999999801</v>
      </c>
    </row>
    <row r="88" spans="1:10" hidden="1" x14ac:dyDescent="0.2">
      <c r="A88" s="176">
        <f t="shared" si="11"/>
        <v>81</v>
      </c>
      <c r="B88" s="170">
        <f>+B87+30</f>
        <v>41087</v>
      </c>
      <c r="C88" s="200">
        <v>2</v>
      </c>
      <c r="D88" s="171">
        <v>-22747.750000000004</v>
      </c>
      <c r="E88" s="171">
        <v>7.75</v>
      </c>
      <c r="F88" s="294">
        <v>3.2500000000000001E-2</v>
      </c>
      <c r="G88" s="195">
        <f t="shared" si="13"/>
        <v>153.38</v>
      </c>
      <c r="H88" s="183">
        <f t="shared" si="10"/>
        <v>-22586.620000000003</v>
      </c>
      <c r="I88" s="186">
        <f t="shared" si="12"/>
        <v>45411.009999999798</v>
      </c>
    </row>
    <row r="89" spans="1:10" hidden="1" x14ac:dyDescent="0.2">
      <c r="A89" s="176">
        <f t="shared" si="11"/>
        <v>82</v>
      </c>
      <c r="B89" s="170">
        <f>+B88+31</f>
        <v>41118</v>
      </c>
      <c r="D89" s="171">
        <v>-16925.54</v>
      </c>
      <c r="F89" s="294">
        <v>3.2500000000000001E-2</v>
      </c>
      <c r="G89" s="195">
        <f>ROUND((+I88+E89+(D89/2))*F89/12,2)</f>
        <v>100.07</v>
      </c>
      <c r="H89" s="183">
        <f t="shared" si="10"/>
        <v>-16825.47</v>
      </c>
      <c r="I89" s="186">
        <f t="shared" si="12"/>
        <v>28585.539999999797</v>
      </c>
    </row>
    <row r="90" spans="1:10" hidden="1" x14ac:dyDescent="0.2">
      <c r="A90" s="176">
        <f t="shared" si="11"/>
        <v>83</v>
      </c>
      <c r="B90" s="170">
        <f>+B89+31</f>
        <v>41149</v>
      </c>
      <c r="D90" s="171">
        <v>-13444.309999999998</v>
      </c>
      <c r="F90" s="294">
        <v>3.2500000000000001E-2</v>
      </c>
      <c r="G90" s="195">
        <f t="shared" si="13"/>
        <v>59.21</v>
      </c>
      <c r="H90" s="183">
        <f t="shared" si="10"/>
        <v>-13385.099999999999</v>
      </c>
      <c r="I90" s="186">
        <f t="shared" si="12"/>
        <v>15200.439999999799</v>
      </c>
    </row>
    <row r="91" spans="1:10" hidden="1" x14ac:dyDescent="0.2">
      <c r="A91" s="176">
        <f t="shared" si="11"/>
        <v>84</v>
      </c>
      <c r="B91" s="170">
        <f>+B90+30</f>
        <v>41179</v>
      </c>
      <c r="D91" s="171">
        <v>-14392.39</v>
      </c>
      <c r="F91" s="294">
        <v>3.2500000000000001E-2</v>
      </c>
      <c r="G91" s="195">
        <f t="shared" si="13"/>
        <v>21.68</v>
      </c>
      <c r="H91" s="183">
        <f t="shared" si="10"/>
        <v>-14370.71</v>
      </c>
      <c r="I91" s="186">
        <f t="shared" si="12"/>
        <v>829.72999999979947</v>
      </c>
    </row>
    <row r="92" spans="1:10" hidden="1" x14ac:dyDescent="0.2">
      <c r="A92" s="176">
        <f t="shared" si="11"/>
        <v>85</v>
      </c>
      <c r="B92" s="170">
        <f>+B91+31</f>
        <v>41210</v>
      </c>
      <c r="D92" s="171">
        <v>-18989.110000000004</v>
      </c>
      <c r="F92" s="294">
        <v>3.2500000000000001E-2</v>
      </c>
      <c r="G92" s="195">
        <f t="shared" si="13"/>
        <v>-23.47</v>
      </c>
      <c r="H92" s="183">
        <f t="shared" si="10"/>
        <v>-19012.580000000005</v>
      </c>
      <c r="I92" s="186">
        <f t="shared" si="12"/>
        <v>-18182.850000000206</v>
      </c>
    </row>
    <row r="93" spans="1:10" hidden="1" x14ac:dyDescent="0.2">
      <c r="A93" s="176">
        <f t="shared" si="11"/>
        <v>86</v>
      </c>
      <c r="B93" s="170">
        <f>+B92+30</f>
        <v>41240</v>
      </c>
      <c r="C93" s="170" t="s">
        <v>165</v>
      </c>
      <c r="D93" s="171">
        <v>-20786.910000000003</v>
      </c>
      <c r="F93" s="294">
        <v>3.2500000000000001E-2</v>
      </c>
      <c r="G93" s="195">
        <f>ROUND((+I92+E93+(D93/2))*F93/12,2)</f>
        <v>-77.39</v>
      </c>
      <c r="H93" s="183">
        <f t="shared" si="10"/>
        <v>-20864.300000000003</v>
      </c>
      <c r="I93" s="186">
        <f t="shared" si="12"/>
        <v>-39047.150000000212</v>
      </c>
    </row>
    <row r="94" spans="1:10" hidden="1" x14ac:dyDescent="0.2">
      <c r="A94" s="176">
        <f t="shared" si="11"/>
        <v>87</v>
      </c>
      <c r="B94" s="170">
        <f>+B93</f>
        <v>41240</v>
      </c>
      <c r="C94" s="170" t="s">
        <v>166</v>
      </c>
      <c r="D94" s="171">
        <v>-21327.45</v>
      </c>
      <c r="E94" s="171">
        <f>-'[2]186310 Energy Eff General'!E64-'[2]186312 Energy Eff Res &amp; Comm'!E89-0.02</f>
        <v>726389.02249999985</v>
      </c>
      <c r="F94" s="294">
        <v>3.2500000000000001E-2</v>
      </c>
      <c r="G94" s="219">
        <f>ROUND((+E94+(D94/2))*F94/12,2)</f>
        <v>1938.42</v>
      </c>
      <c r="H94" s="183">
        <f t="shared" si="10"/>
        <v>706999.99249999993</v>
      </c>
      <c r="I94" s="186">
        <f t="shared" si="12"/>
        <v>667952.84249999968</v>
      </c>
    </row>
    <row r="95" spans="1:10" hidden="1" x14ac:dyDescent="0.2">
      <c r="A95" s="176">
        <f t="shared" si="11"/>
        <v>88</v>
      </c>
      <c r="B95" s="170">
        <f>+B94+31</f>
        <v>41271</v>
      </c>
      <c r="D95" s="171">
        <v>-91683.83</v>
      </c>
      <c r="F95" s="294">
        <v>3.2500000000000001E-2</v>
      </c>
      <c r="G95" s="195">
        <f t="shared" ref="G95:G106" si="14">ROUND((+I94+E95+(D95/2))*F95/12,2)</f>
        <v>1684.88</v>
      </c>
      <c r="H95" s="183">
        <f t="shared" si="10"/>
        <v>-89998.95</v>
      </c>
      <c r="I95" s="186">
        <f t="shared" si="12"/>
        <v>577953.89249999973</v>
      </c>
    </row>
    <row r="96" spans="1:10" hidden="1" x14ac:dyDescent="0.2">
      <c r="A96" s="176">
        <f t="shared" si="11"/>
        <v>89</v>
      </c>
      <c r="B96" s="202">
        <f>+B95+31</f>
        <v>41302</v>
      </c>
      <c r="D96" s="171">
        <v>-138325.83000000002</v>
      </c>
      <c r="F96" s="294">
        <v>3.2500000000000001E-2</v>
      </c>
      <c r="G96" s="195">
        <f t="shared" si="14"/>
        <v>1377.98</v>
      </c>
      <c r="H96" s="183">
        <f t="shared" si="10"/>
        <v>-136947.85</v>
      </c>
      <c r="I96" s="186">
        <f t="shared" si="12"/>
        <v>441006.04249999975</v>
      </c>
    </row>
    <row r="97" spans="1:9" hidden="1" x14ac:dyDescent="0.2">
      <c r="A97" s="176">
        <f t="shared" si="11"/>
        <v>90</v>
      </c>
      <c r="B97" s="184">
        <f>+B96+28</f>
        <v>41330</v>
      </c>
      <c r="D97" s="171">
        <v>-111726.65</v>
      </c>
      <c r="F97" s="294">
        <v>3.2500000000000001E-2</v>
      </c>
      <c r="G97" s="195">
        <f t="shared" si="14"/>
        <v>1043.0899999999999</v>
      </c>
      <c r="H97" s="183">
        <f t="shared" si="10"/>
        <v>-110683.56</v>
      </c>
      <c r="I97" s="186">
        <f t="shared" si="12"/>
        <v>330322.48249999975</v>
      </c>
    </row>
    <row r="98" spans="1:9" hidden="1" x14ac:dyDescent="0.2">
      <c r="A98" s="176">
        <f t="shared" si="11"/>
        <v>91</v>
      </c>
      <c r="B98" s="184">
        <f>+B97+31</f>
        <v>41361</v>
      </c>
      <c r="D98" s="304">
        <v>-87272.7</v>
      </c>
      <c r="F98" s="294">
        <v>3.2500000000000001E-2</v>
      </c>
      <c r="G98" s="195">
        <f t="shared" si="14"/>
        <v>776.44</v>
      </c>
      <c r="H98" s="183">
        <f t="shared" si="10"/>
        <v>-86496.26</v>
      </c>
      <c r="I98" s="186">
        <f t="shared" si="12"/>
        <v>243826.22249999974</v>
      </c>
    </row>
    <row r="99" spans="1:9" hidden="1" x14ac:dyDescent="0.2">
      <c r="A99" s="176">
        <f t="shared" si="11"/>
        <v>92</v>
      </c>
      <c r="B99" s="170">
        <f>+B98+30</f>
        <v>41391</v>
      </c>
      <c r="D99" s="304">
        <v>-61931.170000000006</v>
      </c>
      <c r="F99" s="294">
        <v>3.2500000000000001E-2</v>
      </c>
      <c r="G99" s="195">
        <f t="shared" si="14"/>
        <v>576.5</v>
      </c>
      <c r="H99" s="183">
        <f t="shared" si="10"/>
        <v>-61354.670000000006</v>
      </c>
      <c r="I99" s="186">
        <f t="shared" si="12"/>
        <v>182471.55249999973</v>
      </c>
    </row>
    <row r="100" spans="1:9" hidden="1" x14ac:dyDescent="0.2">
      <c r="A100" s="176">
        <f t="shared" si="11"/>
        <v>93</v>
      </c>
      <c r="B100" s="170">
        <f>+B99+31</f>
        <v>41422</v>
      </c>
      <c r="D100" s="304">
        <v>-40964.120000000003</v>
      </c>
      <c r="F100" s="294">
        <v>3.2500000000000001E-2</v>
      </c>
      <c r="G100" s="195">
        <f t="shared" si="14"/>
        <v>438.72</v>
      </c>
      <c r="H100" s="183">
        <f t="shared" si="10"/>
        <v>-40525.4</v>
      </c>
      <c r="I100" s="186">
        <f t="shared" si="12"/>
        <v>141946.15249999973</v>
      </c>
    </row>
    <row r="101" spans="1:9" hidden="1" x14ac:dyDescent="0.2">
      <c r="A101" s="176">
        <f t="shared" si="11"/>
        <v>94</v>
      </c>
      <c r="B101" s="170">
        <f>+B100+30</f>
        <v>41452</v>
      </c>
      <c r="D101" s="171">
        <v>-31985.45</v>
      </c>
      <c r="F101" s="294">
        <v>3.2500000000000001E-2</v>
      </c>
      <c r="G101" s="195">
        <f t="shared" si="14"/>
        <v>341.12</v>
      </c>
      <c r="H101" s="183">
        <f t="shared" si="10"/>
        <v>-31644.33</v>
      </c>
      <c r="I101" s="186">
        <f t="shared" si="12"/>
        <v>110301.82249999973</v>
      </c>
    </row>
    <row r="102" spans="1:9" hidden="1" x14ac:dyDescent="0.2">
      <c r="A102" s="176">
        <f t="shared" si="11"/>
        <v>95</v>
      </c>
      <c r="B102" s="170">
        <f>+B101+31</f>
        <v>41483</v>
      </c>
      <c r="C102" s="297"/>
      <c r="D102" s="171">
        <v>-22754.320000000003</v>
      </c>
      <c r="F102" s="294">
        <v>3.2500000000000001E-2</v>
      </c>
      <c r="G102" s="195">
        <f t="shared" si="14"/>
        <v>267.92</v>
      </c>
      <c r="H102" s="183">
        <f t="shared" si="10"/>
        <v>-22486.400000000005</v>
      </c>
      <c r="I102" s="186">
        <f t="shared" si="12"/>
        <v>87815.422499999724</v>
      </c>
    </row>
    <row r="103" spans="1:9" hidden="1" x14ac:dyDescent="0.2">
      <c r="A103" s="176">
        <f t="shared" si="11"/>
        <v>96</v>
      </c>
      <c r="B103" s="170">
        <f>+B102+31</f>
        <v>41514</v>
      </c>
      <c r="C103" s="297"/>
      <c r="D103" s="171">
        <v>-19697.200000000004</v>
      </c>
      <c r="F103" s="294">
        <v>3.2500000000000001E-2</v>
      </c>
      <c r="G103" s="195">
        <f t="shared" si="14"/>
        <v>211.16</v>
      </c>
      <c r="H103" s="183">
        <f t="shared" si="10"/>
        <v>-19486.040000000005</v>
      </c>
      <c r="I103" s="186">
        <f t="shared" si="12"/>
        <v>68329.382499999716</v>
      </c>
    </row>
    <row r="104" spans="1:9" hidden="1" x14ac:dyDescent="0.2">
      <c r="A104" s="176">
        <f t="shared" si="11"/>
        <v>97</v>
      </c>
      <c r="B104" s="170">
        <f>+B103+30</f>
        <v>41544</v>
      </c>
      <c r="C104" s="297"/>
      <c r="D104" s="171">
        <v>-19953.990000000002</v>
      </c>
      <c r="F104" s="294">
        <v>3.2500000000000001E-2</v>
      </c>
      <c r="G104" s="195">
        <f t="shared" si="14"/>
        <v>158.04</v>
      </c>
      <c r="H104" s="183">
        <f t="shared" si="10"/>
        <v>-19795.95</v>
      </c>
      <c r="I104" s="186">
        <f t="shared" si="12"/>
        <v>48533.432499999719</v>
      </c>
    </row>
    <row r="105" spans="1:9" hidden="1" x14ac:dyDescent="0.2">
      <c r="A105" s="176">
        <f t="shared" si="11"/>
        <v>98</v>
      </c>
      <c r="B105" s="170">
        <f>+B104+31</f>
        <v>41575</v>
      </c>
      <c r="C105" s="297"/>
      <c r="D105" s="171">
        <v>-37676.040000000015</v>
      </c>
      <c r="F105" s="294">
        <v>3.2500000000000001E-2</v>
      </c>
      <c r="G105" s="195">
        <f t="shared" si="14"/>
        <v>80.430000000000007</v>
      </c>
      <c r="H105" s="183">
        <f t="shared" si="10"/>
        <v>-37595.610000000015</v>
      </c>
      <c r="I105" s="186">
        <f t="shared" si="12"/>
        <v>10937.822499999704</v>
      </c>
    </row>
    <row r="106" spans="1:9" hidden="1" x14ac:dyDescent="0.2">
      <c r="A106" s="176">
        <f t="shared" si="11"/>
        <v>99</v>
      </c>
      <c r="B106" s="170">
        <f>+B105+30</f>
        <v>41605</v>
      </c>
      <c r="C106" s="170" t="s">
        <v>165</v>
      </c>
      <c r="D106" s="171">
        <v>-33648.310000000005</v>
      </c>
      <c r="E106" s="170"/>
      <c r="F106" s="294">
        <v>3.2500000000000001E-2</v>
      </c>
      <c r="G106" s="195">
        <f t="shared" si="14"/>
        <v>-15.94</v>
      </c>
      <c r="H106" s="183">
        <f t="shared" si="10"/>
        <v>-33664.250000000007</v>
      </c>
      <c r="I106" s="186">
        <f t="shared" si="12"/>
        <v>-22726.427500000304</v>
      </c>
    </row>
    <row r="107" spans="1:9" hidden="1" x14ac:dyDescent="0.2">
      <c r="A107" s="176">
        <f t="shared" si="11"/>
        <v>100</v>
      </c>
      <c r="B107" s="170">
        <f>+B106</f>
        <v>41605</v>
      </c>
      <c r="C107" s="170" t="s">
        <v>166</v>
      </c>
      <c r="D107" s="171">
        <v>-43485.099999999991</v>
      </c>
      <c r="E107" s="171">
        <f>-'[2]186310 Energy Eff General'!E76-'[2]186312 Energy Eff Res &amp; Comm'!E101</f>
        <v>1332050.1199999994</v>
      </c>
      <c r="F107" s="294">
        <v>3.2500000000000001E-2</v>
      </c>
      <c r="G107" s="298">
        <f>ROUND((E107+(D107/2))*F107/12,2)</f>
        <v>3548.75</v>
      </c>
      <c r="H107" s="183">
        <f t="shared" si="10"/>
        <v>1292113.7699999993</v>
      </c>
      <c r="I107" s="186">
        <f t="shared" si="12"/>
        <v>1269387.3424999991</v>
      </c>
    </row>
    <row r="108" spans="1:9" hidden="1" x14ac:dyDescent="0.2">
      <c r="A108" s="176">
        <f t="shared" si="11"/>
        <v>101</v>
      </c>
      <c r="B108" s="170">
        <f>+B106+31</f>
        <v>41636</v>
      </c>
      <c r="C108" s="297"/>
      <c r="D108" s="171">
        <v>-230115.94999999998</v>
      </c>
      <c r="F108" s="294">
        <v>3.2500000000000001E-2</v>
      </c>
      <c r="G108" s="195">
        <f t="shared" ref="G108:G118" si="15">ROUND((+I107+E108+(D108/2))*F108/12,2)</f>
        <v>3126.31</v>
      </c>
      <c r="H108" s="183">
        <f t="shared" si="10"/>
        <v>-226989.63999999998</v>
      </c>
      <c r="I108" s="186">
        <f t="shared" si="12"/>
        <v>1042397.7024999991</v>
      </c>
    </row>
    <row r="109" spans="1:9" hidden="1" x14ac:dyDescent="0.2">
      <c r="A109" s="176">
        <f t="shared" si="11"/>
        <v>102</v>
      </c>
      <c r="B109" s="202">
        <f>+B108+31</f>
        <v>41667</v>
      </c>
      <c r="C109" s="297"/>
      <c r="D109" s="171">
        <v>-252463.95</v>
      </c>
      <c r="F109" s="294">
        <v>3.2500000000000001E-2</v>
      </c>
      <c r="G109" s="195">
        <f t="shared" si="15"/>
        <v>2481.2800000000002</v>
      </c>
      <c r="H109" s="183">
        <f t="shared" si="10"/>
        <v>-249982.67</v>
      </c>
      <c r="I109" s="186">
        <f t="shared" si="12"/>
        <v>792415.03249999904</v>
      </c>
    </row>
    <row r="110" spans="1:9" hidden="1" x14ac:dyDescent="0.2">
      <c r="A110" s="176">
        <f t="shared" si="11"/>
        <v>103</v>
      </c>
      <c r="B110" s="184">
        <f>+B109+28</f>
        <v>41695</v>
      </c>
      <c r="C110" s="297"/>
      <c r="D110" s="171">
        <v>-232258.92000000004</v>
      </c>
      <c r="F110" s="294">
        <v>3.2500000000000001E-2</v>
      </c>
      <c r="G110" s="195">
        <f t="shared" si="15"/>
        <v>1831.61</v>
      </c>
      <c r="H110" s="183">
        <f t="shared" si="10"/>
        <v>-230427.31000000006</v>
      </c>
      <c r="I110" s="186">
        <f t="shared" si="12"/>
        <v>561987.72249999898</v>
      </c>
    </row>
    <row r="111" spans="1:9" hidden="1" x14ac:dyDescent="0.2">
      <c r="A111" s="176">
        <f t="shared" si="11"/>
        <v>104</v>
      </c>
      <c r="B111" s="184">
        <f>+B110+31</f>
        <v>41726</v>
      </c>
      <c r="C111" s="297"/>
      <c r="D111" s="171">
        <v>-165895.07999999996</v>
      </c>
      <c r="F111" s="294">
        <v>3.2500000000000001E-2</v>
      </c>
      <c r="G111" s="195">
        <f t="shared" si="15"/>
        <v>1297.4000000000001</v>
      </c>
      <c r="H111" s="183">
        <f t="shared" si="10"/>
        <v>-164597.67999999996</v>
      </c>
      <c r="I111" s="186">
        <f t="shared" si="12"/>
        <v>397390.04249999905</v>
      </c>
    </row>
    <row r="112" spans="1:9" hidden="1" x14ac:dyDescent="0.2">
      <c r="A112" s="176">
        <f t="shared" si="11"/>
        <v>105</v>
      </c>
      <c r="B112" s="170">
        <f>+B111+30</f>
        <v>41756</v>
      </c>
      <c r="C112" s="297"/>
      <c r="D112" s="171">
        <v>-115127.30000000002</v>
      </c>
      <c r="F112" s="294">
        <v>3.2500000000000001E-2</v>
      </c>
      <c r="G112" s="195">
        <f t="shared" si="15"/>
        <v>920.36</v>
      </c>
      <c r="H112" s="183">
        <f t="shared" si="10"/>
        <v>-114206.94000000002</v>
      </c>
      <c r="I112" s="186">
        <f t="shared" si="12"/>
        <v>283183.10249999905</v>
      </c>
    </row>
    <row r="113" spans="1:12" hidden="1" x14ac:dyDescent="0.2">
      <c r="A113" s="176">
        <f t="shared" si="11"/>
        <v>106</v>
      </c>
      <c r="B113" s="170">
        <f>+B112+31</f>
        <v>41787</v>
      </c>
      <c r="C113" s="297"/>
      <c r="D113" s="171">
        <v>-75738.7</v>
      </c>
      <c r="F113" s="294">
        <v>3.2500000000000001E-2</v>
      </c>
      <c r="G113" s="195">
        <f t="shared" si="15"/>
        <v>664.39</v>
      </c>
      <c r="H113" s="183">
        <f t="shared" si="10"/>
        <v>-75074.31</v>
      </c>
      <c r="I113" s="186">
        <f t="shared" si="12"/>
        <v>208108.79249999905</v>
      </c>
    </row>
    <row r="114" spans="1:12" hidden="1" x14ac:dyDescent="0.2">
      <c r="A114" s="176">
        <f t="shared" si="11"/>
        <v>107</v>
      </c>
      <c r="B114" s="170">
        <f>+B113+30</f>
        <v>41817</v>
      </c>
      <c r="C114" s="297"/>
      <c r="D114" s="171">
        <v>-50575.93</v>
      </c>
      <c r="F114" s="294">
        <v>3.2500000000000001E-2</v>
      </c>
      <c r="G114" s="195">
        <f t="shared" si="15"/>
        <v>495.14</v>
      </c>
      <c r="H114" s="183">
        <f t="shared" si="10"/>
        <v>-50080.79</v>
      </c>
      <c r="I114" s="186">
        <f t="shared" si="12"/>
        <v>158028.00249999904</v>
      </c>
    </row>
    <row r="115" spans="1:12" hidden="1" x14ac:dyDescent="0.2">
      <c r="A115" s="176">
        <f t="shared" si="11"/>
        <v>108</v>
      </c>
      <c r="B115" s="170">
        <f>+B114+31</f>
        <v>41848</v>
      </c>
      <c r="C115" s="297"/>
      <c r="D115" s="171">
        <v>-44171.709999999992</v>
      </c>
      <c r="F115" s="294">
        <v>3.2500000000000001E-2</v>
      </c>
      <c r="G115" s="195">
        <f t="shared" si="15"/>
        <v>368.18</v>
      </c>
      <c r="H115" s="183">
        <f t="shared" si="10"/>
        <v>-43803.529999999992</v>
      </c>
      <c r="I115" s="186">
        <f t="shared" si="12"/>
        <v>114224.47249999904</v>
      </c>
    </row>
    <row r="116" spans="1:12" hidden="1" x14ac:dyDescent="0.2">
      <c r="A116" s="176">
        <f t="shared" si="11"/>
        <v>109</v>
      </c>
      <c r="B116" s="170">
        <f>+B115+31</f>
        <v>41879</v>
      </c>
      <c r="C116" s="297"/>
      <c r="D116" s="171">
        <v>-35563.72</v>
      </c>
      <c r="F116" s="294">
        <v>3.2500000000000001E-2</v>
      </c>
      <c r="G116" s="195">
        <f t="shared" si="15"/>
        <v>261.2</v>
      </c>
      <c r="H116" s="183">
        <f t="shared" si="10"/>
        <v>-35302.520000000004</v>
      </c>
      <c r="I116" s="186">
        <f t="shared" si="12"/>
        <v>78921.952499999039</v>
      </c>
    </row>
    <row r="117" spans="1:12" hidden="1" x14ac:dyDescent="0.2">
      <c r="A117" s="176">
        <f t="shared" si="11"/>
        <v>110</v>
      </c>
      <c r="B117" s="170">
        <f>+B116+30</f>
        <v>41909</v>
      </c>
      <c r="C117" s="297"/>
      <c r="D117" s="171">
        <v>-37102.329999999994</v>
      </c>
      <c r="F117" s="294">
        <v>3.2500000000000001E-2</v>
      </c>
      <c r="G117" s="195">
        <f t="shared" si="15"/>
        <v>163.5</v>
      </c>
      <c r="H117" s="183">
        <f t="shared" si="10"/>
        <v>-36938.829999999994</v>
      </c>
      <c r="I117" s="186">
        <f t="shared" si="12"/>
        <v>41983.122499999045</v>
      </c>
    </row>
    <row r="118" spans="1:12" hidden="1" x14ac:dyDescent="0.2">
      <c r="A118" s="176">
        <f t="shared" si="11"/>
        <v>111</v>
      </c>
      <c r="B118" s="170">
        <f>+B117+31</f>
        <v>41940</v>
      </c>
      <c r="C118" s="297"/>
      <c r="D118" s="171">
        <v>-43432.08</v>
      </c>
      <c r="F118" s="294">
        <v>3.2500000000000001E-2</v>
      </c>
      <c r="G118" s="195">
        <f t="shared" si="15"/>
        <v>54.89</v>
      </c>
      <c r="H118" s="183">
        <f t="shared" si="10"/>
        <v>-43377.19</v>
      </c>
      <c r="I118" s="186">
        <f t="shared" si="12"/>
        <v>-1394.0675000009578</v>
      </c>
    </row>
    <row r="119" spans="1:12" hidden="1" collapsed="1" x14ac:dyDescent="0.2">
      <c r="A119" s="176">
        <f t="shared" si="11"/>
        <v>112</v>
      </c>
      <c r="B119" s="170">
        <f>+B118+30</f>
        <v>41970</v>
      </c>
      <c r="C119" s="170" t="s">
        <v>165</v>
      </c>
      <c r="D119" s="171">
        <v>-49338.2</v>
      </c>
      <c r="E119" s="170"/>
      <c r="F119" s="294">
        <v>3.2500000000000001E-2</v>
      </c>
      <c r="G119" s="195">
        <f>ROUND((+I118+E119+(D119/2))*F119/12,2)</f>
        <v>-70.59</v>
      </c>
      <c r="H119" s="183">
        <f t="shared" si="10"/>
        <v>-49408.789999999994</v>
      </c>
      <c r="I119" s="186">
        <f t="shared" si="12"/>
        <v>-50802.857500000951</v>
      </c>
    </row>
    <row r="120" spans="1:12" hidden="1" x14ac:dyDescent="0.2">
      <c r="A120" s="176">
        <f t="shared" si="11"/>
        <v>113</v>
      </c>
      <c r="B120" s="170">
        <f>+B119</f>
        <v>41970</v>
      </c>
      <c r="C120" s="170" t="s">
        <v>166</v>
      </c>
      <c r="D120" s="171">
        <v>-44747.109999999993</v>
      </c>
      <c r="E120" s="171">
        <f>-'[2]186312 Energy Eff Res &amp; Comm'!E113-'[2]186310 Energy Eff General'!E88</f>
        <v>1359958.0499999996</v>
      </c>
      <c r="F120" s="294">
        <v>3.2500000000000001E-2</v>
      </c>
      <c r="G120" s="293">
        <f>ROUND((E120+(D120/2))*F120/12,2)</f>
        <v>3622.62</v>
      </c>
      <c r="H120" s="183">
        <f t="shared" si="10"/>
        <v>1318833.5599999996</v>
      </c>
      <c r="I120" s="197">
        <f t="shared" si="12"/>
        <v>1268030.7024999987</v>
      </c>
    </row>
    <row r="121" spans="1:12" hidden="1" x14ac:dyDescent="0.2">
      <c r="A121" s="176">
        <f t="shared" si="11"/>
        <v>114</v>
      </c>
      <c r="B121" s="170">
        <f>+B120+31</f>
        <v>42001</v>
      </c>
      <c r="C121" s="297"/>
      <c r="D121" s="171">
        <v>-186406.68</v>
      </c>
      <c r="E121" s="292">
        <v>0.02</v>
      </c>
      <c r="F121" s="294">
        <v>3.2500000000000001E-2</v>
      </c>
      <c r="G121" s="195">
        <f t="shared" ref="G121:G132" si="16">ROUND((+I120+E121+(D121/2))*F121/12,2)</f>
        <v>3181.82</v>
      </c>
      <c r="H121" s="183">
        <f t="shared" si="10"/>
        <v>-183224.84</v>
      </c>
      <c r="I121" s="186">
        <f t="shared" si="12"/>
        <v>1084805.8624999986</v>
      </c>
    </row>
    <row r="122" spans="1:12" hidden="1" x14ac:dyDescent="0.2">
      <c r="A122" s="176">
        <f t="shared" si="11"/>
        <v>115</v>
      </c>
      <c r="B122" s="170">
        <f>+B121+30</f>
        <v>42031</v>
      </c>
      <c r="C122" s="297"/>
      <c r="D122" s="171">
        <v>-204635.55</v>
      </c>
      <c r="F122" s="294">
        <v>3.2500000000000001E-2</v>
      </c>
      <c r="G122" s="195">
        <f t="shared" si="16"/>
        <v>2660.91</v>
      </c>
      <c r="H122" s="183">
        <f t="shared" si="10"/>
        <v>-201974.63999999998</v>
      </c>
      <c r="I122" s="186">
        <f t="shared" si="12"/>
        <v>882831.22249999864</v>
      </c>
    </row>
    <row r="123" spans="1:12" hidden="1" x14ac:dyDescent="0.2">
      <c r="A123" s="176">
        <f t="shared" si="11"/>
        <v>116</v>
      </c>
      <c r="B123" s="170">
        <f>+B122+28</f>
        <v>42059</v>
      </c>
      <c r="C123" s="297"/>
      <c r="D123" s="171">
        <v>-151044.48000000001</v>
      </c>
      <c r="F123" s="294">
        <v>3.2500000000000001E-2</v>
      </c>
      <c r="G123" s="195">
        <f t="shared" si="16"/>
        <v>2186.46</v>
      </c>
      <c r="H123" s="183">
        <f t="shared" si="10"/>
        <v>-148858.02000000002</v>
      </c>
      <c r="I123" s="186">
        <f t="shared" si="12"/>
        <v>733973.20249999862</v>
      </c>
    </row>
    <row r="124" spans="1:12" hidden="1" x14ac:dyDescent="0.2">
      <c r="A124" s="176">
        <f t="shared" si="11"/>
        <v>117</v>
      </c>
      <c r="B124" s="170">
        <f>+B123+31</f>
        <v>42090</v>
      </c>
      <c r="C124" s="297"/>
      <c r="D124" s="171">
        <v>-119119.45999999999</v>
      </c>
      <c r="F124" s="294">
        <v>3.2500000000000001E-2</v>
      </c>
      <c r="G124" s="195">
        <f t="shared" si="16"/>
        <v>1826.54</v>
      </c>
      <c r="H124" s="183">
        <f t="shared" si="10"/>
        <v>-117292.92</v>
      </c>
      <c r="I124" s="186">
        <f t="shared" si="12"/>
        <v>616680.28249999858</v>
      </c>
    </row>
    <row r="125" spans="1:12" hidden="1" x14ac:dyDescent="0.2">
      <c r="A125" s="176">
        <f t="shared" si="11"/>
        <v>118</v>
      </c>
      <c r="B125" s="170">
        <f>+B124+30</f>
        <v>42120</v>
      </c>
      <c r="C125" s="297"/>
      <c r="D125" s="171">
        <v>-96553.360000000015</v>
      </c>
      <c r="F125" s="294">
        <v>3.2500000000000001E-2</v>
      </c>
      <c r="G125" s="195">
        <f t="shared" si="16"/>
        <v>1539.43</v>
      </c>
      <c r="H125" s="183">
        <f t="shared" si="10"/>
        <v>-95013.930000000022</v>
      </c>
      <c r="I125" s="186">
        <f t="shared" si="12"/>
        <v>521666.35249999852</v>
      </c>
    </row>
    <row r="126" spans="1:12" hidden="1" x14ac:dyDescent="0.2">
      <c r="A126" s="176">
        <f t="shared" si="11"/>
        <v>119</v>
      </c>
      <c r="B126" s="170">
        <f>+B125+31</f>
        <v>42151</v>
      </c>
      <c r="C126" s="297"/>
      <c r="D126" s="171">
        <v>-71938.079999999987</v>
      </c>
      <c r="F126" s="294">
        <v>3.2500000000000001E-2</v>
      </c>
      <c r="G126" s="195">
        <f t="shared" si="16"/>
        <v>1315.43</v>
      </c>
      <c r="H126" s="183">
        <f t="shared" si="10"/>
        <v>-70622.649999999994</v>
      </c>
      <c r="I126" s="186">
        <f t="shared" si="12"/>
        <v>451043.7024999985</v>
      </c>
    </row>
    <row r="127" spans="1:12" hidden="1" x14ac:dyDescent="0.2">
      <c r="A127" s="176">
        <f t="shared" si="11"/>
        <v>120</v>
      </c>
      <c r="B127" s="170">
        <f>+B126+30</f>
        <v>42181</v>
      </c>
      <c r="C127" s="297"/>
      <c r="D127" s="171">
        <v>-47915.560000000005</v>
      </c>
      <c r="F127" s="294">
        <v>3.2500000000000001E-2</v>
      </c>
      <c r="G127" s="195">
        <f t="shared" si="16"/>
        <v>1156.69</v>
      </c>
      <c r="H127" s="183">
        <f t="shared" si="10"/>
        <v>-46758.87</v>
      </c>
      <c r="I127" s="186">
        <f t="shared" si="12"/>
        <v>404284.83249999851</v>
      </c>
    </row>
    <row r="128" spans="1:12" hidden="1" x14ac:dyDescent="0.2">
      <c r="A128" s="176">
        <f t="shared" si="11"/>
        <v>121</v>
      </c>
      <c r="B128" s="170">
        <f>+B127+31</f>
        <v>42212</v>
      </c>
      <c r="C128" s="297"/>
      <c r="D128" s="171">
        <v>-35409.11</v>
      </c>
      <c r="F128" s="294">
        <v>3.2500000000000001E-2</v>
      </c>
      <c r="G128" s="195">
        <f t="shared" si="16"/>
        <v>1046.99</v>
      </c>
      <c r="H128" s="183">
        <f t="shared" si="10"/>
        <v>-34362.120000000003</v>
      </c>
      <c r="I128" s="186">
        <f t="shared" si="12"/>
        <v>369922.71249999851</v>
      </c>
      <c r="J128" s="203"/>
      <c r="L128" s="203"/>
    </row>
    <row r="129" spans="1:13" hidden="1" x14ac:dyDescent="0.2">
      <c r="A129" s="176">
        <f t="shared" si="11"/>
        <v>122</v>
      </c>
      <c r="B129" s="174">
        <f>+B128+31</f>
        <v>42243</v>
      </c>
      <c r="C129" s="299"/>
      <c r="D129" s="219">
        <v>-33221.94</v>
      </c>
      <c r="E129" s="219"/>
      <c r="F129" s="300">
        <v>3.2500000000000001E-2</v>
      </c>
      <c r="G129" s="198">
        <f t="shared" si="16"/>
        <v>956.89</v>
      </c>
      <c r="H129" s="210">
        <f t="shared" si="10"/>
        <v>-32265.050000000003</v>
      </c>
      <c r="I129" s="197">
        <f>+I128+H129</f>
        <v>337657.66249999852</v>
      </c>
    </row>
    <row r="130" spans="1:13" hidden="1" x14ac:dyDescent="0.2">
      <c r="A130" s="176">
        <f t="shared" si="11"/>
        <v>123</v>
      </c>
      <c r="B130" s="170">
        <f>+B129+30</f>
        <v>42273</v>
      </c>
      <c r="C130" s="268"/>
      <c r="D130" s="171">
        <v>-38599.769999999997</v>
      </c>
      <c r="F130" s="300">
        <v>3.2500000000000001E-2</v>
      </c>
      <c r="G130" s="198">
        <f t="shared" si="16"/>
        <v>862.22</v>
      </c>
      <c r="H130" s="210">
        <f t="shared" si="10"/>
        <v>-37737.549999999996</v>
      </c>
      <c r="I130" s="197">
        <f t="shared" si="12"/>
        <v>299920.11249999853</v>
      </c>
    </row>
    <row r="131" spans="1:13" hidden="1" x14ac:dyDescent="0.2">
      <c r="A131" s="176">
        <f t="shared" si="11"/>
        <v>124</v>
      </c>
      <c r="B131" s="170">
        <f>+B130+31</f>
        <v>42304</v>
      </c>
      <c r="C131" s="268"/>
      <c r="D131" s="171">
        <v>-46330.46</v>
      </c>
      <c r="F131" s="300">
        <v>3.2500000000000001E-2</v>
      </c>
      <c r="G131" s="198">
        <f t="shared" si="16"/>
        <v>749.54</v>
      </c>
      <c r="H131" s="210">
        <f t="shared" si="10"/>
        <v>-45580.92</v>
      </c>
      <c r="I131" s="197">
        <f t="shared" si="12"/>
        <v>254339.19249999855</v>
      </c>
    </row>
    <row r="132" spans="1:13" hidden="1" x14ac:dyDescent="0.2">
      <c r="A132" s="176">
        <f t="shared" si="11"/>
        <v>125</v>
      </c>
      <c r="B132" s="222">
        <f>+B131+30</f>
        <v>42334</v>
      </c>
      <c r="C132" s="170" t="s">
        <v>165</v>
      </c>
      <c r="D132" s="171">
        <v>-43749.98</v>
      </c>
      <c r="F132" s="300">
        <v>3.2500000000000001E-2</v>
      </c>
      <c r="G132" s="301">
        <f t="shared" si="16"/>
        <v>629.59</v>
      </c>
      <c r="H132" s="301">
        <f t="shared" ref="H132:H134" si="17">D132+E132+G132</f>
        <v>-43120.390000000007</v>
      </c>
      <c r="I132" s="301">
        <f>+I131+H132-2.66</f>
        <v>211216.14249999853</v>
      </c>
      <c r="J132" s="302"/>
      <c r="L132" s="302"/>
      <c r="M132" s="302"/>
    </row>
    <row r="133" spans="1:13" hidden="1" x14ac:dyDescent="0.2">
      <c r="A133" s="176">
        <f t="shared" si="11"/>
        <v>126</v>
      </c>
      <c r="B133" s="222">
        <f>+B132</f>
        <v>42334</v>
      </c>
      <c r="C133" s="170" t="s">
        <v>167</v>
      </c>
      <c r="D133" s="171">
        <v>-39471.980000000003</v>
      </c>
      <c r="E133" s="171">
        <v>1112287.6499999999</v>
      </c>
      <c r="F133" s="300">
        <v>3.2500000000000001E-2</v>
      </c>
      <c r="G133" s="195">
        <f>ROUND((+E133+(D133/2))*F133/12,2)</f>
        <v>2958.99</v>
      </c>
      <c r="H133" s="301">
        <f t="shared" si="17"/>
        <v>1075774.6599999999</v>
      </c>
      <c r="I133" s="301">
        <f t="shared" si="12"/>
        <v>1286990.8024999984</v>
      </c>
    </row>
    <row r="134" spans="1:13" hidden="1" x14ac:dyDescent="0.2">
      <c r="A134" s="176">
        <f t="shared" si="11"/>
        <v>127</v>
      </c>
      <c r="B134" s="170">
        <f>B132+31</f>
        <v>42365</v>
      </c>
      <c r="C134" s="268"/>
      <c r="D134" s="171">
        <v>-201294.68</v>
      </c>
      <c r="F134" s="300">
        <v>3.2500000000000001E-2</v>
      </c>
      <c r="G134" s="301">
        <f t="shared" ref="G134:G135" si="18">ROUND((+I133+E134+(D134/2))*F134/12,2)</f>
        <v>3213.01</v>
      </c>
      <c r="H134" s="301">
        <f t="shared" si="17"/>
        <v>-198081.66999999998</v>
      </c>
      <c r="I134" s="301">
        <f t="shared" si="12"/>
        <v>1088909.1324999984</v>
      </c>
    </row>
    <row r="135" spans="1:13" hidden="1" x14ac:dyDescent="0.2">
      <c r="A135" s="176">
        <f t="shared" si="11"/>
        <v>128</v>
      </c>
      <c r="B135" s="170">
        <f>B134+31</f>
        <v>42396</v>
      </c>
      <c r="C135" s="268"/>
      <c r="D135" s="171">
        <v>-243216.83</v>
      </c>
      <c r="F135" s="300">
        <v>3.2500000000000001E-2</v>
      </c>
      <c r="G135" s="198">
        <f t="shared" si="18"/>
        <v>2619.77</v>
      </c>
      <c r="H135" s="210">
        <f t="shared" ref="H135:H145" si="19">SUM(D135:E135,G135)</f>
        <v>-240597.06</v>
      </c>
      <c r="I135" s="197">
        <f t="shared" si="12"/>
        <v>848312.07249999838</v>
      </c>
    </row>
    <row r="136" spans="1:13" hidden="1" x14ac:dyDescent="0.2">
      <c r="A136" s="176">
        <f t="shared" si="11"/>
        <v>129</v>
      </c>
      <c r="B136" s="170">
        <f>B135+29</f>
        <v>42425</v>
      </c>
      <c r="C136" s="268"/>
      <c r="D136" s="171">
        <v>-160551.01</v>
      </c>
      <c r="F136" s="300">
        <v>3.2500000000000001E-2</v>
      </c>
      <c r="G136" s="198">
        <f>ROUND((+I135+E136+(D136/2))*F136/12,2)</f>
        <v>2080.1</v>
      </c>
      <c r="H136" s="210">
        <f t="shared" si="19"/>
        <v>-158470.91</v>
      </c>
      <c r="I136" s="197">
        <f t="shared" si="12"/>
        <v>689841.16249999835</v>
      </c>
    </row>
    <row r="137" spans="1:13" hidden="1" x14ac:dyDescent="0.2">
      <c r="A137" s="176">
        <f t="shared" ref="A137:A188" si="20">+A136+1</f>
        <v>130</v>
      </c>
      <c r="B137" s="170">
        <f>B136+31</f>
        <v>42456</v>
      </c>
      <c r="C137" s="268"/>
      <c r="D137" s="171">
        <v>-135715.14000000001</v>
      </c>
      <c r="F137" s="300">
        <v>3.2500000000000001E-2</v>
      </c>
      <c r="G137" s="198">
        <f>ROUND((+I136+E137+(D137/2))*F137/12,2)</f>
        <v>1684.54</v>
      </c>
      <c r="H137" s="210">
        <f t="shared" si="19"/>
        <v>-134030.6</v>
      </c>
      <c r="I137" s="197">
        <f t="shared" si="12"/>
        <v>555810.56249999837</v>
      </c>
    </row>
    <row r="138" spans="1:13" hidden="1" x14ac:dyDescent="0.2">
      <c r="A138" s="176">
        <f t="shared" si="20"/>
        <v>131</v>
      </c>
      <c r="B138" s="170">
        <f>B137+30</f>
        <v>42486</v>
      </c>
      <c r="C138" s="268"/>
      <c r="D138" s="171">
        <v>-99950.78</v>
      </c>
      <c r="F138" s="300">
        <v>3.4599999999999999E-2</v>
      </c>
      <c r="G138" s="198">
        <f>ROUND((+I137+E138+(D138/2))*F138/12,2)</f>
        <v>1458.49</v>
      </c>
      <c r="H138" s="210">
        <f t="shared" si="19"/>
        <v>-98492.29</v>
      </c>
      <c r="I138" s="197">
        <f t="shared" si="12"/>
        <v>457318.27249999839</v>
      </c>
    </row>
    <row r="139" spans="1:13" hidden="1" x14ac:dyDescent="0.2">
      <c r="A139" s="176">
        <f t="shared" si="20"/>
        <v>132</v>
      </c>
      <c r="B139" s="170">
        <f>B138+31</f>
        <v>42517</v>
      </c>
      <c r="C139" s="268"/>
      <c r="D139" s="171">
        <v>-60320.33</v>
      </c>
      <c r="F139" s="300">
        <v>3.4599999999999999E-2</v>
      </c>
      <c r="G139" s="198">
        <f>ROUND((+I138+E139+(D139/2))*F139/12,2)</f>
        <v>1231.6400000000001</v>
      </c>
      <c r="H139" s="210">
        <f t="shared" si="19"/>
        <v>-59088.69</v>
      </c>
      <c r="I139" s="197">
        <f t="shared" si="12"/>
        <v>398229.58249999839</v>
      </c>
    </row>
    <row r="140" spans="1:13" hidden="1" x14ac:dyDescent="0.2">
      <c r="A140" s="176">
        <f t="shared" si="20"/>
        <v>133</v>
      </c>
      <c r="B140" s="170">
        <f>B139+30</f>
        <v>42547</v>
      </c>
      <c r="C140" s="268"/>
      <c r="D140" s="171">
        <v>-51989</v>
      </c>
      <c r="F140" s="300">
        <v>3.4599999999999999E-2</v>
      </c>
      <c r="G140" s="198">
        <f t="shared" ref="G140:G145" si="21">ROUND((+I139+E140+(D140/2))*F140/12,2)</f>
        <v>1073.28</v>
      </c>
      <c r="H140" s="210">
        <f t="shared" si="19"/>
        <v>-50915.72</v>
      </c>
      <c r="I140" s="197">
        <f t="shared" si="12"/>
        <v>347313.86249999842</v>
      </c>
    </row>
    <row r="141" spans="1:13" hidden="1" x14ac:dyDescent="0.2">
      <c r="A141" s="176">
        <f t="shared" si="20"/>
        <v>134</v>
      </c>
      <c r="B141" s="170">
        <f>B140+31</f>
        <v>42578</v>
      </c>
      <c r="C141" s="268"/>
      <c r="D141" s="171">
        <v>-41160.74</v>
      </c>
      <c r="F141" s="300">
        <v>3.5000000000000003E-2</v>
      </c>
      <c r="G141" s="198">
        <f t="shared" si="21"/>
        <v>952.97</v>
      </c>
      <c r="H141" s="210">
        <f t="shared" si="19"/>
        <v>-40207.769999999997</v>
      </c>
      <c r="I141" s="197">
        <f t="shared" si="12"/>
        <v>307106.0924999984</v>
      </c>
    </row>
    <row r="142" spans="1:13" hidden="1" x14ac:dyDescent="0.2">
      <c r="A142" s="176">
        <f t="shared" si="20"/>
        <v>135</v>
      </c>
      <c r="B142" s="170">
        <f>B141+31</f>
        <v>42609</v>
      </c>
      <c r="C142" s="268"/>
      <c r="D142" s="171">
        <v>-35650.980000000003</v>
      </c>
      <c r="F142" s="300">
        <v>3.5000000000000003E-2</v>
      </c>
      <c r="G142" s="198">
        <f t="shared" si="21"/>
        <v>843.74</v>
      </c>
      <c r="H142" s="210">
        <f t="shared" si="19"/>
        <v>-34807.240000000005</v>
      </c>
      <c r="I142" s="197">
        <f t="shared" si="12"/>
        <v>272298.85249999841</v>
      </c>
    </row>
    <row r="143" spans="1:13" hidden="1" x14ac:dyDescent="0.2">
      <c r="A143" s="176">
        <f t="shared" si="20"/>
        <v>136</v>
      </c>
      <c r="B143" s="170">
        <f>B142+30</f>
        <v>42639</v>
      </c>
      <c r="C143" s="268"/>
      <c r="D143" s="171">
        <v>-38896.559999999998</v>
      </c>
      <c r="F143" s="300">
        <v>3.5000000000000003E-2</v>
      </c>
      <c r="G143" s="198">
        <f t="shared" si="21"/>
        <v>737.48</v>
      </c>
      <c r="H143" s="210">
        <f t="shared" si="19"/>
        <v>-38159.079999999994</v>
      </c>
      <c r="I143" s="197">
        <f t="shared" si="12"/>
        <v>234139.77249999842</v>
      </c>
    </row>
    <row r="144" spans="1:13" hidden="1" x14ac:dyDescent="0.2">
      <c r="A144" s="176">
        <f t="shared" si="20"/>
        <v>137</v>
      </c>
      <c r="B144" s="170">
        <f>B143+31</f>
        <v>42670</v>
      </c>
      <c r="C144" s="268"/>
      <c r="D144" s="171">
        <v>-57154.78</v>
      </c>
      <c r="F144" s="300">
        <v>3.5000000000000003E-2</v>
      </c>
      <c r="G144" s="198">
        <f t="shared" si="21"/>
        <v>599.55999999999995</v>
      </c>
      <c r="H144" s="210">
        <f t="shared" si="19"/>
        <v>-56555.22</v>
      </c>
      <c r="I144" s="197">
        <f t="shared" ref="I144:I171" si="22">+I143+H144</f>
        <v>177584.55249999842</v>
      </c>
    </row>
    <row r="145" spans="1:9" hidden="1" x14ac:dyDescent="0.2">
      <c r="A145" s="176">
        <f t="shared" si="20"/>
        <v>138</v>
      </c>
      <c r="B145" s="222">
        <f>B144+30</f>
        <v>42700</v>
      </c>
      <c r="C145" s="227" t="s">
        <v>168</v>
      </c>
      <c r="D145" s="171">
        <v>-51481.490000000005</v>
      </c>
      <c r="F145" s="300">
        <v>3.5000000000000003E-2</v>
      </c>
      <c r="G145" s="198">
        <f t="shared" si="21"/>
        <v>442.88</v>
      </c>
      <c r="H145" s="210">
        <f t="shared" si="19"/>
        <v>-51038.610000000008</v>
      </c>
      <c r="I145" s="197">
        <f t="shared" si="22"/>
        <v>126545.9424999984</v>
      </c>
    </row>
    <row r="146" spans="1:9" hidden="1" x14ac:dyDescent="0.2">
      <c r="A146" s="176">
        <f t="shared" si="20"/>
        <v>139</v>
      </c>
      <c r="B146" s="222">
        <f>B145</f>
        <v>42700</v>
      </c>
      <c r="C146" s="170" t="s">
        <v>167</v>
      </c>
      <c r="D146" s="171">
        <v>-46204.580000000009</v>
      </c>
      <c r="E146" s="171">
        <v>1507284.5199999998</v>
      </c>
      <c r="F146" s="300">
        <v>3.5000000000000003E-2</v>
      </c>
      <c r="G146" s="195">
        <f>ROUND((+E146+(D146/2))*F146/12,2)</f>
        <v>4328.8599999999997</v>
      </c>
      <c r="H146" s="301">
        <f t="shared" ref="H146" si="23">D146+E146+G146</f>
        <v>1465408.7999999998</v>
      </c>
      <c r="I146" s="301">
        <f t="shared" si="22"/>
        <v>1591954.7424999983</v>
      </c>
    </row>
    <row r="147" spans="1:9" hidden="1" x14ac:dyDescent="0.2">
      <c r="A147" s="176">
        <f t="shared" si="20"/>
        <v>140</v>
      </c>
      <c r="B147" s="222">
        <f>B146+31</f>
        <v>42731</v>
      </c>
      <c r="C147" s="227"/>
      <c r="D147" s="171">
        <v>-240372.94</v>
      </c>
      <c r="F147" s="300">
        <v>3.5000000000000003E-2</v>
      </c>
      <c r="G147" s="198">
        <f t="shared" ref="G147:G171" si="24">ROUND((+I146+E147+(D147/2))*F147/12,2)</f>
        <v>4292.66</v>
      </c>
      <c r="H147" s="210">
        <f t="shared" ref="H147:H171" si="25">SUM(D147:E147,G147)</f>
        <v>-236080.28</v>
      </c>
      <c r="I147" s="197">
        <f t="shared" si="22"/>
        <v>1355874.4624999983</v>
      </c>
    </row>
    <row r="148" spans="1:9" hidden="1" x14ac:dyDescent="0.2">
      <c r="A148" s="176">
        <f t="shared" si="20"/>
        <v>141</v>
      </c>
      <c r="B148" s="222">
        <f t="shared" ref="B148:B157" si="26">B147+31</f>
        <v>42762</v>
      </c>
      <c r="C148" s="227"/>
      <c r="D148" s="171">
        <v>-415290.31</v>
      </c>
      <c r="F148" s="300">
        <v>3.5000000000000003E-2</v>
      </c>
      <c r="G148" s="198">
        <f t="shared" si="24"/>
        <v>3349</v>
      </c>
      <c r="H148" s="210">
        <f t="shared" si="25"/>
        <v>-411941.31</v>
      </c>
      <c r="I148" s="197">
        <f t="shared" si="22"/>
        <v>943933.15249999822</v>
      </c>
    </row>
    <row r="149" spans="1:9" hidden="1" x14ac:dyDescent="0.2">
      <c r="A149" s="176">
        <f t="shared" si="20"/>
        <v>142</v>
      </c>
      <c r="B149" s="222">
        <f t="shared" si="26"/>
        <v>42793</v>
      </c>
      <c r="C149" s="227"/>
      <c r="D149" s="171">
        <v>-311707.26999999996</v>
      </c>
      <c r="F149" s="300">
        <v>3.5000000000000003E-2</v>
      </c>
      <c r="G149" s="198">
        <f t="shared" si="24"/>
        <v>2298.5700000000002</v>
      </c>
      <c r="H149" s="210">
        <f t="shared" si="25"/>
        <v>-309408.69999999995</v>
      </c>
      <c r="I149" s="197">
        <f t="shared" si="22"/>
        <v>634524.45249999827</v>
      </c>
    </row>
    <row r="150" spans="1:9" hidden="1" x14ac:dyDescent="0.2">
      <c r="A150" s="176">
        <f t="shared" si="20"/>
        <v>143</v>
      </c>
      <c r="B150" s="222">
        <f t="shared" si="26"/>
        <v>42824</v>
      </c>
      <c r="C150" s="227"/>
      <c r="D150" s="171">
        <v>-241358.66999999998</v>
      </c>
      <c r="F150" s="300">
        <v>3.5000000000000003E-2</v>
      </c>
      <c r="G150" s="198">
        <f t="shared" si="24"/>
        <v>1498.71</v>
      </c>
      <c r="H150" s="210">
        <f t="shared" si="25"/>
        <v>-239859.96</v>
      </c>
      <c r="I150" s="197">
        <f t="shared" si="22"/>
        <v>394664.4924999983</v>
      </c>
    </row>
    <row r="151" spans="1:9" hidden="1" x14ac:dyDescent="0.2">
      <c r="A151" s="176">
        <f t="shared" si="20"/>
        <v>144</v>
      </c>
      <c r="B151" s="222">
        <f t="shared" si="26"/>
        <v>42855</v>
      </c>
      <c r="C151" s="227"/>
      <c r="D151" s="171">
        <v>-171859.47</v>
      </c>
      <c r="F151" s="300">
        <v>3.7100000000000001E-2</v>
      </c>
      <c r="G151" s="198">
        <f t="shared" si="24"/>
        <v>954.5</v>
      </c>
      <c r="H151" s="210">
        <f t="shared" si="25"/>
        <v>-170904.97</v>
      </c>
      <c r="I151" s="197">
        <f t="shared" si="22"/>
        <v>223759.5224999983</v>
      </c>
    </row>
    <row r="152" spans="1:9" hidden="1" x14ac:dyDescent="0.2">
      <c r="A152" s="176">
        <f t="shared" si="20"/>
        <v>145</v>
      </c>
      <c r="B152" s="222">
        <f t="shared" si="26"/>
        <v>42886</v>
      </c>
      <c r="C152" s="227"/>
      <c r="D152" s="171">
        <v>-122246.58</v>
      </c>
      <c r="F152" s="300">
        <v>3.7100000000000001E-2</v>
      </c>
      <c r="G152" s="198">
        <f t="shared" si="24"/>
        <v>502.82</v>
      </c>
      <c r="H152" s="210">
        <f t="shared" si="25"/>
        <v>-121743.76</v>
      </c>
      <c r="I152" s="197">
        <f t="shared" si="22"/>
        <v>102015.76249999831</v>
      </c>
    </row>
    <row r="153" spans="1:9" hidden="1" x14ac:dyDescent="0.2">
      <c r="A153" s="176">
        <f t="shared" si="20"/>
        <v>146</v>
      </c>
      <c r="B153" s="222">
        <f>B152+29</f>
        <v>42915</v>
      </c>
      <c r="C153" s="227"/>
      <c r="D153" s="171">
        <v>-73486.359999999986</v>
      </c>
      <c r="F153" s="300">
        <v>3.7100000000000001E-2</v>
      </c>
      <c r="G153" s="198">
        <f t="shared" si="24"/>
        <v>201.8</v>
      </c>
      <c r="H153" s="210">
        <f t="shared" si="25"/>
        <v>-73284.559999999983</v>
      </c>
      <c r="I153" s="197">
        <f t="shared" si="22"/>
        <v>28731.202499998326</v>
      </c>
    </row>
    <row r="154" spans="1:9" hidden="1" x14ac:dyDescent="0.2">
      <c r="A154" s="176">
        <f t="shared" si="20"/>
        <v>147</v>
      </c>
      <c r="B154" s="222">
        <f t="shared" si="26"/>
        <v>42946</v>
      </c>
      <c r="C154" s="227"/>
      <c r="D154" s="219">
        <v>-54113.049999999996</v>
      </c>
      <c r="F154" s="300">
        <v>3.9600000000000003E-2</v>
      </c>
      <c r="G154" s="198">
        <f t="shared" si="24"/>
        <v>5.53</v>
      </c>
      <c r="H154" s="210">
        <f t="shared" si="25"/>
        <v>-54107.519999999997</v>
      </c>
      <c r="I154" s="197">
        <f t="shared" si="22"/>
        <v>-25376.317500001671</v>
      </c>
    </row>
    <row r="155" spans="1:9" hidden="1" x14ac:dyDescent="0.2">
      <c r="A155" s="176">
        <f t="shared" si="20"/>
        <v>148</v>
      </c>
      <c r="B155" s="222">
        <f t="shared" si="26"/>
        <v>42977</v>
      </c>
      <c r="C155" s="227"/>
      <c r="D155" s="219">
        <v>-44673.759999999995</v>
      </c>
      <c r="F155" s="300">
        <v>3.9600000000000003E-2</v>
      </c>
      <c r="G155" s="198">
        <f t="shared" si="24"/>
        <v>-157.44999999999999</v>
      </c>
      <c r="H155" s="210">
        <f t="shared" si="25"/>
        <v>-44831.209999999992</v>
      </c>
      <c r="I155" s="197">
        <f t="shared" si="22"/>
        <v>-70207.527500001655</v>
      </c>
    </row>
    <row r="156" spans="1:9" hidden="1" x14ac:dyDescent="0.2">
      <c r="A156" s="176">
        <f t="shared" si="20"/>
        <v>149</v>
      </c>
      <c r="B156" s="222">
        <f t="shared" si="26"/>
        <v>43008</v>
      </c>
      <c r="C156" s="227"/>
      <c r="D156" s="171">
        <v>-48086.34</v>
      </c>
      <c r="F156" s="300">
        <v>3.9600000000000003E-2</v>
      </c>
      <c r="G156" s="198">
        <f t="shared" si="24"/>
        <v>-311.02999999999997</v>
      </c>
      <c r="H156" s="210">
        <f t="shared" si="25"/>
        <v>-48397.369999999995</v>
      </c>
      <c r="I156" s="197">
        <f t="shared" si="22"/>
        <v>-118604.89750000165</v>
      </c>
    </row>
    <row r="157" spans="1:9" hidden="1" x14ac:dyDescent="0.2">
      <c r="A157" s="176">
        <f t="shared" si="20"/>
        <v>150</v>
      </c>
      <c r="B157" s="222">
        <f t="shared" si="26"/>
        <v>43039</v>
      </c>
      <c r="C157" s="227"/>
      <c r="D157" s="171">
        <v>-80130.570000000007</v>
      </c>
      <c r="F157" s="300">
        <v>4.2099999999999999E-2</v>
      </c>
      <c r="G157" s="198">
        <f t="shared" si="24"/>
        <v>-556.66999999999996</v>
      </c>
      <c r="H157" s="210">
        <f t="shared" si="25"/>
        <v>-80687.240000000005</v>
      </c>
      <c r="I157" s="197">
        <f t="shared" si="22"/>
        <v>-199292.13750000164</v>
      </c>
    </row>
    <row r="158" spans="1:9" hidden="1" x14ac:dyDescent="0.2">
      <c r="A158" s="176">
        <f t="shared" si="20"/>
        <v>151</v>
      </c>
      <c r="B158" s="222">
        <f>B157+30</f>
        <v>43069</v>
      </c>
      <c r="C158" s="227" t="s">
        <v>168</v>
      </c>
      <c r="D158" s="171">
        <v>-89195.83</v>
      </c>
      <c r="F158" s="300">
        <v>4.2099999999999999E-2</v>
      </c>
      <c r="G158" s="198">
        <f t="shared" si="24"/>
        <v>-855.65</v>
      </c>
      <c r="H158" s="210">
        <f t="shared" si="25"/>
        <v>-90051.48</v>
      </c>
      <c r="I158" s="197">
        <f t="shared" si="22"/>
        <v>-289343.61750000162</v>
      </c>
    </row>
    <row r="159" spans="1:9" hidden="1" x14ac:dyDescent="0.2">
      <c r="A159" s="176">
        <f t="shared" si="20"/>
        <v>152</v>
      </c>
      <c r="B159" s="222">
        <v>43069</v>
      </c>
      <c r="C159" s="170" t="s">
        <v>167</v>
      </c>
      <c r="D159" s="171">
        <v>-66287.540000000008</v>
      </c>
      <c r="E159" s="171">
        <v>2057759.26</v>
      </c>
      <c r="F159" s="300">
        <v>4.2099999999999999E-2</v>
      </c>
      <c r="G159" s="198">
        <f>ROUND((+E159+(D159/2))*F159/12,2)</f>
        <v>7103.03</v>
      </c>
      <c r="H159" s="210">
        <f t="shared" si="25"/>
        <v>1998574.75</v>
      </c>
      <c r="I159" s="197">
        <f t="shared" si="22"/>
        <v>1709231.1324999984</v>
      </c>
    </row>
    <row r="160" spans="1:9" hidden="1" x14ac:dyDescent="0.2">
      <c r="A160" s="176">
        <f t="shared" si="20"/>
        <v>153</v>
      </c>
      <c r="B160" s="222">
        <f>B158+31</f>
        <v>43100</v>
      </c>
      <c r="C160" s="227"/>
      <c r="D160" s="171">
        <v>-269421.4499999999</v>
      </c>
      <c r="F160" s="300">
        <v>4.2099999999999999E-2</v>
      </c>
      <c r="G160" s="198">
        <f t="shared" si="24"/>
        <v>5523.94</v>
      </c>
      <c r="H160" s="210">
        <f t="shared" si="25"/>
        <v>-263897.50999999989</v>
      </c>
      <c r="I160" s="197">
        <f t="shared" si="22"/>
        <v>1445333.6224999987</v>
      </c>
    </row>
    <row r="161" spans="1:9" hidden="1" x14ac:dyDescent="0.2">
      <c r="A161" s="176">
        <f t="shared" si="20"/>
        <v>154</v>
      </c>
      <c r="B161" s="222">
        <v>43101</v>
      </c>
      <c r="C161" s="227"/>
      <c r="D161" s="171">
        <v>-350788.33999999985</v>
      </c>
      <c r="F161" s="300">
        <v>4.2500000000000003E-2</v>
      </c>
      <c r="G161" s="198">
        <f t="shared" si="24"/>
        <v>4497.7</v>
      </c>
      <c r="H161" s="210">
        <f t="shared" si="25"/>
        <v>-346290.63999999984</v>
      </c>
      <c r="I161" s="197">
        <f t="shared" si="22"/>
        <v>1099042.9824999988</v>
      </c>
    </row>
    <row r="162" spans="1:9" hidden="1" x14ac:dyDescent="0.2">
      <c r="A162" s="176">
        <f t="shared" si="20"/>
        <v>155</v>
      </c>
      <c r="B162" s="222">
        <v>43132</v>
      </c>
      <c r="C162" s="227"/>
      <c r="D162" s="171">
        <v>-250201.22</v>
      </c>
      <c r="F162" s="300">
        <v>4.2500000000000003E-2</v>
      </c>
      <c r="G162" s="198">
        <f t="shared" si="24"/>
        <v>3449.38</v>
      </c>
      <c r="H162" s="210">
        <f t="shared" si="25"/>
        <v>-246751.84</v>
      </c>
      <c r="I162" s="197">
        <f t="shared" si="22"/>
        <v>852291.14249999879</v>
      </c>
    </row>
    <row r="163" spans="1:9" hidden="1" x14ac:dyDescent="0.2">
      <c r="A163" s="176">
        <f t="shared" si="20"/>
        <v>156</v>
      </c>
      <c r="B163" s="222">
        <v>43160</v>
      </c>
      <c r="C163" s="227"/>
      <c r="D163" s="171">
        <v>-277607.3899999999</v>
      </c>
      <c r="F163" s="300">
        <v>4.2500000000000003E-2</v>
      </c>
      <c r="G163" s="198">
        <f t="shared" si="24"/>
        <v>2526.9299999999998</v>
      </c>
      <c r="H163" s="210">
        <f t="shared" si="25"/>
        <v>-275080.4599999999</v>
      </c>
      <c r="I163" s="197">
        <f t="shared" si="22"/>
        <v>577210.68249999895</v>
      </c>
    </row>
    <row r="164" spans="1:9" hidden="1" x14ac:dyDescent="0.2">
      <c r="A164" s="176">
        <f t="shared" si="20"/>
        <v>157</v>
      </c>
      <c r="B164" s="222">
        <v>43191</v>
      </c>
      <c r="C164" s="227"/>
      <c r="D164" s="171">
        <v>-201019.24</v>
      </c>
      <c r="F164" s="300">
        <v>4.4699999999999997E-2</v>
      </c>
      <c r="G164" s="198">
        <f t="shared" si="24"/>
        <v>1775.71</v>
      </c>
      <c r="H164" s="210">
        <f t="shared" si="25"/>
        <v>-199243.53</v>
      </c>
      <c r="I164" s="197">
        <f t="shared" si="22"/>
        <v>377967.15249999892</v>
      </c>
    </row>
    <row r="165" spans="1:9" hidden="1" x14ac:dyDescent="0.2">
      <c r="A165" s="176">
        <f t="shared" si="20"/>
        <v>158</v>
      </c>
      <c r="B165" s="222">
        <v>43221</v>
      </c>
      <c r="C165" s="227"/>
      <c r="D165" s="171">
        <v>-106757.95999999999</v>
      </c>
      <c r="F165" s="300">
        <v>4.4699999999999997E-2</v>
      </c>
      <c r="G165" s="198">
        <f t="shared" si="24"/>
        <v>1209.0899999999999</v>
      </c>
      <c r="H165" s="210">
        <f t="shared" si="25"/>
        <v>-105548.87</v>
      </c>
      <c r="I165" s="197">
        <f t="shared" si="22"/>
        <v>272418.28249999892</v>
      </c>
    </row>
    <row r="166" spans="1:9" hidden="1" x14ac:dyDescent="0.2">
      <c r="A166" s="176">
        <f t="shared" si="20"/>
        <v>159</v>
      </c>
      <c r="B166" s="222">
        <v>43252</v>
      </c>
      <c r="C166" s="227"/>
      <c r="D166" s="171">
        <v>-71637.39</v>
      </c>
      <c r="F166" s="300">
        <v>4.4699999999999997E-2</v>
      </c>
      <c r="G166" s="198">
        <f t="shared" si="24"/>
        <v>881.33</v>
      </c>
      <c r="H166" s="210">
        <f t="shared" si="25"/>
        <v>-70756.06</v>
      </c>
      <c r="I166" s="197">
        <f t="shared" si="22"/>
        <v>201662.22249999893</v>
      </c>
    </row>
    <row r="167" spans="1:9" hidden="1" x14ac:dyDescent="0.2">
      <c r="A167" s="176">
        <f t="shared" si="20"/>
        <v>160</v>
      </c>
      <c r="B167" s="222">
        <v>43282</v>
      </c>
      <c r="C167" s="227"/>
      <c r="D167" s="171">
        <v>-59735.179999999993</v>
      </c>
      <c r="F167" s="300">
        <v>4.6899999999999997E-2</v>
      </c>
      <c r="G167" s="198">
        <f t="shared" si="24"/>
        <v>671.43</v>
      </c>
      <c r="H167" s="210">
        <f t="shared" si="25"/>
        <v>-59063.749999999993</v>
      </c>
      <c r="I167" s="197">
        <f t="shared" si="22"/>
        <v>142598.47249999893</v>
      </c>
    </row>
    <row r="168" spans="1:9" hidden="1" x14ac:dyDescent="0.2">
      <c r="A168" s="176">
        <f t="shared" si="20"/>
        <v>161</v>
      </c>
      <c r="B168" s="222">
        <v>43313</v>
      </c>
      <c r="C168" s="227"/>
      <c r="D168" s="219">
        <v>-49191.310000000012</v>
      </c>
      <c r="F168" s="300">
        <v>4.6899999999999997E-2</v>
      </c>
      <c r="G168" s="198">
        <f t="shared" si="24"/>
        <v>461.19</v>
      </c>
      <c r="H168" s="210">
        <f t="shared" si="25"/>
        <v>-48730.12000000001</v>
      </c>
      <c r="I168" s="197">
        <f t="shared" si="22"/>
        <v>93868.352499998917</v>
      </c>
    </row>
    <row r="169" spans="1:9" hidden="1" x14ac:dyDescent="0.2">
      <c r="A169" s="176">
        <f t="shared" si="20"/>
        <v>162</v>
      </c>
      <c r="B169" s="222">
        <v>43344</v>
      </c>
      <c r="D169" s="219">
        <v>-54819.209999999992</v>
      </c>
      <c r="F169" s="300">
        <v>4.6899999999999997E-2</v>
      </c>
      <c r="G169" s="198">
        <f t="shared" si="24"/>
        <v>259.74</v>
      </c>
      <c r="H169" s="210">
        <f t="shared" si="25"/>
        <v>-54559.469999999994</v>
      </c>
      <c r="I169" s="197">
        <f t="shared" si="22"/>
        <v>39308.882499998923</v>
      </c>
    </row>
    <row r="170" spans="1:9" hidden="1" x14ac:dyDescent="0.2">
      <c r="A170" s="176">
        <f t="shared" si="20"/>
        <v>163</v>
      </c>
      <c r="B170" s="222">
        <v>43374</v>
      </c>
      <c r="D170" s="219">
        <v>-80518.660000000018</v>
      </c>
      <c r="F170" s="233">
        <v>4.9599999999999998E-2</v>
      </c>
      <c r="G170" s="198">
        <f t="shared" si="24"/>
        <v>-3.93</v>
      </c>
      <c r="H170" s="210">
        <f t="shared" si="25"/>
        <v>-80522.590000000011</v>
      </c>
      <c r="I170" s="197">
        <f t="shared" si="22"/>
        <v>-41213.707500001088</v>
      </c>
    </row>
    <row r="171" spans="1:9" hidden="1" x14ac:dyDescent="0.2">
      <c r="A171" s="176">
        <f t="shared" si="20"/>
        <v>164</v>
      </c>
      <c r="B171" s="222">
        <v>43414</v>
      </c>
      <c r="C171" s="227" t="s">
        <v>169</v>
      </c>
      <c r="D171" s="219">
        <v>-83698.950000000012</v>
      </c>
      <c r="F171" s="233">
        <v>4.9599999999999998E-2</v>
      </c>
      <c r="G171" s="198">
        <f t="shared" si="24"/>
        <v>-343.33</v>
      </c>
      <c r="H171" s="210">
        <f t="shared" si="25"/>
        <v>-84042.280000000013</v>
      </c>
      <c r="I171" s="197">
        <f t="shared" si="22"/>
        <v>-125255.98750000109</v>
      </c>
    </row>
    <row r="172" spans="1:9" x14ac:dyDescent="0.2">
      <c r="A172" s="176">
        <f t="shared" si="20"/>
        <v>165</v>
      </c>
      <c r="B172" s="222">
        <v>43405</v>
      </c>
      <c r="C172" s="170" t="s">
        <v>167</v>
      </c>
      <c r="D172" s="171">
        <v>-69241.359999999986</v>
      </c>
      <c r="E172" s="171">
        <v>2337902.2799999998</v>
      </c>
      <c r="F172" s="233">
        <v>4.9599999999999998E-2</v>
      </c>
      <c r="G172" s="198">
        <v>9520.23</v>
      </c>
      <c r="H172" s="210">
        <v>2278181.15</v>
      </c>
      <c r="I172" s="197">
        <v>2152925.1624999987</v>
      </c>
    </row>
    <row r="173" spans="1:9" x14ac:dyDescent="0.2">
      <c r="A173" s="176">
        <f t="shared" si="20"/>
        <v>166</v>
      </c>
      <c r="B173" s="222">
        <v>43436</v>
      </c>
      <c r="C173" s="270"/>
      <c r="D173" s="171">
        <v>-317716.05</v>
      </c>
      <c r="F173" s="233">
        <v>4.9599999999999998E-2</v>
      </c>
      <c r="G173" s="198">
        <v>8242.14</v>
      </c>
      <c r="H173" s="210">
        <v>-309473.90999999997</v>
      </c>
      <c r="I173" s="197">
        <v>1843451.2524999988</v>
      </c>
    </row>
    <row r="174" spans="1:9" x14ac:dyDescent="0.2">
      <c r="A174" s="176">
        <f t="shared" si="20"/>
        <v>167</v>
      </c>
      <c r="B174" s="222">
        <v>43467</v>
      </c>
      <c r="C174" s="270"/>
      <c r="D174" s="171">
        <v>-369674.37</v>
      </c>
      <c r="F174" s="233">
        <v>5.1799999999999999E-2</v>
      </c>
      <c r="G174" s="198">
        <v>7159.68</v>
      </c>
      <c r="H174" s="210">
        <v>-362514.69</v>
      </c>
      <c r="I174" s="197">
        <v>1480936.5624999988</v>
      </c>
    </row>
    <row r="175" spans="1:9" x14ac:dyDescent="0.2">
      <c r="A175" s="176">
        <f t="shared" si="20"/>
        <v>168</v>
      </c>
      <c r="B175" s="222">
        <v>43498</v>
      </c>
      <c r="C175" s="270"/>
      <c r="D175" s="171">
        <v>-365291.08999999991</v>
      </c>
      <c r="F175" s="233">
        <v>5.1799999999999999E-2</v>
      </c>
      <c r="G175" s="198">
        <v>5604.29</v>
      </c>
      <c r="H175" s="210">
        <v>-359686.79999999993</v>
      </c>
      <c r="I175" s="197">
        <v>1121249.7624999988</v>
      </c>
    </row>
    <row r="176" spans="1:9" x14ac:dyDescent="0.2">
      <c r="A176" s="176">
        <f t="shared" si="20"/>
        <v>169</v>
      </c>
      <c r="B176" s="222">
        <v>43529</v>
      </c>
      <c r="C176" s="270"/>
      <c r="D176" s="171">
        <v>-394545.80999999994</v>
      </c>
      <c r="F176" s="233">
        <v>5.1799999999999999E-2</v>
      </c>
      <c r="G176" s="198">
        <v>3988.5</v>
      </c>
      <c r="H176" s="210">
        <v>-390557.30999999994</v>
      </c>
      <c r="I176" s="197">
        <v>730692.45249999885</v>
      </c>
    </row>
    <row r="177" spans="1:9" x14ac:dyDescent="0.2">
      <c r="A177" s="176">
        <f t="shared" si="20"/>
        <v>170</v>
      </c>
      <c r="B177" s="222">
        <v>43560</v>
      </c>
      <c r="C177" s="270"/>
      <c r="D177" s="171">
        <v>-190206.10999999996</v>
      </c>
      <c r="F177" s="233">
        <v>5.45E-2</v>
      </c>
      <c r="G177" s="198">
        <v>2886.64</v>
      </c>
      <c r="H177" s="210">
        <v>-187319.46999999994</v>
      </c>
      <c r="I177" s="197">
        <v>543372.98249999888</v>
      </c>
    </row>
    <row r="178" spans="1:9" x14ac:dyDescent="0.2">
      <c r="A178" s="176">
        <f t="shared" si="20"/>
        <v>171</v>
      </c>
      <c r="B178" s="222">
        <v>43591</v>
      </c>
      <c r="C178" s="270"/>
      <c r="D178" s="171">
        <v>-129816.27999999998</v>
      </c>
      <c r="F178" s="233">
        <v>5.45E-2</v>
      </c>
      <c r="G178" s="198">
        <v>2173.0300000000002</v>
      </c>
      <c r="H178" s="210">
        <v>-127643.24999999999</v>
      </c>
      <c r="I178" s="197">
        <v>415729.73249999888</v>
      </c>
    </row>
    <row r="179" spans="1:9" x14ac:dyDescent="0.2">
      <c r="A179" s="176">
        <f t="shared" si="20"/>
        <v>172</v>
      </c>
      <c r="B179" s="222">
        <v>43622</v>
      </c>
      <c r="C179" s="270"/>
      <c r="D179" s="171">
        <v>-85508.569999999992</v>
      </c>
      <c r="F179" s="233">
        <v>5.45E-2</v>
      </c>
      <c r="G179" s="198">
        <v>1693.93</v>
      </c>
      <c r="H179" s="210">
        <v>-83814.64</v>
      </c>
      <c r="I179" s="197">
        <v>331915.09249999886</v>
      </c>
    </row>
    <row r="180" spans="1:9" x14ac:dyDescent="0.2">
      <c r="A180" s="176">
        <f t="shared" si="20"/>
        <v>173</v>
      </c>
      <c r="B180" s="222">
        <v>43653</v>
      </c>
      <c r="C180" s="270"/>
      <c r="D180" s="171">
        <v>-73221.62000000001</v>
      </c>
      <c r="F180" s="233">
        <v>5.5E-2</v>
      </c>
      <c r="G180" s="198">
        <v>1353.48</v>
      </c>
      <c r="H180" s="210">
        <v>-71868.140000000014</v>
      </c>
      <c r="I180" s="197">
        <v>260046.95249999885</v>
      </c>
    </row>
    <row r="181" spans="1:9" x14ac:dyDescent="0.2">
      <c r="A181" s="176">
        <f t="shared" si="20"/>
        <v>174</v>
      </c>
      <c r="B181" s="222">
        <v>43684</v>
      </c>
      <c r="D181" s="219">
        <v>-59251.099999999991</v>
      </c>
      <c r="F181" s="233">
        <v>5.5E-2</v>
      </c>
      <c r="G181" s="198">
        <v>1056.0999999999999</v>
      </c>
      <c r="H181" s="210">
        <v>-58194.999999999993</v>
      </c>
      <c r="I181" s="197">
        <v>201851.95249999885</v>
      </c>
    </row>
    <row r="182" spans="1:9" x14ac:dyDescent="0.2">
      <c r="A182" s="176">
        <f t="shared" si="20"/>
        <v>175</v>
      </c>
      <c r="B182" s="222">
        <v>43715</v>
      </c>
      <c r="C182" s="270" t="s">
        <v>170</v>
      </c>
      <c r="D182" s="171">
        <v>-69783.88</v>
      </c>
      <c r="F182" s="233">
        <v>5.5E-2</v>
      </c>
      <c r="G182" s="198">
        <v>765.23</v>
      </c>
      <c r="H182" s="210">
        <v>-69018.650000000009</v>
      </c>
      <c r="I182" s="197">
        <v>132833.30249999883</v>
      </c>
    </row>
    <row r="183" spans="1:9" x14ac:dyDescent="0.2">
      <c r="A183" s="176">
        <f t="shared" si="20"/>
        <v>176</v>
      </c>
      <c r="B183" s="222">
        <v>43746</v>
      </c>
      <c r="C183" s="270" t="s">
        <v>170</v>
      </c>
      <c r="D183" s="171">
        <v>-147195.56000000003</v>
      </c>
      <c r="F183" s="246">
        <v>5.4199999999999998E-2</v>
      </c>
      <c r="G183" s="198">
        <v>267.55</v>
      </c>
      <c r="H183" s="210">
        <v>-146928.01000000004</v>
      </c>
      <c r="I183" s="197">
        <v>-14094.707500001212</v>
      </c>
    </row>
    <row r="184" spans="1:9" x14ac:dyDescent="0.2">
      <c r="A184" s="176">
        <f t="shared" si="20"/>
        <v>177</v>
      </c>
      <c r="C184" s="297"/>
      <c r="F184" s="303"/>
      <c r="G184" s="195"/>
      <c r="H184" s="183"/>
      <c r="I184" s="186"/>
    </row>
    <row r="185" spans="1:9" x14ac:dyDescent="0.2">
      <c r="A185" s="176">
        <f t="shared" si="20"/>
        <v>178</v>
      </c>
      <c r="B185" s="247" t="s">
        <v>153</v>
      </c>
    </row>
    <row r="186" spans="1:9" x14ac:dyDescent="0.2">
      <c r="A186" s="176">
        <f t="shared" si="20"/>
        <v>179</v>
      </c>
    </row>
    <row r="187" spans="1:9" x14ac:dyDescent="0.2">
      <c r="A187" s="176">
        <f t="shared" si="20"/>
        <v>180</v>
      </c>
      <c r="B187" s="249" t="s">
        <v>171</v>
      </c>
    </row>
    <row r="188" spans="1:9" x14ac:dyDescent="0.2">
      <c r="A188" s="176">
        <f t="shared" si="20"/>
        <v>181</v>
      </c>
      <c r="B188" s="170" t="s">
        <v>172</v>
      </c>
    </row>
    <row r="189" spans="1:9" x14ac:dyDescent="0.2">
      <c r="A189" s="176"/>
    </row>
  </sheetData>
  <pageMargins left="0.7" right="0.7" top="0.75" bottom="0.75" header="0.3" footer="0.3"/>
  <pageSetup scale="53" orientation="landscape" horizontalDpi="300" verticalDpi="300" r:id="rId1"/>
  <headerFooter>
    <oddHeader>&amp;RNWN's Advice 19-03
Exhibit A - Supporting Materials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tabSelected="1" view="pageLayout" zoomScaleNormal="100" workbookViewId="0">
      <selection activeCell="S2" sqref="S2"/>
    </sheetView>
  </sheetViews>
  <sheetFormatPr defaultColWidth="8.7109375" defaultRowHeight="12.75" x14ac:dyDescent="0.2"/>
  <cols>
    <col min="1" max="1" width="7.28515625" style="2" customWidth="1"/>
    <col min="2" max="2" width="14.85546875" style="2" customWidth="1"/>
    <col min="3" max="4" width="13.85546875" style="2" customWidth="1"/>
    <col min="5" max="5" width="9.7109375" style="2" customWidth="1"/>
    <col min="6" max="6" width="21.28515625" style="2" customWidth="1"/>
    <col min="7" max="7" width="3.7109375" style="2" customWidth="1"/>
    <col min="8" max="8" width="41.5703125" style="2" customWidth="1"/>
    <col min="9" max="13" width="15.7109375" style="2" customWidth="1"/>
    <col min="14" max="21" width="13.85546875" style="2" customWidth="1"/>
    <col min="22" max="16384" width="8.7109375" style="2"/>
  </cols>
  <sheetData>
    <row r="1" spans="1:12" ht="14.25" x14ac:dyDescent="0.2">
      <c r="A1" s="1" t="s">
        <v>0</v>
      </c>
    </row>
    <row r="2" spans="1:12" ht="14.25" x14ac:dyDescent="0.2">
      <c r="A2" s="1" t="s">
        <v>1</v>
      </c>
    </row>
    <row r="3" spans="1:12" ht="14.25" x14ac:dyDescent="0.2">
      <c r="A3" s="360" t="s">
        <v>193</v>
      </c>
      <c r="B3" s="9"/>
      <c r="C3" s="9"/>
      <c r="D3" s="9"/>
      <c r="E3" s="9"/>
      <c r="F3" s="9"/>
    </row>
    <row r="4" spans="1:12" ht="14.25" x14ac:dyDescent="0.2">
      <c r="A4" s="360" t="s">
        <v>194</v>
      </c>
      <c r="B4" s="9"/>
      <c r="C4" s="9"/>
      <c r="D4" s="9"/>
      <c r="E4" s="9"/>
      <c r="F4" s="9"/>
    </row>
    <row r="5" spans="1:12" x14ac:dyDescent="0.2">
      <c r="A5" s="346"/>
    </row>
    <row r="7" spans="1:12" x14ac:dyDescent="0.2">
      <c r="A7" s="12">
        <v>1</v>
      </c>
      <c r="F7" s="347" t="s">
        <v>195</v>
      </c>
      <c r="H7" s="347"/>
    </row>
    <row r="8" spans="1:12" x14ac:dyDescent="0.2">
      <c r="A8" s="12">
        <f>+A7+1</f>
        <v>2</v>
      </c>
      <c r="F8" s="91"/>
      <c r="H8" s="99"/>
      <c r="L8" s="348"/>
    </row>
    <row r="9" spans="1:12" x14ac:dyDescent="0.2">
      <c r="A9" s="12">
        <f t="shared" ref="A9:A24" si="0">+A8+1</f>
        <v>3</v>
      </c>
      <c r="B9" s="94" t="s">
        <v>13</v>
      </c>
      <c r="F9" s="91"/>
      <c r="H9" s="99"/>
    </row>
    <row r="10" spans="1:12" x14ac:dyDescent="0.2">
      <c r="A10" s="12">
        <f t="shared" si="0"/>
        <v>4</v>
      </c>
      <c r="B10" s="94"/>
      <c r="F10" s="91"/>
      <c r="H10" s="99"/>
    </row>
    <row r="11" spans="1:12" x14ac:dyDescent="0.2">
      <c r="A11" s="12">
        <f t="shared" si="0"/>
        <v>5</v>
      </c>
      <c r="B11" s="349" t="s">
        <v>196</v>
      </c>
      <c r="H11" s="99"/>
    </row>
    <row r="12" spans="1:12" x14ac:dyDescent="0.2">
      <c r="A12" s="12">
        <f t="shared" si="0"/>
        <v>6</v>
      </c>
      <c r="B12" s="2" t="s">
        <v>197</v>
      </c>
      <c r="F12" s="361">
        <v>-2402328</v>
      </c>
      <c r="H12" s="351"/>
      <c r="K12" s="350"/>
      <c r="L12" s="350"/>
    </row>
    <row r="13" spans="1:12" x14ac:dyDescent="0.2">
      <c r="A13" s="12">
        <f t="shared" si="0"/>
        <v>7</v>
      </c>
      <c r="F13" s="91"/>
      <c r="H13" s="351"/>
    </row>
    <row r="14" spans="1:12" x14ac:dyDescent="0.2">
      <c r="A14" s="12">
        <f t="shared" si="0"/>
        <v>8</v>
      </c>
      <c r="B14" s="349" t="s">
        <v>198</v>
      </c>
      <c r="H14" s="351"/>
    </row>
    <row r="15" spans="1:12" x14ac:dyDescent="0.2">
      <c r="A15" s="12">
        <f t="shared" si="0"/>
        <v>9</v>
      </c>
      <c r="B15" s="2" t="s">
        <v>197</v>
      </c>
      <c r="F15" s="352">
        <f>'[3]Revenue Senstive'!D5</f>
        <v>3102783.7482523317</v>
      </c>
      <c r="H15" s="351"/>
    </row>
    <row r="16" spans="1:12" x14ac:dyDescent="0.2">
      <c r="A16" s="12">
        <f t="shared" si="0"/>
        <v>10</v>
      </c>
      <c r="F16" s="91"/>
      <c r="K16" s="348"/>
      <c r="L16" s="353"/>
    </row>
    <row r="17" spans="1:12" x14ac:dyDescent="0.2">
      <c r="A17" s="12">
        <f t="shared" si="0"/>
        <v>11</v>
      </c>
      <c r="B17" s="346"/>
      <c r="F17" s="91"/>
    </row>
    <row r="18" spans="1:12" ht="13.5" thickBot="1" x14ac:dyDescent="0.25">
      <c r="A18" s="12">
        <f t="shared" si="0"/>
        <v>12</v>
      </c>
      <c r="B18" s="346" t="s">
        <v>199</v>
      </c>
      <c r="F18" s="354">
        <f>SUM(F12:F15)</f>
        <v>700455.74825233174</v>
      </c>
      <c r="K18" s="348"/>
    </row>
    <row r="19" spans="1:12" ht="13.5" thickTop="1" x14ac:dyDescent="0.2">
      <c r="A19" s="12">
        <f t="shared" si="0"/>
        <v>13</v>
      </c>
      <c r="F19" s="91"/>
    </row>
    <row r="20" spans="1:12" x14ac:dyDescent="0.2">
      <c r="A20" s="12">
        <f t="shared" si="0"/>
        <v>14</v>
      </c>
      <c r="F20" s="91"/>
    </row>
    <row r="21" spans="1:12" x14ac:dyDescent="0.2">
      <c r="A21" s="12">
        <f t="shared" si="0"/>
        <v>15</v>
      </c>
      <c r="F21" s="91"/>
    </row>
    <row r="22" spans="1:12" x14ac:dyDescent="0.2">
      <c r="A22" s="12">
        <f t="shared" si="0"/>
        <v>16</v>
      </c>
      <c r="B22" s="355" t="str">
        <f>+'[3]19-07 Combined'!B32</f>
        <v>2018 Washington CBR Normalized Total Revenues</v>
      </c>
      <c r="C22" s="356"/>
      <c r="D22" s="356"/>
      <c r="F22" s="357">
        <f>+'[3]19-07 Combined'!F32</f>
        <v>66182522</v>
      </c>
    </row>
    <row r="23" spans="1:12" x14ac:dyDescent="0.2">
      <c r="A23" s="12">
        <f t="shared" si="0"/>
        <v>17</v>
      </c>
      <c r="B23" s="346"/>
      <c r="F23" s="358"/>
      <c r="L23" s="350"/>
    </row>
    <row r="24" spans="1:12" x14ac:dyDescent="0.2">
      <c r="A24" s="12">
        <f t="shared" si="0"/>
        <v>18</v>
      </c>
      <c r="B24" s="346" t="s">
        <v>200</v>
      </c>
      <c r="F24" s="359">
        <f>ROUND(F18/F22,4)</f>
        <v>1.06E-2</v>
      </c>
    </row>
    <row r="25" spans="1:12" x14ac:dyDescent="0.2">
      <c r="A25" s="12"/>
      <c r="F25" s="358"/>
    </row>
    <row r="26" spans="1:12" x14ac:dyDescent="0.2">
      <c r="A26" s="12"/>
      <c r="F26" s="91"/>
    </row>
    <row r="27" spans="1:12" x14ac:dyDescent="0.2">
      <c r="A27" s="12"/>
      <c r="F27" s="91"/>
      <c r="K27" s="348"/>
    </row>
    <row r="28" spans="1:12" x14ac:dyDescent="0.2">
      <c r="A28" s="12"/>
    </row>
    <row r="29" spans="1:12" x14ac:dyDescent="0.2">
      <c r="A29" s="12"/>
    </row>
    <row r="30" spans="1:12" x14ac:dyDescent="0.2">
      <c r="A30" s="12"/>
      <c r="F30" s="91"/>
    </row>
    <row r="31" spans="1:12" x14ac:dyDescent="0.2">
      <c r="A31" s="12"/>
    </row>
    <row r="32" spans="1:12"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64" spans="1:1" x14ac:dyDescent="0.2">
      <c r="A64" s="12"/>
    </row>
    <row r="65" spans="1:1" x14ac:dyDescent="0.2">
      <c r="A65" s="12"/>
    </row>
    <row r="66" spans="1:1" x14ac:dyDescent="0.2">
      <c r="A66" s="12"/>
    </row>
    <row r="67" spans="1:1" x14ac:dyDescent="0.2">
      <c r="A67" s="12"/>
    </row>
    <row r="68" spans="1:1" x14ac:dyDescent="0.2">
      <c r="A68" s="12"/>
    </row>
    <row r="69" spans="1:1" x14ac:dyDescent="0.2">
      <c r="A69" s="12"/>
    </row>
    <row r="70" spans="1:1" x14ac:dyDescent="0.2">
      <c r="A70" s="12"/>
    </row>
    <row r="71" spans="1:1" x14ac:dyDescent="0.2">
      <c r="A71" s="12"/>
    </row>
    <row r="72" spans="1:1" x14ac:dyDescent="0.2">
      <c r="A72" s="12"/>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12"/>
    </row>
  </sheetData>
  <pageMargins left="0.7" right="0.7" top="0.75" bottom="0.75" header="0.3" footer="0.3"/>
  <pageSetup scale="53" orientation="portrait" r:id="rId1"/>
  <headerFooter>
    <oddHeader>&amp;RNWN's Advice 19-03
Exhibit A - Supporting Materials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2019-09-12T07:00:00+00:00</OpenedDate>
    <SignificantOrder xmlns="dc463f71-b30c-4ab2-9473-d307f9d35888">false</SignificantOrder>
    <Date1 xmlns="dc463f71-b30c-4ab2-9473-d307f9d35888">2019-09-12T07:00:00+00:00</Date1>
    <IsDocumentOrder xmlns="dc463f71-b30c-4ab2-9473-d307f9d35888">false</IsDocumentOrder>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190766</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4136DC361C8D948869C55FCA4DC9ECE" ma:contentTypeVersion="56" ma:contentTypeDescription="" ma:contentTypeScope="" ma:versionID="450eb7ec6bcd468f30bea157aabacb9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3E7DFE-17D6-4094-A7D2-21F6702C9C21}"/>
</file>

<file path=customXml/itemProps2.xml><?xml version="1.0" encoding="utf-8"?>
<ds:datastoreItem xmlns:ds="http://schemas.openxmlformats.org/officeDocument/2006/customXml" ds:itemID="{916D3CEC-CEB5-43D3-872F-0A71218B9298}"/>
</file>

<file path=customXml/itemProps3.xml><?xml version="1.0" encoding="utf-8"?>
<ds:datastoreItem xmlns:ds="http://schemas.openxmlformats.org/officeDocument/2006/customXml" ds:itemID="{16C762C3-EDA0-47CA-8EE1-584E142C664C}"/>
</file>

<file path=customXml/itemProps4.xml><?xml version="1.0" encoding="utf-8"?>
<ds:datastoreItem xmlns:ds="http://schemas.openxmlformats.org/officeDocument/2006/customXml" ds:itemID="{AF081AA7-25FC-4D7F-9A21-FF042849B8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Calc of Increments</vt:lpstr>
      <vt:lpstr>Effct of Avg. Bill</vt:lpstr>
      <vt:lpstr>Summary of Def. Accts.</vt:lpstr>
      <vt:lpstr>186310</vt:lpstr>
      <vt:lpstr>186312</vt:lpstr>
      <vt:lpstr>186316</vt:lpstr>
      <vt:lpstr>Effects on Revenue</vt:lpstr>
      <vt:lpstr>'186310'!Print_Area</vt:lpstr>
      <vt:lpstr>'186312'!Print_Area</vt:lpstr>
      <vt:lpstr>'186316'!Print_Area</vt:lpstr>
    </vt:vector>
  </TitlesOfParts>
  <Company>NW Natural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Bourdo, Lora</dc:creator>
  <cp:lastModifiedBy>Allen, Autry</cp:lastModifiedBy>
  <cp:lastPrinted>2019-09-12T04:09:55Z</cp:lastPrinted>
  <dcterms:created xsi:type="dcterms:W3CDTF">2019-09-11T21:16:28Z</dcterms:created>
  <dcterms:modified xsi:type="dcterms:W3CDTF">2019-09-12T17:15:56Z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0x0101006E56B4D1795A2E4DB2F0B01679ED314A0054136DC361C8D948869C55FCA4DC9ECE</vt:lpwstr>
  </property>
  <property fmtid="{D5CDD505-2E9C-101B-9397-08002B2CF9AE}" pid="3" name="_docset_NoMedatataSyncRequired">
    <vt:lpwstr>False</vt:lpwstr>
  </property>
  <property fmtid="{D5CDD505-2E9C-101B-9397-08002B2CF9AE}" pid="4" name="IsEFSEC">
    <vt:bool>false</vt:bool>
  </property>
</Properties>
</file>