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9\2019 WA LIRAP Sch 92-192\"/>
    </mc:Choice>
  </mc:AlternateContent>
  <bookViews>
    <workbookView xWindow="0" yWindow="0" windowWidth="25200" windowHeight="12555"/>
  </bookViews>
  <sheets>
    <sheet name=" Elec" sheetId="2" r:id="rId1"/>
    <sheet name="E Rev Conv" sheetId="3" r:id="rId2"/>
    <sheet name="Natural Gas" sheetId="1" r:id="rId3"/>
    <sheet name="G Rev Conv" sheetId="4" r:id="rId4"/>
    <sheet name="Forecast BD" sheetId="5" r:id="rId5"/>
    <sheet name="Prior Balances" sheetId="7" r:id="rId6"/>
  </sheets>
  <externalReferences>
    <externalReference r:id="rId7"/>
    <externalReference r:id="rId8"/>
    <externalReference r:id="rId9"/>
  </externalReferences>
  <definedNames>
    <definedName name="Base1_Billing2" localSheetId="0">'[1]Pres &amp; Prop Rev'!$N$8</definedName>
    <definedName name="Base1_Billing2">'[2]Pres &amp; Prop Rev'!$O$8</definedName>
    <definedName name="_xlnm.Print_Area" localSheetId="0">' Elec'!$B$5:$P$26</definedName>
    <definedName name="_xlnm.Print_Area" localSheetId="2">'Natural Gas'!$B$6:$P$22</definedName>
    <definedName name="SL_RateIncr">'[1]St Lts'!$AD$1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7" i="1"/>
  <c r="I21" i="7"/>
  <c r="U32" i="7"/>
  <c r="O32" i="7"/>
  <c r="H32" i="7"/>
  <c r="C32" i="7"/>
  <c r="U31" i="7"/>
  <c r="O31" i="7"/>
  <c r="H31" i="7"/>
  <c r="C31" i="7"/>
  <c r="U30" i="7"/>
  <c r="O30" i="7"/>
  <c r="H30" i="7"/>
  <c r="C30" i="7"/>
  <c r="U29" i="7"/>
  <c r="O29" i="7"/>
  <c r="H29" i="7"/>
  <c r="C29" i="7"/>
  <c r="U28" i="7"/>
  <c r="O28" i="7"/>
  <c r="H28" i="7"/>
  <c r="C28" i="7"/>
  <c r="U27" i="7"/>
  <c r="O27" i="7"/>
  <c r="H27" i="7"/>
  <c r="C27" i="7"/>
  <c r="U26" i="7"/>
  <c r="O26" i="7"/>
  <c r="H26" i="7"/>
  <c r="C26" i="7"/>
  <c r="U25" i="7"/>
  <c r="O25" i="7"/>
  <c r="H25" i="7"/>
  <c r="C25" i="7"/>
  <c r="U24" i="7"/>
  <c r="V24" i="7" s="1"/>
  <c r="O24" i="7"/>
  <c r="P24" i="7" s="1"/>
  <c r="B24" i="7" s="1"/>
  <c r="H24" i="7"/>
  <c r="C24" i="7"/>
  <c r="U21" i="7"/>
  <c r="O21" i="7"/>
  <c r="U20" i="7"/>
  <c r="O20" i="7"/>
  <c r="U19" i="7"/>
  <c r="O19" i="7"/>
  <c r="U18" i="7"/>
  <c r="O18" i="7"/>
  <c r="U17" i="7"/>
  <c r="O17" i="7"/>
  <c r="U16" i="7"/>
  <c r="O16" i="7"/>
  <c r="U15" i="7"/>
  <c r="O15" i="7"/>
  <c r="U14" i="7"/>
  <c r="O14" i="7"/>
  <c r="U13" i="7"/>
  <c r="O13" i="7"/>
  <c r="U12" i="7"/>
  <c r="O12" i="7"/>
  <c r="U11" i="7"/>
  <c r="O11" i="7"/>
  <c r="U10" i="7"/>
  <c r="V10" i="7" s="1"/>
  <c r="O10" i="7"/>
  <c r="P10" i="7" s="1"/>
  <c r="B10" i="7" s="1"/>
  <c r="H10" i="7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U9" i="7"/>
  <c r="O9" i="7"/>
  <c r="H9" i="7"/>
  <c r="C9" i="7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G10" i="7" l="1"/>
  <c r="V11" i="7"/>
  <c r="P11" i="7"/>
  <c r="B11" i="7" s="1"/>
  <c r="V25" i="7"/>
  <c r="G24" i="7"/>
  <c r="P25" i="7"/>
  <c r="B25" i="7" s="1"/>
  <c r="R15" i="1"/>
  <c r="R14" i="1"/>
  <c r="V26" i="7" l="1"/>
  <c r="G25" i="7"/>
  <c r="P26" i="7"/>
  <c r="V12" i="7"/>
  <c r="G11" i="7"/>
  <c r="P12" i="7"/>
  <c r="L29" i="1"/>
  <c r="V13" i="7" l="1"/>
  <c r="G12" i="7"/>
  <c r="B26" i="7"/>
  <c r="P27" i="7"/>
  <c r="B12" i="7"/>
  <c r="P13" i="7"/>
  <c r="V27" i="7"/>
  <c r="G26" i="7"/>
  <c r="F22" i="2"/>
  <c r="B27" i="7" l="1"/>
  <c r="P28" i="7"/>
  <c r="V28" i="7"/>
  <c r="G27" i="7"/>
  <c r="B13" i="7"/>
  <c r="P14" i="7"/>
  <c r="V14" i="7"/>
  <c r="G13" i="7"/>
  <c r="K34" i="2"/>
  <c r="V15" i="7" l="1"/>
  <c r="G14" i="7"/>
  <c r="V29" i="7"/>
  <c r="G28" i="7"/>
  <c r="B14" i="7"/>
  <c r="P15" i="7"/>
  <c r="B28" i="7"/>
  <c r="P29" i="7"/>
  <c r="I14" i="1"/>
  <c r="I15" i="1"/>
  <c r="B29" i="7" l="1"/>
  <c r="P30" i="7"/>
  <c r="V30" i="7"/>
  <c r="G29" i="7"/>
  <c r="B15" i="7"/>
  <c r="P16" i="7"/>
  <c r="V16" i="7"/>
  <c r="G15" i="7"/>
  <c r="V17" i="7" l="1"/>
  <c r="G16" i="7"/>
  <c r="V31" i="7"/>
  <c r="G30" i="7"/>
  <c r="B16" i="7"/>
  <c r="P17" i="7"/>
  <c r="B30" i="7"/>
  <c r="P31" i="7"/>
  <c r="C23" i="4"/>
  <c r="C25" i="4" s="1"/>
  <c r="C29" i="4" s="1"/>
  <c r="B31" i="7" l="1"/>
  <c r="P32" i="7"/>
  <c r="B32" i="7" s="1"/>
  <c r="D32" i="7" s="1"/>
  <c r="G31" i="7"/>
  <c r="V32" i="7"/>
  <c r="G32" i="7" s="1"/>
  <c r="I32" i="7" s="1"/>
  <c r="B17" i="7"/>
  <c r="P18" i="7"/>
  <c r="V18" i="7"/>
  <c r="G17" i="7"/>
  <c r="N29" i="5"/>
  <c r="V19" i="7" l="1"/>
  <c r="G18" i="7"/>
  <c r="B18" i="7"/>
  <c r="P19" i="7"/>
  <c r="C30" i="1"/>
  <c r="H17" i="1" s="1"/>
  <c r="B19" i="7" l="1"/>
  <c r="P20" i="7"/>
  <c r="V20" i="7"/>
  <c r="G19" i="7"/>
  <c r="U12" i="2"/>
  <c r="V21" i="7" l="1"/>
  <c r="G21" i="7" s="1"/>
  <c r="G20" i="7"/>
  <c r="B20" i="7"/>
  <c r="P21" i="7"/>
  <c r="B21" i="7" s="1"/>
  <c r="G22" i="2"/>
  <c r="B34" i="7" l="1"/>
  <c r="K40" i="2" s="1"/>
  <c r="D21" i="7"/>
  <c r="G34" i="7"/>
  <c r="L36" i="1" s="1"/>
  <c r="U22" i="2"/>
  <c r="U14" i="2"/>
  <c r="U16" i="2"/>
  <c r="U18" i="2"/>
  <c r="U20" i="2"/>
  <c r="U13" i="1"/>
  <c r="U14" i="1"/>
  <c r="U15" i="1"/>
  <c r="U16" i="1"/>
  <c r="U17" i="1"/>
  <c r="G31" i="2" l="1"/>
  <c r="C26" i="5" l="1"/>
  <c r="D26" i="5"/>
  <c r="E26" i="5"/>
  <c r="F26" i="5"/>
  <c r="G26" i="5"/>
  <c r="H26" i="5"/>
  <c r="I26" i="5"/>
  <c r="J26" i="5"/>
  <c r="K26" i="5"/>
  <c r="L26" i="5"/>
  <c r="M26" i="5"/>
  <c r="B26" i="5"/>
  <c r="N22" i="5"/>
  <c r="G15" i="2" l="1"/>
  <c r="N28" i="5" l="1"/>
  <c r="D14" i="1" s="1"/>
  <c r="N30" i="5"/>
  <c r="D15" i="1" s="1"/>
  <c r="N31" i="5"/>
  <c r="D16" i="1" s="1"/>
  <c r="N32" i="5"/>
  <c r="D17" i="1" s="1"/>
  <c r="N33" i="5"/>
  <c r="D18" i="1" s="1"/>
  <c r="N27" i="5"/>
  <c r="N34" i="5" l="1"/>
  <c r="D13" i="1"/>
  <c r="F13" i="1" s="1"/>
  <c r="G13" i="1" s="1"/>
  <c r="N12" i="5"/>
  <c r="N13" i="5"/>
  <c r="N14" i="5"/>
  <c r="N15" i="5"/>
  <c r="N16" i="5"/>
  <c r="N17" i="5"/>
  <c r="N18" i="5"/>
  <c r="N19" i="5"/>
  <c r="D22" i="2" s="1"/>
  <c r="N11" i="5"/>
  <c r="D14" i="2" l="1"/>
  <c r="D16" i="2"/>
  <c r="D20" i="2"/>
  <c r="N20" i="5"/>
  <c r="N23" i="5" s="1"/>
  <c r="D12" i="2"/>
  <c r="F12" i="2" s="1"/>
  <c r="G12" i="2" s="1"/>
  <c r="D18" i="2"/>
  <c r="G26" i="1" l="1"/>
  <c r="R24" i="2" l="1"/>
  <c r="R19" i="1"/>
  <c r="F20" i="2" l="1"/>
  <c r="F18" i="2"/>
  <c r="F16" i="2"/>
  <c r="F14" i="2"/>
  <c r="G20" i="2" l="1"/>
  <c r="G14" i="2"/>
  <c r="G16" i="2"/>
  <c r="G18" i="2"/>
  <c r="H22" i="2"/>
  <c r="F24" i="2"/>
  <c r="K22" i="2" s="1"/>
  <c r="D24" i="2"/>
  <c r="H16" i="2" l="1"/>
  <c r="K16" i="2"/>
  <c r="K12" i="2"/>
  <c r="I16" i="2"/>
  <c r="I22" i="2"/>
  <c r="K18" i="2"/>
  <c r="F26" i="2"/>
  <c r="K30" i="2" s="1"/>
  <c r="L30" i="2" s="1"/>
  <c r="K20" i="2"/>
  <c r="K14" i="2"/>
  <c r="H18" i="2"/>
  <c r="H20" i="2"/>
  <c r="H14" i="2"/>
  <c r="H12" i="2"/>
  <c r="G24" i="2"/>
  <c r="N12" i="2" l="1"/>
  <c r="I12" i="2"/>
  <c r="L18" i="2"/>
  <c r="S18" i="2"/>
  <c r="L22" i="2"/>
  <c r="O22" i="2" s="1"/>
  <c r="P22" i="2" s="1"/>
  <c r="S22" i="2"/>
  <c r="L12" i="2"/>
  <c r="S12" i="2"/>
  <c r="L14" i="2"/>
  <c r="S14" i="2"/>
  <c r="L16" i="2"/>
  <c r="O16" i="2" s="1"/>
  <c r="P16" i="2" s="1"/>
  <c r="S16" i="2"/>
  <c r="L20" i="2"/>
  <c r="S20" i="2"/>
  <c r="N16" i="2"/>
  <c r="G26" i="2"/>
  <c r="G27" i="2" s="1"/>
  <c r="I20" i="2"/>
  <c r="N20" i="2"/>
  <c r="I18" i="2"/>
  <c r="N18" i="2"/>
  <c r="N22" i="2"/>
  <c r="N14" i="2"/>
  <c r="I14" i="2"/>
  <c r="K24" i="2"/>
  <c r="K26" i="2" s="1"/>
  <c r="H24" i="2"/>
  <c r="H26" i="2" s="1"/>
  <c r="O14" i="2" l="1"/>
  <c r="P14" i="2" s="1"/>
  <c r="O12" i="2"/>
  <c r="P12" i="2" s="1"/>
  <c r="S24" i="2"/>
  <c r="O20" i="2"/>
  <c r="P20" i="2" s="1"/>
  <c r="O18" i="2"/>
  <c r="P18" i="2" s="1"/>
  <c r="N24" i="2"/>
  <c r="N30" i="2" s="1"/>
  <c r="F18" i="1"/>
  <c r="F17" i="1"/>
  <c r="G17" i="1" s="1"/>
  <c r="F16" i="1"/>
  <c r="F15" i="1"/>
  <c r="F14" i="1"/>
  <c r="D19" i="1"/>
  <c r="K35" i="2" l="1"/>
  <c r="K36" i="2" s="1"/>
  <c r="L36" i="2" s="1"/>
  <c r="N26" i="2"/>
  <c r="G18" i="1"/>
  <c r="G16" i="1"/>
  <c r="G15" i="1"/>
  <c r="G14" i="1"/>
  <c r="I17" i="1"/>
  <c r="H18" i="1" l="1"/>
  <c r="H15" i="1"/>
  <c r="H16" i="1"/>
  <c r="H14" i="1"/>
  <c r="H13" i="1"/>
  <c r="I13" i="1" s="1"/>
  <c r="G19" i="1"/>
  <c r="F19" i="1"/>
  <c r="K17" i="1" s="1"/>
  <c r="S17" i="1" l="1"/>
  <c r="I16" i="1"/>
  <c r="F21" i="1"/>
  <c r="L25" i="1" s="1"/>
  <c r="K16" i="1"/>
  <c r="S16" i="1" s="1"/>
  <c r="K14" i="1"/>
  <c r="S14" i="1" s="1"/>
  <c r="K15" i="1"/>
  <c r="S15" i="1" s="1"/>
  <c r="K13" i="1"/>
  <c r="K18" i="1"/>
  <c r="G21" i="1"/>
  <c r="O21" i="1" s="1"/>
  <c r="H19" i="1"/>
  <c r="H21" i="1" s="1"/>
  <c r="N18" i="1" l="1"/>
  <c r="S18" i="1"/>
  <c r="N13" i="1"/>
  <c r="S13" i="1"/>
  <c r="G22" i="1"/>
  <c r="N14" i="1"/>
  <c r="L14" i="1"/>
  <c r="O14" i="1" s="1"/>
  <c r="P14" i="1" s="1"/>
  <c r="N17" i="1"/>
  <c r="O17" i="1"/>
  <c r="P17" i="1" s="1"/>
  <c r="L13" i="1"/>
  <c r="O13" i="1" s="1"/>
  <c r="P13" i="1" s="1"/>
  <c r="L30" i="1" s="1"/>
  <c r="K19" i="1"/>
  <c r="S19" i="1" s="1"/>
  <c r="N16" i="1"/>
  <c r="O16" i="1"/>
  <c r="P16" i="1" s="1"/>
  <c r="N15" i="1"/>
  <c r="L15" i="1"/>
  <c r="O15" i="1" s="1"/>
  <c r="P15" i="1" s="1"/>
  <c r="L31" i="1" l="1"/>
  <c r="N31" i="1" s="1"/>
  <c r="N19" i="1"/>
  <c r="N21" i="1" s="1"/>
</calcChain>
</file>

<file path=xl/comments1.xml><?xml version="1.0" encoding="utf-8"?>
<comments xmlns="http://schemas.openxmlformats.org/spreadsheetml/2006/main">
  <authors>
    <author>Joe Miller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Present Billed Revenue from 2019 GRC plus the REC Revenue Rebate Adjustment effective 7.1.19 and Schedule 74 expiration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First two blocks only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From 2017 GRC (UE-170485) Base Revenue</t>
        </r>
      </text>
    </comment>
  </commentList>
</comments>
</file>

<file path=xl/comments2.xml><?xml version="1.0" encoding="utf-8"?>
<comments xmlns="http://schemas.openxmlformats.org/spreadsheetml/2006/main">
  <authors>
    <author>Joe Miller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Forecasted Billing Determinants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Last Approved GRC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Joe Miller:</t>
        </r>
        <r>
          <rPr>
            <sz val="9"/>
            <color indexed="81"/>
            <rFont val="Tahoma"/>
            <family val="2"/>
          </rPr>
          <t xml:space="preserve">
Set at 1% per 2014 GRC Settlement Agreement
</t>
        </r>
      </text>
    </comment>
  </commentList>
</comments>
</file>

<file path=xl/sharedStrings.xml><?xml version="1.0" encoding="utf-8"?>
<sst xmlns="http://schemas.openxmlformats.org/spreadsheetml/2006/main" count="238" uniqueCount="132">
  <si>
    <t xml:space="preserve">Present </t>
  </si>
  <si>
    <t>Present</t>
  </si>
  <si>
    <t>Increased</t>
  </si>
  <si>
    <t>Proposed</t>
  </si>
  <si>
    <t>Type of</t>
  </si>
  <si>
    <t>Schedule</t>
  </si>
  <si>
    <t xml:space="preserve">Billing </t>
  </si>
  <si>
    <t xml:space="preserve">LIRAP </t>
  </si>
  <si>
    <t>LIRAP</t>
  </si>
  <si>
    <t>Service</t>
  </si>
  <si>
    <t>Number</t>
  </si>
  <si>
    <t>Determinants</t>
  </si>
  <si>
    <t>Rate</t>
  </si>
  <si>
    <t>Revenue</t>
  </si>
  <si>
    <t>(a)</t>
  </si>
  <si>
    <t>(b)</t>
  </si>
  <si>
    <t>(c)</t>
  </si>
  <si>
    <t>(d)</t>
  </si>
  <si>
    <t>(e)</t>
  </si>
  <si>
    <t>(f)</t>
  </si>
  <si>
    <t>(g)</t>
  </si>
  <si>
    <t>(h)</t>
  </si>
  <si>
    <t>General Service</t>
  </si>
  <si>
    <t>Large General Service</t>
  </si>
  <si>
    <t>111/112</t>
  </si>
  <si>
    <t>Large General Svc.-High Annual Load Factor</t>
  </si>
  <si>
    <t>121/122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</si>
  <si>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</si>
  <si>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</si>
  <si>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</si>
  <si>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</si>
  <si>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</si>
  <si>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</si>
  <si>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Total</t>
  </si>
  <si>
    <t xml:space="preserve">Proposed </t>
  </si>
  <si>
    <t>Billing</t>
  </si>
  <si>
    <t>Increase</t>
  </si>
  <si>
    <t>Residential</t>
  </si>
  <si>
    <t>11/12</t>
  </si>
  <si>
    <t>21/22</t>
  </si>
  <si>
    <t>Extra Large General Service</t>
  </si>
  <si>
    <t>Pumping Service</t>
  </si>
  <si>
    <t>30/31/32</t>
  </si>
  <si>
    <t>Street &amp; Area Lights</t>
  </si>
  <si>
    <t>41-48</t>
  </si>
  <si>
    <t xml:space="preserve">Incremental </t>
  </si>
  <si>
    <t>Change</t>
  </si>
  <si>
    <t>(i)</t>
  </si>
  <si>
    <t>change</t>
  </si>
  <si>
    <t>Present Bill</t>
  </si>
  <si>
    <t>Proposed Bill</t>
  </si>
  <si>
    <t>Bill Change</t>
  </si>
  <si>
    <t>Billed</t>
  </si>
  <si>
    <t>Present Street &amp; Area Light Revenue</t>
  </si>
  <si>
    <t>Net Funding Increase</t>
  </si>
  <si>
    <t>Revenue Conversion Factor</t>
  </si>
  <si>
    <t>AVISTA UTILITIES</t>
  </si>
  <si>
    <t>Washington - Electric System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</si>
  <si>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</si>
  <si>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</si>
  <si>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</si>
  <si>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</si>
  <si>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</si>
  <si>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</si>
  <si>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</si>
  <si>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</si>
  <si>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</si>
  <si>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Franchise Fees</t>
  </si>
  <si>
    <t xml:space="preserve">    Total Expense</t>
  </si>
  <si>
    <t>Net Operating Income Before FIT</t>
  </si>
  <si>
    <t>REVENUE CONVERSION FACTOR</t>
  </si>
  <si>
    <t xml:space="preserve">  Uncollectibles  </t>
  </si>
  <si>
    <t xml:space="preserve">  Commission Fees </t>
  </si>
  <si>
    <t xml:space="preserve">  Washington Excise Tax  </t>
  </si>
  <si>
    <t xml:space="preserve">  Franchise Fees  (City of Millwood Expired in 2004)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</si>
  <si>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</si>
  <si>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</si>
  <si>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</si>
  <si>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</si>
  <si>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</si>
  <si>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</si>
  <si>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</si>
  <si>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</si>
  <si>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</si>
  <si>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WA101</t>
  </si>
  <si>
    <t>WA111</t>
  </si>
  <si>
    <t>WA121</t>
  </si>
  <si>
    <t>WA132</t>
  </si>
  <si>
    <t>WA146</t>
  </si>
  <si>
    <t>WA148</t>
  </si>
  <si>
    <t>Forecasted</t>
  </si>
  <si>
    <t>Net Funding</t>
  </si>
  <si>
    <t>3rd Block Schedule 25</t>
  </si>
  <si>
    <t>WA025 (3rd Block)</t>
  </si>
  <si>
    <t xml:space="preserve">Prior LIRAP </t>
  </si>
  <si>
    <t>Year</t>
  </si>
  <si>
    <t>True-up Balance</t>
  </si>
  <si>
    <t>True-up</t>
  </si>
  <si>
    <t>Prior LIRAP Year True-up Balance</t>
  </si>
  <si>
    <t>LIRAP Funding</t>
  </si>
  <si>
    <t>(j)</t>
  </si>
  <si>
    <t>(k)</t>
  </si>
  <si>
    <t>(l)</t>
  </si>
  <si>
    <t>(m)</t>
  </si>
  <si>
    <t xml:space="preserve"> </t>
  </si>
  <si>
    <t>101/102</t>
  </si>
  <si>
    <t>1/2</t>
  </si>
  <si>
    <t>Electric</t>
  </si>
  <si>
    <t>Sch 92</t>
  </si>
  <si>
    <t>Prior Year True-up Balance</t>
  </si>
  <si>
    <t>GL/Database Balance</t>
  </si>
  <si>
    <t>Annual Budget Balance</t>
  </si>
  <si>
    <t>Over Collected</t>
  </si>
  <si>
    <t>Natural Gas</t>
  </si>
  <si>
    <t>Sch 192</t>
  </si>
  <si>
    <t>Under Collected</t>
  </si>
  <si>
    <t>Over-collected</t>
  </si>
  <si>
    <t>Schedule 146 Calculation</t>
  </si>
  <si>
    <t>Net Funding Increase (101 - 132)</t>
  </si>
  <si>
    <t>Proposed LIRAP Revenue</t>
  </si>
  <si>
    <t>WA112</t>
  </si>
  <si>
    <t>Base Revenue (UG-170485)</t>
  </si>
  <si>
    <t>TWELVE MONTHS ENDED DECEMBER 31, 2016</t>
  </si>
  <si>
    <t xml:space="preserve">  Federal Income Tax @ 21%</t>
  </si>
  <si>
    <t>Source:  UE-170485</t>
  </si>
  <si>
    <t>WASHINGTON NATURAL GAS</t>
  </si>
  <si>
    <t>From UG-170486</t>
  </si>
  <si>
    <t>Tariff</t>
  </si>
  <si>
    <t>Cum LIRAP</t>
  </si>
  <si>
    <t>918 kWh's</t>
  </si>
  <si>
    <t>66 Therms</t>
  </si>
  <si>
    <t>RDP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</si>
</sst>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_(&quot;$&quot;* #,##0_);_(&quot;$&quot;* \(#,##0\);_(&quot;$&quot;* &quot;-&quot;??_);_(@_)"/>
    <numFmt numFmtId="167" formatCode="0.0%"/>
    <numFmt numFmtId="168" formatCode="_(&quot;$&quot;* #,##0.000000_);_(&quot;$&quot;* \(#,##0.000000\);_(&quot;$&quot;* &quot;-&quot;??_);_(@_)"/>
    <numFmt numFmtId="169" formatCode="0.000000"/>
    <numFmt numFmtId="170" formatCode="0.00000"/>
    <numFmt numFmtId="171" formatCode="mmm\ yy"/>
    <numFmt numFmtId="172" formatCode="_(* #,##0.000_);_(* \(#,##0.00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4"/>
      <name val="Times New Roman"/>
      <family val="1"/>
    </font>
    <font>
      <b/>
      <sz val="9"/>
      <name val="Times New Roman"/>
      <family val="1"/>
    </font>
    <font>
      <b/>
      <sz val="10"/>
      <color indexed="48"/>
      <name val="Times New Roman"/>
      <family val="1"/>
    </font>
    <font>
      <sz val="10"/>
      <color indexed="12"/>
      <name val="Times New Roman"/>
      <family val="1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quotePrefix="1" applyFont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166" fontId="0" fillId="0" borderId="0" xfId="2" applyNumberFormat="1" applyFont="1"/>
    <xf numFmtId="166" fontId="0" fillId="0" borderId="0" xfId="0" applyNumberFormat="1"/>
    <xf numFmtId="165" fontId="2" fillId="0" borderId="0" xfId="2" applyNumberFormat="1" applyFont="1"/>
    <xf numFmtId="0" fontId="1" fillId="0" borderId="0" xfId="0" applyFont="1" applyAlignment="1">
      <alignment wrapText="1"/>
    </xf>
    <xf numFmtId="164" fontId="3" fillId="0" borderId="0" xfId="1" applyNumberFormat="1" applyFont="1"/>
    <xf numFmtId="166" fontId="3" fillId="0" borderId="0" xfId="2" applyNumberFormat="1" applyFont="1"/>
    <xf numFmtId="166" fontId="3" fillId="0" borderId="0" xfId="0" applyNumberFormat="1" applyFont="1"/>
    <xf numFmtId="0" fontId="1" fillId="0" borderId="0" xfId="0" applyFont="1" applyAlignment="1">
      <alignment horizontal="left" indent="3"/>
    </xf>
    <xf numFmtId="10" fontId="0" fillId="0" borderId="0" xfId="3" applyNumberFormat="1" applyFont="1"/>
    <xf numFmtId="37" fontId="0" fillId="0" borderId="0" xfId="0" applyNumberFormat="1"/>
    <xf numFmtId="165" fontId="0" fillId="0" borderId="0" xfId="0" applyNumberFormat="1"/>
    <xf numFmtId="16" fontId="1" fillId="0" borderId="0" xfId="0" quotePrefix="1" applyNumberFormat="1" applyFont="1" applyAlignment="1">
      <alignment horizontal="center"/>
    </xf>
    <xf numFmtId="0" fontId="2" fillId="0" borderId="0" xfId="0" applyFont="1"/>
    <xf numFmtId="10" fontId="2" fillId="0" borderId="0" xfId="3" applyNumberFormat="1" applyFont="1"/>
    <xf numFmtId="167" fontId="0" fillId="0" borderId="0" xfId="3" applyNumberFormat="1" applyFont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44" fontId="0" fillId="0" borderId="0" xfId="0" applyNumberFormat="1"/>
    <xf numFmtId="166" fontId="6" fillId="0" borderId="0" xfId="2" applyNumberFormat="1" applyFont="1"/>
    <xf numFmtId="168" fontId="0" fillId="0" borderId="0" xfId="2" applyNumberFormat="1" applyFont="1"/>
    <xf numFmtId="0" fontId="7" fillId="0" borderId="0" xfId="4" applyFont="1" applyAlignment="1">
      <alignment horizontal="centerContinuous"/>
    </xf>
    <xf numFmtId="0" fontId="8" fillId="0" borderId="0" xfId="4" applyFont="1" applyAlignment="1">
      <alignment horizontal="centerContinuous"/>
    </xf>
    <xf numFmtId="0" fontId="1" fillId="0" borderId="0" xfId="4"/>
    <xf numFmtId="0" fontId="7" fillId="0" borderId="0" xfId="4" applyFont="1" applyAlignment="1">
      <alignment horizontal="center"/>
    </xf>
    <xf numFmtId="0" fontId="8" fillId="0" borderId="0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7" fillId="0" borderId="0" xfId="4" applyFont="1"/>
    <xf numFmtId="169" fontId="10" fillId="0" borderId="0" xfId="4" applyNumberFormat="1" applyFont="1"/>
    <xf numFmtId="169" fontId="7" fillId="0" borderId="0" xfId="4" applyNumberFormat="1" applyFont="1"/>
    <xf numFmtId="169" fontId="9" fillId="0" borderId="0" xfId="4" applyNumberFormat="1" applyFont="1"/>
    <xf numFmtId="169" fontId="10" fillId="0" borderId="0" xfId="5" applyNumberFormat="1" applyFont="1"/>
    <xf numFmtId="169" fontId="10" fillId="0" borderId="0" xfId="4" applyNumberFormat="1" applyFont="1" applyBorder="1"/>
    <xf numFmtId="169" fontId="10" fillId="0" borderId="2" xfId="4" applyNumberFormat="1" applyFont="1" applyBorder="1"/>
    <xf numFmtId="10" fontId="11" fillId="0" borderId="0" xfId="4" applyNumberFormat="1" applyFont="1"/>
    <xf numFmtId="169" fontId="10" fillId="0" borderId="1" xfId="4" applyNumberFormat="1" applyFont="1" applyBorder="1"/>
    <xf numFmtId="170" fontId="10" fillId="0" borderId="3" xfId="4" applyNumberFormat="1" applyFont="1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169" fontId="7" fillId="0" borderId="0" xfId="4" applyNumberFormat="1" applyFont="1" applyAlignment="1">
      <alignment horizontal="center"/>
    </xf>
    <xf numFmtId="14" fontId="7" fillId="0" borderId="0" xfId="4" applyNumberFormat="1" applyFont="1"/>
    <xf numFmtId="169" fontId="7" fillId="0" borderId="0" xfId="4" applyNumberFormat="1" applyFont="1" applyAlignment="1">
      <alignment horizontal="right"/>
    </xf>
    <xf numFmtId="169" fontId="7" fillId="0" borderId="0" xfId="4" applyNumberFormat="1" applyFont="1" applyAlignment="1"/>
    <xf numFmtId="0" fontId="13" fillId="0" borderId="0" xfId="4" applyFont="1" applyBorder="1" applyAlignment="1">
      <alignment horizontal="center"/>
    </xf>
    <xf numFmtId="169" fontId="14" fillId="0" borderId="0" xfId="4" applyNumberFormat="1" applyFont="1" applyAlignment="1">
      <alignment horizontal="center"/>
    </xf>
    <xf numFmtId="169" fontId="13" fillId="0" borderId="0" xfId="4" applyNumberFormat="1" applyFont="1" applyFill="1" applyAlignment="1">
      <alignment horizontal="center"/>
    </xf>
    <xf numFmtId="0" fontId="13" fillId="0" borderId="1" xfId="4" applyFont="1" applyBorder="1" applyAlignment="1">
      <alignment horizontal="center"/>
    </xf>
    <xf numFmtId="169" fontId="15" fillId="0" borderId="0" xfId="4" applyNumberFormat="1" applyFont="1"/>
    <xf numFmtId="169" fontId="9" fillId="0" borderId="2" xfId="4" applyNumberFormat="1" applyFont="1" applyBorder="1"/>
    <xf numFmtId="171" fontId="2" fillId="0" borderId="0" xfId="0" applyNumberFormat="1" applyFont="1" applyFill="1">
      <alignment readingOrder="1"/>
    </xf>
    <xf numFmtId="164" fontId="0" fillId="0" borderId="0" xfId="0" applyNumberFormat="1"/>
    <xf numFmtId="0" fontId="1" fillId="2" borderId="0" xfId="4" applyFont="1" applyFill="1" applyAlignment="1">
      <alignment horizontal="left" indent="1"/>
    </xf>
    <xf numFmtId="170" fontId="0" fillId="0" borderId="0" xfId="0" applyNumberFormat="1"/>
    <xf numFmtId="168" fontId="0" fillId="0" borderId="0" xfId="0" applyNumberFormat="1"/>
    <xf numFmtId="0" fontId="2" fillId="0" borderId="0" xfId="0" applyFont="1" applyFill="1"/>
    <xf numFmtId="166" fontId="0" fillId="0" borderId="0" xfId="3" applyNumberFormat="1" applyFont="1"/>
    <xf numFmtId="14" fontId="0" fillId="0" borderId="0" xfId="0" applyNumberFormat="1"/>
    <xf numFmtId="0" fontId="0" fillId="0" borderId="5" xfId="0" applyBorder="1"/>
    <xf numFmtId="166" fontId="2" fillId="0" borderId="0" xfId="2" applyNumberFormat="1" applyFont="1"/>
    <xf numFmtId="44" fontId="2" fillId="0" borderId="4" xfId="0" applyNumberFormat="1" applyFont="1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/>
    <xf numFmtId="9" fontId="0" fillId="0" borderId="8" xfId="0" applyNumberFormat="1" applyBorder="1" applyAlignment="1">
      <alignment horizontal="right"/>
    </xf>
    <xf numFmtId="9" fontId="0" fillId="0" borderId="9" xfId="3" applyFont="1" applyBorder="1"/>
    <xf numFmtId="0" fontId="0" fillId="0" borderId="10" xfId="0" applyFill="1" applyBorder="1" applyAlignment="1">
      <alignment horizontal="right"/>
    </xf>
    <xf numFmtId="164" fontId="0" fillId="0" borderId="11" xfId="0" applyNumberFormat="1" applyFill="1" applyBorder="1"/>
    <xf numFmtId="0" fontId="16" fillId="0" borderId="6" xfId="0" applyFont="1" applyBorder="1" applyAlignment="1">
      <alignment horizontal="right"/>
    </xf>
    <xf numFmtId="164" fontId="0" fillId="0" borderId="9" xfId="1" applyNumberFormat="1" applyFont="1" applyFill="1" applyBorder="1"/>
    <xf numFmtId="169" fontId="7" fillId="0" borderId="0" xfId="4" applyNumberFormat="1" applyFont="1" applyAlignment="1">
      <alignment horizontal="left"/>
    </xf>
    <xf numFmtId="166" fontId="2" fillId="0" borderId="0" xfId="2" applyNumberFormat="1" applyFont="1" applyAlignment="1">
      <alignment horizontal="center"/>
    </xf>
    <xf numFmtId="166" fontId="0" fillId="0" borderId="0" xfId="2" applyNumberFormat="1" applyFont="1" applyFill="1"/>
    <xf numFmtId="166" fontId="0" fillId="0" borderId="4" xfId="2" applyNumberFormat="1" applyFont="1" applyBorder="1"/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165" fontId="2" fillId="0" borderId="13" xfId="2" applyNumberFormat="1" applyFont="1" applyBorder="1"/>
    <xf numFmtId="10" fontId="2" fillId="0" borderId="15" xfId="3" applyNumberFormat="1" applyFont="1" applyBorder="1"/>
    <xf numFmtId="165" fontId="2" fillId="0" borderId="15" xfId="2" applyNumberFormat="1" applyFont="1" applyBorder="1"/>
    <xf numFmtId="164" fontId="0" fillId="0" borderId="0" xfId="1" applyNumberFormat="1" applyFont="1" applyFill="1"/>
    <xf numFmtId="44" fontId="0" fillId="0" borderId="0" xfId="2" applyFont="1" applyFill="1"/>
    <xf numFmtId="44" fontId="0" fillId="0" borderId="0" xfId="0" applyNumberFormat="1" applyFill="1"/>
    <xf numFmtId="10" fontId="0" fillId="0" borderId="0" xfId="3" applyNumberFormat="1" applyFont="1" applyFill="1"/>
    <xf numFmtId="166" fontId="6" fillId="0" borderId="0" xfId="2" applyNumberFormat="1" applyFont="1" applyFill="1"/>
    <xf numFmtId="165" fontId="2" fillId="0" borderId="0" xfId="2" applyNumberFormat="1" applyFont="1" applyFill="1"/>
    <xf numFmtId="172" fontId="0" fillId="0" borderId="0" xfId="1" applyNumberFormat="1" applyFont="1"/>
    <xf numFmtId="9" fontId="0" fillId="0" borderId="0" xfId="3" applyFont="1"/>
  </cellXfs>
  <cellStyles count="6">
    <cellStyle name="Comma" xfId="1" builtinId="3"/>
    <cellStyle name="Currency" xfId="2" builtinId="4"/>
    <cellStyle name="Normal" xfId="0" builtinId="0"/>
    <cellStyle name="Normal 2" xfId="4"/>
    <cellStyle name="Percent" xfId="3" builtinId="5"/>
    <cellStyle name="Percent 2 2" xf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2015_WA_Elec_and_Gas_GRC/Compliance%20Filing%20-%20Final%20Order/UE-150204%20et%20al%20Compliance%20Filing%20Attachment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2015_WA_Elec_and_Gas_GRC/Compliance%20Filing%20-%20Final%20Order/UE-150204%20et%20al%20Compliance%20Filing%20Attachment%2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IRAP%20Variance%20Repor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Adder Schedule"/>
      <sheetName val="ERM"/>
      <sheetName val="LIRAP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Block Data"/>
      <sheetName val="Rev Runs 12MESEPT2014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>
        <row r="11">
          <cell r="H11" t="e">
            <v>#DIV/0!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9">
          <cell r="P49">
            <v>58008579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1"/>
      <sheetName val="Exh2"/>
      <sheetName val="Exh3"/>
      <sheetName val="LIRAP"/>
      <sheetName val="Rate Spread"/>
      <sheetName val="ROR"/>
      <sheetName val="BFG"/>
      <sheetName val="Bill Impact"/>
      <sheetName val="Bill Determ"/>
      <sheetName val="Block Usage"/>
      <sheetName val="Big Schedules"/>
      <sheetName val="Rev Runs CY"/>
    </sheetNames>
    <sheetDataSet>
      <sheetData sheetId="0">
        <row r="8">
          <cell r="O8">
            <v>1</v>
          </cell>
        </row>
      </sheetData>
      <sheetData sheetId="1"/>
      <sheetData sheetId="2"/>
      <sheetData sheetId="3"/>
      <sheetData sheetId="4">
        <row r="15">
          <cell r="E15">
            <v>0.38907000000000003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0">
          <cell r="O40">
            <v>665507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-2019"/>
      <sheetName val="2017-2018"/>
      <sheetName val="2016-2017"/>
    </sheetNames>
    <sheetDataSet>
      <sheetData sheetId="0" refreshError="1"/>
      <sheetData sheetId="1">
        <row r="23">
          <cell r="C23">
            <v>5266978</v>
          </cell>
          <cell r="H23">
            <v>3093965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5:Y41"/>
  <sheetViews>
    <sheetView tabSelected="1" workbookViewId="0">
      <selection activeCell="Q30" sqref="Q30"/>
    </sheetView>
  </sheetViews>
  <sheetFormatPr defaultRowHeight="12.75" x14ac:dyDescent="0.2"/>
  <cols>
    <col min="1" max="1" width="4.42578125" customWidth="1"/>
    <col min="2" max="2" width="24.5703125" bestFit="1" customWidth="1"/>
    <col min="3" max="3" width="8.7109375" bestFit="1" customWidth="1"/>
    <col min="4" max="4" width="13.42578125" bestFit="1" customWidth="1"/>
    <col min="5" max="6" width="13.5703125" bestFit="1" customWidth="1"/>
    <col min="7" max="7" width="13.28515625" customWidth="1"/>
    <col min="8" max="8" width="13.42578125" customWidth="1"/>
    <col min="9" max="9" width="13.5703125" customWidth="1"/>
    <col min="10" max="10" width="4.7109375" customWidth="1"/>
    <col min="11" max="11" width="14" bestFit="1" customWidth="1"/>
    <col min="12" max="12" width="10.28515625" bestFit="1" customWidth="1"/>
    <col min="13" max="13" width="4.5703125" customWidth="1"/>
    <col min="14" max="14" width="11.28515625" bestFit="1" customWidth="1"/>
    <col min="15" max="15" width="9.7109375" bestFit="1" customWidth="1"/>
    <col min="16" max="16" width="11.140625" bestFit="1" customWidth="1"/>
    <col min="17" max="17" width="9.140625" customWidth="1"/>
    <col min="18" max="18" width="13.42578125" bestFit="1" customWidth="1"/>
  </cols>
  <sheetData>
    <row r="5" spans="2:25" ht="13.5" thickBot="1" x14ac:dyDescent="0.25"/>
    <row r="6" spans="2:25" x14ac:dyDescent="0.2">
      <c r="D6" s="1" t="s">
        <v>90</v>
      </c>
      <c r="N6" s="1" t="s">
        <v>33</v>
      </c>
      <c r="O6" s="89" t="s">
        <v>33</v>
      </c>
      <c r="P6" s="1" t="s">
        <v>33</v>
      </c>
    </row>
    <row r="7" spans="2:25" x14ac:dyDescent="0.2">
      <c r="D7" s="1" t="s">
        <v>8</v>
      </c>
      <c r="E7" s="1" t="s">
        <v>1</v>
      </c>
      <c r="F7" s="1" t="s">
        <v>0</v>
      </c>
      <c r="G7" s="1" t="s">
        <v>34</v>
      </c>
      <c r="H7" s="1" t="s">
        <v>3</v>
      </c>
      <c r="I7" s="1" t="s">
        <v>3</v>
      </c>
      <c r="J7" s="1"/>
      <c r="K7" s="1" t="s">
        <v>94</v>
      </c>
      <c r="L7" s="1" t="s">
        <v>3</v>
      </c>
      <c r="M7" s="1"/>
      <c r="N7" s="1" t="s">
        <v>3</v>
      </c>
      <c r="O7" s="90" t="s">
        <v>3</v>
      </c>
      <c r="P7" s="1" t="s">
        <v>45</v>
      </c>
      <c r="R7" s="1" t="s">
        <v>0</v>
      </c>
      <c r="S7" s="68"/>
      <c r="T7" s="68"/>
      <c r="U7" s="68"/>
      <c r="V7" s="68"/>
      <c r="W7" s="68"/>
      <c r="X7" s="68"/>
      <c r="Y7" s="27"/>
    </row>
    <row r="8" spans="2:25" x14ac:dyDescent="0.2">
      <c r="B8" s="2" t="s">
        <v>4</v>
      </c>
      <c r="C8" s="2" t="s">
        <v>5</v>
      </c>
      <c r="D8" s="1" t="s">
        <v>35</v>
      </c>
      <c r="E8" s="1" t="s">
        <v>99</v>
      </c>
      <c r="F8" s="1" t="s">
        <v>99</v>
      </c>
      <c r="G8" s="1" t="s">
        <v>99</v>
      </c>
      <c r="H8" s="1" t="s">
        <v>99</v>
      </c>
      <c r="I8" s="1" t="s">
        <v>99</v>
      </c>
      <c r="J8" s="1"/>
      <c r="K8" s="1" t="s">
        <v>95</v>
      </c>
      <c r="L8" s="1" t="s">
        <v>97</v>
      </c>
      <c r="M8" s="1"/>
      <c r="N8" s="1" t="s">
        <v>8</v>
      </c>
      <c r="O8" s="90" t="s">
        <v>8</v>
      </c>
      <c r="P8" s="1" t="s">
        <v>12</v>
      </c>
      <c r="R8" s="1" t="s">
        <v>6</v>
      </c>
    </row>
    <row r="9" spans="2:25" x14ac:dyDescent="0.2">
      <c r="B9" s="3" t="s">
        <v>9</v>
      </c>
      <c r="C9" s="3" t="s">
        <v>10</v>
      </c>
      <c r="D9" s="4" t="s">
        <v>11</v>
      </c>
      <c r="E9" s="4" t="s">
        <v>12</v>
      </c>
      <c r="F9" s="4" t="s">
        <v>13</v>
      </c>
      <c r="G9" s="4" t="s">
        <v>36</v>
      </c>
      <c r="H9" s="4" t="s">
        <v>13</v>
      </c>
      <c r="I9" s="4" t="s">
        <v>12</v>
      </c>
      <c r="J9" s="4"/>
      <c r="K9" s="4" t="s">
        <v>96</v>
      </c>
      <c r="L9" s="4" t="s">
        <v>12</v>
      </c>
      <c r="M9" s="4"/>
      <c r="N9" s="4" t="s">
        <v>13</v>
      </c>
      <c r="O9" s="91" t="s">
        <v>12</v>
      </c>
      <c r="P9" s="25" t="s">
        <v>48</v>
      </c>
      <c r="R9" s="24" t="s">
        <v>13</v>
      </c>
    </row>
    <row r="10" spans="2:25" x14ac:dyDescent="0.2">
      <c r="B10" s="2" t="s">
        <v>14</v>
      </c>
      <c r="C10" s="2" t="s">
        <v>15</v>
      </c>
      <c r="D10" s="2" t="s">
        <v>16</v>
      </c>
      <c r="E10" s="2" t="s">
        <v>17</v>
      </c>
      <c r="F10" s="2" t="s">
        <v>18</v>
      </c>
      <c r="G10" s="2" t="s">
        <v>19</v>
      </c>
      <c r="H10" s="2" t="s">
        <v>20</v>
      </c>
      <c r="I10" s="2" t="s">
        <v>21</v>
      </c>
      <c r="J10" s="2"/>
      <c r="K10" s="2" t="s">
        <v>47</v>
      </c>
      <c r="L10" s="2" t="s">
        <v>100</v>
      </c>
      <c r="M10" s="2"/>
      <c r="N10" s="2" t="s">
        <v>101</v>
      </c>
      <c r="O10" s="92" t="s">
        <v>102</v>
      </c>
      <c r="P10" s="24" t="s">
        <v>103</v>
      </c>
    </row>
    <row r="11" spans="2:25" x14ac:dyDescent="0.2">
      <c r="B11" s="5"/>
      <c r="C11" s="2"/>
      <c r="O11" s="93"/>
    </row>
    <row r="12" spans="2:25" x14ac:dyDescent="0.2">
      <c r="B12" s="5" t="s">
        <v>37</v>
      </c>
      <c r="C12" s="20" t="s">
        <v>106</v>
      </c>
      <c r="D12" s="18">
        <f>'Forecast BD'!N11</f>
        <v>2374685107.0485482</v>
      </c>
      <c r="E12" s="8">
        <v>1.15E-3</v>
      </c>
      <c r="F12" s="9">
        <f>D12*E12</f>
        <v>2730887.8731058305</v>
      </c>
      <c r="G12" s="9">
        <f>F12*$G$30</f>
        <v>191162.15111740815</v>
      </c>
      <c r="H12" s="10">
        <f>F12+G12</f>
        <v>2922050.0242232387</v>
      </c>
      <c r="I12" s="11">
        <f>ROUND(H12/D12,5)</f>
        <v>1.23E-3</v>
      </c>
      <c r="J12" s="11"/>
      <c r="K12" s="10">
        <f>(F12/$F$24)*-$K$40</f>
        <v>-51128.1523702263</v>
      </c>
      <c r="L12" s="11">
        <f>ROUND(K12/D12,5)</f>
        <v>-2.0000000000000002E-5</v>
      </c>
      <c r="M12" s="11"/>
      <c r="N12" s="10">
        <f>H12+K12</f>
        <v>2870921.8718530126</v>
      </c>
      <c r="O12" s="94">
        <f>I12+L12</f>
        <v>1.2099999999999999E-3</v>
      </c>
      <c r="P12" s="19">
        <f>ROUND(O12-E12,5)</f>
        <v>6.0000000000000002E-5</v>
      </c>
      <c r="R12" s="86">
        <v>223660000</v>
      </c>
      <c r="S12" s="17">
        <f>(G12+K12)/R12</f>
        <v>6.2610211368676499E-4</v>
      </c>
      <c r="U12" s="66">
        <f>E12*(1+$G$30)</f>
        <v>1.2305E-3</v>
      </c>
    </row>
    <row r="13" spans="2:25" x14ac:dyDescent="0.2">
      <c r="B13" s="5"/>
      <c r="C13" s="2"/>
      <c r="F13" s="9"/>
      <c r="G13" s="9"/>
      <c r="H13" s="10"/>
      <c r="I13" s="11"/>
      <c r="J13" s="11"/>
      <c r="K13" s="10"/>
      <c r="L13" s="11"/>
      <c r="M13" s="11"/>
      <c r="N13" s="10"/>
      <c r="O13" s="94"/>
      <c r="P13" s="19"/>
      <c r="R13" s="86"/>
      <c r="S13" s="17"/>
      <c r="U13" s="66"/>
    </row>
    <row r="14" spans="2:25" x14ac:dyDescent="0.2">
      <c r="B14" s="5" t="s">
        <v>22</v>
      </c>
      <c r="C14" s="20" t="s">
        <v>38</v>
      </c>
      <c r="D14" s="18">
        <f>'Forecast BD'!N12+'Forecast BD'!N13</f>
        <v>630414619.74878836</v>
      </c>
      <c r="E14" s="8">
        <v>1.67E-3</v>
      </c>
      <c r="F14" s="9">
        <f t="shared" ref="F14:F20" si="0">D14*E14</f>
        <v>1052792.4149804765</v>
      </c>
      <c r="G14" s="9">
        <f>F14*$G$30</f>
        <v>73695.469048633357</v>
      </c>
      <c r="H14" s="10">
        <f t="shared" ref="H14:H22" si="1">F14+G14</f>
        <v>1126487.88402911</v>
      </c>
      <c r="I14" s="11">
        <f t="shared" ref="I14:I20" si="2">ROUND(H14/D14,5)</f>
        <v>1.7899999999999999E-3</v>
      </c>
      <c r="J14" s="11"/>
      <c r="K14" s="10">
        <f>(F14/$F$24)*-$K$40</f>
        <v>-19710.560633938683</v>
      </c>
      <c r="L14" s="11">
        <f t="shared" ref="L14:L20" si="3">K14/D14</f>
        <v>-3.1266027177150607E-5</v>
      </c>
      <c r="M14" s="11"/>
      <c r="N14" s="10">
        <f t="shared" ref="N14:N22" si="4">H14+K14</f>
        <v>1106777.3233951712</v>
      </c>
      <c r="O14" s="94">
        <f t="shared" ref="O14:O20" si="5">I14+L14</f>
        <v>1.7587339728228494E-3</v>
      </c>
      <c r="P14" s="19">
        <f>O14-E14</f>
        <v>8.8733972822849314E-5</v>
      </c>
      <c r="R14" s="86">
        <v>79924000</v>
      </c>
      <c r="S14" s="17">
        <f t="shared" ref="S14:S24" si="6">(G14+K14)/R14</f>
        <v>6.7545303556747248E-4</v>
      </c>
      <c r="U14" s="66">
        <f>E14*(1+$G$30)</f>
        <v>1.7869000000000001E-3</v>
      </c>
    </row>
    <row r="15" spans="2:25" x14ac:dyDescent="0.2">
      <c r="B15" s="5"/>
      <c r="C15" s="2"/>
      <c r="F15" s="9"/>
      <c r="G15" s="9">
        <f>F15*$G$30</f>
        <v>0</v>
      </c>
      <c r="H15" s="10"/>
      <c r="I15" s="11"/>
      <c r="J15" s="11"/>
      <c r="K15" s="10"/>
      <c r="L15" s="11"/>
      <c r="M15" s="11"/>
      <c r="N15" s="10"/>
      <c r="O15" s="94"/>
      <c r="P15" s="19"/>
      <c r="R15" s="86"/>
      <c r="S15" s="17"/>
      <c r="U15" s="66"/>
    </row>
    <row r="16" spans="2:25" x14ac:dyDescent="0.2">
      <c r="B16" s="5" t="s">
        <v>23</v>
      </c>
      <c r="C16" s="6" t="s">
        <v>39</v>
      </c>
      <c r="D16" s="18">
        <f>'Forecast BD'!N14+'Forecast BD'!N15</f>
        <v>1386709698.7369294</v>
      </c>
      <c r="E16" s="8">
        <v>1.2099999999999999E-3</v>
      </c>
      <c r="F16" s="9">
        <f t="shared" si="0"/>
        <v>1677918.7354716845</v>
      </c>
      <c r="G16" s="9">
        <f>F16*$G$30</f>
        <v>117454.31148301793</v>
      </c>
      <c r="H16" s="10">
        <f t="shared" si="1"/>
        <v>1795373.0469547024</v>
      </c>
      <c r="I16" s="11">
        <f t="shared" si="2"/>
        <v>1.2899999999999999E-3</v>
      </c>
      <c r="J16" s="11"/>
      <c r="K16" s="10">
        <f>(F16/$F$24)*-$K$40</f>
        <v>-31414.283104375972</v>
      </c>
      <c r="L16" s="11">
        <f t="shared" si="3"/>
        <v>-2.2653828074462419E-5</v>
      </c>
      <c r="M16" s="11"/>
      <c r="N16" s="10">
        <f t="shared" si="4"/>
        <v>1763958.7638503264</v>
      </c>
      <c r="O16" s="94">
        <f t="shared" si="5"/>
        <v>1.2673461719255375E-3</v>
      </c>
      <c r="P16" s="19">
        <f>O16-E16</f>
        <v>5.7346171925537611E-5</v>
      </c>
      <c r="R16" s="86">
        <v>133970000</v>
      </c>
      <c r="S16" s="17">
        <f t="shared" si="6"/>
        <v>6.4223354764978693E-4</v>
      </c>
      <c r="U16" s="66">
        <f>E16*(1+$G$30)</f>
        <v>1.2947E-3</v>
      </c>
    </row>
    <row r="17" spans="2:21" x14ac:dyDescent="0.2">
      <c r="B17" s="5"/>
      <c r="C17" s="2"/>
      <c r="F17" s="9"/>
      <c r="G17" s="9"/>
      <c r="H17" s="10"/>
      <c r="I17" s="11"/>
      <c r="J17" s="11"/>
      <c r="K17" s="10"/>
      <c r="L17" s="11"/>
      <c r="M17" s="11"/>
      <c r="N17" s="10"/>
      <c r="O17" s="94"/>
      <c r="P17" s="19"/>
      <c r="R17" s="86"/>
      <c r="S17" s="17"/>
      <c r="U17" s="66"/>
    </row>
    <row r="18" spans="2:21" x14ac:dyDescent="0.2">
      <c r="B18" s="5" t="s">
        <v>40</v>
      </c>
      <c r="C18" s="2">
        <v>25</v>
      </c>
      <c r="D18" s="18">
        <f>'Forecast BD'!N16-'Forecast BD'!N22</f>
        <v>737022515.49135852</v>
      </c>
      <c r="E18" s="8">
        <v>7.6000000000000004E-4</v>
      </c>
      <c r="F18" s="9">
        <f t="shared" si="0"/>
        <v>560137.11177343247</v>
      </c>
      <c r="G18" s="9">
        <f>F18*$G$30</f>
        <v>39209.597824140277</v>
      </c>
      <c r="H18" s="10">
        <f t="shared" si="1"/>
        <v>599346.70959757268</v>
      </c>
      <c r="I18" s="11">
        <f t="shared" si="2"/>
        <v>8.0999999999999996E-4</v>
      </c>
      <c r="J18" s="11"/>
      <c r="K18" s="10">
        <f>(F18/$F$24)*-$K$40</f>
        <v>-10486.983329125022</v>
      </c>
      <c r="L18" s="11">
        <f t="shared" si="3"/>
        <v>-1.422885069139788E-5</v>
      </c>
      <c r="M18" s="11"/>
      <c r="N18" s="10">
        <f t="shared" si="4"/>
        <v>588859.7262684477</v>
      </c>
      <c r="O18" s="94">
        <f t="shared" si="5"/>
        <v>7.9577114930860207E-4</v>
      </c>
      <c r="P18" s="19">
        <f>O18-E18</f>
        <v>3.5771149308602029E-5</v>
      </c>
      <c r="R18" s="86">
        <v>70315000</v>
      </c>
      <c r="S18" s="17">
        <f t="shared" si="6"/>
        <v>4.0848488224440381E-4</v>
      </c>
      <c r="U18" s="66">
        <f>E18*(1+$G$30)</f>
        <v>8.1320000000000014E-4</v>
      </c>
    </row>
    <row r="19" spans="2:21" x14ac:dyDescent="0.2">
      <c r="B19" s="5"/>
      <c r="C19" s="2"/>
      <c r="F19" s="9"/>
      <c r="G19" s="9"/>
      <c r="H19" s="10"/>
      <c r="I19" s="11"/>
      <c r="J19" s="11"/>
      <c r="K19" s="10"/>
      <c r="L19" s="11"/>
      <c r="M19" s="11"/>
      <c r="N19" s="10"/>
      <c r="O19" s="94"/>
      <c r="P19" s="19"/>
      <c r="R19" s="86"/>
      <c r="S19" s="17"/>
      <c r="U19" s="66"/>
    </row>
    <row r="20" spans="2:21" x14ac:dyDescent="0.2">
      <c r="B20" s="5" t="s">
        <v>41</v>
      </c>
      <c r="C20" s="6" t="s">
        <v>42</v>
      </c>
      <c r="D20" s="18">
        <f>'Forecast BD'!N17+'Forecast BD'!N18</f>
        <v>141997857.29013777</v>
      </c>
      <c r="E20" s="8">
        <v>1.0499999999999999E-3</v>
      </c>
      <c r="F20" s="9">
        <f t="shared" si="0"/>
        <v>149097.75015464466</v>
      </c>
      <c r="G20" s="9">
        <f>F20*$G$30</f>
        <v>10436.842510825127</v>
      </c>
      <c r="H20" s="10">
        <f t="shared" si="1"/>
        <v>159534.5926654698</v>
      </c>
      <c r="I20" s="11">
        <f t="shared" si="2"/>
        <v>1.1199999999999999E-3</v>
      </c>
      <c r="J20" s="11"/>
      <c r="K20" s="10">
        <f>(F20/$F$24)*-$K$40</f>
        <v>-2791.4337175970845</v>
      </c>
      <c r="L20" s="11">
        <f t="shared" si="3"/>
        <v>-1.9658280560483917E-5</v>
      </c>
      <c r="M20" s="11"/>
      <c r="N20" s="10">
        <f t="shared" si="4"/>
        <v>156743.15894787273</v>
      </c>
      <c r="O20" s="94">
        <f t="shared" si="5"/>
        <v>1.1003417194395159E-3</v>
      </c>
      <c r="P20" s="19">
        <f>O20-E20</f>
        <v>5.0341719439515962E-5</v>
      </c>
      <c r="R20" s="86">
        <v>12860000</v>
      </c>
      <c r="S20" s="17">
        <f t="shared" si="6"/>
        <v>5.9451079263048536E-4</v>
      </c>
      <c r="U20" s="66">
        <f>E20*(1+$G$30)</f>
        <v>1.1234999999999999E-3</v>
      </c>
    </row>
    <row r="21" spans="2:21" x14ac:dyDescent="0.2">
      <c r="B21" s="5"/>
      <c r="C21" s="2"/>
      <c r="G21" s="9"/>
      <c r="H21" s="10"/>
      <c r="I21" s="21"/>
      <c r="J21" s="21"/>
      <c r="K21" s="10"/>
      <c r="L21" s="21"/>
      <c r="M21" s="21"/>
      <c r="N21" s="10"/>
      <c r="O21" s="94"/>
      <c r="P21" s="19"/>
      <c r="R21" s="86"/>
      <c r="S21" s="17"/>
      <c r="U21" s="66"/>
    </row>
    <row r="22" spans="2:21" ht="13.5" thickBot="1" x14ac:dyDescent="0.25">
      <c r="B22" s="5" t="s">
        <v>43</v>
      </c>
      <c r="C22" s="2" t="s">
        <v>44</v>
      </c>
      <c r="D22" s="18">
        <f>'Forecast BD'!N19</f>
        <v>17953636.193338957</v>
      </c>
      <c r="E22" s="17">
        <v>1.4200000000000001E-2</v>
      </c>
      <c r="F22" s="9">
        <f>K41*' Elec'!E22</f>
        <v>99698.200000000012</v>
      </c>
      <c r="G22" s="9">
        <f>F22*$G$30</f>
        <v>6978.8740000000016</v>
      </c>
      <c r="H22" s="10">
        <f t="shared" si="1"/>
        <v>106677.07400000001</v>
      </c>
      <c r="I22" s="22">
        <f>ROUND(H22/K41,4)</f>
        <v>1.52E-2</v>
      </c>
      <c r="J22" s="22"/>
      <c r="K22" s="10">
        <f>(F22/$F$24)*-$K$40</f>
        <v>-1866.5668447383218</v>
      </c>
      <c r="L22" s="22">
        <f>K22/K41</f>
        <v>-2.6585484186559204E-4</v>
      </c>
      <c r="M22" s="22"/>
      <c r="N22" s="10">
        <f t="shared" si="4"/>
        <v>104810.50715526169</v>
      </c>
      <c r="O22" s="95">
        <f>I22+L22</f>
        <v>1.4934145158134408E-2</v>
      </c>
      <c r="P22" s="17">
        <f>O22-E22</f>
        <v>7.3414515813440689E-4</v>
      </c>
      <c r="R22" s="86">
        <v>6879000</v>
      </c>
      <c r="S22" s="17">
        <f t="shared" si="6"/>
        <v>7.4317592022992882E-4</v>
      </c>
      <c r="U22" s="17">
        <f>E22*(1+$G$30)</f>
        <v>1.5194000000000001E-2</v>
      </c>
    </row>
    <row r="23" spans="2:21" x14ac:dyDescent="0.2">
      <c r="B23" s="5"/>
      <c r="C23" s="2"/>
      <c r="K23" s="10"/>
      <c r="R23" s="9"/>
      <c r="S23" s="17"/>
    </row>
    <row r="24" spans="2:21" x14ac:dyDescent="0.2">
      <c r="B24" s="16" t="s">
        <v>33</v>
      </c>
      <c r="C24" s="2"/>
      <c r="D24" s="18">
        <f>SUM(D12:D22)</f>
        <v>5288783434.5091009</v>
      </c>
      <c r="F24" s="10">
        <f>SUM(F12:F22)</f>
        <v>6270532.0854860684</v>
      </c>
      <c r="G24" s="10">
        <f>SUM(G12:G22)</f>
        <v>438937.24598402489</v>
      </c>
      <c r="H24" s="10">
        <f>SUM(H12:H22)</f>
        <v>6709469.3314700937</v>
      </c>
      <c r="I24" s="10"/>
      <c r="J24" s="10"/>
      <c r="K24" s="10">
        <f>SUM(K12:K22)</f>
        <v>-117397.98000000138</v>
      </c>
      <c r="L24" s="10"/>
      <c r="M24" s="10"/>
      <c r="N24" s="10">
        <f>SUM(N12:N22)</f>
        <v>6592071.3514700932</v>
      </c>
      <c r="R24" s="10">
        <f>SUM(R12:R22)</f>
        <v>527608000</v>
      </c>
      <c r="S24" s="17">
        <f t="shared" si="6"/>
        <v>6.0942833691684638E-4</v>
      </c>
    </row>
    <row r="25" spans="2:21" x14ac:dyDescent="0.2">
      <c r="K25" s="10"/>
      <c r="N25" s="10"/>
    </row>
    <row r="26" spans="2:21" x14ac:dyDescent="0.2">
      <c r="E26" s="67" t="s">
        <v>91</v>
      </c>
      <c r="F26" s="9">
        <f>F24*G31</f>
        <v>5977842.4593318356</v>
      </c>
      <c r="G26" s="10">
        <f>F26*G30</f>
        <v>418448.97215322853</v>
      </c>
      <c r="H26" s="9">
        <f>H24*G31</f>
        <v>6396291.4314850643</v>
      </c>
      <c r="I26" s="9"/>
      <c r="J26" s="9"/>
      <c r="K26" s="9">
        <f>K24*G31</f>
        <v>-111918.19448754132</v>
      </c>
      <c r="L26" s="9"/>
      <c r="M26" s="9"/>
      <c r="N26" s="9">
        <f>N24*G31</f>
        <v>6284373.2369975243</v>
      </c>
      <c r="O26" s="10"/>
    </row>
    <row r="27" spans="2:21" x14ac:dyDescent="0.2">
      <c r="G27" s="23">
        <f>G26/F26</f>
        <v>7.0000000000000007E-2</v>
      </c>
    </row>
    <row r="30" spans="2:21" x14ac:dyDescent="0.2">
      <c r="G30" s="23">
        <v>7.0000000000000007E-2</v>
      </c>
      <c r="H30" t="s">
        <v>54</v>
      </c>
      <c r="K30" s="10">
        <f>F26*G30</f>
        <v>418448.97215322853</v>
      </c>
      <c r="L30" s="23">
        <f>K30/F24</f>
        <v>6.6732610000000012E-2</v>
      </c>
      <c r="M30" s="23"/>
      <c r="N30" s="69">
        <f>N24-F24</f>
        <v>321539.26598402485</v>
      </c>
    </row>
    <row r="31" spans="2:21" x14ac:dyDescent="0.2">
      <c r="G31" s="30">
        <f>'E Rev Conv'!E22</f>
        <v>0.95332300000000003</v>
      </c>
      <c r="H31" t="s">
        <v>55</v>
      </c>
      <c r="K31" s="10"/>
      <c r="L31" s="23"/>
      <c r="M31" s="23"/>
      <c r="N31" s="23"/>
      <c r="O31" s="28"/>
    </row>
    <row r="32" spans="2:21" x14ac:dyDescent="0.2">
      <c r="G32" s="17"/>
      <c r="K32" s="9"/>
      <c r="L32" s="23"/>
      <c r="M32" s="23"/>
      <c r="N32" s="23"/>
    </row>
    <row r="34" spans="7:14" x14ac:dyDescent="0.2">
      <c r="I34" s="27" t="s">
        <v>49</v>
      </c>
      <c r="J34" s="27"/>
      <c r="K34" s="98">
        <f>ROUND((800*0.07859),2)+ROUND((118*0.09091),2)+9</f>
        <v>82.6</v>
      </c>
      <c r="L34" s="27"/>
      <c r="M34" s="27"/>
      <c r="N34" s="27" t="s">
        <v>129</v>
      </c>
    </row>
    <row r="35" spans="7:14" x14ac:dyDescent="0.2">
      <c r="I35" s="27" t="s">
        <v>50</v>
      </c>
      <c r="J35" s="27"/>
      <c r="K35" s="98">
        <f>ROUND((800*(0.07859+P12)),2)+ROUND((118*(0.09091+P12)),2)+9</f>
        <v>82.65</v>
      </c>
      <c r="L35" s="27"/>
      <c r="M35" s="27"/>
      <c r="N35" s="27"/>
    </row>
    <row r="36" spans="7:14" x14ac:dyDescent="0.2">
      <c r="I36" s="27" t="s">
        <v>51</v>
      </c>
      <c r="J36" s="27"/>
      <c r="K36" s="99">
        <f>K35-K34</f>
        <v>5.0000000000011369E-2</v>
      </c>
      <c r="L36" s="100">
        <f>K36/K34</f>
        <v>6.0532687651345491E-4</v>
      </c>
      <c r="M36" s="100"/>
      <c r="N36" s="27"/>
    </row>
    <row r="40" spans="7:14" x14ac:dyDescent="0.2">
      <c r="G40" t="s">
        <v>98</v>
      </c>
      <c r="K40" s="101">
        <f>'Prior Balances'!B34</f>
        <v>117397.98000000138</v>
      </c>
      <c r="L40" t="s">
        <v>116</v>
      </c>
    </row>
    <row r="41" spans="7:14" x14ac:dyDescent="0.2">
      <c r="G41" t="s">
        <v>53</v>
      </c>
      <c r="K41" s="101">
        <v>7021000</v>
      </c>
    </row>
  </sheetData>
  <pageMargins left="0.7" right="0.7" top="0.75" bottom="0.75" header="0.3" footer="0.3"/>
  <pageSetup scale="69" orientation="landscape" r:id="rId1"/>
  <headerFooter>
    <oddHeader>&amp;LAvista
Annual LIRAP Funding
2019</oddHeader>
    <oddFooter>&amp;L&amp;F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9"/>
  <sheetViews>
    <sheetView workbookViewId="0">
      <selection activeCell="L24" sqref="L24"/>
    </sheetView>
  </sheetViews>
  <sheetFormatPr defaultRowHeight="12.75" x14ac:dyDescent="0.2"/>
  <cols>
    <col min="3" max="3" width="30" bestFit="1" customWidth="1"/>
    <col min="5" max="5" width="9" bestFit="1" customWidth="1"/>
  </cols>
  <sheetData>
    <row r="1" spans="1:5" ht="13.5" x14ac:dyDescent="0.25">
      <c r="A1" s="31" t="s">
        <v>56</v>
      </c>
      <c r="B1" s="31"/>
      <c r="C1" s="31"/>
      <c r="D1" s="31"/>
      <c r="E1" s="32"/>
    </row>
    <row r="2" spans="1:5" ht="13.5" x14ac:dyDescent="0.25">
      <c r="A2" s="31" t="s">
        <v>55</v>
      </c>
      <c r="B2" s="31"/>
      <c r="C2" s="31"/>
      <c r="D2" s="31"/>
      <c r="E2" s="32"/>
    </row>
    <row r="3" spans="1:5" ht="13.5" x14ac:dyDescent="0.25">
      <c r="A3" s="31" t="s">
        <v>57</v>
      </c>
      <c r="B3" s="31"/>
      <c r="C3" s="31"/>
      <c r="D3" s="31"/>
      <c r="E3" s="32"/>
    </row>
    <row r="4" spans="1:5" ht="13.5" x14ac:dyDescent="0.25">
      <c r="A4" s="31" t="s">
        <v>122</v>
      </c>
      <c r="B4" s="31"/>
      <c r="C4" s="31"/>
      <c r="D4" s="31"/>
      <c r="E4" s="32"/>
    </row>
    <row r="5" spans="1:5" x14ac:dyDescent="0.2">
      <c r="A5" s="33"/>
      <c r="B5" s="33"/>
      <c r="C5" s="33"/>
      <c r="D5" s="33"/>
      <c r="E5" s="33"/>
    </row>
    <row r="6" spans="1:5" ht="13.5" x14ac:dyDescent="0.25">
      <c r="A6" s="34" t="s">
        <v>58</v>
      </c>
      <c r="B6" s="34"/>
      <c r="C6" s="34"/>
      <c r="D6" s="34"/>
      <c r="E6" s="35"/>
    </row>
    <row r="7" spans="1:5" ht="13.5" x14ac:dyDescent="0.25">
      <c r="A7" s="36" t="s">
        <v>59</v>
      </c>
      <c r="B7" s="34"/>
      <c r="C7" s="36" t="s">
        <v>60</v>
      </c>
      <c r="D7" s="37"/>
      <c r="E7" s="38" t="s">
        <v>61</v>
      </c>
    </row>
    <row r="8" spans="1:5" x14ac:dyDescent="0.2">
      <c r="A8" s="33"/>
      <c r="B8" s="33"/>
      <c r="C8" s="33"/>
      <c r="D8" s="33"/>
      <c r="E8" s="33"/>
    </row>
    <row r="9" spans="1:5" x14ac:dyDescent="0.2">
      <c r="A9" s="39">
        <v>1</v>
      </c>
      <c r="B9" s="33"/>
      <c r="C9" s="40" t="s">
        <v>62</v>
      </c>
      <c r="D9" s="33"/>
      <c r="E9" s="41">
        <v>1</v>
      </c>
    </row>
    <row r="10" spans="1:5" x14ac:dyDescent="0.2">
      <c r="A10" s="39"/>
      <c r="B10" s="33"/>
      <c r="C10" s="33"/>
      <c r="D10" s="33"/>
      <c r="E10" s="41"/>
    </row>
    <row r="11" spans="1:5" x14ac:dyDescent="0.2">
      <c r="A11" s="39"/>
      <c r="B11" s="33"/>
      <c r="C11" s="42" t="s">
        <v>63</v>
      </c>
      <c r="D11" s="43"/>
      <c r="E11" s="41"/>
    </row>
    <row r="12" spans="1:5" x14ac:dyDescent="0.2">
      <c r="A12" s="39">
        <v>2</v>
      </c>
      <c r="B12" s="33"/>
      <c r="C12" s="43" t="s">
        <v>64</v>
      </c>
      <c r="D12" s="43"/>
      <c r="E12" s="44">
        <v>6.1824999999999996E-3</v>
      </c>
    </row>
    <row r="13" spans="1:5" x14ac:dyDescent="0.2">
      <c r="A13" s="39"/>
      <c r="B13" s="33"/>
      <c r="C13" s="43"/>
      <c r="D13" s="43"/>
      <c r="E13" s="41"/>
    </row>
    <row r="14" spans="1:5" x14ac:dyDescent="0.2">
      <c r="A14" s="39">
        <v>3</v>
      </c>
      <c r="B14" s="33"/>
      <c r="C14" s="43" t="s">
        <v>65</v>
      </c>
      <c r="D14" s="43"/>
      <c r="E14" s="41">
        <v>2E-3</v>
      </c>
    </row>
    <row r="15" spans="1:5" x14ac:dyDescent="0.2">
      <c r="A15" s="39"/>
      <c r="B15" s="33"/>
      <c r="C15" s="43"/>
      <c r="D15" s="43"/>
      <c r="E15" s="41"/>
    </row>
    <row r="16" spans="1:5" x14ac:dyDescent="0.2">
      <c r="A16" s="39">
        <v>4</v>
      </c>
      <c r="B16" s="33"/>
      <c r="C16" s="43" t="s">
        <v>66</v>
      </c>
      <c r="D16" s="43"/>
      <c r="E16" s="41">
        <v>3.8494500000000001E-2</v>
      </c>
    </row>
    <row r="17" spans="1:5" x14ac:dyDescent="0.2">
      <c r="A17" s="39"/>
      <c r="B17" s="33"/>
      <c r="C17" s="43"/>
      <c r="D17" s="43"/>
      <c r="E17" s="41"/>
    </row>
    <row r="18" spans="1:5" x14ac:dyDescent="0.2">
      <c r="A18" s="39">
        <v>5</v>
      </c>
      <c r="B18" s="33"/>
      <c r="C18" s="43" t="s">
        <v>67</v>
      </c>
      <c r="D18" s="43"/>
      <c r="E18" s="45">
        <v>0</v>
      </c>
    </row>
    <row r="19" spans="1:5" x14ac:dyDescent="0.2">
      <c r="A19" s="39"/>
      <c r="B19" s="33"/>
      <c r="C19" s="43"/>
      <c r="D19" s="43"/>
      <c r="E19" s="45"/>
    </row>
    <row r="20" spans="1:5" x14ac:dyDescent="0.2">
      <c r="A20" s="39">
        <v>6</v>
      </c>
      <c r="B20" s="33"/>
      <c r="C20" s="43" t="s">
        <v>68</v>
      </c>
      <c r="D20" s="43"/>
      <c r="E20" s="46">
        <v>4.6676999999999996E-2</v>
      </c>
    </row>
    <row r="21" spans="1:5" x14ac:dyDescent="0.2">
      <c r="A21" s="33"/>
      <c r="B21" s="33"/>
      <c r="C21" s="43"/>
      <c r="D21" s="43"/>
      <c r="E21" s="45"/>
    </row>
    <row r="22" spans="1:5" x14ac:dyDescent="0.2">
      <c r="A22" s="39">
        <v>7</v>
      </c>
      <c r="B22" s="33"/>
      <c r="C22" s="43" t="s">
        <v>69</v>
      </c>
      <c r="D22" s="43"/>
      <c r="E22" s="45">
        <v>0.95332300000000003</v>
      </c>
    </row>
    <row r="23" spans="1:5" x14ac:dyDescent="0.2">
      <c r="A23" s="33"/>
      <c r="B23" s="33"/>
      <c r="C23" s="43"/>
      <c r="D23" s="43"/>
      <c r="E23" s="45"/>
    </row>
    <row r="24" spans="1:5" x14ac:dyDescent="0.2">
      <c r="A24" s="39">
        <v>8</v>
      </c>
      <c r="B24" s="33"/>
      <c r="C24" s="43" t="s">
        <v>123</v>
      </c>
      <c r="D24" s="47"/>
      <c r="E24" s="48">
        <v>0.20019799999999999</v>
      </c>
    </row>
    <row r="25" spans="1:5" x14ac:dyDescent="0.2">
      <c r="A25" s="33"/>
      <c r="B25" s="33"/>
      <c r="C25" s="43"/>
      <c r="D25" s="43"/>
      <c r="E25" s="45"/>
    </row>
    <row r="26" spans="1:5" ht="13.5" thickBot="1" x14ac:dyDescent="0.25">
      <c r="A26" s="39">
        <v>9</v>
      </c>
      <c r="B26" s="33"/>
      <c r="C26" s="42" t="s">
        <v>70</v>
      </c>
      <c r="D26" s="43"/>
      <c r="E26" s="49">
        <v>0.75312500000000004</v>
      </c>
    </row>
    <row r="27" spans="1:5" ht="13.5" thickTop="1" x14ac:dyDescent="0.2">
      <c r="A27" s="50"/>
      <c r="B27" s="50"/>
      <c r="C27" s="50"/>
      <c r="D27" s="50"/>
      <c r="E27" s="51"/>
    </row>
    <row r="28" spans="1:5" x14ac:dyDescent="0.2">
      <c r="A28" s="50"/>
      <c r="B28" s="50"/>
      <c r="C28" s="50"/>
      <c r="D28" s="50"/>
      <c r="E28" s="51"/>
    </row>
    <row r="29" spans="1:5" ht="18.75" x14ac:dyDescent="0.3">
      <c r="A29" s="52" t="s">
        <v>124</v>
      </c>
      <c r="B29" s="50"/>
      <c r="C29" s="50"/>
      <c r="D29" s="50"/>
      <c r="E29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6:U36"/>
  <sheetViews>
    <sheetView workbookViewId="0">
      <selection activeCell="E24" sqref="E24"/>
    </sheetView>
  </sheetViews>
  <sheetFormatPr defaultRowHeight="12.75" x14ac:dyDescent="0.2"/>
  <cols>
    <col min="1" max="1" width="2.140625" customWidth="1"/>
    <col min="2" max="2" width="38.5703125" customWidth="1"/>
    <col min="3" max="3" width="10.28515625" bestFit="1" customWidth="1"/>
    <col min="4" max="4" width="12.28515625" bestFit="1" customWidth="1"/>
    <col min="5" max="7" width="13.5703125" bestFit="1" customWidth="1"/>
    <col min="8" max="8" width="13.42578125" customWidth="1"/>
    <col min="9" max="9" width="9.7109375" bestFit="1" customWidth="1"/>
    <col min="10" max="10" width="3.85546875" customWidth="1"/>
    <col min="11" max="11" width="14.5703125" bestFit="1" customWidth="1"/>
    <col min="12" max="12" width="10.28515625" bestFit="1" customWidth="1"/>
    <col min="13" max="13" width="3.85546875" customWidth="1"/>
    <col min="14" max="14" width="11.28515625" bestFit="1" customWidth="1"/>
    <col min="15" max="15" width="9.7109375" bestFit="1" customWidth="1"/>
    <col min="16" max="16" width="11.140625" bestFit="1" customWidth="1"/>
    <col min="17" max="17" width="9.140625" customWidth="1"/>
    <col min="18" max="18" width="13.42578125" bestFit="1" customWidth="1"/>
  </cols>
  <sheetData>
    <row r="6" spans="2:21" ht="13.5" thickBot="1" x14ac:dyDescent="0.25"/>
    <row r="7" spans="2:21" x14ac:dyDescent="0.2">
      <c r="N7" s="1" t="s">
        <v>33</v>
      </c>
      <c r="O7" s="89" t="s">
        <v>33</v>
      </c>
      <c r="P7" s="1" t="s">
        <v>33</v>
      </c>
    </row>
    <row r="8" spans="2:21" x14ac:dyDescent="0.2">
      <c r="D8" s="1" t="s">
        <v>90</v>
      </c>
      <c r="E8" s="1" t="s">
        <v>0</v>
      </c>
      <c r="F8" s="1" t="s">
        <v>1</v>
      </c>
      <c r="G8" s="1" t="s">
        <v>46</v>
      </c>
      <c r="H8" s="1" t="s">
        <v>3</v>
      </c>
      <c r="I8" s="1" t="s">
        <v>3</v>
      </c>
      <c r="J8" s="1"/>
      <c r="K8" s="1" t="s">
        <v>94</v>
      </c>
      <c r="L8" s="1" t="s">
        <v>3</v>
      </c>
      <c r="M8" s="1"/>
      <c r="N8" s="1" t="s">
        <v>3</v>
      </c>
      <c r="O8" s="90" t="s">
        <v>3</v>
      </c>
      <c r="P8" s="1" t="s">
        <v>45</v>
      </c>
      <c r="R8" s="1" t="s">
        <v>0</v>
      </c>
    </row>
    <row r="9" spans="2:21" x14ac:dyDescent="0.2">
      <c r="B9" s="2" t="s">
        <v>4</v>
      </c>
      <c r="C9" s="2" t="s">
        <v>5</v>
      </c>
      <c r="D9" s="1" t="s">
        <v>6</v>
      </c>
      <c r="E9" s="1" t="s">
        <v>99</v>
      </c>
      <c r="F9" s="1" t="s">
        <v>99</v>
      </c>
      <c r="G9" s="1" t="s">
        <v>99</v>
      </c>
      <c r="H9" s="1" t="s">
        <v>99</v>
      </c>
      <c r="I9" s="1" t="s">
        <v>7</v>
      </c>
      <c r="J9" s="1"/>
      <c r="K9" s="1" t="s">
        <v>95</v>
      </c>
      <c r="L9" s="1" t="s">
        <v>97</v>
      </c>
      <c r="M9" s="1"/>
      <c r="N9" s="1" t="s">
        <v>8</v>
      </c>
      <c r="O9" s="90" t="s">
        <v>7</v>
      </c>
      <c r="P9" s="1" t="s">
        <v>12</v>
      </c>
      <c r="R9" s="1" t="s">
        <v>52</v>
      </c>
    </row>
    <row r="10" spans="2:21" x14ac:dyDescent="0.2">
      <c r="B10" s="3" t="s">
        <v>9</v>
      </c>
      <c r="C10" s="3" t="s">
        <v>10</v>
      </c>
      <c r="D10" s="4" t="s">
        <v>11</v>
      </c>
      <c r="E10" s="4" t="s">
        <v>12</v>
      </c>
      <c r="F10" s="4" t="s">
        <v>13</v>
      </c>
      <c r="G10" s="4" t="s">
        <v>2</v>
      </c>
      <c r="H10" s="4" t="s">
        <v>13</v>
      </c>
      <c r="I10" s="4" t="s">
        <v>12</v>
      </c>
      <c r="J10" s="4"/>
      <c r="K10" s="4" t="s">
        <v>96</v>
      </c>
      <c r="L10" s="4" t="s">
        <v>12</v>
      </c>
      <c r="M10" s="4"/>
      <c r="N10" s="4" t="s">
        <v>13</v>
      </c>
      <c r="O10" s="91" t="s">
        <v>12</v>
      </c>
      <c r="P10" s="25" t="s">
        <v>46</v>
      </c>
      <c r="R10" s="24" t="s">
        <v>13</v>
      </c>
    </row>
    <row r="11" spans="2:21" x14ac:dyDescent="0.2"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/>
      <c r="K11" s="2" t="s">
        <v>47</v>
      </c>
      <c r="L11" s="2" t="s">
        <v>100</v>
      </c>
      <c r="M11" s="2"/>
      <c r="N11" s="2" t="s">
        <v>101</v>
      </c>
      <c r="O11" s="92" t="s">
        <v>102</v>
      </c>
      <c r="P11" s="26" t="s">
        <v>103</v>
      </c>
    </row>
    <row r="12" spans="2:21" x14ac:dyDescent="0.2">
      <c r="B12" s="5"/>
      <c r="C12" s="2"/>
      <c r="O12" s="93"/>
    </row>
    <row r="13" spans="2:21" x14ac:dyDescent="0.2">
      <c r="B13" s="5" t="s">
        <v>22</v>
      </c>
      <c r="C13" s="6" t="s">
        <v>105</v>
      </c>
      <c r="D13" s="7">
        <f>'Forecast BD'!N27</f>
        <v>132518288.4419066</v>
      </c>
      <c r="E13" s="8">
        <v>1.959E-2</v>
      </c>
      <c r="F13" s="9">
        <f>D13*E13</f>
        <v>2596033.2705769502</v>
      </c>
      <c r="G13" s="10">
        <f>F13*$G$25</f>
        <v>181722.32894038653</v>
      </c>
      <c r="H13" s="10">
        <f>F13+G13</f>
        <v>2777755.5995173366</v>
      </c>
      <c r="I13" s="11">
        <f>ROUND(H13/D13,5)</f>
        <v>2.0959999999999999E-2</v>
      </c>
      <c r="J13" s="11"/>
      <c r="K13" s="10">
        <f>(F13/$F$19)*-$L$36</f>
        <v>-3467.4551593350607</v>
      </c>
      <c r="L13" s="11">
        <f>ROUND(K13/D13,5)</f>
        <v>-3.0000000000000001E-5</v>
      </c>
      <c r="M13" s="11"/>
      <c r="N13" s="10">
        <f>H13+K13</f>
        <v>2774288.1443580016</v>
      </c>
      <c r="O13" s="94">
        <f>I13+L13</f>
        <v>2.0930000000000001E-2</v>
      </c>
      <c r="P13" s="8">
        <f>O13-E13</f>
        <v>1.3400000000000009E-3</v>
      </c>
      <c r="R13" s="86">
        <v>98538000</v>
      </c>
      <c r="S13" s="17">
        <f>(G13+K13)/R13</f>
        <v>1.8089962631781798E-3</v>
      </c>
      <c r="U13" s="66">
        <f>E13*(1+$G$25)</f>
        <v>2.0961300000000002E-2</v>
      </c>
    </row>
    <row r="14" spans="2:21" x14ac:dyDescent="0.2">
      <c r="B14" s="5" t="s">
        <v>23</v>
      </c>
      <c r="C14" s="6" t="s">
        <v>24</v>
      </c>
      <c r="D14" s="7">
        <f>'Forecast BD'!N28+'Forecast BD'!N29</f>
        <v>56120583.438210674</v>
      </c>
      <c r="E14" s="8">
        <v>1.6410000000000001E-2</v>
      </c>
      <c r="F14" s="9">
        <f t="shared" ref="F14:F18" si="0">D14*E14</f>
        <v>920938.77422103717</v>
      </c>
      <c r="G14" s="10">
        <f>F14*$G$25</f>
        <v>64465.71419547261</v>
      </c>
      <c r="H14" s="10">
        <f t="shared" ref="H14:H18" si="1">F14+G14</f>
        <v>985404.48841650982</v>
      </c>
      <c r="I14" s="102">
        <f t="shared" ref="I14:I17" si="2">ROUND(H14/D14,5)</f>
        <v>1.7559999999999999E-2</v>
      </c>
      <c r="J14" s="11"/>
      <c r="K14" s="10">
        <f t="shared" ref="K14:K18" si="3">(F14/$F$19)*-$L$36</f>
        <v>-1230.0743369882737</v>
      </c>
      <c r="L14" s="11">
        <f>ROUND(K14/D14,5)</f>
        <v>-2.0000000000000002E-5</v>
      </c>
      <c r="M14" s="11"/>
      <c r="N14" s="10">
        <f t="shared" ref="N14:N18" si="4">H14+K14</f>
        <v>984174.41407952155</v>
      </c>
      <c r="O14" s="94">
        <f t="shared" ref="O14:O17" si="5">I14+L14</f>
        <v>1.754E-2</v>
      </c>
      <c r="P14" s="8">
        <f>O14-E14</f>
        <v>1.1299999999999991E-3</v>
      </c>
      <c r="R14" s="86">
        <f>30647000-R15</f>
        <v>29875000</v>
      </c>
      <c r="S14" s="17">
        <f t="shared" ref="S14:S19" si="6">(G14+K14)/R14</f>
        <v>2.116674137522488E-3</v>
      </c>
      <c r="U14" s="66">
        <f t="shared" ref="U14:U17" si="7">E14*(1+$G$25)</f>
        <v>1.7558700000000003E-2</v>
      </c>
    </row>
    <row r="15" spans="2:21" ht="12.75" customHeight="1" x14ac:dyDescent="0.2">
      <c r="B15" s="12" t="s">
        <v>25</v>
      </c>
      <c r="C15" s="6" t="s">
        <v>26</v>
      </c>
      <c r="D15" s="7">
        <f>'Forecast BD'!N30</f>
        <v>2040113.2796841441</v>
      </c>
      <c r="E15" s="8">
        <v>1.499E-2</v>
      </c>
      <c r="F15" s="9">
        <f t="shared" si="0"/>
        <v>30581.298062465321</v>
      </c>
      <c r="G15" s="10">
        <f>F15*$G$25</f>
        <v>2140.6908643725728</v>
      </c>
      <c r="H15" s="10">
        <f t="shared" si="1"/>
        <v>32721.988926837894</v>
      </c>
      <c r="I15" s="102">
        <f t="shared" si="2"/>
        <v>1.6039999999999999E-2</v>
      </c>
      <c r="J15" s="11"/>
      <c r="K15" s="10">
        <f t="shared" si="3"/>
        <v>-40.846656684909199</v>
      </c>
      <c r="L15" s="11">
        <f>ROUND(K15/D15,5)</f>
        <v>-2.0000000000000002E-5</v>
      </c>
      <c r="M15" s="11"/>
      <c r="N15" s="10">
        <f t="shared" si="4"/>
        <v>32681.142270152985</v>
      </c>
      <c r="O15" s="94">
        <f t="shared" si="5"/>
        <v>1.602E-2</v>
      </c>
      <c r="P15" s="8">
        <f>O15-E15</f>
        <v>1.0299999999999997E-3</v>
      </c>
      <c r="R15" s="86">
        <f>752000+20000</f>
        <v>772000</v>
      </c>
      <c r="S15" s="17">
        <f t="shared" si="6"/>
        <v>2.7200054503726213E-3</v>
      </c>
      <c r="U15" s="66">
        <f t="shared" si="7"/>
        <v>1.6039299999999999E-2</v>
      </c>
    </row>
    <row r="16" spans="2:21" x14ac:dyDescent="0.2">
      <c r="B16" s="5" t="s">
        <v>27</v>
      </c>
      <c r="C16" s="2" t="s">
        <v>28</v>
      </c>
      <c r="D16" s="7">
        <f>'Forecast BD'!N31</f>
        <v>957400.97780155903</v>
      </c>
      <c r="E16" s="8">
        <v>1.44E-2</v>
      </c>
      <c r="F16" s="9">
        <f t="shared" si="0"/>
        <v>13786.574080342449</v>
      </c>
      <c r="G16" s="10">
        <f>F16*$G$25</f>
        <v>965.06018562397151</v>
      </c>
      <c r="H16" s="10">
        <f t="shared" si="1"/>
        <v>14751.634265966421</v>
      </c>
      <c r="I16" s="11">
        <f t="shared" si="2"/>
        <v>1.541E-2</v>
      </c>
      <c r="J16" s="11"/>
      <c r="K16" s="10">
        <f t="shared" si="3"/>
        <v>-18.414373947454944</v>
      </c>
      <c r="L16" s="11">
        <f>ROUND(K16/D16,5)</f>
        <v>-2.0000000000000002E-5</v>
      </c>
      <c r="M16" s="11"/>
      <c r="N16" s="10">
        <f t="shared" si="4"/>
        <v>14733.219892018966</v>
      </c>
      <c r="O16" s="94">
        <f t="shared" si="5"/>
        <v>1.5390000000000001E-2</v>
      </c>
      <c r="P16" s="8">
        <f>O16-E16</f>
        <v>9.900000000000013E-4</v>
      </c>
      <c r="R16" s="86">
        <v>464000</v>
      </c>
      <c r="S16" s="17">
        <f t="shared" si="6"/>
        <v>2.0401849389580099E-3</v>
      </c>
      <c r="U16" s="66">
        <f t="shared" si="7"/>
        <v>1.5408E-2</v>
      </c>
    </row>
    <row r="17" spans="2:21" ht="13.5" thickBot="1" x14ac:dyDescent="0.25">
      <c r="B17" s="5" t="s">
        <v>29</v>
      </c>
      <c r="C17" s="6" t="s">
        <v>30</v>
      </c>
      <c r="D17" s="7">
        <f>'Forecast BD'!N32</f>
        <v>35667247</v>
      </c>
      <c r="E17" s="8">
        <v>7.3999999999999999E-4</v>
      </c>
      <c r="F17" s="9">
        <f t="shared" si="0"/>
        <v>26393.762780000001</v>
      </c>
      <c r="G17" s="10">
        <f>H17-F17</f>
        <v>2096.2372199999991</v>
      </c>
      <c r="H17" s="10">
        <f>C30</f>
        <v>28490</v>
      </c>
      <c r="I17" s="11">
        <f t="shared" si="2"/>
        <v>8.0000000000000004E-4</v>
      </c>
      <c r="J17" s="11"/>
      <c r="K17" s="10">
        <f>(F17/$F$19)*-$L$36</f>
        <v>-35.253473044063568</v>
      </c>
      <c r="L17" s="11">
        <f>ROUND(K17/D17,5)</f>
        <v>0</v>
      </c>
      <c r="M17" s="11"/>
      <c r="N17" s="10">
        <f t="shared" si="4"/>
        <v>28454.746526955936</v>
      </c>
      <c r="O17" s="96">
        <f t="shared" si="5"/>
        <v>8.0000000000000004E-4</v>
      </c>
      <c r="P17" s="8">
        <f>O17-E17</f>
        <v>6.0000000000000049E-5</v>
      </c>
      <c r="R17" s="86">
        <v>3282000</v>
      </c>
      <c r="S17" s="17">
        <f t="shared" si="6"/>
        <v>6.2796579736622055E-4</v>
      </c>
      <c r="U17" s="66">
        <f t="shared" si="7"/>
        <v>7.9180000000000006E-4</v>
      </c>
    </row>
    <row r="18" spans="2:21" ht="15" x14ac:dyDescent="0.35">
      <c r="B18" s="5" t="s">
        <v>31</v>
      </c>
      <c r="C18" s="6" t="s">
        <v>32</v>
      </c>
      <c r="D18" s="13">
        <f>'Forecast BD'!N33</f>
        <v>50588377</v>
      </c>
      <c r="E18" s="8"/>
      <c r="F18" s="14">
        <f t="shared" si="0"/>
        <v>0</v>
      </c>
      <c r="G18" s="15">
        <f t="shared" ref="G18" si="8">F18*$G$27</f>
        <v>0</v>
      </c>
      <c r="H18" s="15">
        <f t="shared" si="1"/>
        <v>0</v>
      </c>
      <c r="I18" s="11"/>
      <c r="J18" s="11"/>
      <c r="K18" s="15">
        <f t="shared" si="3"/>
        <v>0</v>
      </c>
      <c r="L18" s="11"/>
      <c r="M18" s="11"/>
      <c r="N18" s="15">
        <f t="shared" si="4"/>
        <v>0</v>
      </c>
      <c r="O18" s="11"/>
      <c r="R18" s="86">
        <v>1720000</v>
      </c>
      <c r="S18" s="17">
        <f t="shared" si="6"/>
        <v>0</v>
      </c>
      <c r="U18" s="66"/>
    </row>
    <row r="19" spans="2:21" x14ac:dyDescent="0.2">
      <c r="B19" s="16" t="s">
        <v>33</v>
      </c>
      <c r="C19" s="2"/>
      <c r="D19" s="7">
        <f>SUM(D13:D18)</f>
        <v>277892010.13760298</v>
      </c>
      <c r="F19" s="10">
        <f>SUM(F13:F18)</f>
        <v>3587733.6797207948</v>
      </c>
      <c r="G19" s="10">
        <f>SUM(G13:G18)</f>
        <v>251390.03140585567</v>
      </c>
      <c r="H19" s="10">
        <f>SUM(H13:H18)</f>
        <v>3839123.7111266502</v>
      </c>
      <c r="I19" s="10"/>
      <c r="J19" s="10"/>
      <c r="K19" s="10">
        <f>SUM(K13:K18)</f>
        <v>-4792.0439999997625</v>
      </c>
      <c r="L19" s="10"/>
      <c r="M19" s="10"/>
      <c r="N19" s="10">
        <f>SUM(N13:N18)</f>
        <v>3834331.6671266514</v>
      </c>
      <c r="R19" s="9">
        <f>SUM(R13:R18)</f>
        <v>134651000</v>
      </c>
      <c r="S19" s="17">
        <f t="shared" si="6"/>
        <v>1.831386231114926E-3</v>
      </c>
    </row>
    <row r="21" spans="2:21" x14ac:dyDescent="0.2">
      <c r="E21" t="s">
        <v>91</v>
      </c>
      <c r="F21" s="9">
        <f>F19*G26</f>
        <v>3421029.6342925681</v>
      </c>
      <c r="G21" s="9">
        <f>G19*G26</f>
        <v>239709.1935965826</v>
      </c>
      <c r="H21" s="9">
        <f>H19*G26</f>
        <v>3660738.8278891505</v>
      </c>
      <c r="I21" s="9"/>
      <c r="J21" s="9"/>
      <c r="K21" s="9"/>
      <c r="L21" s="9"/>
      <c r="M21" s="9"/>
      <c r="N21" s="9">
        <f>N19-F19</f>
        <v>246597.98740585661</v>
      </c>
      <c r="O21" s="10">
        <f>(G19*G26)-G21</f>
        <v>0</v>
      </c>
    </row>
    <row r="22" spans="2:21" x14ac:dyDescent="0.2">
      <c r="G22" s="23">
        <f>G21/F21</f>
        <v>7.0069312230951156E-2</v>
      </c>
    </row>
    <row r="24" spans="2:21" ht="13.5" thickBot="1" x14ac:dyDescent="0.25"/>
    <row r="25" spans="2:21" x14ac:dyDescent="0.2">
      <c r="B25" s="82" t="s">
        <v>117</v>
      </c>
      <c r="C25" s="75"/>
      <c r="G25" s="23">
        <v>7.0000000000000007E-2</v>
      </c>
      <c r="H25" t="s">
        <v>118</v>
      </c>
      <c r="L25" s="10">
        <f>F21*G25</f>
        <v>239472.07440047979</v>
      </c>
      <c r="M25" s="10"/>
    </row>
    <row r="26" spans="2:21" x14ac:dyDescent="0.2">
      <c r="B26" s="76"/>
      <c r="C26" s="77"/>
      <c r="G26" s="30">
        <f>'G Rev Conv'!C25</f>
        <v>0.95353500000000002</v>
      </c>
      <c r="H26" t="s">
        <v>55</v>
      </c>
      <c r="L26" s="10"/>
      <c r="M26" s="10"/>
    </row>
    <row r="27" spans="2:21" x14ac:dyDescent="0.2">
      <c r="B27" s="76" t="s">
        <v>121</v>
      </c>
      <c r="C27" s="83">
        <v>2849000</v>
      </c>
      <c r="G27" s="17"/>
      <c r="L27" s="9"/>
      <c r="M27" s="9"/>
    </row>
    <row r="28" spans="2:21" x14ac:dyDescent="0.2">
      <c r="B28" s="78"/>
      <c r="C28" s="79">
        <v>0.01</v>
      </c>
      <c r="H28" t="s">
        <v>104</v>
      </c>
    </row>
    <row r="29" spans="2:21" x14ac:dyDescent="0.2">
      <c r="B29" s="76"/>
      <c r="C29" s="77"/>
      <c r="K29" s="27" t="s">
        <v>49</v>
      </c>
      <c r="L29" s="98">
        <f>ROUND((66*0.58014),2)+9.5</f>
        <v>47.79</v>
      </c>
      <c r="M29" s="98"/>
      <c r="N29" s="27"/>
      <c r="O29" s="27" t="s">
        <v>130</v>
      </c>
    </row>
    <row r="30" spans="2:21" ht="13.5" thickBot="1" x14ac:dyDescent="0.25">
      <c r="B30" s="80" t="s">
        <v>119</v>
      </c>
      <c r="C30" s="81">
        <f>C27*C28</f>
        <v>28490</v>
      </c>
      <c r="D30" s="27"/>
      <c r="E30" s="27"/>
      <c r="F30" s="27"/>
      <c r="G30" s="23"/>
      <c r="K30" s="27" t="s">
        <v>50</v>
      </c>
      <c r="L30" s="98">
        <f>ROUND((66*(0.58014+P13)),2)+9.5</f>
        <v>47.88</v>
      </c>
      <c r="M30" s="98"/>
      <c r="N30" s="27"/>
      <c r="O30" s="27"/>
    </row>
    <row r="31" spans="2:21" x14ac:dyDescent="0.2">
      <c r="K31" s="27" t="s">
        <v>51</v>
      </c>
      <c r="L31" s="99">
        <f>L30-L29</f>
        <v>9.0000000000003411E-2</v>
      </c>
      <c r="M31" s="99"/>
      <c r="N31" s="100">
        <f>L31/L29</f>
        <v>1.8832391713748361E-3</v>
      </c>
      <c r="O31" s="27"/>
    </row>
    <row r="36" spans="7:14" x14ac:dyDescent="0.2">
      <c r="G36" t="s">
        <v>98</v>
      </c>
      <c r="L36" s="101">
        <f>'Prior Balances'!G34</f>
        <v>4792.0439999997616</v>
      </c>
      <c r="M36" s="29"/>
      <c r="N36" t="s">
        <v>116</v>
      </c>
    </row>
  </sheetData>
  <pageMargins left="0.7" right="0.7" top="0.75" bottom="0.75" header="0.3" footer="0.3"/>
  <pageSetup scale="65" orientation="landscape" r:id="rId1"/>
  <headerFooter>
    <oddHeader>&amp;LAvista
Annual LIRAP Funding
2019</oddHeader>
    <oddFooter>&amp;L&amp;F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9"/>
  <sheetViews>
    <sheetView workbookViewId="0">
      <selection activeCell="I25" sqref="I25"/>
    </sheetView>
  </sheetViews>
  <sheetFormatPr defaultRowHeight="12.75" x14ac:dyDescent="0.2"/>
  <cols>
    <col min="1" max="1" width="42.42578125" bestFit="1" customWidth="1"/>
  </cols>
  <sheetData>
    <row r="1" spans="1:3" x14ac:dyDescent="0.2">
      <c r="A1" s="53" t="s">
        <v>56</v>
      </c>
      <c r="B1" s="42"/>
      <c r="C1" s="54"/>
    </row>
    <row r="2" spans="1:3" x14ac:dyDescent="0.2">
      <c r="A2" s="53" t="s">
        <v>70</v>
      </c>
      <c r="B2" s="42"/>
      <c r="C2" s="55"/>
    </row>
    <row r="3" spans="1:3" x14ac:dyDescent="0.2">
      <c r="A3" s="53" t="s">
        <v>125</v>
      </c>
      <c r="B3" s="42"/>
      <c r="C3" s="55"/>
    </row>
    <row r="4" spans="1:3" x14ac:dyDescent="0.2">
      <c r="A4" s="53" t="s">
        <v>122</v>
      </c>
      <c r="B4" s="56"/>
      <c r="C4" s="56"/>
    </row>
    <row r="5" spans="1:3" x14ac:dyDescent="0.2">
      <c r="A5" s="57"/>
      <c r="B5" s="43"/>
      <c r="C5" s="33"/>
    </row>
    <row r="6" spans="1:3" x14ac:dyDescent="0.2">
      <c r="A6" s="58"/>
      <c r="B6" s="43"/>
      <c r="C6" s="42"/>
    </row>
    <row r="7" spans="1:3" x14ac:dyDescent="0.2">
      <c r="A7" s="84" t="s">
        <v>126</v>
      </c>
      <c r="B7" s="43"/>
      <c r="C7" s="42"/>
    </row>
    <row r="8" spans="1:3" x14ac:dyDescent="0.2">
      <c r="A8" s="43"/>
      <c r="B8" s="43"/>
      <c r="C8" s="59"/>
    </row>
    <row r="9" spans="1:3" x14ac:dyDescent="0.2">
      <c r="A9" s="57"/>
      <c r="B9" s="43"/>
      <c r="C9" s="57"/>
    </row>
    <row r="10" spans="1:3" x14ac:dyDescent="0.2">
      <c r="A10" s="60" t="s">
        <v>60</v>
      </c>
      <c r="B10" s="43"/>
      <c r="C10" s="60" t="s">
        <v>61</v>
      </c>
    </row>
    <row r="11" spans="1:3" x14ac:dyDescent="0.2">
      <c r="A11" s="43"/>
      <c r="B11" s="43"/>
      <c r="C11" s="43"/>
    </row>
    <row r="12" spans="1:3" x14ac:dyDescent="0.2">
      <c r="A12" s="42" t="s">
        <v>62</v>
      </c>
      <c r="B12" s="43"/>
      <c r="C12" s="43">
        <v>1</v>
      </c>
    </row>
    <row r="13" spans="1:3" x14ac:dyDescent="0.2">
      <c r="A13" s="42"/>
      <c r="B13" s="43"/>
      <c r="C13" s="43"/>
    </row>
    <row r="14" spans="1:3" x14ac:dyDescent="0.2">
      <c r="A14" s="42" t="s">
        <v>63</v>
      </c>
      <c r="B14" s="43"/>
      <c r="C14" s="43"/>
    </row>
    <row r="15" spans="1:3" x14ac:dyDescent="0.2">
      <c r="A15" s="43" t="s">
        <v>71</v>
      </c>
      <c r="B15" s="43"/>
      <c r="C15" s="61">
        <v>6.1830000000000001E-3</v>
      </c>
    </row>
    <row r="16" spans="1:3" x14ac:dyDescent="0.2">
      <c r="A16" s="43"/>
      <c r="B16" s="43"/>
      <c r="C16" s="61"/>
    </row>
    <row r="17" spans="1:3" x14ac:dyDescent="0.2">
      <c r="A17" s="43" t="s">
        <v>72</v>
      </c>
      <c r="B17" s="43"/>
      <c r="C17" s="61">
        <v>2E-3</v>
      </c>
    </row>
    <row r="18" spans="1:3" x14ac:dyDescent="0.2">
      <c r="A18" s="43"/>
      <c r="B18" s="43"/>
      <c r="C18" s="61"/>
    </row>
    <row r="19" spans="1:3" x14ac:dyDescent="0.2">
      <c r="A19" s="43" t="s">
        <v>73</v>
      </c>
      <c r="B19" s="43"/>
      <c r="C19" s="61">
        <v>3.8281999999999997E-2</v>
      </c>
    </row>
    <row r="20" spans="1:3" x14ac:dyDescent="0.2">
      <c r="A20" s="43"/>
      <c r="B20" s="43"/>
      <c r="C20" s="61"/>
    </row>
    <row r="21" spans="1:3" x14ac:dyDescent="0.2">
      <c r="A21" s="43" t="s">
        <v>74</v>
      </c>
      <c r="B21" s="43"/>
      <c r="C21" s="61">
        <v>0</v>
      </c>
    </row>
    <row r="22" spans="1:3" x14ac:dyDescent="0.2">
      <c r="A22" s="43"/>
      <c r="B22" s="43"/>
      <c r="C22" s="61"/>
    </row>
    <row r="23" spans="1:3" x14ac:dyDescent="0.2">
      <c r="A23" s="43" t="s">
        <v>68</v>
      </c>
      <c r="B23" s="43"/>
      <c r="C23" s="62">
        <f>C15+C17+C19+C21</f>
        <v>4.6464999999999992E-2</v>
      </c>
    </row>
    <row r="24" spans="1:3" x14ac:dyDescent="0.2">
      <c r="A24" s="43"/>
      <c r="B24" s="43"/>
      <c r="C24" s="61"/>
    </row>
    <row r="25" spans="1:3" x14ac:dyDescent="0.2">
      <c r="A25" s="43" t="s">
        <v>69</v>
      </c>
      <c r="B25" s="43"/>
      <c r="C25" s="43">
        <f>C12-C23</f>
        <v>0.95353500000000002</v>
      </c>
    </row>
    <row r="26" spans="1:3" x14ac:dyDescent="0.2">
      <c r="A26" s="43"/>
      <c r="B26" s="43"/>
      <c r="C26" s="61"/>
    </row>
    <row r="27" spans="1:3" x14ac:dyDescent="0.2">
      <c r="A27" s="43" t="s">
        <v>123</v>
      </c>
      <c r="B27" s="47"/>
      <c r="C27" s="61">
        <v>0.200242</v>
      </c>
    </row>
    <row r="28" spans="1:3" x14ac:dyDescent="0.2">
      <c r="A28" s="43"/>
      <c r="B28" s="43"/>
      <c r="C28" s="61"/>
    </row>
    <row r="29" spans="1:3" x14ac:dyDescent="0.2">
      <c r="A29" s="43" t="s">
        <v>70</v>
      </c>
      <c r="B29" s="43"/>
      <c r="C29" s="43">
        <f>C25-C27</f>
        <v>0.75329299999999999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0:O34"/>
  <sheetViews>
    <sheetView workbookViewId="0">
      <selection activeCell="O12" sqref="O12"/>
    </sheetView>
  </sheetViews>
  <sheetFormatPr defaultRowHeight="12.75" x14ac:dyDescent="0.2"/>
  <cols>
    <col min="1" max="1" width="16.85546875" bestFit="1" customWidth="1"/>
    <col min="2" max="13" width="12.28515625" bestFit="1" customWidth="1"/>
    <col min="14" max="14" width="14" bestFit="1" customWidth="1"/>
  </cols>
  <sheetData>
    <row r="10" spans="1:14" x14ac:dyDescent="0.2">
      <c r="B10" s="63">
        <v>43739</v>
      </c>
      <c r="C10" s="63">
        <v>43770</v>
      </c>
      <c r="D10" s="63">
        <v>43800</v>
      </c>
      <c r="E10" s="63">
        <v>43831</v>
      </c>
      <c r="F10" s="63">
        <v>43862</v>
      </c>
      <c r="G10" s="63">
        <v>43891</v>
      </c>
      <c r="H10" s="63">
        <v>43922</v>
      </c>
      <c r="I10" s="63">
        <v>43952</v>
      </c>
      <c r="J10" s="63">
        <v>43983</v>
      </c>
      <c r="K10" s="63">
        <v>44013</v>
      </c>
      <c r="L10" s="63">
        <v>44044</v>
      </c>
      <c r="M10" s="63">
        <v>44075</v>
      </c>
      <c r="N10" t="s">
        <v>33</v>
      </c>
    </row>
    <row r="11" spans="1:14" x14ac:dyDescent="0.2">
      <c r="A11" t="s">
        <v>75</v>
      </c>
      <c r="B11" s="7">
        <v>171236985.87153572</v>
      </c>
      <c r="C11" s="7">
        <v>220515610.70372477</v>
      </c>
      <c r="D11" s="7">
        <v>276599222.3329252</v>
      </c>
      <c r="E11" s="7">
        <v>267581456.68705079</v>
      </c>
      <c r="F11" s="7">
        <v>217339751.08611</v>
      </c>
      <c r="G11" s="7">
        <v>213710583.79945719</v>
      </c>
      <c r="H11" s="7">
        <v>173028345.81765097</v>
      </c>
      <c r="I11" s="7">
        <v>155574210.14855304</v>
      </c>
      <c r="J11" s="7">
        <v>153592351.11974168</v>
      </c>
      <c r="K11" s="7">
        <v>188506971.3324098</v>
      </c>
      <c r="L11" s="7">
        <v>184485939.32249641</v>
      </c>
      <c r="M11" s="7">
        <v>152513678.8268922</v>
      </c>
      <c r="N11" s="64">
        <f>SUM(B11:M11)</f>
        <v>2374685107.0485482</v>
      </c>
    </row>
    <row r="12" spans="1:14" x14ac:dyDescent="0.2">
      <c r="A12" t="s">
        <v>76</v>
      </c>
      <c r="B12" s="7">
        <v>43880042.162749633</v>
      </c>
      <c r="C12" s="7">
        <v>48598597.253067948</v>
      </c>
      <c r="D12" s="7">
        <v>55546817.742384575</v>
      </c>
      <c r="E12" s="7">
        <v>54745400.882542856</v>
      </c>
      <c r="F12" s="7">
        <v>46590388.738105468</v>
      </c>
      <c r="G12" s="7">
        <v>47940023.044149816</v>
      </c>
      <c r="H12" s="7">
        <v>42424510.524758853</v>
      </c>
      <c r="I12" s="7">
        <v>41826776.164535224</v>
      </c>
      <c r="J12" s="7">
        <v>43028063.692092858</v>
      </c>
      <c r="K12" s="7">
        <v>50990126.730067261</v>
      </c>
      <c r="L12" s="7">
        <v>50208977.935214527</v>
      </c>
      <c r="M12" s="7">
        <v>42432977.267011702</v>
      </c>
      <c r="N12" s="64">
        <f t="shared" ref="N12:N19" si="0">SUM(B12:M12)</f>
        <v>568212702.13668072</v>
      </c>
    </row>
    <row r="13" spans="1:14" x14ac:dyDescent="0.2">
      <c r="A13" t="s">
        <v>77</v>
      </c>
      <c r="B13" s="7">
        <v>4525798.117625609</v>
      </c>
      <c r="C13" s="7">
        <v>5661546.5907557588</v>
      </c>
      <c r="D13" s="7">
        <v>7001997.2492937725</v>
      </c>
      <c r="E13" s="7">
        <v>7063353.8350780178</v>
      </c>
      <c r="F13" s="7">
        <v>5935335.580374185</v>
      </c>
      <c r="G13" s="7">
        <v>5815770.6790340021</v>
      </c>
      <c r="H13" s="7">
        <v>4775098.3817427568</v>
      </c>
      <c r="I13" s="7">
        <v>4285467.4804503117</v>
      </c>
      <c r="J13" s="7">
        <v>4079802.9499262525</v>
      </c>
      <c r="K13" s="7">
        <v>4551970.3497251216</v>
      </c>
      <c r="L13" s="7">
        <v>4449478.4956837595</v>
      </c>
      <c r="M13" s="7">
        <v>4056297.9024181408</v>
      </c>
      <c r="N13" s="64">
        <f t="shared" si="0"/>
        <v>62201917.612107694</v>
      </c>
    </row>
    <row r="14" spans="1:14" x14ac:dyDescent="0.2">
      <c r="A14" t="s">
        <v>78</v>
      </c>
      <c r="B14" s="7">
        <v>113696249.96106613</v>
      </c>
      <c r="C14" s="7">
        <v>114522532.08163731</v>
      </c>
      <c r="D14" s="7">
        <v>121084175.23190008</v>
      </c>
      <c r="E14" s="7">
        <v>118368469.68859348</v>
      </c>
      <c r="F14" s="7">
        <v>103764593.96592636</v>
      </c>
      <c r="G14" s="7">
        <v>111142850.01106438</v>
      </c>
      <c r="H14" s="7">
        <v>104456914.39260712</v>
      </c>
      <c r="I14" s="7">
        <v>107353725.6065686</v>
      </c>
      <c r="J14" s="7">
        <v>110293577.4293597</v>
      </c>
      <c r="K14" s="7">
        <v>124591650.49030188</v>
      </c>
      <c r="L14" s="7">
        <v>120139582.14464538</v>
      </c>
      <c r="M14" s="7">
        <v>106690469.70219478</v>
      </c>
      <c r="N14" s="64">
        <f t="shared" si="0"/>
        <v>1356104790.7058651</v>
      </c>
    </row>
    <row r="15" spans="1:14" x14ac:dyDescent="0.2">
      <c r="A15" t="s">
        <v>79</v>
      </c>
      <c r="B15" s="7">
        <v>2331245.247945209</v>
      </c>
      <c r="C15" s="7">
        <v>2689835.1426656498</v>
      </c>
      <c r="D15" s="7">
        <v>3210929.6357810134</v>
      </c>
      <c r="E15" s="7">
        <v>3203363.1321615749</v>
      </c>
      <c r="F15" s="7">
        <v>2671669.6471344288</v>
      </c>
      <c r="G15" s="7">
        <v>2679485.9805052765</v>
      </c>
      <c r="H15" s="7">
        <v>2342642.2837857991</v>
      </c>
      <c r="I15" s="7">
        <v>2247483.9244180964</v>
      </c>
      <c r="J15" s="7">
        <v>2193993.1326647997</v>
      </c>
      <c r="K15" s="7">
        <v>2477535.1086242795</v>
      </c>
      <c r="L15" s="7">
        <v>2424201.4432110684</v>
      </c>
      <c r="M15" s="7">
        <v>2132523.3521670699</v>
      </c>
      <c r="N15" s="64">
        <f t="shared" si="0"/>
        <v>30604908.031064264</v>
      </c>
    </row>
    <row r="16" spans="1:14" x14ac:dyDescent="0.2">
      <c r="A16" t="s">
        <v>80</v>
      </c>
      <c r="B16" s="7">
        <v>96401446.0155164</v>
      </c>
      <c r="C16" s="7">
        <v>96489734.745736539</v>
      </c>
      <c r="D16" s="7">
        <v>94397352.566369906</v>
      </c>
      <c r="E16" s="7">
        <v>96007245.061376721</v>
      </c>
      <c r="F16" s="7">
        <v>94786165.539778799</v>
      </c>
      <c r="G16" s="7">
        <v>92669864.327046648</v>
      </c>
      <c r="H16" s="7">
        <v>95467199.041716039</v>
      </c>
      <c r="I16" s="7">
        <v>94727900.87368162</v>
      </c>
      <c r="J16" s="7">
        <v>95953694.595385045</v>
      </c>
      <c r="K16" s="7">
        <v>94067411.294073164</v>
      </c>
      <c r="L16" s="7">
        <v>98186324.609269202</v>
      </c>
      <c r="M16" s="7">
        <v>98007423.585044548</v>
      </c>
      <c r="N16" s="64">
        <f t="shared" si="0"/>
        <v>1147161762.2549949</v>
      </c>
    </row>
    <row r="17" spans="1:15" x14ac:dyDescent="0.2">
      <c r="A17" t="s">
        <v>81</v>
      </c>
      <c r="B17" s="7">
        <v>9426852.3252912983</v>
      </c>
      <c r="C17" s="7">
        <v>4456117.1643591449</v>
      </c>
      <c r="D17" s="7">
        <v>3878792.1529305577</v>
      </c>
      <c r="E17" s="7">
        <v>3912805.9247075366</v>
      </c>
      <c r="F17" s="7">
        <v>3500316.4887745567</v>
      </c>
      <c r="G17" s="7">
        <v>4347357.6050274828</v>
      </c>
      <c r="H17" s="7">
        <v>7049927.7280028425</v>
      </c>
      <c r="I17" s="7">
        <v>12761137.33708391</v>
      </c>
      <c r="J17" s="7">
        <v>17957524.187968712</v>
      </c>
      <c r="K17" s="7">
        <v>24156599.89607586</v>
      </c>
      <c r="L17" s="7">
        <v>24539158.751498982</v>
      </c>
      <c r="M17" s="7">
        <v>17418940.118180998</v>
      </c>
      <c r="N17" s="64">
        <f t="shared" si="0"/>
        <v>133405529.67990187</v>
      </c>
    </row>
    <row r="18" spans="1:15" x14ac:dyDescent="0.2">
      <c r="A18" t="s">
        <v>82</v>
      </c>
      <c r="B18" s="7">
        <v>546615.21162100777</v>
      </c>
      <c r="C18" s="7">
        <v>288848.17710203712</v>
      </c>
      <c r="D18" s="7">
        <v>285825.33575767203</v>
      </c>
      <c r="E18" s="7">
        <v>299553.06131012941</v>
      </c>
      <c r="F18" s="7">
        <v>256719.11550700702</v>
      </c>
      <c r="G18" s="7">
        <v>274374.21611790312</v>
      </c>
      <c r="H18" s="7">
        <v>431263.50985843828</v>
      </c>
      <c r="I18" s="7">
        <v>720561.94082184928</v>
      </c>
      <c r="J18" s="7">
        <v>1114675.1457551704</v>
      </c>
      <c r="K18" s="7">
        <v>1713137.8827719693</v>
      </c>
      <c r="L18" s="7">
        <v>1626753.3234270504</v>
      </c>
      <c r="M18" s="7">
        <v>1034000.6901856535</v>
      </c>
      <c r="N18" s="64">
        <f t="shared" si="0"/>
        <v>8592327.6102358885</v>
      </c>
    </row>
    <row r="19" spans="1:15" x14ac:dyDescent="0.2">
      <c r="A19" t="s">
        <v>83</v>
      </c>
      <c r="B19" s="7">
        <v>1500133.4061401626</v>
      </c>
      <c r="C19" s="7">
        <v>1498305.246901843</v>
      </c>
      <c r="D19" s="7">
        <v>1523830.53881033</v>
      </c>
      <c r="E19" s="7">
        <v>1518395.1167070242</v>
      </c>
      <c r="F19" s="7">
        <v>1480773.1053209431</v>
      </c>
      <c r="G19" s="7">
        <v>1486086.6081810216</v>
      </c>
      <c r="H19" s="7">
        <v>1493552.1084854817</v>
      </c>
      <c r="I19" s="7">
        <v>1489472.8849378307</v>
      </c>
      <c r="J19" s="7">
        <v>1492715.3000326166</v>
      </c>
      <c r="K19" s="7">
        <v>1492537.2254769653</v>
      </c>
      <c r="L19" s="7">
        <v>1487036.3301548676</v>
      </c>
      <c r="M19" s="7">
        <v>1490798.3221898722</v>
      </c>
      <c r="N19" s="64">
        <f t="shared" si="0"/>
        <v>17953636.193338957</v>
      </c>
    </row>
    <row r="20" spans="1:15" x14ac:dyDescent="0.2">
      <c r="N20" s="64">
        <f>SUM(N11:N19)</f>
        <v>5698922681.2727385</v>
      </c>
    </row>
    <row r="22" spans="1:15" x14ac:dyDescent="0.2">
      <c r="A22" t="s">
        <v>93</v>
      </c>
      <c r="B22" s="97">
        <v>32387778</v>
      </c>
      <c r="C22" s="97">
        <v>35496477.799999997</v>
      </c>
      <c r="D22" s="97">
        <v>33553724</v>
      </c>
      <c r="E22" s="97">
        <v>35383480</v>
      </c>
      <c r="F22" s="97">
        <v>30592247.399999999</v>
      </c>
      <c r="G22" s="97">
        <v>34178270.563636363</v>
      </c>
      <c r="H22" s="97">
        <v>36012008</v>
      </c>
      <c r="I22" s="97">
        <v>34858220</v>
      </c>
      <c r="J22" s="97">
        <v>33792437.399999999</v>
      </c>
      <c r="K22" s="97">
        <v>33658628</v>
      </c>
      <c r="L22" s="97">
        <v>34777572</v>
      </c>
      <c r="M22" s="97">
        <v>35448403.600000001</v>
      </c>
      <c r="N22" s="64">
        <f>SUM(B22:M22)</f>
        <v>410139246.76363635</v>
      </c>
      <c r="O22" t="s">
        <v>92</v>
      </c>
    </row>
    <row r="23" spans="1:15" x14ac:dyDescent="0.2">
      <c r="N23" s="64">
        <f>N20-N22</f>
        <v>5288783434.5091019</v>
      </c>
    </row>
    <row r="26" spans="1:15" x14ac:dyDescent="0.2">
      <c r="B26" s="63">
        <f>B10</f>
        <v>43739</v>
      </c>
      <c r="C26" s="63">
        <f t="shared" ref="C26:M26" si="1">C10</f>
        <v>43770</v>
      </c>
      <c r="D26" s="63">
        <f t="shared" si="1"/>
        <v>43800</v>
      </c>
      <c r="E26" s="63">
        <f t="shared" si="1"/>
        <v>43831</v>
      </c>
      <c r="F26" s="63">
        <f t="shared" si="1"/>
        <v>43862</v>
      </c>
      <c r="G26" s="63">
        <f t="shared" si="1"/>
        <v>43891</v>
      </c>
      <c r="H26" s="63">
        <f t="shared" si="1"/>
        <v>43922</v>
      </c>
      <c r="I26" s="63">
        <f t="shared" si="1"/>
        <v>43952</v>
      </c>
      <c r="J26" s="63">
        <f t="shared" si="1"/>
        <v>43983</v>
      </c>
      <c r="K26" s="63">
        <f t="shared" si="1"/>
        <v>44013</v>
      </c>
      <c r="L26" s="63">
        <f t="shared" si="1"/>
        <v>44044</v>
      </c>
      <c r="M26" s="63">
        <f t="shared" si="1"/>
        <v>44075</v>
      </c>
      <c r="N26" t="s">
        <v>33</v>
      </c>
    </row>
    <row r="27" spans="1:15" x14ac:dyDescent="0.2">
      <c r="A27" s="65" t="s">
        <v>84</v>
      </c>
      <c r="B27" s="7">
        <v>8094044.4497186495</v>
      </c>
      <c r="C27" s="7">
        <v>15898823.640692307</v>
      </c>
      <c r="D27" s="7">
        <v>24071267.14316823</v>
      </c>
      <c r="E27" s="7">
        <v>24078966.143247005</v>
      </c>
      <c r="F27" s="7">
        <v>20108022.469447553</v>
      </c>
      <c r="G27" s="7">
        <v>15854753.39936316</v>
      </c>
      <c r="H27" s="7">
        <v>9622122.8085528277</v>
      </c>
      <c r="I27" s="7">
        <v>4702782.7728201356</v>
      </c>
      <c r="J27" s="7">
        <v>2829236.7073660442</v>
      </c>
      <c r="K27" s="7">
        <v>2322120.1278278558</v>
      </c>
      <c r="L27" s="7">
        <v>2180463.741055781</v>
      </c>
      <c r="M27" s="7">
        <v>2755685.0386470361</v>
      </c>
      <c r="N27" s="64">
        <f>SUM(B27:M27)</f>
        <v>132518288.4419066</v>
      </c>
    </row>
    <row r="28" spans="1:15" x14ac:dyDescent="0.2">
      <c r="A28" s="65" t="s">
        <v>85</v>
      </c>
      <c r="B28" s="7">
        <v>4476291.5251051225</v>
      </c>
      <c r="C28" s="7">
        <v>6707238.4924614206</v>
      </c>
      <c r="D28" s="7">
        <v>9016780.6171738505</v>
      </c>
      <c r="E28" s="7">
        <v>8686901.0663989354</v>
      </c>
      <c r="F28" s="7">
        <v>7327994.7045140322</v>
      </c>
      <c r="G28" s="7">
        <v>6013620.4838854698</v>
      </c>
      <c r="H28" s="7">
        <v>3930714.6164969611</v>
      </c>
      <c r="I28" s="7">
        <v>2238076.5876566232</v>
      </c>
      <c r="J28" s="7">
        <v>1696248.0861772974</v>
      </c>
      <c r="K28" s="7">
        <v>1797674.0022902135</v>
      </c>
      <c r="L28" s="7">
        <v>1910503.3310460949</v>
      </c>
      <c r="M28" s="7">
        <v>2174581.7380349264</v>
      </c>
      <c r="N28" s="64">
        <f t="shared" ref="N28:N33" si="2">SUM(B28:M28)</f>
        <v>55976625.251240946</v>
      </c>
    </row>
    <row r="29" spans="1:15" x14ac:dyDescent="0.2">
      <c r="A29" s="65" t="s">
        <v>120</v>
      </c>
      <c r="B29" s="7">
        <v>16071.192710746011</v>
      </c>
      <c r="C29" s="7">
        <v>24099.579434462128</v>
      </c>
      <c r="D29" s="7">
        <v>21545.27609380483</v>
      </c>
      <c r="E29" s="7">
        <v>19691.004472464629</v>
      </c>
      <c r="F29" s="7">
        <v>15422.635702773372</v>
      </c>
      <c r="G29" s="7">
        <v>12186.255427761991</v>
      </c>
      <c r="H29" s="7">
        <v>8718.8940064313792</v>
      </c>
      <c r="I29" s="7">
        <v>4878.5866385971758</v>
      </c>
      <c r="J29" s="7">
        <v>4456.633729958925</v>
      </c>
      <c r="K29" s="7">
        <v>4605.418933379593</v>
      </c>
      <c r="L29" s="7">
        <v>4998.6609362692852</v>
      </c>
      <c r="M29" s="7">
        <v>7284.0488830778613</v>
      </c>
      <c r="N29" s="64">
        <f t="shared" si="2"/>
        <v>143958.18696972719</v>
      </c>
    </row>
    <row r="30" spans="1:15" x14ac:dyDescent="0.2">
      <c r="A30" s="65" t="s">
        <v>86</v>
      </c>
      <c r="B30" s="7">
        <v>263072.60116087174</v>
      </c>
      <c r="C30" s="7">
        <v>317044.18382347241</v>
      </c>
      <c r="D30" s="7">
        <v>262517.86881452362</v>
      </c>
      <c r="E30" s="7">
        <v>249027.81914635876</v>
      </c>
      <c r="F30" s="7">
        <v>201869.43839917585</v>
      </c>
      <c r="G30" s="7">
        <v>161809.30904347377</v>
      </c>
      <c r="H30" s="7">
        <v>115146.60759253167</v>
      </c>
      <c r="I30" s="7">
        <v>66396.855196701043</v>
      </c>
      <c r="J30" s="7">
        <v>79209.567877520865</v>
      </c>
      <c r="K30" s="7">
        <v>81461.287359535068</v>
      </c>
      <c r="L30" s="7">
        <v>110957.78811174749</v>
      </c>
      <c r="M30" s="7">
        <v>131599.95315823186</v>
      </c>
      <c r="N30" s="64">
        <f t="shared" si="2"/>
        <v>2040113.2796841441</v>
      </c>
    </row>
    <row r="31" spans="1:15" x14ac:dyDescent="0.2">
      <c r="A31" s="65" t="s">
        <v>87</v>
      </c>
      <c r="B31" s="7">
        <v>82372.336843399928</v>
      </c>
      <c r="C31" s="7">
        <v>122891.31766262029</v>
      </c>
      <c r="D31" s="7">
        <v>140461.23326108287</v>
      </c>
      <c r="E31" s="7">
        <v>139894.2702245925</v>
      </c>
      <c r="F31" s="7">
        <v>125167.71586151597</v>
      </c>
      <c r="G31" s="7">
        <v>100412.02660087158</v>
      </c>
      <c r="H31" s="7">
        <v>70075.241038783541</v>
      </c>
      <c r="I31" s="7">
        <v>44856.284352865383</v>
      </c>
      <c r="J31" s="7">
        <v>34992.729977475676</v>
      </c>
      <c r="K31" s="7">
        <v>37014.1834504164</v>
      </c>
      <c r="L31" s="7">
        <v>27246.952312090816</v>
      </c>
      <c r="M31" s="7">
        <v>32016.686215844009</v>
      </c>
      <c r="N31" s="64">
        <f t="shared" si="2"/>
        <v>957400.97780155903</v>
      </c>
    </row>
    <row r="32" spans="1:15" x14ac:dyDescent="0.2">
      <c r="A32" s="65" t="s">
        <v>88</v>
      </c>
      <c r="B32" s="7">
        <v>2314035</v>
      </c>
      <c r="C32" s="7">
        <v>2978091</v>
      </c>
      <c r="D32" s="7">
        <v>3301695</v>
      </c>
      <c r="E32" s="7">
        <v>3788957</v>
      </c>
      <c r="F32" s="7">
        <v>4067520</v>
      </c>
      <c r="G32" s="7">
        <v>3512570</v>
      </c>
      <c r="H32" s="7">
        <v>3448926</v>
      </c>
      <c r="I32" s="7">
        <v>2931707</v>
      </c>
      <c r="J32" s="7">
        <v>2584204</v>
      </c>
      <c r="K32" s="7">
        <v>2329640</v>
      </c>
      <c r="L32" s="7">
        <v>2181527</v>
      </c>
      <c r="M32" s="7">
        <v>2228375</v>
      </c>
      <c r="N32" s="64">
        <f t="shared" si="2"/>
        <v>35667247</v>
      </c>
    </row>
    <row r="33" spans="1:14" x14ac:dyDescent="0.2">
      <c r="A33" s="65" t="s">
        <v>89</v>
      </c>
      <c r="B33" s="7">
        <v>3699256</v>
      </c>
      <c r="C33" s="7">
        <v>4190187</v>
      </c>
      <c r="D33" s="7">
        <v>4595234</v>
      </c>
      <c r="E33" s="7">
        <v>4997216</v>
      </c>
      <c r="F33" s="7">
        <v>5037640</v>
      </c>
      <c r="G33" s="7">
        <v>4557557</v>
      </c>
      <c r="H33" s="7">
        <v>4519829</v>
      </c>
      <c r="I33" s="7">
        <v>4159606</v>
      </c>
      <c r="J33" s="7">
        <v>3860707</v>
      </c>
      <c r="K33" s="7">
        <v>3734131</v>
      </c>
      <c r="L33" s="7">
        <v>3560261</v>
      </c>
      <c r="M33" s="7">
        <v>3676753</v>
      </c>
      <c r="N33" s="64">
        <f t="shared" si="2"/>
        <v>50588377</v>
      </c>
    </row>
    <row r="34" spans="1:14" x14ac:dyDescent="0.2">
      <c r="N34" s="64">
        <f>SUM(N27:N33)</f>
        <v>277892010.13760298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V39"/>
  <sheetViews>
    <sheetView workbookViewId="0">
      <selection activeCell="J30" sqref="J30"/>
    </sheetView>
  </sheetViews>
  <sheetFormatPr defaultRowHeight="12.75" x14ac:dyDescent="0.2"/>
  <cols>
    <col min="1" max="1" width="12.140625" customWidth="1"/>
    <col min="2" max="2" width="19.42578125" bestFit="1" customWidth="1"/>
    <col min="3" max="3" width="20.7109375" bestFit="1" customWidth="1"/>
    <col min="4" max="4" width="14.5703125" bestFit="1" customWidth="1"/>
    <col min="5" max="5" width="14.28515625" bestFit="1" customWidth="1"/>
    <col min="6" max="6" width="11.140625" customWidth="1"/>
    <col min="7" max="7" width="19.42578125" bestFit="1" customWidth="1"/>
    <col min="8" max="8" width="20.7109375" bestFit="1" customWidth="1"/>
    <col min="9" max="9" width="12.28515625" bestFit="1" customWidth="1"/>
    <col min="10" max="10" width="14.28515625" bestFit="1" customWidth="1"/>
    <col min="11" max="11" width="14.28515625" customWidth="1"/>
    <col min="12" max="12" width="10.140625" bestFit="1" customWidth="1"/>
    <col min="13" max="13" width="12.28515625" bestFit="1" customWidth="1"/>
    <col min="14" max="14" width="11.5703125" bestFit="1" customWidth="1"/>
    <col min="15" max="15" width="9.7109375" bestFit="1" customWidth="1"/>
    <col min="16" max="16" width="11.28515625" bestFit="1" customWidth="1"/>
    <col min="17" max="17" width="11.28515625" customWidth="1"/>
    <col min="18" max="18" width="10.140625" bestFit="1" customWidth="1"/>
    <col min="19" max="19" width="12.28515625" bestFit="1" customWidth="1"/>
    <col min="20" max="20" width="11.5703125" bestFit="1" customWidth="1"/>
    <col min="21" max="21" width="9.7109375" bestFit="1" customWidth="1"/>
    <col min="22" max="22" width="11.28515625" bestFit="1" customWidth="1"/>
  </cols>
  <sheetData>
    <row r="3" spans="1:22" x14ac:dyDescent="0.2">
      <c r="A3" t="s">
        <v>107</v>
      </c>
      <c r="F3" t="s">
        <v>113</v>
      </c>
    </row>
    <row r="4" spans="1:22" x14ac:dyDescent="0.2">
      <c r="A4" t="s">
        <v>108</v>
      </c>
      <c r="F4" t="s">
        <v>114</v>
      </c>
    </row>
    <row r="5" spans="1:22" x14ac:dyDescent="0.2">
      <c r="A5" t="s">
        <v>109</v>
      </c>
      <c r="F5" t="s">
        <v>109</v>
      </c>
    </row>
    <row r="6" spans="1:22" x14ac:dyDescent="0.2">
      <c r="M6" s="9"/>
      <c r="N6" s="9"/>
      <c r="O6" s="9"/>
      <c r="P6" s="9"/>
      <c r="Q6" s="9"/>
      <c r="R6" s="9"/>
      <c r="S6" s="9"/>
      <c r="T6" s="9"/>
      <c r="U6" s="9"/>
    </row>
    <row r="7" spans="1:22" x14ac:dyDescent="0.2">
      <c r="M7" s="9"/>
      <c r="N7" s="9"/>
      <c r="O7" s="9"/>
      <c r="P7" s="9"/>
      <c r="Q7" s="9"/>
      <c r="R7" s="9"/>
      <c r="S7" s="9"/>
      <c r="T7" s="9"/>
      <c r="U7" s="9"/>
    </row>
    <row r="8" spans="1:22" x14ac:dyDescent="0.2">
      <c r="B8" t="s">
        <v>110</v>
      </c>
      <c r="C8" t="s">
        <v>111</v>
      </c>
      <c r="H8" t="s">
        <v>111</v>
      </c>
      <c r="M8" s="85" t="s">
        <v>127</v>
      </c>
      <c r="N8" s="85" t="s">
        <v>131</v>
      </c>
      <c r="O8" s="85" t="s">
        <v>8</v>
      </c>
      <c r="P8" s="85" t="s">
        <v>128</v>
      </c>
      <c r="Q8" s="85"/>
      <c r="R8" s="85"/>
      <c r="S8" s="85" t="s">
        <v>127</v>
      </c>
      <c r="T8" s="85" t="s">
        <v>131</v>
      </c>
      <c r="U8" s="85" t="s">
        <v>8</v>
      </c>
      <c r="V8" s="85" t="s">
        <v>128</v>
      </c>
    </row>
    <row r="9" spans="1:22" x14ac:dyDescent="0.2">
      <c r="A9" s="70">
        <v>43008</v>
      </c>
      <c r="B9" s="9"/>
      <c r="C9" s="72">
        <f>'[3]2017-2018'!C23</f>
        <v>5266978</v>
      </c>
      <c r="F9" s="70">
        <v>43008</v>
      </c>
      <c r="G9" s="9"/>
      <c r="H9" s="72">
        <f>'[3]2017-2018'!H23</f>
        <v>3093965</v>
      </c>
      <c r="L9" s="70">
        <v>43008</v>
      </c>
      <c r="M9" s="9"/>
      <c r="N9" s="9"/>
      <c r="O9" s="9">
        <f>M9-N9</f>
        <v>0</v>
      </c>
      <c r="P9" s="9"/>
      <c r="Q9" s="9"/>
      <c r="R9" s="70">
        <v>43008</v>
      </c>
      <c r="S9" s="9"/>
      <c r="T9" s="9"/>
      <c r="U9" s="9">
        <f>S9-T9</f>
        <v>0</v>
      </c>
    </row>
    <row r="10" spans="1:22" x14ac:dyDescent="0.2">
      <c r="A10" s="70">
        <v>43039</v>
      </c>
      <c r="B10" s="9">
        <f>P10</f>
        <v>361007.8</v>
      </c>
      <c r="C10" s="9">
        <f>C9</f>
        <v>5266978</v>
      </c>
      <c r="F10" s="70">
        <v>43039</v>
      </c>
      <c r="G10" s="9">
        <f>V10</f>
        <v>134329.49000000002</v>
      </c>
      <c r="H10" s="9">
        <f>H9</f>
        <v>3093965</v>
      </c>
      <c r="L10" s="70">
        <v>43039</v>
      </c>
      <c r="M10" s="9">
        <v>371378.85</v>
      </c>
      <c r="N10" s="86">
        <v>10371.049999999999</v>
      </c>
      <c r="O10" s="9">
        <f>M10-N10</f>
        <v>361007.8</v>
      </c>
      <c r="P10" s="9">
        <f>O10</f>
        <v>361007.8</v>
      </c>
      <c r="Q10" s="9"/>
      <c r="R10" s="70">
        <v>43039</v>
      </c>
      <c r="S10" s="9">
        <v>137419.85</v>
      </c>
      <c r="T10" s="9">
        <v>3090.36</v>
      </c>
      <c r="U10" s="9">
        <f t="shared" ref="U10:U32" si="0">S10-T10</f>
        <v>134329.49000000002</v>
      </c>
      <c r="V10" s="10">
        <f>U10</f>
        <v>134329.49000000002</v>
      </c>
    </row>
    <row r="11" spans="1:22" x14ac:dyDescent="0.2">
      <c r="A11" s="70">
        <v>43069</v>
      </c>
      <c r="B11" s="9">
        <f t="shared" ref="B11:B21" si="1">P11</f>
        <v>786855.59</v>
      </c>
      <c r="C11" s="9">
        <f t="shared" ref="C11:C21" si="2">C10</f>
        <v>5266978</v>
      </c>
      <c r="F11" s="70">
        <v>43069</v>
      </c>
      <c r="G11" s="9">
        <f t="shared" ref="G11:G21" si="3">V11</f>
        <v>423180.89</v>
      </c>
      <c r="H11" s="9">
        <f t="shared" ref="H11:H21" si="4">H10</f>
        <v>3093965</v>
      </c>
      <c r="L11" s="70">
        <v>43069</v>
      </c>
      <c r="M11" s="9">
        <v>440561.62</v>
      </c>
      <c r="N11" s="86">
        <v>14713.83</v>
      </c>
      <c r="O11" s="9">
        <f t="shared" ref="O11:O32" si="5">M11-N11</f>
        <v>425847.79</v>
      </c>
      <c r="P11" s="9">
        <f>O11+P10</f>
        <v>786855.59</v>
      </c>
      <c r="Q11" s="9"/>
      <c r="R11" s="70">
        <v>43069</v>
      </c>
      <c r="S11" s="9">
        <v>295384.83</v>
      </c>
      <c r="T11" s="9">
        <v>6533.43</v>
      </c>
      <c r="U11" s="9">
        <f t="shared" si="0"/>
        <v>288851.40000000002</v>
      </c>
      <c r="V11" s="10">
        <f>V10+U11</f>
        <v>423180.89</v>
      </c>
    </row>
    <row r="12" spans="1:22" x14ac:dyDescent="0.2">
      <c r="A12" s="70">
        <v>43100</v>
      </c>
      <c r="B12" s="9">
        <f t="shared" si="1"/>
        <v>1240364.1200000001</v>
      </c>
      <c r="C12" s="9">
        <f t="shared" si="2"/>
        <v>5266978</v>
      </c>
      <c r="F12" s="70">
        <v>43100</v>
      </c>
      <c r="G12" s="9">
        <f t="shared" si="3"/>
        <v>856573.26</v>
      </c>
      <c r="H12" s="9">
        <f t="shared" si="4"/>
        <v>3093965</v>
      </c>
      <c r="L12" s="70">
        <v>43100</v>
      </c>
      <c r="M12" s="9">
        <v>470989.5</v>
      </c>
      <c r="N12" s="86">
        <v>17480.97</v>
      </c>
      <c r="O12" s="9">
        <f t="shared" si="5"/>
        <v>453508.53</v>
      </c>
      <c r="P12" s="9">
        <f t="shared" ref="P12:P32" si="6">O12+P11</f>
        <v>1240364.1200000001</v>
      </c>
      <c r="Q12" s="9"/>
      <c r="R12" s="70">
        <v>43100</v>
      </c>
      <c r="S12" s="86">
        <v>441803.85</v>
      </c>
      <c r="T12" s="9">
        <v>8411.48</v>
      </c>
      <c r="U12" s="9">
        <f t="shared" si="0"/>
        <v>433392.37</v>
      </c>
      <c r="V12" s="10">
        <f t="shared" ref="V12:V32" si="7">V11+U12</f>
        <v>856573.26</v>
      </c>
    </row>
    <row r="13" spans="1:22" x14ac:dyDescent="0.2">
      <c r="A13" s="70">
        <v>43131</v>
      </c>
      <c r="B13" s="9">
        <f t="shared" si="1"/>
        <v>1781272.86</v>
      </c>
      <c r="C13" s="9">
        <f t="shared" si="2"/>
        <v>5266978</v>
      </c>
      <c r="F13" s="70">
        <v>43131</v>
      </c>
      <c r="G13" s="9">
        <f t="shared" si="3"/>
        <v>1416665.56</v>
      </c>
      <c r="H13" s="9">
        <f t="shared" si="4"/>
        <v>3093965</v>
      </c>
      <c r="L13" s="70">
        <v>43131</v>
      </c>
      <c r="M13" s="9">
        <v>561929.24</v>
      </c>
      <c r="N13" s="86">
        <v>21020.5</v>
      </c>
      <c r="O13" s="9">
        <f t="shared" si="5"/>
        <v>540908.74</v>
      </c>
      <c r="P13" s="9">
        <f t="shared" si="6"/>
        <v>1781272.86</v>
      </c>
      <c r="Q13" s="9"/>
      <c r="R13" s="70">
        <v>43131</v>
      </c>
      <c r="S13" s="86">
        <v>570724.39</v>
      </c>
      <c r="T13" s="9">
        <v>10632.09</v>
      </c>
      <c r="U13" s="9">
        <f t="shared" si="0"/>
        <v>560092.30000000005</v>
      </c>
      <c r="V13" s="10">
        <f t="shared" si="7"/>
        <v>1416665.56</v>
      </c>
    </row>
    <row r="14" spans="1:22" x14ac:dyDescent="0.2">
      <c r="A14" s="70">
        <v>43159</v>
      </c>
      <c r="B14" s="9">
        <f t="shared" si="1"/>
        <v>2236549.37</v>
      </c>
      <c r="C14" s="9">
        <f t="shared" si="2"/>
        <v>5266978</v>
      </c>
      <c r="F14" s="70">
        <v>43159</v>
      </c>
      <c r="G14" s="9">
        <f t="shared" si="3"/>
        <v>1837067.82</v>
      </c>
      <c r="H14" s="9">
        <f t="shared" si="4"/>
        <v>3093965</v>
      </c>
      <c r="L14" s="70">
        <v>43159</v>
      </c>
      <c r="M14" s="9">
        <v>471454.37</v>
      </c>
      <c r="N14" s="86">
        <v>16177.86</v>
      </c>
      <c r="O14" s="9">
        <f t="shared" si="5"/>
        <v>455276.51</v>
      </c>
      <c r="P14" s="9">
        <f t="shared" si="6"/>
        <v>2236549.37</v>
      </c>
      <c r="Q14" s="9"/>
      <c r="R14" s="70">
        <v>43159</v>
      </c>
      <c r="S14" s="86">
        <v>428179.91</v>
      </c>
      <c r="T14" s="9">
        <v>7777.65</v>
      </c>
      <c r="U14" s="9">
        <f t="shared" si="0"/>
        <v>420402.25999999995</v>
      </c>
      <c r="V14" s="10">
        <f t="shared" si="7"/>
        <v>1837067.82</v>
      </c>
    </row>
    <row r="15" spans="1:22" x14ac:dyDescent="0.2">
      <c r="A15" s="70">
        <v>43190</v>
      </c>
      <c r="B15" s="9">
        <f t="shared" si="1"/>
        <v>2612762.1100000003</v>
      </c>
      <c r="C15" s="9">
        <f t="shared" si="2"/>
        <v>5266978</v>
      </c>
      <c r="D15" s="9"/>
      <c r="F15" s="70">
        <v>43190</v>
      </c>
      <c r="G15" s="9">
        <f t="shared" si="3"/>
        <v>2372283.3200000003</v>
      </c>
      <c r="H15" s="9">
        <f t="shared" si="4"/>
        <v>3093965</v>
      </c>
      <c r="L15" s="70">
        <v>43190</v>
      </c>
      <c r="M15" s="9">
        <v>393053.43</v>
      </c>
      <c r="N15" s="86">
        <v>16840.689999999999</v>
      </c>
      <c r="O15" s="9">
        <f t="shared" si="5"/>
        <v>376212.74</v>
      </c>
      <c r="P15" s="9">
        <f t="shared" si="6"/>
        <v>2612762.1100000003</v>
      </c>
      <c r="Q15" s="9"/>
      <c r="R15" s="70">
        <v>43190</v>
      </c>
      <c r="S15" s="9">
        <v>543843.38</v>
      </c>
      <c r="T15" s="9">
        <v>8627.8799999999992</v>
      </c>
      <c r="U15" s="9">
        <f t="shared" si="0"/>
        <v>535215.5</v>
      </c>
      <c r="V15" s="10">
        <f t="shared" si="7"/>
        <v>2372283.3200000003</v>
      </c>
    </row>
    <row r="16" spans="1:22" x14ac:dyDescent="0.2">
      <c r="A16" s="70">
        <v>43220</v>
      </c>
      <c r="B16" s="9">
        <f t="shared" si="1"/>
        <v>3033486.7300000004</v>
      </c>
      <c r="C16" s="9">
        <f t="shared" si="2"/>
        <v>5266978</v>
      </c>
      <c r="D16" s="9"/>
      <c r="F16" s="70">
        <v>43220</v>
      </c>
      <c r="G16" s="9">
        <f t="shared" si="3"/>
        <v>2688163.2100000004</v>
      </c>
      <c r="H16" s="9">
        <f t="shared" si="4"/>
        <v>3093965</v>
      </c>
      <c r="L16" s="70">
        <v>43220</v>
      </c>
      <c r="M16" s="9">
        <v>434457.31</v>
      </c>
      <c r="N16" s="86">
        <v>13732.69</v>
      </c>
      <c r="O16" s="9">
        <f t="shared" si="5"/>
        <v>420724.62</v>
      </c>
      <c r="P16" s="9">
        <f t="shared" si="6"/>
        <v>3033486.7300000004</v>
      </c>
      <c r="Q16" s="9"/>
      <c r="R16" s="70">
        <v>43220</v>
      </c>
      <c r="S16" s="9">
        <v>321827.98</v>
      </c>
      <c r="T16" s="9">
        <v>5948.09</v>
      </c>
      <c r="U16" s="9">
        <f t="shared" si="0"/>
        <v>315879.88999999996</v>
      </c>
      <c r="V16" s="10">
        <f t="shared" si="7"/>
        <v>2688163.2100000004</v>
      </c>
    </row>
    <row r="17" spans="1:22" x14ac:dyDescent="0.2">
      <c r="A17" s="70">
        <v>43251</v>
      </c>
      <c r="B17" s="9">
        <f t="shared" si="1"/>
        <v>3395898.3500000006</v>
      </c>
      <c r="C17" s="9">
        <f t="shared" si="2"/>
        <v>5266978</v>
      </c>
      <c r="D17" s="9"/>
      <c r="F17" s="70">
        <v>43251</v>
      </c>
      <c r="G17" s="9">
        <f t="shared" si="3"/>
        <v>2852610.49</v>
      </c>
      <c r="H17" s="9">
        <f t="shared" si="4"/>
        <v>3093965</v>
      </c>
      <c r="L17" s="70">
        <v>43251</v>
      </c>
      <c r="M17" s="9">
        <v>372517</v>
      </c>
      <c r="N17" s="86">
        <v>10105.379999999999</v>
      </c>
      <c r="O17" s="9">
        <f t="shared" si="5"/>
        <v>362411.62</v>
      </c>
      <c r="P17" s="9">
        <f t="shared" si="6"/>
        <v>3395898.3500000006</v>
      </c>
      <c r="Q17" s="9"/>
      <c r="R17" s="70">
        <v>43251</v>
      </c>
      <c r="S17" s="9">
        <v>167380.51999999999</v>
      </c>
      <c r="T17" s="9">
        <v>2933.24</v>
      </c>
      <c r="U17" s="9">
        <f t="shared" si="0"/>
        <v>164447.28</v>
      </c>
      <c r="V17" s="10">
        <f t="shared" si="7"/>
        <v>2852610.49</v>
      </c>
    </row>
    <row r="18" spans="1:22" x14ac:dyDescent="0.2">
      <c r="A18" s="70">
        <v>43281</v>
      </c>
      <c r="B18" s="9">
        <f t="shared" si="1"/>
        <v>3832845.1500000004</v>
      </c>
      <c r="C18" s="9">
        <f t="shared" si="2"/>
        <v>5266978</v>
      </c>
      <c r="D18" s="9"/>
      <c r="F18" s="70">
        <v>43281</v>
      </c>
      <c r="G18" s="9">
        <f t="shared" si="3"/>
        <v>2931859.4600000004</v>
      </c>
      <c r="H18" s="9">
        <f t="shared" si="4"/>
        <v>3093965</v>
      </c>
      <c r="L18" s="70">
        <v>43281</v>
      </c>
      <c r="M18" s="9">
        <v>445616.88</v>
      </c>
      <c r="N18" s="86">
        <v>8670.08</v>
      </c>
      <c r="O18" s="9">
        <f t="shared" si="5"/>
        <v>436946.8</v>
      </c>
      <c r="P18" s="9">
        <f t="shared" si="6"/>
        <v>3832845.1500000004</v>
      </c>
      <c r="Q18" s="9"/>
      <c r="R18" s="70">
        <v>43281</v>
      </c>
      <c r="S18" s="9">
        <v>80256.479999999996</v>
      </c>
      <c r="T18" s="9">
        <v>1007.51</v>
      </c>
      <c r="U18" s="9">
        <f t="shared" si="0"/>
        <v>79248.97</v>
      </c>
      <c r="V18" s="10">
        <f t="shared" si="7"/>
        <v>2931859.4600000004</v>
      </c>
    </row>
    <row r="19" spans="1:22" x14ac:dyDescent="0.2">
      <c r="A19" s="70">
        <v>43312</v>
      </c>
      <c r="B19" s="9">
        <f t="shared" si="1"/>
        <v>4404391.7600000007</v>
      </c>
      <c r="C19" s="9">
        <f t="shared" si="2"/>
        <v>5266978</v>
      </c>
      <c r="D19" s="9"/>
      <c r="F19" s="70">
        <v>43312</v>
      </c>
      <c r="G19" s="9">
        <f t="shared" si="3"/>
        <v>2936349.6600000006</v>
      </c>
      <c r="H19" s="9">
        <f t="shared" si="4"/>
        <v>3093965</v>
      </c>
      <c r="I19" s="9"/>
      <c r="L19" s="70">
        <v>43312</v>
      </c>
      <c r="M19" s="9">
        <v>579949.88</v>
      </c>
      <c r="N19" s="86">
        <v>8403.27</v>
      </c>
      <c r="O19" s="9">
        <f t="shared" si="5"/>
        <v>571546.61</v>
      </c>
      <c r="P19" s="9">
        <f t="shared" si="6"/>
        <v>4404391.7600000007</v>
      </c>
      <c r="Q19" s="9"/>
      <c r="R19" s="70">
        <v>43312</v>
      </c>
      <c r="S19" s="9">
        <v>5481.74</v>
      </c>
      <c r="T19" s="9">
        <v>991.54</v>
      </c>
      <c r="U19" s="9">
        <f t="shared" si="0"/>
        <v>4490.2</v>
      </c>
      <c r="V19" s="10">
        <f t="shared" si="7"/>
        <v>2936349.6600000006</v>
      </c>
    </row>
    <row r="20" spans="1:22" ht="13.5" thickBot="1" x14ac:dyDescent="0.25">
      <c r="A20" s="70">
        <v>43343</v>
      </c>
      <c r="B20" s="9">
        <f t="shared" si="1"/>
        <v>4883008.290000001</v>
      </c>
      <c r="C20" s="9">
        <f t="shared" si="2"/>
        <v>5266978</v>
      </c>
      <c r="D20" s="9"/>
      <c r="F20" s="70">
        <v>43343</v>
      </c>
      <c r="G20" s="9">
        <f t="shared" si="3"/>
        <v>3002147.0800000005</v>
      </c>
      <c r="H20" s="9">
        <f t="shared" si="4"/>
        <v>3093965</v>
      </c>
      <c r="I20" s="9"/>
      <c r="L20" s="70">
        <v>43343</v>
      </c>
      <c r="M20" s="9">
        <v>488698.22</v>
      </c>
      <c r="N20" s="86">
        <v>10081.69</v>
      </c>
      <c r="O20" s="9">
        <f t="shared" si="5"/>
        <v>478616.52999999997</v>
      </c>
      <c r="P20" s="9">
        <f t="shared" si="6"/>
        <v>4883008.290000001</v>
      </c>
      <c r="Q20" s="9"/>
      <c r="R20" s="70">
        <v>43343</v>
      </c>
      <c r="S20" s="9">
        <v>66554.100000000006</v>
      </c>
      <c r="T20" s="9">
        <v>756.68</v>
      </c>
      <c r="U20" s="9">
        <f t="shared" si="0"/>
        <v>65797.420000000013</v>
      </c>
      <c r="V20" s="10">
        <f t="shared" si="7"/>
        <v>3002147.0800000005</v>
      </c>
    </row>
    <row r="21" spans="1:22" ht="13.5" thickBot="1" x14ac:dyDescent="0.25">
      <c r="A21" s="70">
        <v>43373</v>
      </c>
      <c r="B21" s="9">
        <f t="shared" si="1"/>
        <v>5361624.8200000012</v>
      </c>
      <c r="C21" s="9">
        <f t="shared" si="2"/>
        <v>5266978</v>
      </c>
      <c r="D21" s="87">
        <f>B21-C21</f>
        <v>94646.820000001229</v>
      </c>
      <c r="E21" s="71" t="s">
        <v>112</v>
      </c>
      <c r="F21" s="70">
        <v>43373</v>
      </c>
      <c r="G21" s="9">
        <f t="shared" si="3"/>
        <v>3067944.5000000005</v>
      </c>
      <c r="H21" s="9">
        <f t="shared" si="4"/>
        <v>3093965</v>
      </c>
      <c r="I21" s="87">
        <f>G21-H21</f>
        <v>-26020.499999999534</v>
      </c>
      <c r="J21" s="71" t="s">
        <v>115</v>
      </c>
      <c r="K21" s="88"/>
      <c r="L21" s="70">
        <v>43373</v>
      </c>
      <c r="M21" s="9">
        <v>488698.22</v>
      </c>
      <c r="N21" s="86">
        <v>10081.69</v>
      </c>
      <c r="O21" s="9">
        <f t="shared" si="5"/>
        <v>478616.52999999997</v>
      </c>
      <c r="P21" s="9">
        <f t="shared" si="6"/>
        <v>5361624.8200000012</v>
      </c>
      <c r="Q21" s="9"/>
      <c r="R21" s="70">
        <v>43373</v>
      </c>
      <c r="S21" s="9">
        <v>66554.100000000006</v>
      </c>
      <c r="T21" s="9">
        <v>756.68</v>
      </c>
      <c r="U21" s="9">
        <f t="shared" si="0"/>
        <v>65797.420000000013</v>
      </c>
      <c r="V21" s="10">
        <f t="shared" si="7"/>
        <v>3067944.5000000005</v>
      </c>
    </row>
    <row r="22" spans="1:22" x14ac:dyDescent="0.2">
      <c r="D22" s="9"/>
      <c r="I22" s="9"/>
      <c r="M22" s="9"/>
      <c r="N22" s="9"/>
      <c r="O22" s="9"/>
      <c r="P22" s="9"/>
      <c r="Q22" s="9"/>
      <c r="S22" s="9"/>
      <c r="T22" s="9"/>
      <c r="U22" s="9"/>
      <c r="V22" s="10"/>
    </row>
    <row r="23" spans="1:22" x14ac:dyDescent="0.2">
      <c r="A23" s="70"/>
      <c r="B23" s="9"/>
      <c r="C23" s="72">
        <v>5681400</v>
      </c>
      <c r="D23" s="9"/>
      <c r="F23" s="70"/>
      <c r="G23" s="9"/>
      <c r="H23" s="72">
        <v>3330142</v>
      </c>
      <c r="I23" s="9"/>
      <c r="L23" s="70"/>
      <c r="M23" s="9"/>
      <c r="N23" s="9"/>
      <c r="O23" s="9"/>
      <c r="P23" s="9"/>
      <c r="Q23" s="9"/>
      <c r="R23" s="70"/>
      <c r="S23" s="9"/>
      <c r="T23" s="9"/>
      <c r="U23" s="9"/>
      <c r="V23" s="10"/>
    </row>
    <row r="24" spans="1:22" x14ac:dyDescent="0.2">
      <c r="A24" s="70">
        <v>43404</v>
      </c>
      <c r="B24" s="9">
        <f>P24</f>
        <v>333156.92</v>
      </c>
      <c r="C24" s="9">
        <f>($C$23/12)*9</f>
        <v>4261050</v>
      </c>
      <c r="D24" s="9"/>
      <c r="F24" s="70">
        <v>43404</v>
      </c>
      <c r="G24" s="7">
        <f>V24</f>
        <v>151429.76999999999</v>
      </c>
      <c r="H24" s="9">
        <f>$H$23*0.928</f>
        <v>3090371.7760000001</v>
      </c>
      <c r="L24" s="70">
        <v>43404</v>
      </c>
      <c r="M24" s="9">
        <v>340214.22</v>
      </c>
      <c r="N24" s="9">
        <v>7057.3</v>
      </c>
      <c r="O24" s="9">
        <f t="shared" si="5"/>
        <v>333156.92</v>
      </c>
      <c r="P24" s="9">
        <f t="shared" si="6"/>
        <v>333156.92</v>
      </c>
      <c r="Q24" s="9"/>
      <c r="R24" s="70">
        <v>43404</v>
      </c>
      <c r="S24" s="9">
        <v>154025.85999999999</v>
      </c>
      <c r="T24" s="9">
        <v>2596.09</v>
      </c>
      <c r="U24" s="9">
        <f t="shared" si="0"/>
        <v>151429.76999999999</v>
      </c>
      <c r="V24" s="10">
        <f t="shared" si="7"/>
        <v>151429.76999999999</v>
      </c>
    </row>
    <row r="25" spans="1:22" x14ac:dyDescent="0.2">
      <c r="A25" s="70">
        <v>43434</v>
      </c>
      <c r="B25" s="9">
        <f t="shared" ref="B25:B32" si="8">P25</f>
        <v>778960.53</v>
      </c>
      <c r="C25" s="9">
        <f t="shared" ref="C25:C32" si="9">($C$23/12)*9</f>
        <v>4261050</v>
      </c>
      <c r="D25" s="9"/>
      <c r="F25" s="70">
        <v>43434</v>
      </c>
      <c r="G25" s="7">
        <f t="shared" ref="G25:G32" si="10">V25</f>
        <v>426311.08999999997</v>
      </c>
      <c r="H25" s="9">
        <f t="shared" ref="H25:H32" si="11">$H$23*0.928</f>
        <v>3090371.7760000001</v>
      </c>
      <c r="L25" s="70">
        <v>43434</v>
      </c>
      <c r="M25" s="9">
        <v>457182.97</v>
      </c>
      <c r="N25" s="9">
        <v>11379.36</v>
      </c>
      <c r="O25" s="9">
        <f t="shared" si="5"/>
        <v>445803.61</v>
      </c>
      <c r="P25" s="9">
        <f t="shared" si="6"/>
        <v>778960.53</v>
      </c>
      <c r="Q25" s="9"/>
      <c r="R25" s="70">
        <v>43434</v>
      </c>
      <c r="S25" s="9">
        <v>279569.52</v>
      </c>
      <c r="T25" s="9">
        <v>4688.2</v>
      </c>
      <c r="U25" s="9">
        <f t="shared" si="0"/>
        <v>274881.32</v>
      </c>
      <c r="V25" s="10">
        <f t="shared" si="7"/>
        <v>426311.08999999997</v>
      </c>
    </row>
    <row r="26" spans="1:22" x14ac:dyDescent="0.2">
      <c r="A26" s="70">
        <v>43465</v>
      </c>
      <c r="B26" s="9">
        <f t="shared" si="8"/>
        <v>1312679.3599999999</v>
      </c>
      <c r="C26" s="9">
        <f t="shared" si="9"/>
        <v>4261050</v>
      </c>
      <c r="D26" s="9"/>
      <c r="F26" s="70">
        <v>43465</v>
      </c>
      <c r="G26" s="7">
        <f t="shared" si="10"/>
        <v>896902.87999999989</v>
      </c>
      <c r="H26" s="9">
        <f t="shared" si="11"/>
        <v>3090371.7760000001</v>
      </c>
      <c r="L26" s="70">
        <v>43465</v>
      </c>
      <c r="M26" s="9">
        <v>549353.01</v>
      </c>
      <c r="N26" s="9">
        <v>15634.18</v>
      </c>
      <c r="O26" s="9">
        <f t="shared" si="5"/>
        <v>533718.82999999996</v>
      </c>
      <c r="P26" s="9">
        <f t="shared" si="6"/>
        <v>1312679.3599999999</v>
      </c>
      <c r="Q26" s="9"/>
      <c r="R26" s="70">
        <v>43465</v>
      </c>
      <c r="S26" s="9">
        <v>478414.66</v>
      </c>
      <c r="T26" s="9">
        <v>7822.87</v>
      </c>
      <c r="U26" s="9">
        <f t="shared" si="0"/>
        <v>470591.79</v>
      </c>
      <c r="V26" s="10">
        <f t="shared" si="7"/>
        <v>896902.87999999989</v>
      </c>
    </row>
    <row r="27" spans="1:22" x14ac:dyDescent="0.2">
      <c r="A27" s="70">
        <v>43496</v>
      </c>
      <c r="B27" s="9">
        <f t="shared" si="8"/>
        <v>1877261.0499999998</v>
      </c>
      <c r="C27" s="9">
        <f t="shared" si="9"/>
        <v>4261050</v>
      </c>
      <c r="D27" s="9"/>
      <c r="F27" s="70">
        <v>43496</v>
      </c>
      <c r="G27" s="7">
        <f t="shared" si="10"/>
        <v>1415974.21</v>
      </c>
      <c r="H27" s="9">
        <f t="shared" si="11"/>
        <v>3090371.7760000001</v>
      </c>
      <c r="L27" s="70">
        <v>43496</v>
      </c>
      <c r="M27" s="9">
        <v>582017.09</v>
      </c>
      <c r="N27" s="9">
        <v>17435.400000000001</v>
      </c>
      <c r="O27" s="9">
        <f t="shared" si="5"/>
        <v>564581.68999999994</v>
      </c>
      <c r="P27" s="9">
        <f t="shared" si="6"/>
        <v>1877261.0499999998</v>
      </c>
      <c r="Q27" s="9"/>
      <c r="R27" s="70">
        <v>43496</v>
      </c>
      <c r="S27" s="9">
        <v>527593.61</v>
      </c>
      <c r="T27" s="9">
        <v>8522.2800000000007</v>
      </c>
      <c r="U27" s="9">
        <f t="shared" si="0"/>
        <v>519071.32999999996</v>
      </c>
      <c r="V27" s="10">
        <f t="shared" si="7"/>
        <v>1415974.21</v>
      </c>
    </row>
    <row r="28" spans="1:22" x14ac:dyDescent="0.2">
      <c r="A28" s="70">
        <v>43524</v>
      </c>
      <c r="B28" s="9">
        <f t="shared" si="8"/>
        <v>2411931.34</v>
      </c>
      <c r="C28" s="9">
        <f t="shared" si="9"/>
        <v>4261050</v>
      </c>
      <c r="D28" s="9"/>
      <c r="F28" s="70">
        <v>43524</v>
      </c>
      <c r="G28" s="7">
        <f t="shared" si="10"/>
        <v>1956034.76</v>
      </c>
      <c r="H28" s="9">
        <f t="shared" si="11"/>
        <v>3090371.7760000001</v>
      </c>
      <c r="L28" s="70">
        <v>43524</v>
      </c>
      <c r="M28" s="9">
        <v>550941.06000000006</v>
      </c>
      <c r="N28" s="9">
        <v>16270.77</v>
      </c>
      <c r="O28" s="9">
        <f t="shared" si="5"/>
        <v>534670.29</v>
      </c>
      <c r="P28" s="9">
        <f t="shared" si="6"/>
        <v>2411931.34</v>
      </c>
      <c r="Q28" s="9"/>
      <c r="R28" s="70">
        <v>43524</v>
      </c>
      <c r="S28" s="9">
        <v>548793.26</v>
      </c>
      <c r="T28" s="9">
        <v>8732.7099999999991</v>
      </c>
      <c r="U28" s="9">
        <f t="shared" si="0"/>
        <v>540060.55000000005</v>
      </c>
      <c r="V28" s="10">
        <f t="shared" si="7"/>
        <v>1956034.76</v>
      </c>
    </row>
    <row r="29" spans="1:22" x14ac:dyDescent="0.2">
      <c r="A29" s="70">
        <v>43555</v>
      </c>
      <c r="B29" s="9">
        <f t="shared" si="8"/>
        <v>2981456.75</v>
      </c>
      <c r="C29" s="9">
        <f t="shared" si="9"/>
        <v>4261050</v>
      </c>
      <c r="D29" s="9"/>
      <c r="F29" s="70">
        <v>43555</v>
      </c>
      <c r="G29" s="7">
        <f t="shared" si="10"/>
        <v>2540999.59</v>
      </c>
      <c r="H29" s="9">
        <f t="shared" si="11"/>
        <v>3090371.7760000001</v>
      </c>
      <c r="L29" s="70">
        <v>43555</v>
      </c>
      <c r="M29" s="9">
        <v>587330.07999999996</v>
      </c>
      <c r="N29" s="9">
        <v>17804.669999999998</v>
      </c>
      <c r="O29" s="9">
        <f t="shared" si="5"/>
        <v>569525.40999999992</v>
      </c>
      <c r="P29" s="9">
        <f t="shared" si="6"/>
        <v>2981456.75</v>
      </c>
      <c r="Q29" s="9"/>
      <c r="R29" s="70">
        <v>43555</v>
      </c>
      <c r="S29" s="9">
        <v>594477.47</v>
      </c>
      <c r="T29" s="9">
        <v>9512.64</v>
      </c>
      <c r="U29" s="9">
        <f t="shared" si="0"/>
        <v>584964.82999999996</v>
      </c>
      <c r="V29" s="10">
        <f t="shared" si="7"/>
        <v>2540999.59</v>
      </c>
    </row>
    <row r="30" spans="1:22" x14ac:dyDescent="0.2">
      <c r="A30" s="70">
        <v>43585</v>
      </c>
      <c r="B30" s="9">
        <f t="shared" si="8"/>
        <v>3437785.48</v>
      </c>
      <c r="C30" s="9">
        <f t="shared" si="9"/>
        <v>4261050</v>
      </c>
      <c r="D30" s="9"/>
      <c r="F30" s="70">
        <v>43585</v>
      </c>
      <c r="G30" s="7">
        <f t="shared" si="10"/>
        <v>2848209.6399999997</v>
      </c>
      <c r="H30" s="9">
        <f t="shared" si="11"/>
        <v>3090371.7760000001</v>
      </c>
      <c r="L30" s="70">
        <v>43585</v>
      </c>
      <c r="M30" s="9">
        <v>468076.23</v>
      </c>
      <c r="N30" s="9">
        <v>11747.5</v>
      </c>
      <c r="O30" s="9">
        <f t="shared" si="5"/>
        <v>456328.73</v>
      </c>
      <c r="P30" s="9">
        <f t="shared" si="6"/>
        <v>3437785.48</v>
      </c>
      <c r="Q30" s="9"/>
      <c r="R30" s="70">
        <v>43585</v>
      </c>
      <c r="S30" s="9">
        <v>312143.92</v>
      </c>
      <c r="T30" s="9">
        <v>4933.87</v>
      </c>
      <c r="U30" s="9">
        <f t="shared" si="0"/>
        <v>307210.05</v>
      </c>
      <c r="V30" s="10">
        <f t="shared" si="7"/>
        <v>2848209.6399999997</v>
      </c>
    </row>
    <row r="31" spans="1:22" x14ac:dyDescent="0.2">
      <c r="A31" s="70">
        <v>43616</v>
      </c>
      <c r="B31" s="9">
        <f t="shared" si="8"/>
        <v>3857687.87</v>
      </c>
      <c r="C31" s="9">
        <f t="shared" si="9"/>
        <v>4261050</v>
      </c>
      <c r="D31" s="9"/>
      <c r="F31" s="70">
        <v>43616</v>
      </c>
      <c r="G31" s="7">
        <f t="shared" si="10"/>
        <v>3025455.2899999996</v>
      </c>
      <c r="H31" s="9">
        <f t="shared" si="11"/>
        <v>3090371.7760000001</v>
      </c>
      <c r="L31" s="70">
        <v>43616</v>
      </c>
      <c r="M31" s="9">
        <v>429057.51</v>
      </c>
      <c r="N31" s="9">
        <v>9155.1200000000008</v>
      </c>
      <c r="O31" s="9">
        <f t="shared" si="5"/>
        <v>419902.39</v>
      </c>
      <c r="P31" s="9">
        <f t="shared" si="6"/>
        <v>3857687.87</v>
      </c>
      <c r="Q31" s="9"/>
      <c r="R31" s="70">
        <v>43616</v>
      </c>
      <c r="S31" s="9">
        <v>180058.04</v>
      </c>
      <c r="T31" s="9">
        <v>2812.39</v>
      </c>
      <c r="U31" s="9">
        <f t="shared" si="0"/>
        <v>177245.65</v>
      </c>
      <c r="V31" s="10">
        <f t="shared" si="7"/>
        <v>3025455.2899999996</v>
      </c>
    </row>
    <row r="32" spans="1:22" x14ac:dyDescent="0.2">
      <c r="A32" s="70">
        <v>43646</v>
      </c>
      <c r="B32" s="9">
        <f t="shared" si="8"/>
        <v>4283801.16</v>
      </c>
      <c r="C32" s="9">
        <f t="shared" si="9"/>
        <v>4261050</v>
      </c>
      <c r="D32" s="9">
        <f>B32-C32</f>
        <v>22751.160000000149</v>
      </c>
      <c r="F32" s="70">
        <v>43646</v>
      </c>
      <c r="G32" s="7">
        <f t="shared" si="10"/>
        <v>3121184.3199999994</v>
      </c>
      <c r="H32" s="9">
        <f t="shared" si="11"/>
        <v>3090371.7760000001</v>
      </c>
      <c r="I32" s="9">
        <f>G32-H32</f>
        <v>30812.543999999296</v>
      </c>
      <c r="L32" s="70">
        <v>43646</v>
      </c>
      <c r="M32" s="9">
        <v>433630.96</v>
      </c>
      <c r="N32" s="9">
        <v>7517.67</v>
      </c>
      <c r="O32" s="9">
        <f t="shared" si="5"/>
        <v>426113.29000000004</v>
      </c>
      <c r="P32" s="9">
        <f t="shared" si="6"/>
        <v>4283801.16</v>
      </c>
      <c r="Q32" s="9"/>
      <c r="R32" s="70">
        <v>43646</v>
      </c>
      <c r="S32" s="9">
        <v>96909.47</v>
      </c>
      <c r="T32" s="9">
        <v>1180.44</v>
      </c>
      <c r="U32" s="9">
        <f t="shared" si="0"/>
        <v>95729.03</v>
      </c>
      <c r="V32" s="10">
        <f t="shared" si="7"/>
        <v>3121184.3199999994</v>
      </c>
    </row>
    <row r="33" spans="2:21" ht="13.5" thickBot="1" x14ac:dyDescent="0.25">
      <c r="D33" s="9"/>
      <c r="M33" s="9"/>
      <c r="N33" s="9"/>
      <c r="O33" s="9"/>
      <c r="P33" s="9"/>
      <c r="Q33" s="9"/>
      <c r="R33" s="9"/>
      <c r="S33" s="9"/>
      <c r="T33" s="9"/>
      <c r="U33" s="9"/>
    </row>
    <row r="34" spans="2:21" ht="13.5" thickBot="1" x14ac:dyDescent="0.25">
      <c r="B34" s="73">
        <f>B21-C21+B32-C32</f>
        <v>117397.98000000138</v>
      </c>
      <c r="C34" s="74" t="s">
        <v>112</v>
      </c>
      <c r="D34" s="9"/>
      <c r="G34" s="73">
        <f>G21-H21+G32-H32</f>
        <v>4792.0439999997616</v>
      </c>
      <c r="H34" s="74" t="s">
        <v>112</v>
      </c>
      <c r="M34" s="9"/>
      <c r="N34" s="9"/>
      <c r="O34" s="9"/>
      <c r="P34" s="9"/>
      <c r="Q34" s="9"/>
      <c r="R34" s="9"/>
      <c r="S34" s="9"/>
      <c r="T34" s="9"/>
      <c r="U34" s="9"/>
    </row>
    <row r="35" spans="2:21" x14ac:dyDescent="0.2">
      <c r="D35" s="9"/>
      <c r="M35" s="9"/>
      <c r="N35" s="9"/>
      <c r="O35" s="9"/>
      <c r="P35" s="9"/>
      <c r="Q35" s="9"/>
      <c r="R35" s="9"/>
      <c r="S35" s="9"/>
      <c r="T35" s="9"/>
      <c r="U35" s="9"/>
    </row>
    <row r="36" spans="2:21" x14ac:dyDescent="0.2">
      <c r="B36" s="10"/>
      <c r="C36" s="103"/>
      <c r="D36" s="9"/>
      <c r="M36" s="9"/>
      <c r="N36" s="9"/>
      <c r="O36" s="9"/>
      <c r="P36" s="9"/>
      <c r="Q36" s="9"/>
      <c r="R36" s="9"/>
      <c r="S36" s="9"/>
      <c r="T36" s="9"/>
      <c r="U36" s="9"/>
    </row>
    <row r="37" spans="2:21" x14ac:dyDescent="0.2">
      <c r="D37" s="104"/>
      <c r="M37" s="9"/>
      <c r="N37" s="9"/>
      <c r="O37" s="9"/>
      <c r="P37" s="9"/>
      <c r="Q37" s="9"/>
      <c r="R37" s="9"/>
      <c r="S37" s="9"/>
      <c r="T37" s="9"/>
      <c r="U37" s="9"/>
    </row>
    <row r="38" spans="2:21" x14ac:dyDescent="0.2">
      <c r="D38" s="9"/>
      <c r="M38" s="9"/>
      <c r="N38" s="9"/>
      <c r="O38" s="9"/>
      <c r="P38" s="9"/>
      <c r="Q38" s="9"/>
      <c r="R38" s="9"/>
      <c r="S38" s="9"/>
      <c r="T38" s="9"/>
      <c r="U38" s="9"/>
    </row>
    <row r="39" spans="2:21" x14ac:dyDescent="0.2">
      <c r="M39" s="9"/>
      <c r="N39" s="9"/>
      <c r="O39" s="9"/>
      <c r="P39" s="9"/>
      <c r="Q39" s="9"/>
      <c r="R39" s="9"/>
      <c r="S39" s="9"/>
      <c r="T39" s="9"/>
      <c r="U39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2019-07-17T07:00:00+00:00</OpenedDate>
    <SignificantOrder xmlns="dc463f71-b30c-4ab2-9473-d307f9d35888">false</SignificantOrder>
    <Date1 xmlns="dc463f71-b30c-4ab2-9473-d307f9d35888">2019-07-17T07:00:00+00:00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190609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937654F6BDA7E4384FE7C9A5F92D3BA" ma:contentTypeVersion="56" ma:contentTypeDescription="" ma:contentTypeScope="" ma:versionID="f11cb78e5e8cc057b5de2c17964613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4AD39-ACB9-44E7-901A-E912DACFED83}"/>
</file>

<file path=customXml/itemProps2.xml><?xml version="1.0" encoding="utf-8"?>
<ds:datastoreItem xmlns:ds="http://schemas.openxmlformats.org/officeDocument/2006/customXml" ds:itemID="{CC5D77A5-7ED0-4740-8A69-3F497D614488}"/>
</file>

<file path=customXml/itemProps3.xml><?xml version="1.0" encoding="utf-8"?>
<ds:datastoreItem xmlns:ds="http://schemas.openxmlformats.org/officeDocument/2006/customXml" ds:itemID="{14507FA2-E80D-40D5-973B-A7F25A5708E4}"/>
</file>

<file path=customXml/itemProps4.xml><?xml version="1.0" encoding="utf-8"?>
<ds:datastoreItem xmlns:ds="http://schemas.openxmlformats.org/officeDocument/2006/customXml" ds:itemID="{5EE93A35-43E8-448D-A8EF-5467A4378F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 Elec</vt:lpstr>
      <vt:lpstr>E Rev Conv</vt:lpstr>
      <vt:lpstr>Natural Gas</vt:lpstr>
      <vt:lpstr>G Rev Conv</vt:lpstr>
      <vt:lpstr>Forecast BD</vt:lpstr>
      <vt:lpstr>Prior Balances</vt:lpstr>
      <vt:lpstr>' Elec'!Print_Area</vt:lpstr>
      <vt:lpstr>'Natural Gas'!Print_Area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Joe Miller</cp:lastModifiedBy>
  <cp:lastPrinted>2019-07-08T17:38:55Z</cp:lastPrinted>
  <dcterms:created xsi:type="dcterms:W3CDTF">2016-06-16T21:47:17Z</dcterms:created>
  <dcterms:modified xsi:type="dcterms:W3CDTF">2019-07-16T22:29:14Z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0x0101006E56B4D1795A2E4DB2F0B01679ED314A00D937654F6BDA7E4384FE7C9A5F92D3BA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