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9240" tabRatio="886" activeTab="1"/>
  </bookViews>
  <sheets>
    <sheet name="References" sheetId="1" r:id="rId1"/>
    <sheet name="Calc. and priceout" sheetId="2" r:id="rId2"/>
    <sheet name="Co. Pro Tonnage" sheetId="3" r:id="rId3"/>
  </sheets>
  <definedNames>
    <definedName name="_xlnm.Print_Area" localSheetId="1">'Calc. and priceout'!$A$1:$R$100</definedName>
    <definedName name="_xlnm.Print_Area" localSheetId="2">'Co. Pro Tonnage'!$A$1:$P$14</definedName>
    <definedName name="_xlnm.Print_Area" localSheetId="0">'References'!$A$1:$H$64</definedName>
    <definedName name="_xlnm.Print_Titles" localSheetId="1">'Calc. and priceout'!$1:$1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<sst xmlns="http://schemas.openxmlformats.org/spreadsheetml/2006/main" count="226" uniqueCount="200">
  <si>
    <t>Pro Forma</t>
  </si>
  <si>
    <t>Adj.</t>
  </si>
  <si>
    <t>%</t>
  </si>
  <si>
    <t>Total</t>
  </si>
  <si>
    <t>Disposal Summary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</si>
  <si>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</si>
  <si>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</si>
  <si>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</si>
  <si>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</si>
  <si>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</si>
  <si>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</si>
  <si>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</si>
  <si>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</si>
  <si>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Roll Off garbage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</si>
  <si>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</si>
  <si>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</si>
  <si>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</si>
  <si>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</si>
  <si>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</si>
  <si>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</si>
  <si>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</si>
  <si>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</si>
  <si>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</si>
  <si>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</si>
  <si>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</si>
  <si>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</si>
  <si>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</si>
  <si>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</si>
  <si>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</si>
  <si>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</si>
  <si>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</si>
  <si>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</si>
  <si>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</si>
  <si>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</si>
  <si>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</si>
  <si>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</si>
  <si>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</si>
  <si>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</si>
  <si>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</si>
  <si>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</si>
  <si>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</si>
  <si>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</si>
  <si>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</si>
  <si>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</si>
  <si>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</si>
  <si>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</si>
  <si>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</si>
  <si>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</si>
  <si>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</si>
  <si>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</si>
  <si>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</si>
  <si>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</si>
  <si>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</si>
  <si>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</si>
  <si>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</si>
  <si>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</si>
  <si>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</si>
  <si>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</si>
  <si>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</si>
  <si>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</si>
  <si>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</si>
  <si>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</si>
  <si>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</si>
  <si>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</si>
  <si>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</si>
  <si>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</si>
  <si>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</si>
  <si>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</si>
  <si>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</si>
  <si>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</si>
  <si>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</si>
  <si>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</si>
  <si>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</si>
  <si>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</si>
  <si>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</si>
  <si>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</si>
  <si>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</si>
  <si>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</si>
  <si>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</si>
  <si>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</si>
  <si>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</si>
  <si>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</si>
  <si>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</si>
  <si>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</si>
  <si>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</si>
  <si>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</si>
  <si>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</si>
  <si>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</si>
  <si>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</si>
  <si>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</si>
  <si>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</si>
  <si>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</si>
  <si>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</si>
  <si>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</si>
  <si>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</si>
  <si>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</si>
  <si>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</si>
  <si>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</si>
  <si>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</si>
  <si>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</si>
  <si>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</si>
  <si>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</si>
  <si>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</si>
  <si>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</si>
  <si>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</si>
  <si>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</si>
  <si>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</si>
  <si>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</si>
  <si>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Company Proposed Tariff</t>
  </si>
  <si>
    <t>Roll Off</t>
  </si>
  <si>
    <t>Estimated</t>
  </si>
  <si>
    <t>WM Skagit</t>
  </si>
  <si>
    <t>(per TG-180752)</t>
  </si>
  <si>
    <t>32 GAL CAN MSW EOW</t>
  </si>
  <si>
    <t>1-32 GAL CAN MSW</t>
  </si>
  <si>
    <t>2-32 GAL CANS MSW</t>
  </si>
  <si>
    <t>3-32 GAL CANS MSW</t>
  </si>
  <si>
    <t>35 GAL CART MSW 1X WK</t>
  </si>
  <si>
    <t>2-35 GAL CARTS MSW</t>
  </si>
  <si>
    <t>1-64 GAL CART MSW</t>
  </si>
  <si>
    <t>2-64 GAL CARTS MSW</t>
  </si>
  <si>
    <t>6-64 GAL CARTS MSW</t>
  </si>
  <si>
    <t>10-64 GAL CARTS MSW</t>
  </si>
  <si>
    <t>30-64 GAL CARTS MSW</t>
  </si>
  <si>
    <t>1-96 GAL CART MSW</t>
  </si>
  <si>
    <t>2-96 GAL CARTS MSW</t>
  </si>
  <si>
    <t>1 YD MSW EOW</t>
  </si>
  <si>
    <t>1-1 YD 1X PER WEEK</t>
  </si>
  <si>
    <t>2-1 YD 1X PER WEEK</t>
  </si>
  <si>
    <t>2-1 YD 2X PER WEEK</t>
  </si>
  <si>
    <t>3-1 YD 2X PER WEEK</t>
  </si>
  <si>
    <t>1-1 YD 3X PER WEEK</t>
  </si>
  <si>
    <t>1.5 YD MSW EOW</t>
  </si>
  <si>
    <t>1-1.5 YD 1X PER WEEK</t>
  </si>
  <si>
    <t>1-1.5 YD 2X PER WEEK</t>
  </si>
  <si>
    <t>2YD FEL ON CALL</t>
  </si>
  <si>
    <t>2 YD MSW EOW</t>
  </si>
  <si>
    <t>1-2 YD 1X PER WEEK</t>
  </si>
  <si>
    <t>2-2 YD 1X PER WEEK</t>
  </si>
  <si>
    <t>3-2 YD 1X PER WEEK</t>
  </si>
  <si>
    <t>4-2 YD 1X PER WEEK</t>
  </si>
  <si>
    <t>5-2 YD 1X PER WEEK</t>
  </si>
  <si>
    <t>6-2 YD 1X PER WEEK</t>
  </si>
  <si>
    <t>7-2 YD 1X PER WEEK</t>
  </si>
  <si>
    <t>1-2 YD 2X PER WEEK</t>
  </si>
  <si>
    <t>2-2 YD 2X PER WEEK</t>
  </si>
  <si>
    <t>7-2 YD 2X PER WEEK</t>
  </si>
  <si>
    <t>1-2 YD 3X PER WEEK</t>
  </si>
  <si>
    <t>3 YD MSW EOW</t>
  </si>
  <si>
    <t>1-3 YD 1X PER WEEK</t>
  </si>
  <si>
    <t>2-3 YD 1X PER WEEK</t>
  </si>
  <si>
    <t>3-3 YD 1X PER WEEK</t>
  </si>
  <si>
    <t>4-3 YD 1X PER WEEK</t>
  </si>
  <si>
    <t>7-3 YD 1X PER WEEK</t>
  </si>
  <si>
    <t>1-3 YD 2X PER WEEK</t>
  </si>
  <si>
    <t>1-8 YD 3X PER WEEK</t>
  </si>
  <si>
    <t>2-3 YD 3X PER WEEK</t>
  </si>
  <si>
    <t>4YD FEL ON CALL</t>
  </si>
  <si>
    <t>4 YD 1X PER WEEK</t>
  </si>
  <si>
    <t>4 YD MSW EOW</t>
  </si>
  <si>
    <t>2-4 YD 1X PER WEEK</t>
  </si>
  <si>
    <t>6-4 YD 1X PER WEEK</t>
  </si>
  <si>
    <t>8-4 YD 1X PER WEEK</t>
  </si>
  <si>
    <t>1-4 YD 2X PER WEEK</t>
  </si>
  <si>
    <t>2-4 YD 2X PER WEEK</t>
  </si>
  <si>
    <t>4-4 YD 2X PER WEEK</t>
  </si>
  <si>
    <t>1-4 YD 3X PER WEEK</t>
  </si>
  <si>
    <t>6YD FEL ON CALL</t>
  </si>
  <si>
    <t>6 YD MSW EOW</t>
  </si>
  <si>
    <t>1-6 YD 1X PER WEEK</t>
  </si>
  <si>
    <t>2-6 YD 1X PER WEEK</t>
  </si>
  <si>
    <t>3-6 YD 1X PER WEEK</t>
  </si>
  <si>
    <t>4-6 YD 1X PER WEEK</t>
  </si>
  <si>
    <t>5-6 YD 1X PER WEEK</t>
  </si>
  <si>
    <t>6-6 YD 1X PER WEEK</t>
  </si>
  <si>
    <t>1-6 YD 2X PER WEEK</t>
  </si>
  <si>
    <t>2-6 YD 2X PER WEEK</t>
  </si>
  <si>
    <t>4-6 YD 2X PER WEEK</t>
  </si>
  <si>
    <t>7-6 YD 2X PER WEEK</t>
  </si>
  <si>
    <t>1-6 YD 3X PER WEEK</t>
  </si>
  <si>
    <t>2-6 YD 3X PER WEEK</t>
  </si>
  <si>
    <t>8 YD MSW EOW</t>
  </si>
  <si>
    <t>1-8 YD 1X PER WEEK</t>
  </si>
  <si>
    <t>1-8 YD 2X PER WEEK</t>
  </si>
  <si>
    <t>32 GAL CAN MSW 1X MO</t>
  </si>
  <si>
    <t>32 GAL CAN MSW ON CALL</t>
  </si>
  <si>
    <t>1-20 GAL MINI CAN MSW</t>
  </si>
  <si>
    <t>2-20 GAL MINI CAN MSW</t>
  </si>
  <si>
    <t>4-32 GAL CANS MSW</t>
  </si>
  <si>
    <t>5-32 GAL CANS MSW</t>
  </si>
  <si>
    <t>6-32 GAL CANS MSW</t>
  </si>
  <si>
    <t>20 GAL CART MSW</t>
  </si>
  <si>
    <t>35 GAL CART MSW 1X MO</t>
  </si>
  <si>
    <t>35 GAL CART MSW ON CALL</t>
  </si>
  <si>
    <t>35 GAL CART MSW EOW</t>
  </si>
  <si>
    <t>1-35 GAL CART MSW</t>
  </si>
  <si>
    <t>3-35 GAL CARTS MSW</t>
  </si>
  <si>
    <t>4-35 GAL CARTS MSW</t>
  </si>
  <si>
    <t>Monthly Customers/Containers</t>
  </si>
  <si>
    <t>3-64 GAL CARTS MSW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</si>
</sst>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6">
      <alignment/>
      <protection/>
    </xf>
    <xf numFmtId="0" fontId="63" fillId="0" borderId="0" xfId="66" applyFont="1">
      <alignment/>
      <protection/>
    </xf>
    <xf numFmtId="0" fontId="64" fillId="0" borderId="0" xfId="66" applyFont="1" applyAlignment="1">
      <alignment horizontal="center"/>
      <protection/>
    </xf>
    <xf numFmtId="44" fontId="65" fillId="0" borderId="0" xfId="56" applyFont="1" applyAlignment="1">
      <alignment horizontal="center"/>
    </xf>
    <xf numFmtId="0" fontId="66" fillId="0" borderId="0" xfId="66" applyFont="1" applyAlignment="1">
      <alignment horizontal="center"/>
      <protection/>
    </xf>
    <xf numFmtId="44" fontId="66" fillId="0" borderId="0" xfId="56" applyFont="1" applyAlignment="1">
      <alignment horizontal="center"/>
    </xf>
    <xf numFmtId="0" fontId="67" fillId="0" borderId="0" xfId="66" applyFont="1">
      <alignment/>
      <protection/>
    </xf>
    <xf numFmtId="0" fontId="68" fillId="0" borderId="0" xfId="66" applyFont="1">
      <alignment/>
      <protection/>
    </xf>
    <xf numFmtId="44" fontId="63" fillId="0" borderId="0" xfId="56" applyFont="1" applyBorder="1" applyAlignment="1">
      <alignment/>
    </xf>
    <xf numFmtId="0" fontId="63" fillId="0" borderId="0" xfId="66" applyFont="1" applyBorder="1">
      <alignment/>
      <protection/>
    </xf>
    <xf numFmtId="44" fontId="69" fillId="0" borderId="0" xfId="56" applyFont="1" applyBorder="1" applyAlignment="1">
      <alignment/>
    </xf>
    <xf numFmtId="174" fontId="63" fillId="0" borderId="0" xfId="56" applyNumberFormat="1" applyFont="1" applyBorder="1" applyAlignment="1">
      <alignment/>
    </xf>
    <xf numFmtId="174" fontId="70" fillId="0" borderId="0" xfId="56" applyNumberFormat="1" applyFont="1" applyBorder="1" applyAlignment="1">
      <alignment/>
    </xf>
    <xf numFmtId="44" fontId="63" fillId="0" borderId="0" xfId="66" applyNumberFormat="1" applyFont="1" applyBorder="1">
      <alignment/>
      <protection/>
    </xf>
    <xf numFmtId="174" fontId="65" fillId="0" borderId="0" xfId="56" applyNumberFormat="1" applyFont="1" applyBorder="1" applyAlignment="1">
      <alignment/>
    </xf>
    <xf numFmtId="174" fontId="71" fillId="0" borderId="0" xfId="56" applyNumberFormat="1" applyFont="1" applyBorder="1" applyAlignment="1">
      <alignment/>
    </xf>
    <xf numFmtId="43" fontId="63" fillId="0" borderId="0" xfId="66" applyNumberFormat="1" applyFont="1" applyBorder="1">
      <alignment/>
      <protection/>
    </xf>
    <xf numFmtId="174" fontId="63" fillId="0" borderId="0" xfId="66" applyNumberFormat="1" applyFont="1" applyBorder="1">
      <alignment/>
      <protection/>
    </xf>
    <xf numFmtId="174" fontId="70" fillId="0" borderId="0" xfId="66" applyNumberFormat="1" applyFont="1" applyBorder="1">
      <alignment/>
      <protection/>
    </xf>
    <xf numFmtId="43" fontId="65" fillId="0" borderId="0" xfId="66" applyNumberFormat="1" applyFont="1" applyBorder="1">
      <alignment/>
      <protection/>
    </xf>
    <xf numFmtId="43" fontId="66" fillId="0" borderId="0" xfId="66" applyNumberFormat="1" applyFont="1" applyBorder="1">
      <alignment/>
      <protection/>
    </xf>
    <xf numFmtId="43" fontId="71" fillId="0" borderId="0" xfId="66" applyNumberFormat="1" applyFont="1" applyBorder="1">
      <alignment/>
      <protection/>
    </xf>
    <xf numFmtId="43" fontId="70" fillId="0" borderId="0" xfId="66" applyNumberFormat="1" applyFont="1" applyBorder="1">
      <alignment/>
      <protection/>
    </xf>
    <xf numFmtId="0" fontId="2" fillId="0" borderId="0" xfId="66" applyBorder="1">
      <alignment/>
      <protection/>
    </xf>
    <xf numFmtId="183" fontId="63" fillId="0" borderId="0" xfId="66" applyNumberFormat="1" applyFont="1" applyBorder="1">
      <alignment/>
      <protection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172" fontId="0" fillId="0" borderId="0" xfId="77" applyNumberFormat="1" applyFont="1" applyAlignment="1">
      <alignment/>
    </xf>
    <xf numFmtId="0" fontId="6" fillId="0" borderId="0" xfId="67" applyFont="1" applyBorder="1">
      <alignment/>
      <protection/>
    </xf>
    <xf numFmtId="0" fontId="61" fillId="0" borderId="0" xfId="0" applyFont="1" applyBorder="1" applyAlignment="1">
      <alignment horizontal="center"/>
    </xf>
    <xf numFmtId="172" fontId="63" fillId="0" borderId="0" xfId="77" applyNumberFormat="1" applyFont="1" applyBorder="1" applyAlignment="1">
      <alignment/>
    </xf>
    <xf numFmtId="174" fontId="66" fillId="0" borderId="0" xfId="53" applyNumberFormat="1" applyFont="1" applyBorder="1" applyAlignment="1">
      <alignment/>
    </xf>
    <xf numFmtId="43" fontId="63" fillId="0" borderId="0" xfId="42" applyFont="1" applyBorder="1" applyAlignment="1">
      <alignment/>
    </xf>
    <xf numFmtId="43" fontId="7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69" fillId="0" borderId="0" xfId="78" applyNumberFormat="1" applyFont="1" applyAlignment="1">
      <alignment horizontal="center"/>
    </xf>
    <xf numFmtId="179" fontId="69" fillId="0" borderId="0" xfId="78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2" fillId="0" borderId="0" xfId="55" applyNumberFormat="1" applyFont="1" applyBorder="1" applyAlignment="1">
      <alignment/>
    </xf>
    <xf numFmtId="0" fontId="72" fillId="0" borderId="0" xfId="0" applyFont="1" applyAlignment="1">
      <alignment/>
    </xf>
    <xf numFmtId="166" fontId="72" fillId="0" borderId="0" xfId="42" applyNumberFormat="1" applyFont="1" applyBorder="1" applyAlignment="1">
      <alignment/>
    </xf>
    <xf numFmtId="166" fontId="72" fillId="0" borderId="0" xfId="42" applyNumberFormat="1" applyFont="1" applyAlignment="1">
      <alignment/>
    </xf>
    <xf numFmtId="166" fontId="73" fillId="0" borderId="0" xfId="42" applyNumberFormat="1" applyFont="1" applyBorder="1" applyAlignment="1">
      <alignment/>
    </xf>
    <xf numFmtId="166" fontId="73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61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1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61" fillId="36" borderId="11" xfId="0" applyFont="1" applyFill="1" applyBorder="1" applyAlignment="1">
      <alignment horizontal="center" wrapText="1"/>
    </xf>
    <xf numFmtId="0" fontId="61" fillId="36" borderId="11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wrapText="1"/>
    </xf>
    <xf numFmtId="166" fontId="61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38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38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39" fillId="36" borderId="11" xfId="74" applyFont="1" applyFill="1" applyBorder="1" applyAlignment="1">
      <alignment horizontal="left"/>
      <protection/>
    </xf>
    <xf numFmtId="3" fontId="61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61" fillId="36" borderId="11" xfId="0" applyNumberFormat="1" applyFont="1" applyFill="1" applyBorder="1" applyAlignment="1">
      <alignment/>
    </xf>
    <xf numFmtId="166" fontId="61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61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9" fillId="0" borderId="0" xfId="74" applyFont="1" applyFill="1" applyBorder="1" applyAlignment="1">
      <alignment horizontal="left"/>
      <protection/>
    </xf>
    <xf numFmtId="166" fontId="61" fillId="0" borderId="0" xfId="42" applyNumberFormat="1" applyFont="1" applyBorder="1" applyAlignment="1">
      <alignment horizontal="right"/>
    </xf>
    <xf numFmtId="44" fontId="61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62" fillId="0" borderId="0" xfId="70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61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38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74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7" applyNumberFormat="1" applyFont="1" applyBorder="1" applyAlignment="1">
      <alignment horizontal="right"/>
    </xf>
    <xf numFmtId="10" fontId="0" fillId="0" borderId="0" xfId="77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8" fillId="0" borderId="0" xfId="74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2" fillId="0" borderId="0" xfId="55" applyFont="1" applyFill="1" applyAlignment="1">
      <alignment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61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75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76" fillId="0" borderId="0" xfId="53" applyNumberFormat="1" applyFont="1" applyAlignment="1">
      <alignment/>
    </xf>
    <xf numFmtId="174" fontId="75" fillId="0" borderId="0" xfId="0" applyNumberFormat="1" applyFont="1" applyAlignment="1">
      <alignment/>
    </xf>
    <xf numFmtId="184" fontId="0" fillId="0" borderId="0" xfId="77" applyNumberFormat="1" applyFont="1" applyAlignment="1">
      <alignment/>
    </xf>
    <xf numFmtId="179" fontId="0" fillId="0" borderId="0" xfId="77" applyNumberFormat="1" applyFont="1" applyAlignment="1">
      <alignment/>
    </xf>
    <xf numFmtId="179" fontId="0" fillId="0" borderId="0" xfId="77" applyNumberFormat="1" applyFont="1" applyBorder="1" applyAlignment="1">
      <alignment/>
    </xf>
    <xf numFmtId="179" fontId="77" fillId="0" borderId="0" xfId="77" applyNumberFormat="1" applyFont="1" applyAlignment="1">
      <alignment/>
    </xf>
    <xf numFmtId="179" fontId="78" fillId="0" borderId="0" xfId="77" applyNumberFormat="1" applyFont="1" applyAlignment="1">
      <alignment/>
    </xf>
    <xf numFmtId="10" fontId="4" fillId="0" borderId="0" xfId="78" applyNumberFormat="1" applyFont="1" applyAlignment="1">
      <alignment horizontal="center"/>
    </xf>
    <xf numFmtId="44" fontId="75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7" fillId="0" borderId="0" xfId="0" applyNumberFormat="1" applyFont="1" applyAlignment="1">
      <alignment/>
    </xf>
    <xf numFmtId="179" fontId="10" fillId="0" borderId="0" xfId="78" applyNumberFormat="1" applyFont="1" applyAlignment="1">
      <alignment horizontal="right"/>
    </xf>
    <xf numFmtId="179" fontId="79" fillId="0" borderId="0" xfId="77" applyNumberFormat="1" applyFont="1" applyAlignment="1">
      <alignment/>
    </xf>
    <xf numFmtId="10" fontId="0" fillId="0" borderId="0" xfId="77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61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43" fontId="80" fillId="0" borderId="0" xfId="42" applyFont="1" applyAlignment="1">
      <alignment/>
    </xf>
    <xf numFmtId="166" fontId="80" fillId="0" borderId="0" xfId="42" applyNumberFormat="1" applyFont="1" applyAlignment="1">
      <alignment/>
    </xf>
    <xf numFmtId="166" fontId="81" fillId="0" borderId="0" xfId="42" applyNumberFormat="1" applyFont="1" applyAlignment="1">
      <alignment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2" xfId="67"/>
    <cellStyle name="Normal 2 2 2 2 3" xfId="68"/>
    <cellStyle name="Normal 2 8" xfId="69"/>
    <cellStyle name="Normal 90" xfId="70"/>
    <cellStyle name="Normal 93" xfId="71"/>
    <cellStyle name="Normal 94" xfId="72"/>
    <cellStyle name="Normal 98" xfId="73"/>
    <cellStyle name="Normal_Price out" xfId="74"/>
    <cellStyle name="Note" xfId="75"/>
    <cellStyle name="Output" xfId="76"/>
    <cellStyle name="Percent" xfId="77"/>
    <cellStyle name="Percent 2" xfId="78"/>
    <cellStyle name="Percent 2 6" xfId="79"/>
    <cellStyle name="Percent 3" xfId="80"/>
    <cellStyle name="PS_Comma" xfId="81"/>
    <cellStyle name="PSChar" xfId="82"/>
    <cellStyle name="PSDate" xfId="83"/>
    <cellStyle name="PSDec" xfId="84"/>
    <cellStyle name="PSHeading" xfId="85"/>
    <cellStyle name="PSInt" xfId="86"/>
    <cellStyle name="PSSpacer" xfId="87"/>
    <cellStyle name="Title" xfId="88"/>
    <cellStyle name="Total" xfId="89"/>
    <cellStyle name="Warning Text" xfId="90"/>
    <cellStyle name="WM_STANDARD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44">
      <selection activeCell="C59" sqref="C59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55" t="s">
        <v>15</v>
      </c>
      <c r="B1" s="155"/>
      <c r="C1" s="155"/>
      <c r="D1" s="155"/>
      <c r="E1" s="155"/>
      <c r="F1" s="155"/>
      <c r="G1" s="155"/>
      <c r="H1" s="155"/>
    </row>
    <row r="2" spans="1:8" ht="15">
      <c r="A2" s="47" t="s">
        <v>16</v>
      </c>
      <c r="B2" s="48" t="s">
        <v>17</v>
      </c>
      <c r="C2" s="48" t="s">
        <v>18</v>
      </c>
      <c r="D2" s="48" t="s">
        <v>19</v>
      </c>
      <c r="E2" s="49" t="s">
        <v>20</v>
      </c>
      <c r="F2" s="49" t="s">
        <v>21</v>
      </c>
      <c r="G2" s="49" t="s">
        <v>22</v>
      </c>
      <c r="H2" s="48" t="s">
        <v>23</v>
      </c>
    </row>
    <row r="3" spans="1:8" ht="15">
      <c r="A3" s="47" t="s">
        <v>24</v>
      </c>
      <c r="B3" s="50">
        <f>52*5/12</f>
        <v>21.666666666666668</v>
      </c>
      <c r="C3" s="51">
        <f>$B$3*2</f>
        <v>43.333333333333336</v>
      </c>
      <c r="D3" s="51">
        <f>$B$3*3</f>
        <v>65</v>
      </c>
      <c r="E3" s="51">
        <f>$B$3*4</f>
        <v>86.66666666666667</v>
      </c>
      <c r="F3" s="51">
        <f>$B$3*5</f>
        <v>108.33333333333334</v>
      </c>
      <c r="G3" s="51">
        <f>$B$3*6</f>
        <v>130</v>
      </c>
      <c r="H3" s="51">
        <f>$B$3*7</f>
        <v>151.66666666666669</v>
      </c>
    </row>
    <row r="4" spans="1:8" ht="15">
      <c r="A4" s="47" t="s">
        <v>25</v>
      </c>
      <c r="B4" s="50">
        <f>52*4/12</f>
        <v>17.333333333333332</v>
      </c>
      <c r="C4" s="51">
        <f>$B$4*2</f>
        <v>34.666666666666664</v>
      </c>
      <c r="D4" s="51">
        <f>$B$4*3</f>
        <v>52</v>
      </c>
      <c r="E4" s="51">
        <f>$B$4*4</f>
        <v>69.33333333333333</v>
      </c>
      <c r="F4" s="51">
        <f>$B$4*5</f>
        <v>86.66666666666666</v>
      </c>
      <c r="G4" s="51">
        <f>$B$4*6</f>
        <v>104</v>
      </c>
      <c r="H4" s="51">
        <f>$B$4*7</f>
        <v>121.33333333333333</v>
      </c>
    </row>
    <row r="5" spans="1:8" ht="15">
      <c r="A5" s="47" t="s">
        <v>26</v>
      </c>
      <c r="B5" s="50">
        <f>52*3/12</f>
        <v>13</v>
      </c>
      <c r="C5" s="51">
        <f>$B$5*2</f>
        <v>26</v>
      </c>
      <c r="D5" s="51">
        <f>$B$5*3</f>
        <v>39</v>
      </c>
      <c r="E5" s="51">
        <f>$B$5*4</f>
        <v>52</v>
      </c>
      <c r="F5" s="51">
        <f>$B$5*5</f>
        <v>65</v>
      </c>
      <c r="G5" s="51">
        <f>$B$5*6</f>
        <v>78</v>
      </c>
      <c r="H5" s="51">
        <f>$B$5*7</f>
        <v>91</v>
      </c>
    </row>
    <row r="6" spans="1:8" ht="15">
      <c r="A6" s="47" t="s">
        <v>27</v>
      </c>
      <c r="B6" s="50">
        <f>52*2/12</f>
        <v>8.666666666666666</v>
      </c>
      <c r="C6" s="52">
        <f>$B$6*2</f>
        <v>17.333333333333332</v>
      </c>
      <c r="D6" s="52">
        <f>$B$6*3</f>
        <v>26</v>
      </c>
      <c r="E6" s="52">
        <f>$B$6*4</f>
        <v>34.666666666666664</v>
      </c>
      <c r="F6" s="52">
        <f>$B$6*5</f>
        <v>43.33333333333333</v>
      </c>
      <c r="G6" s="52">
        <f>$B$6*6</f>
        <v>52</v>
      </c>
      <c r="H6" s="52">
        <f>$B$6*7</f>
        <v>60.666666666666664</v>
      </c>
    </row>
    <row r="7" spans="1:8" ht="15">
      <c r="A7" s="47" t="s">
        <v>28</v>
      </c>
      <c r="B7" s="50">
        <f>52/12</f>
        <v>4.333333333333333</v>
      </c>
      <c r="C7" s="52">
        <f>$B$7*2</f>
        <v>8.666666666666666</v>
      </c>
      <c r="D7" s="52">
        <f>$B$7*3</f>
        <v>13</v>
      </c>
      <c r="E7" s="52">
        <f>$B$7*4</f>
        <v>17.333333333333332</v>
      </c>
      <c r="F7" s="52">
        <f>$B$7*5</f>
        <v>21.666666666666664</v>
      </c>
      <c r="G7" s="52">
        <f>$B$7*6</f>
        <v>26</v>
      </c>
      <c r="H7" s="52">
        <f>$B$7*7</f>
        <v>30.333333333333332</v>
      </c>
    </row>
    <row r="8" spans="1:8" ht="15">
      <c r="A8" s="47" t="s">
        <v>29</v>
      </c>
      <c r="B8" s="50">
        <f>26/12</f>
        <v>2.1666666666666665</v>
      </c>
      <c r="C8" s="52">
        <f>$B$8*2</f>
        <v>4.333333333333333</v>
      </c>
      <c r="D8" s="52">
        <f>$B$8*3</f>
        <v>6.5</v>
      </c>
      <c r="E8" s="52">
        <f>$B$8*4</f>
        <v>8.666666666666666</v>
      </c>
      <c r="F8" s="52">
        <f>$B$8*5</f>
        <v>10.833333333333332</v>
      </c>
      <c r="G8" s="52">
        <f>$B$8*6</f>
        <v>13</v>
      </c>
      <c r="H8" s="52">
        <f>$B$8*7</f>
        <v>15.166666666666666</v>
      </c>
    </row>
    <row r="9" spans="1:8" ht="15">
      <c r="A9" s="47" t="s">
        <v>30</v>
      </c>
      <c r="B9" s="50">
        <f>12/12</f>
        <v>1</v>
      </c>
      <c r="C9" s="52">
        <f>$B$9*2</f>
        <v>2</v>
      </c>
      <c r="D9" s="52">
        <f>$B$9*3</f>
        <v>3</v>
      </c>
      <c r="E9" s="52">
        <f>$B$9*4</f>
        <v>4</v>
      </c>
      <c r="F9" s="52">
        <f>$B$9*5</f>
        <v>5</v>
      </c>
      <c r="G9" s="52">
        <f>$B$9*6</f>
        <v>6</v>
      </c>
      <c r="H9" s="52">
        <f>$B$9*7</f>
        <v>7</v>
      </c>
    </row>
    <row r="10" spans="1:8" ht="15">
      <c r="A10" s="47"/>
      <c r="B10" s="50"/>
      <c r="C10" s="52"/>
      <c r="D10" s="52"/>
      <c r="E10" s="52"/>
      <c r="F10" s="52"/>
      <c r="G10" s="52"/>
      <c r="H10" s="52"/>
    </row>
    <row r="11" spans="1:8" ht="15">
      <c r="A11" s="155" t="s">
        <v>31</v>
      </c>
      <c r="B11" s="155"/>
      <c r="C11" s="52"/>
      <c r="D11" s="52"/>
      <c r="E11" s="52"/>
      <c r="F11" s="52"/>
      <c r="G11" s="52"/>
      <c r="H11" s="52"/>
    </row>
    <row r="12" spans="1:8" ht="15">
      <c r="A12" s="53" t="s">
        <v>32</v>
      </c>
      <c r="B12" s="54" t="s">
        <v>33</v>
      </c>
      <c r="C12" s="52"/>
      <c r="D12" s="52"/>
      <c r="E12" s="52"/>
      <c r="F12" s="52"/>
      <c r="G12" s="52"/>
      <c r="H12" s="52"/>
    </row>
    <row r="13" spans="1:8" ht="15">
      <c r="A13" s="55" t="s">
        <v>34</v>
      </c>
      <c r="B13" s="56">
        <v>20</v>
      </c>
      <c r="C13" s="52"/>
      <c r="D13" s="52"/>
      <c r="E13" s="52"/>
      <c r="F13" s="52"/>
      <c r="G13" s="52"/>
      <c r="H13" s="52"/>
    </row>
    <row r="14" spans="1:8" ht="15">
      <c r="A14" s="55" t="s">
        <v>35</v>
      </c>
      <c r="B14" s="56">
        <v>34</v>
      </c>
      <c r="C14" s="52"/>
      <c r="D14" s="52"/>
      <c r="E14" s="52"/>
      <c r="F14" s="52"/>
      <c r="G14" s="52"/>
      <c r="H14" s="52"/>
    </row>
    <row r="15" spans="1:8" ht="15">
      <c r="A15" s="55" t="s">
        <v>36</v>
      </c>
      <c r="B15" s="56">
        <v>51</v>
      </c>
      <c r="C15" s="52"/>
      <c r="D15" s="52"/>
      <c r="E15" s="52"/>
      <c r="F15" s="52"/>
      <c r="G15" s="52"/>
      <c r="H15" s="52"/>
    </row>
    <row r="16" spans="1:8" ht="15">
      <c r="A16" s="55" t="s">
        <v>37</v>
      </c>
      <c r="B16" s="56">
        <v>77</v>
      </c>
      <c r="C16" s="52"/>
      <c r="D16" s="52"/>
      <c r="E16" s="52"/>
      <c r="F16" s="47" t="s">
        <v>38</v>
      </c>
      <c r="G16" s="56">
        <v>2000</v>
      </c>
      <c r="H16" s="52"/>
    </row>
    <row r="17" spans="1:8" ht="15">
      <c r="A17" s="55" t="s">
        <v>39</v>
      </c>
      <c r="B17" s="56">
        <v>97</v>
      </c>
      <c r="C17" s="52"/>
      <c r="D17" s="52"/>
      <c r="E17" s="52"/>
      <c r="F17" s="47" t="s">
        <v>40</v>
      </c>
      <c r="G17" s="57" t="s">
        <v>41</v>
      </c>
      <c r="H17" s="52"/>
    </row>
    <row r="18" spans="1:8" ht="15">
      <c r="A18" s="55" t="s">
        <v>42</v>
      </c>
      <c r="B18" s="56">
        <v>117</v>
      </c>
      <c r="C18" s="52"/>
      <c r="D18" s="52"/>
      <c r="E18" s="52"/>
      <c r="F18" s="47"/>
      <c r="G18" s="47"/>
      <c r="H18" s="52"/>
    </row>
    <row r="19" spans="1:8" ht="15">
      <c r="A19" s="55" t="s">
        <v>43</v>
      </c>
      <c r="B19" s="56">
        <v>157</v>
      </c>
      <c r="C19" s="52"/>
      <c r="D19" s="52"/>
      <c r="E19" s="52"/>
      <c r="F19" s="58"/>
      <c r="G19" s="59"/>
      <c r="H19" s="52"/>
    </row>
    <row r="20" spans="1:8" ht="15">
      <c r="A20" s="55" t="s">
        <v>44</v>
      </c>
      <c r="B20" s="56">
        <v>37</v>
      </c>
      <c r="C20" s="52" t="s">
        <v>45</v>
      </c>
      <c r="D20" s="52"/>
      <c r="E20" s="52"/>
      <c r="F20" s="58"/>
      <c r="G20" s="59"/>
      <c r="H20" s="52"/>
    </row>
    <row r="21" spans="1:8" ht="15">
      <c r="A21" s="55" t="s">
        <v>46</v>
      </c>
      <c r="B21" s="56">
        <v>47</v>
      </c>
      <c r="C21" s="52"/>
      <c r="D21" s="52"/>
      <c r="E21" s="52"/>
      <c r="F21" s="52"/>
      <c r="G21" s="52"/>
      <c r="H21" s="52"/>
    </row>
    <row r="22" spans="1:8" ht="15">
      <c r="A22" s="55" t="s">
        <v>47</v>
      </c>
      <c r="B22" s="56">
        <v>68</v>
      </c>
      <c r="C22" s="52"/>
      <c r="D22" s="52"/>
      <c r="E22" s="52"/>
      <c r="F22" s="52"/>
      <c r="G22" s="52"/>
      <c r="H22" s="52"/>
    </row>
    <row r="23" spans="1:8" ht="15">
      <c r="A23" s="55" t="s">
        <v>48</v>
      </c>
      <c r="B23" s="56">
        <v>34</v>
      </c>
      <c r="C23" s="52"/>
      <c r="D23" s="52"/>
      <c r="E23" s="52"/>
      <c r="F23" s="52"/>
      <c r="G23" s="52"/>
      <c r="H23" s="52"/>
    </row>
    <row r="24" spans="1:8" ht="15">
      <c r="A24" s="55" t="s">
        <v>49</v>
      </c>
      <c r="B24" s="56">
        <v>34</v>
      </c>
      <c r="C24" s="52"/>
      <c r="D24" s="52"/>
      <c r="E24" s="52"/>
      <c r="F24" s="52"/>
      <c r="G24" s="52"/>
      <c r="H24" s="52"/>
    </row>
    <row r="25" spans="1:8" ht="15">
      <c r="A25" s="53" t="s">
        <v>50</v>
      </c>
      <c r="B25" s="56"/>
      <c r="C25" s="52"/>
      <c r="D25" s="52"/>
      <c r="E25" s="52"/>
      <c r="F25" s="52"/>
      <c r="G25" s="52"/>
      <c r="H25" s="52"/>
    </row>
    <row r="26" spans="1:8" ht="15">
      <c r="A26" s="55" t="s">
        <v>51</v>
      </c>
      <c r="B26" s="56">
        <v>29</v>
      </c>
      <c r="C26" s="52"/>
      <c r="D26" s="52"/>
      <c r="E26" s="52"/>
      <c r="F26" s="52"/>
      <c r="G26" s="52"/>
      <c r="H26" s="52"/>
    </row>
    <row r="27" spans="1:8" ht="15">
      <c r="A27" s="55" t="s">
        <v>52</v>
      </c>
      <c r="B27" s="56">
        <v>175</v>
      </c>
      <c r="C27" s="52"/>
      <c r="D27" s="52"/>
      <c r="E27" s="52"/>
      <c r="F27" s="52"/>
      <c r="G27" s="52"/>
      <c r="H27" s="52"/>
    </row>
    <row r="28" spans="1:8" ht="15">
      <c r="A28" s="55" t="s">
        <v>53</v>
      </c>
      <c r="B28" s="56">
        <v>250</v>
      </c>
      <c r="C28" s="52"/>
      <c r="D28" s="52"/>
      <c r="E28" s="52"/>
      <c r="F28" s="52"/>
      <c r="G28" s="52"/>
      <c r="H28" s="52"/>
    </row>
    <row r="29" spans="1:8" ht="15">
      <c r="A29" s="55" t="s">
        <v>54</v>
      </c>
      <c r="B29" s="56">
        <v>324</v>
      </c>
      <c r="C29" s="52"/>
      <c r="D29" s="52"/>
      <c r="E29" s="52"/>
      <c r="F29" s="52"/>
      <c r="G29" s="52"/>
      <c r="H29" s="52"/>
    </row>
    <row r="30" spans="1:8" ht="15">
      <c r="A30" s="55" t="s">
        <v>55</v>
      </c>
      <c r="B30" s="56">
        <v>473</v>
      </c>
      <c r="C30" s="52"/>
      <c r="D30" s="52"/>
      <c r="E30" s="52"/>
      <c r="F30" s="52"/>
      <c r="G30" s="52"/>
      <c r="H30" s="52"/>
    </row>
    <row r="31" spans="1:8" ht="15">
      <c r="A31" s="55" t="s">
        <v>56</v>
      </c>
      <c r="B31" s="56">
        <v>613</v>
      </c>
      <c r="C31" s="52"/>
      <c r="D31" s="52"/>
      <c r="E31" s="52"/>
      <c r="F31" s="52"/>
      <c r="G31" s="52"/>
      <c r="H31" s="52"/>
    </row>
    <row r="32" spans="1:8" ht="15">
      <c r="A32" s="55" t="s">
        <v>57</v>
      </c>
      <c r="B32" s="56">
        <v>840</v>
      </c>
      <c r="C32" s="52"/>
      <c r="D32" s="52"/>
      <c r="E32" s="52"/>
      <c r="F32" s="52"/>
      <c r="G32" s="52"/>
      <c r="H32" s="52"/>
    </row>
    <row r="33" spans="1:8" ht="15">
      <c r="A33" s="55" t="s">
        <v>58</v>
      </c>
      <c r="B33" s="56">
        <v>980</v>
      </c>
      <c r="C33" s="52"/>
      <c r="D33" s="52"/>
      <c r="E33" s="52"/>
      <c r="F33" s="52"/>
      <c r="G33" s="52"/>
      <c r="H33" s="52"/>
    </row>
    <row r="34" spans="1:8" ht="15">
      <c r="A34" s="55" t="s">
        <v>59</v>
      </c>
      <c r="B34" s="56">
        <v>482</v>
      </c>
      <c r="C34" s="52" t="s">
        <v>45</v>
      </c>
      <c r="D34" s="52"/>
      <c r="E34" s="52"/>
      <c r="F34" s="52"/>
      <c r="G34" s="52"/>
      <c r="H34" s="52"/>
    </row>
    <row r="35" spans="1:8" ht="15">
      <c r="A35" s="55" t="s">
        <v>60</v>
      </c>
      <c r="B35" s="56">
        <v>689</v>
      </c>
      <c r="C35" s="52" t="s">
        <v>45</v>
      </c>
      <c r="D35" s="52"/>
      <c r="E35" s="52"/>
      <c r="F35" s="52"/>
      <c r="G35" s="52"/>
      <c r="H35" s="52"/>
    </row>
    <row r="36" spans="1:8" ht="15">
      <c r="A36" s="55" t="s">
        <v>61</v>
      </c>
      <c r="B36" s="56">
        <v>892</v>
      </c>
      <c r="C36" s="52" t="s">
        <v>45</v>
      </c>
      <c r="D36" s="52"/>
      <c r="E36" s="52"/>
      <c r="F36" s="52"/>
      <c r="G36" s="52"/>
      <c r="H36" s="52"/>
    </row>
    <row r="37" spans="1:8" ht="15">
      <c r="A37" s="55" t="s">
        <v>62</v>
      </c>
      <c r="B37" s="56">
        <v>1301</v>
      </c>
      <c r="C37" s="52"/>
      <c r="D37" s="52"/>
      <c r="E37" s="52"/>
      <c r="F37" s="52"/>
      <c r="G37" s="52"/>
      <c r="H37" s="52"/>
    </row>
    <row r="38" spans="1:8" ht="15">
      <c r="A38" s="55" t="s">
        <v>63</v>
      </c>
      <c r="B38" s="56">
        <v>1686</v>
      </c>
      <c r="C38" s="52"/>
      <c r="D38" s="52"/>
      <c r="E38" s="52"/>
      <c r="F38" s="52"/>
      <c r="G38" s="52"/>
      <c r="H38" s="52"/>
    </row>
    <row r="39" spans="1:8" ht="15">
      <c r="A39" s="55" t="s">
        <v>64</v>
      </c>
      <c r="B39" s="56">
        <v>2046</v>
      </c>
      <c r="C39" s="52"/>
      <c r="D39" s="52"/>
      <c r="E39" s="52"/>
      <c r="F39" s="52"/>
      <c r="G39" s="52"/>
      <c r="H39" s="52"/>
    </row>
    <row r="40" spans="1:8" ht="15">
      <c r="A40" s="55" t="s">
        <v>65</v>
      </c>
      <c r="B40" s="56">
        <v>2310</v>
      </c>
      <c r="C40" s="52"/>
      <c r="D40" s="52"/>
      <c r="E40" s="52"/>
      <c r="F40" s="52"/>
      <c r="G40" s="52"/>
      <c r="H40" s="52"/>
    </row>
    <row r="41" spans="1:8" ht="15">
      <c r="A41" s="55" t="s">
        <v>66</v>
      </c>
      <c r="B41" s="56">
        <v>2800</v>
      </c>
      <c r="C41" s="52" t="s">
        <v>45</v>
      </c>
      <c r="D41" s="52"/>
      <c r="E41" s="52"/>
      <c r="F41" s="52"/>
      <c r="G41" s="52"/>
      <c r="H41" s="52"/>
    </row>
    <row r="42" spans="1:8" ht="15">
      <c r="A42" s="55" t="s">
        <v>67</v>
      </c>
      <c r="B42" s="56">
        <v>125</v>
      </c>
      <c r="C42" s="52"/>
      <c r="D42" s="52"/>
      <c r="E42" s="52"/>
      <c r="F42" s="52"/>
      <c r="G42" s="52"/>
      <c r="H42" s="52"/>
    </row>
    <row r="43" spans="1:8" ht="15">
      <c r="A43" s="47"/>
      <c r="B43" s="156" t="s">
        <v>68</v>
      </c>
      <c r="C43" s="156"/>
      <c r="D43" s="47"/>
      <c r="E43" s="47"/>
      <c r="F43" s="47"/>
      <c r="G43" s="47"/>
      <c r="H43" s="47"/>
    </row>
    <row r="44" spans="1:8" ht="15">
      <c r="A44" s="47"/>
      <c r="B44" s="47"/>
      <c r="C44" s="47"/>
      <c r="D44" s="47"/>
      <c r="E44" s="47"/>
      <c r="F44" s="47"/>
      <c r="G44" s="47"/>
      <c r="H44" s="47"/>
    </row>
    <row r="45" spans="1:8" ht="15">
      <c r="A45" s="47"/>
      <c r="B45" s="47"/>
      <c r="C45" s="47"/>
      <c r="D45" s="47"/>
      <c r="E45" s="47"/>
      <c r="F45" s="47"/>
      <c r="G45" s="47"/>
      <c r="H45" s="47"/>
    </row>
    <row r="46" spans="1:8" ht="15">
      <c r="A46" s="60" t="s">
        <v>69</v>
      </c>
      <c r="B46" s="61" t="s">
        <v>70</v>
      </c>
      <c r="C46" s="61" t="s">
        <v>71</v>
      </c>
      <c r="D46" s="47"/>
      <c r="E46" s="47"/>
      <c r="F46" s="157" t="s">
        <v>72</v>
      </c>
      <c r="G46" s="157"/>
      <c r="H46" s="47"/>
    </row>
    <row r="47" spans="1:8" ht="15">
      <c r="A47" s="62" t="s">
        <v>73</v>
      </c>
      <c r="B47" s="123">
        <v>89</v>
      </c>
      <c r="C47" s="124">
        <f>B47/2000</f>
        <v>0.0445</v>
      </c>
      <c r="D47" s="47"/>
      <c r="E47" s="47"/>
      <c r="F47" s="47" t="s">
        <v>74</v>
      </c>
      <c r="G47" s="143">
        <f>0.015</f>
        <v>0.015</v>
      </c>
      <c r="H47" s="47"/>
    </row>
    <row r="48" spans="1:8" ht="15">
      <c r="A48" s="62" t="s">
        <v>75</v>
      </c>
      <c r="B48" s="122">
        <v>97</v>
      </c>
      <c r="C48" s="125">
        <f>B48/2000</f>
        <v>0.0485</v>
      </c>
      <c r="D48" s="47"/>
      <c r="E48" s="47"/>
      <c r="F48" s="47" t="s">
        <v>76</v>
      </c>
      <c r="G48" s="144">
        <v>0.0051</v>
      </c>
      <c r="H48" s="47"/>
    </row>
    <row r="49" spans="1:8" ht="15">
      <c r="A49" s="55" t="s">
        <v>77</v>
      </c>
      <c r="B49" s="123">
        <f>B48-B47</f>
        <v>8</v>
      </c>
      <c r="C49" s="126">
        <f>C48-C47</f>
        <v>0.0040000000000000036</v>
      </c>
      <c r="D49" s="47"/>
      <c r="E49" s="47"/>
      <c r="F49" s="47" t="s">
        <v>78</v>
      </c>
      <c r="G49" s="151">
        <v>0.00427</v>
      </c>
      <c r="H49" s="47"/>
    </row>
    <row r="50" spans="1:8" ht="15">
      <c r="A50" s="47"/>
      <c r="B50" s="47"/>
      <c r="C50" s="47"/>
      <c r="D50" s="47"/>
      <c r="E50" s="47"/>
      <c r="G50" s="149">
        <f>SUM(G47:G49)</f>
        <v>0.02437</v>
      </c>
      <c r="H50" s="47"/>
    </row>
    <row r="51" spans="1:8" ht="15">
      <c r="A51" s="47"/>
      <c r="C51" s="63" t="s">
        <v>79</v>
      </c>
      <c r="D51" s="47"/>
      <c r="E51" s="47"/>
      <c r="H51" s="47"/>
    </row>
    <row r="52" spans="1:8" ht="15">
      <c r="A52" s="47" t="s">
        <v>80</v>
      </c>
      <c r="C52" s="64">
        <f>B49</f>
        <v>8</v>
      </c>
      <c r="D52" s="47"/>
      <c r="E52" s="47"/>
      <c r="F52" s="47"/>
      <c r="G52" s="145"/>
      <c r="H52" s="47"/>
    </row>
    <row r="53" spans="1:8" ht="15">
      <c r="A53" s="47" t="s">
        <v>82</v>
      </c>
      <c r="C53" s="64">
        <f>C52/$G$57</f>
        <v>8.19982985353054</v>
      </c>
      <c r="D53" s="47"/>
      <c r="E53" s="47"/>
      <c r="F53" s="47" t="s">
        <v>3</v>
      </c>
      <c r="G53" s="146">
        <f>+G52+G50</f>
        <v>0.02437</v>
      </c>
      <c r="H53" s="47"/>
    </row>
    <row r="54" spans="1:8" ht="15">
      <c r="A54" s="47" t="s">
        <v>83</v>
      </c>
      <c r="C54" s="66">
        <f>'Calc. and priceout'!C107</f>
        <v>17582.550900000002</v>
      </c>
      <c r="D54" s="47"/>
      <c r="E54" s="47"/>
      <c r="F54" s="47"/>
      <c r="G54" s="47"/>
      <c r="H54" s="47"/>
    </row>
    <row r="55" spans="1:8" ht="17.25">
      <c r="A55" s="53" t="s">
        <v>84</v>
      </c>
      <c r="C55" s="148">
        <f>C53*C54</f>
        <v>144173.9257710403</v>
      </c>
      <c r="D55" s="47"/>
      <c r="E55" s="47"/>
      <c r="F55" s="47"/>
      <c r="G55" s="65"/>
      <c r="H55" s="47"/>
    </row>
    <row r="56" spans="1:8" ht="15">
      <c r="A56" s="47"/>
      <c r="B56" s="47"/>
      <c r="C56" s="47"/>
      <c r="D56" s="47"/>
      <c r="E56" s="47"/>
      <c r="F56" s="47"/>
      <c r="G56" s="47"/>
      <c r="H56" s="47"/>
    </row>
    <row r="57" spans="1:7" ht="15">
      <c r="A57" s="47" t="s">
        <v>109</v>
      </c>
      <c r="C57" s="139">
        <f>+'Co. Pro Tonnage'!J11</f>
        <v>39499.67999999999</v>
      </c>
      <c r="F57" s="47" t="s">
        <v>81</v>
      </c>
      <c r="G57" s="65">
        <f>1-G53</f>
        <v>0.97563</v>
      </c>
    </row>
    <row r="58" spans="1:3" ht="17.25">
      <c r="A58" s="47"/>
      <c r="B58" s="150"/>
      <c r="C58" s="140"/>
    </row>
    <row r="59" spans="1:3" ht="17.25">
      <c r="A59" s="53"/>
      <c r="B59" s="139"/>
      <c r="C59" s="141">
        <f>+C57+C55</f>
        <v>183673.60577104028</v>
      </c>
    </row>
    <row r="60" spans="1:3" ht="17.25">
      <c r="A60" s="53"/>
      <c r="B60" s="138"/>
      <c r="C60" s="141"/>
    </row>
    <row r="61" spans="1:3" ht="17.25">
      <c r="A61" s="53"/>
      <c r="B61" s="140"/>
      <c r="C61" s="141"/>
    </row>
    <row r="62" spans="1:3" ht="17.25">
      <c r="A62" s="53"/>
      <c r="B62" s="152"/>
      <c r="C62" s="141"/>
    </row>
    <row r="64" spans="1:2" ht="48.75" customHeight="1">
      <c r="A64" s="158"/>
      <c r="B64" s="158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5" sqref="H15"/>
    </sheetView>
  </sheetViews>
  <sheetFormatPr defaultColWidth="8.8515625" defaultRowHeight="15"/>
  <cols>
    <col min="1" max="1" width="4.57421875" style="71" customWidth="1"/>
    <col min="2" max="2" width="21.140625" style="90" customWidth="1"/>
    <col min="3" max="3" width="31.7109375" style="71" bestFit="1" customWidth="1"/>
    <col min="4" max="4" width="11.57421875" style="94" customWidth="1"/>
    <col min="5" max="5" width="18.421875" style="71" customWidth="1"/>
    <col min="6" max="6" width="13.28125" style="71" customWidth="1"/>
    <col min="7" max="7" width="14.57421875" style="71" customWidth="1"/>
    <col min="8" max="8" width="21.421875" style="71" customWidth="1"/>
    <col min="9" max="9" width="16.28125" style="89" customWidth="1"/>
    <col min="10" max="10" width="14.140625" style="71" customWidth="1"/>
    <col min="11" max="11" width="14.28125" style="71" customWidth="1"/>
    <col min="12" max="12" width="10.7109375" style="71" customWidth="1"/>
    <col min="13" max="13" width="14.28125" style="71" customWidth="1"/>
    <col min="14" max="14" width="16.28125" style="71" customWidth="1"/>
    <col min="15" max="15" width="16.57421875" style="71" customWidth="1"/>
    <col min="16" max="16" width="13.57421875" style="71" bestFit="1" customWidth="1"/>
    <col min="17" max="17" width="16.57421875" style="71" bestFit="1" customWidth="1"/>
    <col min="18" max="18" width="16.28125" style="71" customWidth="1"/>
    <col min="19" max="16384" width="8.8515625" style="71" customWidth="1"/>
  </cols>
  <sheetData>
    <row r="1" spans="1:18" ht="42" customHeight="1">
      <c r="A1" s="60"/>
      <c r="B1" s="67" t="s">
        <v>85</v>
      </c>
      <c r="C1" s="68" t="s">
        <v>86</v>
      </c>
      <c r="D1" s="67" t="s">
        <v>198</v>
      </c>
      <c r="E1" s="67" t="s">
        <v>87</v>
      </c>
      <c r="F1" s="60" t="s">
        <v>88</v>
      </c>
      <c r="G1" s="67" t="s">
        <v>31</v>
      </c>
      <c r="H1" s="69" t="s">
        <v>89</v>
      </c>
      <c r="I1" s="70" t="s">
        <v>90</v>
      </c>
      <c r="J1" s="67" t="s">
        <v>77</v>
      </c>
      <c r="K1" s="67" t="s">
        <v>91</v>
      </c>
      <c r="L1" s="69" t="s">
        <v>92</v>
      </c>
      <c r="M1" s="67" t="s">
        <v>93</v>
      </c>
      <c r="N1" s="69" t="s">
        <v>108</v>
      </c>
      <c r="O1" s="69" t="s">
        <v>94</v>
      </c>
      <c r="P1" s="67" t="s">
        <v>95</v>
      </c>
      <c r="Q1" s="69" t="s">
        <v>96</v>
      </c>
      <c r="R1" s="67" t="s">
        <v>97</v>
      </c>
    </row>
    <row r="2" spans="1:22" s="75" customFormat="1" ht="15">
      <c r="A2" s="159" t="s">
        <v>98</v>
      </c>
      <c r="B2" s="72">
        <v>23</v>
      </c>
      <c r="C2" s="162" t="s">
        <v>184</v>
      </c>
      <c r="D2" s="165">
        <v>133</v>
      </c>
      <c r="E2" s="77">
        <v>1</v>
      </c>
      <c r="F2" s="117">
        <f>+E2*D2*12</f>
        <v>1596</v>
      </c>
      <c r="G2" s="131">
        <f>+References!B14</f>
        <v>34</v>
      </c>
      <c r="H2" s="97">
        <f>G2*F2</f>
        <v>54264</v>
      </c>
      <c r="I2" s="76">
        <f>$C$110*H2</f>
        <v>40690.12175906883</v>
      </c>
      <c r="J2" s="73">
        <f>(References!$C$49*I2)</f>
        <v>162.76048703627546</v>
      </c>
      <c r="K2" s="73">
        <f>J2/References!$G$57</f>
        <v>166.82603757190273</v>
      </c>
      <c r="L2" s="137">
        <f>ROUND(((K2/F2)*E2),2)</f>
        <v>0.1</v>
      </c>
      <c r="M2" s="27">
        <v>6.2</v>
      </c>
      <c r="N2" s="73">
        <f>L2+M2</f>
        <v>6.3</v>
      </c>
      <c r="O2" s="73">
        <f>D2*M2*12</f>
        <v>9895.2</v>
      </c>
      <c r="P2" s="74">
        <f>N2</f>
        <v>6.3</v>
      </c>
      <c r="Q2" s="74">
        <f>D2*P2*12</f>
        <v>10054.8</v>
      </c>
      <c r="R2" s="74">
        <f>Q2-O2</f>
        <v>159.59999999999854</v>
      </c>
      <c r="U2" s="153">
        <f>+N2/M2-1</f>
        <v>0.016129032258064502</v>
      </c>
      <c r="V2" s="27"/>
    </row>
    <row r="3" spans="1:22" s="75" customFormat="1" ht="15">
      <c r="A3" s="159"/>
      <c r="B3" s="72">
        <v>25</v>
      </c>
      <c r="C3" s="162" t="s">
        <v>185</v>
      </c>
      <c r="D3" s="165">
        <v>2</v>
      </c>
      <c r="E3" s="77">
        <v>1</v>
      </c>
      <c r="F3" s="120">
        <f>+E3*D3*12</f>
        <v>24</v>
      </c>
      <c r="G3" s="131">
        <f>+G2</f>
        <v>34</v>
      </c>
      <c r="H3" s="120">
        <f>G3*F3</f>
        <v>816</v>
      </c>
      <c r="I3" s="76">
        <f>$C$110*H3</f>
        <v>611.8815302115613</v>
      </c>
      <c r="J3" s="121">
        <f>(References!$C$49*I3)</f>
        <v>2.4475261208462475</v>
      </c>
      <c r="K3" s="121">
        <f>J3/References!$G$57</f>
        <v>2.508662219126357</v>
      </c>
      <c r="L3" s="137">
        <f>ROUND(((K3/F3)*E3),2)</f>
        <v>0.1</v>
      </c>
      <c r="M3" s="27">
        <v>7.4</v>
      </c>
      <c r="N3" s="121">
        <f>L3+M3</f>
        <v>7.5</v>
      </c>
      <c r="O3" s="121">
        <f>D3*M3*12</f>
        <v>177.60000000000002</v>
      </c>
      <c r="P3" s="74">
        <f>N3</f>
        <v>7.5</v>
      </c>
      <c r="Q3" s="74">
        <f>D3*P3*12</f>
        <v>180</v>
      </c>
      <c r="R3" s="74">
        <f>Q3-O3</f>
        <v>2.3999999999999773</v>
      </c>
      <c r="U3" s="153">
        <f>+N3/M3-1</f>
        <v>0.013513513513513375</v>
      </c>
      <c r="V3" s="27"/>
    </row>
    <row r="4" spans="1:22" s="75" customFormat="1" ht="15">
      <c r="A4" s="159"/>
      <c r="B4" s="72">
        <v>23</v>
      </c>
      <c r="C4" s="162" t="s">
        <v>113</v>
      </c>
      <c r="D4" s="165">
        <v>363</v>
      </c>
      <c r="E4" s="77">
        <v>2.1666666666666665</v>
      </c>
      <c r="F4" s="154">
        <f aca="true" t="shared" si="0" ref="F4:F26">+E4*D4*12</f>
        <v>9438</v>
      </c>
      <c r="G4" s="131">
        <f>+G3</f>
        <v>34</v>
      </c>
      <c r="H4" s="154">
        <f aca="true" t="shared" si="1" ref="H4:H26">G4*F4</f>
        <v>320892</v>
      </c>
      <c r="I4" s="76">
        <f aca="true" t="shared" si="2" ref="I4:I26">$C$110*H4</f>
        <v>240622.4117556965</v>
      </c>
      <c r="J4" s="121">
        <f>(References!$C$49*I4)</f>
        <v>962.4896470227868</v>
      </c>
      <c r="K4" s="121">
        <f>J4/References!$G$57</f>
        <v>986.5314176714398</v>
      </c>
      <c r="L4" s="137">
        <f aca="true" t="shared" si="3" ref="L4:L26">ROUND(((K4/F4)*E4),2)</f>
        <v>0.23</v>
      </c>
      <c r="M4" s="27">
        <v>12.6</v>
      </c>
      <c r="N4" s="121">
        <f aca="true" t="shared" si="4" ref="N4:N26">L4+M4</f>
        <v>12.83</v>
      </c>
      <c r="O4" s="121">
        <f aca="true" t="shared" si="5" ref="O4:O26">D4*M4*12</f>
        <v>54885.600000000006</v>
      </c>
      <c r="P4" s="74">
        <f aca="true" t="shared" si="6" ref="P4:P26">N4</f>
        <v>12.83</v>
      </c>
      <c r="Q4" s="74">
        <f aca="true" t="shared" si="7" ref="Q4:Q26">D4*P4*12</f>
        <v>55887.479999999996</v>
      </c>
      <c r="R4" s="74">
        <f aca="true" t="shared" si="8" ref="R4:R26">Q4-O4</f>
        <v>1001.8799999999901</v>
      </c>
      <c r="U4" s="153">
        <f aca="true" t="shared" si="9" ref="U4:U27">+N4/M4-1</f>
        <v>0.01825396825396819</v>
      </c>
      <c r="V4" s="27"/>
    </row>
    <row r="5" spans="1:22" s="75" customFormat="1" ht="15">
      <c r="A5" s="159"/>
      <c r="B5" s="72">
        <v>23</v>
      </c>
      <c r="C5" s="162" t="s">
        <v>186</v>
      </c>
      <c r="D5" s="165">
        <v>86</v>
      </c>
      <c r="E5" s="77">
        <v>4.333</v>
      </c>
      <c r="F5" s="154">
        <f t="shared" si="0"/>
        <v>4471.656000000001</v>
      </c>
      <c r="G5" s="131">
        <f>+References!B13</f>
        <v>20</v>
      </c>
      <c r="H5" s="154">
        <f t="shared" si="1"/>
        <v>89433.12000000002</v>
      </c>
      <c r="I5" s="76">
        <f t="shared" si="2"/>
        <v>67061.85578087525</v>
      </c>
      <c r="J5" s="121">
        <f>(References!$C$49*I5)</f>
        <v>268.2474231235012</v>
      </c>
      <c r="K5" s="121">
        <f>J5/References!$G$57</f>
        <v>274.94790353259043</v>
      </c>
      <c r="L5" s="137">
        <f t="shared" si="3"/>
        <v>0.27</v>
      </c>
      <c r="M5" s="27">
        <v>14.8</v>
      </c>
      <c r="N5" s="121">
        <f t="shared" si="4"/>
        <v>15.07</v>
      </c>
      <c r="O5" s="121">
        <f t="shared" si="5"/>
        <v>15273.599999999999</v>
      </c>
      <c r="P5" s="74">
        <f t="shared" si="6"/>
        <v>15.07</v>
      </c>
      <c r="Q5" s="74">
        <f t="shared" si="7"/>
        <v>15552.24</v>
      </c>
      <c r="R5" s="74">
        <f t="shared" si="8"/>
        <v>278.64000000000124</v>
      </c>
      <c r="U5" s="153">
        <f t="shared" si="9"/>
        <v>0.018243243243243112</v>
      </c>
      <c r="V5" s="27"/>
    </row>
    <row r="6" spans="1:22" s="75" customFormat="1" ht="15">
      <c r="A6" s="159"/>
      <c r="B6" s="72">
        <v>23</v>
      </c>
      <c r="C6" s="162" t="s">
        <v>187</v>
      </c>
      <c r="D6" s="165">
        <v>2</v>
      </c>
      <c r="E6" s="77">
        <v>4.333</v>
      </c>
      <c r="F6" s="154">
        <f t="shared" si="0"/>
        <v>103.992</v>
      </c>
      <c r="G6" s="131">
        <f>+G5</f>
        <v>20</v>
      </c>
      <c r="H6" s="154">
        <f t="shared" si="1"/>
        <v>2079.84</v>
      </c>
      <c r="I6" s="76">
        <f t="shared" si="2"/>
        <v>1559.5780414157032</v>
      </c>
      <c r="J6" s="121">
        <f>(References!$C$49*I6)</f>
        <v>6.238312165662818</v>
      </c>
      <c r="K6" s="121">
        <f>J6/References!$G$57</f>
        <v>6.394137291455591</v>
      </c>
      <c r="L6" s="137">
        <f t="shared" si="3"/>
        <v>0.27</v>
      </c>
      <c r="M6" s="27">
        <v>29.6</v>
      </c>
      <c r="N6" s="121">
        <f t="shared" si="4"/>
        <v>29.87</v>
      </c>
      <c r="O6" s="121">
        <f t="shared" si="5"/>
        <v>710.4000000000001</v>
      </c>
      <c r="P6" s="74">
        <f t="shared" si="6"/>
        <v>29.87</v>
      </c>
      <c r="Q6" s="74">
        <f t="shared" si="7"/>
        <v>716.88</v>
      </c>
      <c r="R6" s="74">
        <f t="shared" si="8"/>
        <v>6.4799999999999045</v>
      </c>
      <c r="U6" s="153">
        <f t="shared" si="9"/>
        <v>0.009121621621621667</v>
      </c>
      <c r="V6" s="27"/>
    </row>
    <row r="7" spans="1:22" s="75" customFormat="1" ht="15">
      <c r="A7" s="159"/>
      <c r="B7" s="72">
        <v>23</v>
      </c>
      <c r="C7" s="162" t="s">
        <v>114</v>
      </c>
      <c r="D7" s="165">
        <v>2507</v>
      </c>
      <c r="E7" s="77">
        <v>4.333</v>
      </c>
      <c r="F7" s="154">
        <f t="shared" si="0"/>
        <v>130353.97200000001</v>
      </c>
      <c r="G7" s="131">
        <f>+G4</f>
        <v>34</v>
      </c>
      <c r="H7" s="154">
        <f t="shared" si="1"/>
        <v>4432035.048</v>
      </c>
      <c r="I7" s="76">
        <f t="shared" si="2"/>
        <v>3323382.827354793</v>
      </c>
      <c r="J7" s="121">
        <f>(References!$C$49*I7)</f>
        <v>13293.531309419184</v>
      </c>
      <c r="K7" s="121">
        <f>J7/References!$G$57</f>
        <v>13625.586861227293</v>
      </c>
      <c r="L7" s="137">
        <f t="shared" si="3"/>
        <v>0.45</v>
      </c>
      <c r="M7" s="27">
        <v>17.1</v>
      </c>
      <c r="N7" s="121">
        <f t="shared" si="4"/>
        <v>17.55</v>
      </c>
      <c r="O7" s="121">
        <f t="shared" si="5"/>
        <v>514436.4</v>
      </c>
      <c r="P7" s="74">
        <f t="shared" si="6"/>
        <v>17.55</v>
      </c>
      <c r="Q7" s="74">
        <f t="shared" si="7"/>
        <v>527974.2</v>
      </c>
      <c r="R7" s="74">
        <f t="shared" si="8"/>
        <v>13537.79999999993</v>
      </c>
      <c r="U7" s="153">
        <f t="shared" si="9"/>
        <v>0.02631578947368407</v>
      </c>
      <c r="V7" s="27"/>
    </row>
    <row r="8" spans="1:22" s="75" customFormat="1" ht="15">
      <c r="A8" s="159"/>
      <c r="B8" s="72">
        <v>23</v>
      </c>
      <c r="C8" s="162" t="s">
        <v>115</v>
      </c>
      <c r="D8" s="165">
        <f>543+543</f>
        <v>1086</v>
      </c>
      <c r="E8" s="77">
        <v>4.333</v>
      </c>
      <c r="F8" s="154">
        <f t="shared" si="0"/>
        <v>56467.656</v>
      </c>
      <c r="G8" s="131">
        <f>+G7</f>
        <v>34</v>
      </c>
      <c r="H8" s="154">
        <f t="shared" si="1"/>
        <v>1919900.304</v>
      </c>
      <c r="I8" s="76">
        <f t="shared" si="2"/>
        <v>1439646.4900308356</v>
      </c>
      <c r="J8" s="121">
        <f>(References!$C$49*I8)</f>
        <v>5758.585960123348</v>
      </c>
      <c r="K8" s="121">
        <f>J8/References!$G$57</f>
        <v>5902.428133742656</v>
      </c>
      <c r="L8" s="137">
        <f t="shared" si="3"/>
        <v>0.45</v>
      </c>
      <c r="M8" s="27">
        <v>25.9</v>
      </c>
      <c r="N8" s="121">
        <f t="shared" si="4"/>
        <v>26.349999999999998</v>
      </c>
      <c r="O8" s="121">
        <f t="shared" si="5"/>
        <v>337528.8</v>
      </c>
      <c r="P8" s="74">
        <f t="shared" si="6"/>
        <v>26.349999999999998</v>
      </c>
      <c r="Q8" s="74">
        <f t="shared" si="7"/>
        <v>343393.19999999995</v>
      </c>
      <c r="R8" s="74">
        <f t="shared" si="8"/>
        <v>5864.399999999965</v>
      </c>
      <c r="U8" s="153">
        <f t="shared" si="9"/>
        <v>0.01737451737451745</v>
      </c>
      <c r="V8" s="27"/>
    </row>
    <row r="9" spans="1:22" s="75" customFormat="1" ht="15">
      <c r="A9" s="159"/>
      <c r="B9" s="72">
        <v>23</v>
      </c>
      <c r="C9" s="162" t="s">
        <v>116</v>
      </c>
      <c r="D9" s="165">
        <v>120</v>
      </c>
      <c r="E9" s="77">
        <v>4.333</v>
      </c>
      <c r="F9" s="154">
        <f t="shared" si="0"/>
        <v>6239.52</v>
      </c>
      <c r="G9" s="131">
        <f>+G8</f>
        <v>34</v>
      </c>
      <c r="H9" s="154">
        <f t="shared" si="1"/>
        <v>212143.68000000002</v>
      </c>
      <c r="I9" s="76">
        <f t="shared" si="2"/>
        <v>159076.96022440173</v>
      </c>
      <c r="J9" s="121">
        <f>(References!$C$49*I9)</f>
        <v>636.3078408976074</v>
      </c>
      <c r="K9" s="121">
        <f>J9/References!$G$57</f>
        <v>652.2020037284702</v>
      </c>
      <c r="L9" s="137">
        <f t="shared" si="3"/>
        <v>0.45</v>
      </c>
      <c r="M9" s="27">
        <v>34.7</v>
      </c>
      <c r="N9" s="121">
        <f t="shared" si="4"/>
        <v>35.150000000000006</v>
      </c>
      <c r="O9" s="121">
        <f t="shared" si="5"/>
        <v>49968</v>
      </c>
      <c r="P9" s="74">
        <f t="shared" si="6"/>
        <v>35.150000000000006</v>
      </c>
      <c r="Q9" s="74">
        <f t="shared" si="7"/>
        <v>50616.000000000015</v>
      </c>
      <c r="R9" s="74">
        <f t="shared" si="8"/>
        <v>648.0000000000146</v>
      </c>
      <c r="U9" s="153">
        <f t="shared" si="9"/>
        <v>0.012968299711815678</v>
      </c>
      <c r="V9" s="27"/>
    </row>
    <row r="10" spans="1:22" s="75" customFormat="1" ht="15">
      <c r="A10" s="159"/>
      <c r="B10" s="72">
        <v>23</v>
      </c>
      <c r="C10" s="162" t="s">
        <v>188</v>
      </c>
      <c r="D10" s="165">
        <v>36</v>
      </c>
      <c r="E10" s="77">
        <v>4.333</v>
      </c>
      <c r="F10" s="154">
        <f t="shared" si="0"/>
        <v>1871.856</v>
      </c>
      <c r="G10" s="131">
        <f>+G9</f>
        <v>34</v>
      </c>
      <c r="H10" s="154">
        <f t="shared" si="1"/>
        <v>63643.104</v>
      </c>
      <c r="I10" s="76">
        <f t="shared" si="2"/>
        <v>47723.08806732052</v>
      </c>
      <c r="J10" s="121">
        <f>(References!$C$49*I10)</f>
        <v>190.89235226928224</v>
      </c>
      <c r="K10" s="121">
        <f>J10/References!$G$57</f>
        <v>195.66060111854108</v>
      </c>
      <c r="L10" s="137">
        <f t="shared" si="3"/>
        <v>0.45</v>
      </c>
      <c r="M10" s="27">
        <v>43.5</v>
      </c>
      <c r="N10" s="121">
        <f t="shared" si="4"/>
        <v>43.95</v>
      </c>
      <c r="O10" s="121">
        <f t="shared" si="5"/>
        <v>18792</v>
      </c>
      <c r="P10" s="74">
        <f t="shared" si="6"/>
        <v>43.95</v>
      </c>
      <c r="Q10" s="74">
        <f t="shared" si="7"/>
        <v>18986.4</v>
      </c>
      <c r="R10" s="74">
        <f t="shared" si="8"/>
        <v>194.40000000000146</v>
      </c>
      <c r="U10" s="153">
        <f t="shared" si="9"/>
        <v>0.010344827586207028</v>
      </c>
      <c r="V10" s="27"/>
    </row>
    <row r="11" spans="1:22" s="75" customFormat="1" ht="15">
      <c r="A11" s="159"/>
      <c r="B11" s="72">
        <v>23</v>
      </c>
      <c r="C11" s="162" t="s">
        <v>189</v>
      </c>
      <c r="D11" s="165">
        <v>5</v>
      </c>
      <c r="E11" s="77">
        <v>4.333</v>
      </c>
      <c r="F11" s="154">
        <f t="shared" si="0"/>
        <v>259.98</v>
      </c>
      <c r="G11" s="131">
        <f>+G10</f>
        <v>34</v>
      </c>
      <c r="H11" s="154">
        <f t="shared" si="1"/>
        <v>8839.32</v>
      </c>
      <c r="I11" s="76">
        <f t="shared" si="2"/>
        <v>6628.206676016738</v>
      </c>
      <c r="J11" s="121">
        <f>(References!$C$49*I11)</f>
        <v>26.512826704066978</v>
      </c>
      <c r="K11" s="121">
        <f>J11/References!$G$57</f>
        <v>27.175083488686262</v>
      </c>
      <c r="L11" s="137">
        <f t="shared" si="3"/>
        <v>0.45</v>
      </c>
      <c r="M11" s="27">
        <v>52.3</v>
      </c>
      <c r="N11" s="121">
        <f t="shared" si="4"/>
        <v>52.75</v>
      </c>
      <c r="O11" s="121">
        <f t="shared" si="5"/>
        <v>3138</v>
      </c>
      <c r="P11" s="74">
        <f t="shared" si="6"/>
        <v>52.75</v>
      </c>
      <c r="Q11" s="74">
        <f t="shared" si="7"/>
        <v>3165</v>
      </c>
      <c r="R11" s="74">
        <f t="shared" si="8"/>
        <v>27</v>
      </c>
      <c r="U11" s="153">
        <f t="shared" si="9"/>
        <v>0.008604206500956169</v>
      </c>
      <c r="V11" s="27"/>
    </row>
    <row r="12" spans="1:22" s="75" customFormat="1" ht="15">
      <c r="A12" s="159"/>
      <c r="B12" s="72">
        <v>23</v>
      </c>
      <c r="C12" s="162" t="s">
        <v>190</v>
      </c>
      <c r="D12" s="165">
        <v>6</v>
      </c>
      <c r="E12" s="77">
        <v>4.333</v>
      </c>
      <c r="F12" s="154">
        <f t="shared" si="0"/>
        <v>311.976</v>
      </c>
      <c r="G12" s="131">
        <f>+G11</f>
        <v>34</v>
      </c>
      <c r="H12" s="154">
        <f t="shared" si="1"/>
        <v>10607.184</v>
      </c>
      <c r="I12" s="76">
        <f t="shared" si="2"/>
        <v>7953.848011220085</v>
      </c>
      <c r="J12" s="121">
        <f>(References!$C$49*I12)</f>
        <v>31.81539204488037</v>
      </c>
      <c r="K12" s="121">
        <f>J12/References!$G$57</f>
        <v>32.61010018642351</v>
      </c>
      <c r="L12" s="137">
        <f t="shared" si="3"/>
        <v>0.45</v>
      </c>
      <c r="M12" s="27">
        <v>61.1</v>
      </c>
      <c r="N12" s="121">
        <f t="shared" si="4"/>
        <v>61.550000000000004</v>
      </c>
      <c r="O12" s="121">
        <f t="shared" si="5"/>
        <v>4399.200000000001</v>
      </c>
      <c r="P12" s="74">
        <f t="shared" si="6"/>
        <v>61.550000000000004</v>
      </c>
      <c r="Q12" s="74">
        <f t="shared" si="7"/>
        <v>4431.6</v>
      </c>
      <c r="R12" s="74">
        <f t="shared" si="8"/>
        <v>32.399999999999636</v>
      </c>
      <c r="U12" s="153">
        <f t="shared" si="9"/>
        <v>0.0073649754500819675</v>
      </c>
      <c r="V12" s="27"/>
    </row>
    <row r="13" spans="1:22" s="75" customFormat="1" ht="15">
      <c r="A13" s="159"/>
      <c r="B13" s="72">
        <v>23</v>
      </c>
      <c r="C13" s="162" t="s">
        <v>191</v>
      </c>
      <c r="D13" s="165">
        <v>446</v>
      </c>
      <c r="E13" s="77">
        <v>4.333</v>
      </c>
      <c r="F13" s="154">
        <f t="shared" si="0"/>
        <v>23190.216</v>
      </c>
      <c r="G13" s="131">
        <f>+G5</f>
        <v>20</v>
      </c>
      <c r="H13" s="154">
        <f t="shared" si="1"/>
        <v>463804.32</v>
      </c>
      <c r="I13" s="76">
        <f t="shared" si="2"/>
        <v>347785.9032357018</v>
      </c>
      <c r="J13" s="121">
        <f>(References!$C$49*I13)</f>
        <v>1391.1436129428084</v>
      </c>
      <c r="K13" s="121">
        <f>J13/References!$G$57</f>
        <v>1425.8926159945968</v>
      </c>
      <c r="L13" s="137">
        <f t="shared" si="3"/>
        <v>0.27</v>
      </c>
      <c r="M13" s="27">
        <v>16.5</v>
      </c>
      <c r="N13" s="121">
        <f t="shared" si="4"/>
        <v>16.77</v>
      </c>
      <c r="O13" s="121">
        <f t="shared" si="5"/>
        <v>88308</v>
      </c>
      <c r="P13" s="74">
        <f t="shared" si="6"/>
        <v>16.77</v>
      </c>
      <c r="Q13" s="74">
        <f t="shared" si="7"/>
        <v>89753.04000000001</v>
      </c>
      <c r="R13" s="74">
        <f t="shared" si="8"/>
        <v>1445.0400000000081</v>
      </c>
      <c r="U13" s="153">
        <f t="shared" si="9"/>
        <v>0.016363636363636358</v>
      </c>
      <c r="V13" s="27"/>
    </row>
    <row r="14" spans="1:22" s="75" customFormat="1" ht="15">
      <c r="A14" s="159"/>
      <c r="B14" s="72">
        <v>23</v>
      </c>
      <c r="C14" s="162" t="s">
        <v>192</v>
      </c>
      <c r="D14" s="165">
        <v>18</v>
      </c>
      <c r="E14" s="77">
        <v>1</v>
      </c>
      <c r="F14" s="154">
        <f t="shared" si="0"/>
        <v>216</v>
      </c>
      <c r="G14" s="131">
        <f>+References!B20</f>
        <v>37</v>
      </c>
      <c r="H14" s="154">
        <f t="shared" si="1"/>
        <v>7992</v>
      </c>
      <c r="I14" s="76">
        <f t="shared" si="2"/>
        <v>5992.83969295441</v>
      </c>
      <c r="J14" s="121">
        <f>(References!$C$49*I14)</f>
        <v>23.97135877181766</v>
      </c>
      <c r="K14" s="121">
        <f>J14/References!$G$57</f>
        <v>24.5701329108552</v>
      </c>
      <c r="L14" s="137">
        <f t="shared" si="3"/>
        <v>0.11</v>
      </c>
      <c r="M14" s="27">
        <v>8.5</v>
      </c>
      <c r="N14" s="121">
        <f t="shared" si="4"/>
        <v>8.61</v>
      </c>
      <c r="O14" s="121">
        <f t="shared" si="5"/>
        <v>1836</v>
      </c>
      <c r="P14" s="74">
        <f t="shared" si="6"/>
        <v>8.61</v>
      </c>
      <c r="Q14" s="74">
        <f t="shared" si="7"/>
        <v>1859.7599999999998</v>
      </c>
      <c r="R14" s="74">
        <f t="shared" si="8"/>
        <v>23.759999999999764</v>
      </c>
      <c r="U14" s="153">
        <f t="shared" si="9"/>
        <v>0.012941176470588234</v>
      </c>
      <c r="V14" s="27"/>
    </row>
    <row r="15" spans="1:22" s="75" customFormat="1" ht="15">
      <c r="A15" s="159"/>
      <c r="B15" s="72">
        <v>23</v>
      </c>
      <c r="C15" s="162" t="s">
        <v>193</v>
      </c>
      <c r="D15" s="165">
        <v>81</v>
      </c>
      <c r="E15" s="77">
        <v>1</v>
      </c>
      <c r="F15" s="154">
        <f t="shared" si="0"/>
        <v>972</v>
      </c>
      <c r="G15" s="131">
        <f>+G14</f>
        <v>37</v>
      </c>
      <c r="H15" s="154">
        <f t="shared" si="1"/>
        <v>35964</v>
      </c>
      <c r="I15" s="76">
        <f t="shared" si="2"/>
        <v>26967.778618294844</v>
      </c>
      <c r="J15" s="121">
        <f>(References!$C$49*I15)</f>
        <v>107.87111447317947</v>
      </c>
      <c r="K15" s="121">
        <f>J15/References!$G$57</f>
        <v>110.56559809884841</v>
      </c>
      <c r="L15" s="137">
        <f t="shared" si="3"/>
        <v>0.11</v>
      </c>
      <c r="M15" s="27">
        <v>8.5</v>
      </c>
      <c r="N15" s="121">
        <f t="shared" si="4"/>
        <v>8.61</v>
      </c>
      <c r="O15" s="121">
        <f t="shared" si="5"/>
        <v>8262</v>
      </c>
      <c r="P15" s="74">
        <f t="shared" si="6"/>
        <v>8.61</v>
      </c>
      <c r="Q15" s="74">
        <f t="shared" si="7"/>
        <v>8368.92</v>
      </c>
      <c r="R15" s="74">
        <f t="shared" si="8"/>
        <v>106.92000000000007</v>
      </c>
      <c r="U15" s="153">
        <f t="shared" si="9"/>
        <v>0.012941176470588234</v>
      </c>
      <c r="V15" s="27"/>
    </row>
    <row r="16" spans="1:22" s="75" customFormat="1" ht="15">
      <c r="A16" s="159"/>
      <c r="B16" s="72">
        <v>23</v>
      </c>
      <c r="C16" s="162" t="s">
        <v>194</v>
      </c>
      <c r="D16" s="165">
        <v>67</v>
      </c>
      <c r="E16" s="77">
        <v>2.1667</v>
      </c>
      <c r="F16" s="154">
        <f t="shared" si="0"/>
        <v>1742.0268</v>
      </c>
      <c r="G16" s="131">
        <f>+G15</f>
        <v>37</v>
      </c>
      <c r="H16" s="154">
        <f t="shared" si="1"/>
        <v>64454.9916</v>
      </c>
      <c r="I16" s="76">
        <f t="shared" si="2"/>
        <v>48331.885894584964</v>
      </c>
      <c r="J16" s="121">
        <f>(References!$C$49*I16)</f>
        <v>193.32754357834003</v>
      </c>
      <c r="K16" s="121">
        <f>J16/References!$G$57</f>
        <v>198.15662041792487</v>
      </c>
      <c r="L16" s="137">
        <f t="shared" si="3"/>
        <v>0.25</v>
      </c>
      <c r="M16" s="27">
        <v>13.7</v>
      </c>
      <c r="N16" s="121">
        <f t="shared" si="4"/>
        <v>13.95</v>
      </c>
      <c r="O16" s="121">
        <f t="shared" si="5"/>
        <v>11014.8</v>
      </c>
      <c r="P16" s="74">
        <f t="shared" si="6"/>
        <v>13.95</v>
      </c>
      <c r="Q16" s="74">
        <f t="shared" si="7"/>
        <v>11215.8</v>
      </c>
      <c r="R16" s="74">
        <f t="shared" si="8"/>
        <v>201</v>
      </c>
      <c r="U16" s="153">
        <f t="shared" si="9"/>
        <v>0.018248175182481674</v>
      </c>
      <c r="V16" s="27"/>
    </row>
    <row r="17" spans="1:22" s="75" customFormat="1" ht="15">
      <c r="A17" s="159"/>
      <c r="B17" s="72">
        <v>23</v>
      </c>
      <c r="C17" s="162" t="s">
        <v>195</v>
      </c>
      <c r="D17" s="165">
        <v>3414</v>
      </c>
      <c r="E17" s="77">
        <v>4.333</v>
      </c>
      <c r="F17" s="154">
        <f t="shared" si="0"/>
        <v>177514.344</v>
      </c>
      <c r="G17" s="131">
        <f>+G16</f>
        <v>37</v>
      </c>
      <c r="H17" s="154">
        <f t="shared" si="1"/>
        <v>6568030.728</v>
      </c>
      <c r="I17" s="76">
        <f t="shared" si="2"/>
        <v>4925069.47588872</v>
      </c>
      <c r="J17" s="121">
        <f>(References!$C$49*I17)</f>
        <v>19700.277903554896</v>
      </c>
      <c r="K17" s="121">
        <f>J17/References!$G$57</f>
        <v>20192.36585955218</v>
      </c>
      <c r="L17" s="137">
        <f t="shared" si="3"/>
        <v>0.49</v>
      </c>
      <c r="M17" s="27">
        <v>18.5</v>
      </c>
      <c r="N17" s="121">
        <f t="shared" si="4"/>
        <v>18.99</v>
      </c>
      <c r="O17" s="121">
        <f t="shared" si="5"/>
        <v>757908</v>
      </c>
      <c r="P17" s="74">
        <f t="shared" si="6"/>
        <v>18.99</v>
      </c>
      <c r="Q17" s="74">
        <f t="shared" si="7"/>
        <v>777982.32</v>
      </c>
      <c r="R17" s="74">
        <f t="shared" si="8"/>
        <v>20074.31999999995</v>
      </c>
      <c r="U17" s="153">
        <f t="shared" si="9"/>
        <v>0.026486486486486438</v>
      </c>
      <c r="V17" s="27"/>
    </row>
    <row r="18" spans="1:22" s="75" customFormat="1" ht="15">
      <c r="A18" s="159"/>
      <c r="B18" s="72">
        <v>23</v>
      </c>
      <c r="C18" s="162" t="s">
        <v>118</v>
      </c>
      <c r="D18" s="165">
        <v>56</v>
      </c>
      <c r="E18" s="77">
        <v>4.333</v>
      </c>
      <c r="F18" s="154">
        <f t="shared" si="0"/>
        <v>2911.7760000000003</v>
      </c>
      <c r="G18" s="131">
        <f>+G17</f>
        <v>37</v>
      </c>
      <c r="H18" s="154">
        <f t="shared" si="1"/>
        <v>107735.71200000001</v>
      </c>
      <c r="I18" s="76">
        <f t="shared" si="2"/>
        <v>80786.14254533344</v>
      </c>
      <c r="J18" s="121">
        <f>(References!$C$49*I18)</f>
        <v>323.144570181334</v>
      </c>
      <c r="K18" s="121">
        <f>J18/References!$G$57</f>
        <v>331.21631169739965</v>
      </c>
      <c r="L18" s="137">
        <f t="shared" si="3"/>
        <v>0.49</v>
      </c>
      <c r="M18" s="27">
        <v>37</v>
      </c>
      <c r="N18" s="121">
        <f t="shared" si="4"/>
        <v>37.49</v>
      </c>
      <c r="O18" s="121">
        <f t="shared" si="5"/>
        <v>24864</v>
      </c>
      <c r="P18" s="74">
        <f t="shared" si="6"/>
        <v>37.49</v>
      </c>
      <c r="Q18" s="74">
        <f t="shared" si="7"/>
        <v>25193.28</v>
      </c>
      <c r="R18" s="74">
        <f t="shared" si="8"/>
        <v>329.27999999999884</v>
      </c>
      <c r="U18" s="153">
        <f t="shared" si="9"/>
        <v>0.013243243243243219</v>
      </c>
      <c r="V18" s="118"/>
    </row>
    <row r="19" spans="1:22" s="75" customFormat="1" ht="15">
      <c r="A19" s="159"/>
      <c r="B19" s="72">
        <v>23</v>
      </c>
      <c r="C19" s="162" t="s">
        <v>196</v>
      </c>
      <c r="D19" s="165">
        <v>3</v>
      </c>
      <c r="E19" s="77">
        <v>4.333</v>
      </c>
      <c r="F19" s="154">
        <f t="shared" si="0"/>
        <v>155.988</v>
      </c>
      <c r="G19" s="131">
        <f>+G18</f>
        <v>37</v>
      </c>
      <c r="H19" s="154">
        <f t="shared" si="1"/>
        <v>5771.556</v>
      </c>
      <c r="I19" s="76">
        <f t="shared" si="2"/>
        <v>4327.8290649285755</v>
      </c>
      <c r="J19" s="121">
        <f>(References!$C$49*I19)</f>
        <v>17.311316259714317</v>
      </c>
      <c r="K19" s="121">
        <f>J19/References!$G$57</f>
        <v>17.743730983789263</v>
      </c>
      <c r="L19" s="137">
        <f t="shared" si="3"/>
        <v>0.49</v>
      </c>
      <c r="M19" s="27">
        <v>55.5</v>
      </c>
      <c r="N19" s="121">
        <f t="shared" si="4"/>
        <v>55.99</v>
      </c>
      <c r="O19" s="121">
        <f t="shared" si="5"/>
        <v>1998</v>
      </c>
      <c r="P19" s="74">
        <f t="shared" si="6"/>
        <v>55.99</v>
      </c>
      <c r="Q19" s="74">
        <f t="shared" si="7"/>
        <v>2015.6399999999999</v>
      </c>
      <c r="R19" s="74">
        <f t="shared" si="8"/>
        <v>17.639999999999873</v>
      </c>
      <c r="U19" s="153">
        <f t="shared" si="9"/>
        <v>0.00882882882882896</v>
      </c>
      <c r="V19" s="118"/>
    </row>
    <row r="20" spans="1:22" s="75" customFormat="1" ht="15">
      <c r="A20" s="159"/>
      <c r="B20" s="72">
        <v>23</v>
      </c>
      <c r="C20" s="162" t="s">
        <v>197</v>
      </c>
      <c r="D20" s="165">
        <v>4</v>
      </c>
      <c r="E20" s="77">
        <v>4.333</v>
      </c>
      <c r="F20" s="154">
        <f t="shared" si="0"/>
        <v>207.984</v>
      </c>
      <c r="G20" s="131">
        <f>+G19</f>
        <v>37</v>
      </c>
      <c r="H20" s="154">
        <f t="shared" si="1"/>
        <v>7695.408</v>
      </c>
      <c r="I20" s="76">
        <f t="shared" si="2"/>
        <v>5770.4387532381015</v>
      </c>
      <c r="J20" s="121">
        <f>(References!$C$49*I20)</f>
        <v>23.081755012952428</v>
      </c>
      <c r="K20" s="121">
        <f>J20/References!$G$57</f>
        <v>23.658307978385686</v>
      </c>
      <c r="L20" s="137">
        <f t="shared" si="3"/>
        <v>0.49</v>
      </c>
      <c r="M20" s="27">
        <v>74</v>
      </c>
      <c r="N20" s="121">
        <f t="shared" si="4"/>
        <v>74.49</v>
      </c>
      <c r="O20" s="121">
        <f t="shared" si="5"/>
        <v>3552</v>
      </c>
      <c r="P20" s="74">
        <f t="shared" si="6"/>
        <v>74.49</v>
      </c>
      <c r="Q20" s="74">
        <f t="shared" si="7"/>
        <v>3575.5199999999995</v>
      </c>
      <c r="R20" s="74">
        <f t="shared" si="8"/>
        <v>23.519999999999527</v>
      </c>
      <c r="U20" s="153">
        <f t="shared" si="9"/>
        <v>0.0066216216216214985</v>
      </c>
      <c r="V20" s="118"/>
    </row>
    <row r="21" spans="1:22" s="75" customFormat="1" ht="15">
      <c r="A21" s="159"/>
      <c r="B21" s="72">
        <v>23</v>
      </c>
      <c r="C21" s="162" t="s">
        <v>119</v>
      </c>
      <c r="D21" s="165">
        <v>1923</v>
      </c>
      <c r="E21" s="77">
        <v>4.333</v>
      </c>
      <c r="F21" s="154">
        <f t="shared" si="0"/>
        <v>99988.308</v>
      </c>
      <c r="G21" s="131">
        <f>+References!B21</f>
        <v>47</v>
      </c>
      <c r="H21" s="154">
        <f t="shared" si="1"/>
        <v>4699450.476</v>
      </c>
      <c r="I21" s="76">
        <f t="shared" si="2"/>
        <v>3523905.5740298163</v>
      </c>
      <c r="J21" s="121">
        <f>(References!$C$49*I21)</f>
        <v>14095.622296119278</v>
      </c>
      <c r="K21" s="121">
        <f>J21/References!$G$57</f>
        <v>14447.713063476192</v>
      </c>
      <c r="L21" s="137">
        <f t="shared" si="3"/>
        <v>0.63</v>
      </c>
      <c r="M21" s="27">
        <v>27.4</v>
      </c>
      <c r="N21" s="121">
        <f t="shared" si="4"/>
        <v>28.029999999999998</v>
      </c>
      <c r="O21" s="121">
        <f t="shared" si="5"/>
        <v>632282.3999999999</v>
      </c>
      <c r="P21" s="74">
        <f t="shared" si="6"/>
        <v>28.029999999999998</v>
      </c>
      <c r="Q21" s="74">
        <f t="shared" si="7"/>
        <v>646820.2799999999</v>
      </c>
      <c r="R21" s="74">
        <f t="shared" si="8"/>
        <v>14537.880000000005</v>
      </c>
      <c r="U21" s="153">
        <f t="shared" si="9"/>
        <v>0.022992700729926874</v>
      </c>
      <c r="V21" s="118"/>
    </row>
    <row r="22" spans="1:22" s="75" customFormat="1" ht="15">
      <c r="A22" s="159"/>
      <c r="B22" s="72">
        <v>23</v>
      </c>
      <c r="C22" s="162" t="s">
        <v>120</v>
      </c>
      <c r="D22" s="165">
        <v>42</v>
      </c>
      <c r="E22" s="77">
        <v>4.333</v>
      </c>
      <c r="F22" s="154">
        <f t="shared" si="0"/>
        <v>2183.8320000000003</v>
      </c>
      <c r="G22" s="131">
        <f>+G21</f>
        <v>47</v>
      </c>
      <c r="H22" s="154">
        <f t="shared" si="1"/>
        <v>102640.10400000002</v>
      </c>
      <c r="I22" s="76">
        <f t="shared" si="2"/>
        <v>76965.17634386497</v>
      </c>
      <c r="J22" s="121">
        <f>(References!$C$49*I22)</f>
        <v>307.86070537546016</v>
      </c>
      <c r="K22" s="121">
        <f>J22/References!$G$57</f>
        <v>315.5506753333335</v>
      </c>
      <c r="L22" s="137">
        <f t="shared" si="3"/>
        <v>0.63</v>
      </c>
      <c r="M22" s="27">
        <v>54.8</v>
      </c>
      <c r="N22" s="121">
        <f t="shared" si="4"/>
        <v>55.43</v>
      </c>
      <c r="O22" s="121">
        <f t="shared" si="5"/>
        <v>27619.199999999997</v>
      </c>
      <c r="P22" s="74">
        <f t="shared" si="6"/>
        <v>55.43</v>
      </c>
      <c r="Q22" s="74">
        <f t="shared" si="7"/>
        <v>27936.72</v>
      </c>
      <c r="R22" s="74">
        <f t="shared" si="8"/>
        <v>317.5200000000041</v>
      </c>
      <c r="U22" s="153">
        <f t="shared" si="9"/>
        <v>0.011496350364963659</v>
      </c>
      <c r="V22" s="118"/>
    </row>
    <row r="23" spans="1:22" s="75" customFormat="1" ht="15">
      <c r="A23" s="159"/>
      <c r="B23" s="72">
        <v>23</v>
      </c>
      <c r="C23" s="162" t="s">
        <v>199</v>
      </c>
      <c r="D23" s="165">
        <v>3</v>
      </c>
      <c r="E23" s="77">
        <v>4.333</v>
      </c>
      <c r="F23" s="154">
        <f t="shared" si="0"/>
        <v>155.988</v>
      </c>
      <c r="G23" s="131">
        <f>+G22</f>
        <v>47</v>
      </c>
      <c r="H23" s="154">
        <f t="shared" si="1"/>
        <v>7331.436</v>
      </c>
      <c r="I23" s="76">
        <f t="shared" si="2"/>
        <v>5497.5125959903535</v>
      </c>
      <c r="J23" s="121">
        <f>(References!$C$49*I23)</f>
        <v>21.990050383961435</v>
      </c>
      <c r="K23" s="121">
        <f>J23/References!$G$57</f>
        <v>22.53933395238096</v>
      </c>
      <c r="L23" s="137">
        <f t="shared" si="3"/>
        <v>0.63</v>
      </c>
      <c r="M23" s="27">
        <v>82.19999999999999</v>
      </c>
      <c r="N23" s="121">
        <f t="shared" si="4"/>
        <v>82.82999999999998</v>
      </c>
      <c r="O23" s="121">
        <f t="shared" si="5"/>
        <v>2959.2</v>
      </c>
      <c r="P23" s="74">
        <f t="shared" si="6"/>
        <v>82.82999999999998</v>
      </c>
      <c r="Q23" s="74">
        <f t="shared" si="7"/>
        <v>2981.879999999999</v>
      </c>
      <c r="R23" s="74">
        <f t="shared" si="8"/>
        <v>22.67999999999938</v>
      </c>
      <c r="U23" s="153">
        <f t="shared" si="9"/>
        <v>0.007664233576642365</v>
      </c>
      <c r="V23" s="118"/>
    </row>
    <row r="24" spans="1:22" s="75" customFormat="1" ht="15">
      <c r="A24" s="159"/>
      <c r="B24" s="72">
        <v>23</v>
      </c>
      <c r="C24" s="162" t="s">
        <v>124</v>
      </c>
      <c r="D24" s="165">
        <v>652</v>
      </c>
      <c r="E24" s="77">
        <v>4.333</v>
      </c>
      <c r="F24" s="154">
        <f t="shared" si="0"/>
        <v>33901.392</v>
      </c>
      <c r="G24" s="131">
        <f>+References!B22</f>
        <v>68</v>
      </c>
      <c r="H24" s="154">
        <f t="shared" si="1"/>
        <v>2305294.656</v>
      </c>
      <c r="I24" s="76">
        <f t="shared" si="2"/>
        <v>1728636.3011051654</v>
      </c>
      <c r="J24" s="121">
        <f>(References!$C$49*I24)</f>
        <v>6914.545204420668</v>
      </c>
      <c r="K24" s="121">
        <f>J24/References!$G$57</f>
        <v>7087.261773849377</v>
      </c>
      <c r="L24" s="137">
        <f t="shared" si="3"/>
        <v>0.91</v>
      </c>
      <c r="M24" s="27">
        <v>36.1</v>
      </c>
      <c r="N24" s="121">
        <f t="shared" si="4"/>
        <v>37.01</v>
      </c>
      <c r="O24" s="121">
        <f t="shared" si="5"/>
        <v>282446.4</v>
      </c>
      <c r="P24" s="74">
        <f t="shared" si="6"/>
        <v>37.01</v>
      </c>
      <c r="Q24" s="74">
        <f t="shared" si="7"/>
        <v>289566.24</v>
      </c>
      <c r="R24" s="74">
        <f t="shared" si="8"/>
        <v>7119.839999999967</v>
      </c>
      <c r="U24" s="153">
        <f t="shared" si="9"/>
        <v>0.025207756232686895</v>
      </c>
      <c r="V24" s="118"/>
    </row>
    <row r="25" spans="1:22" s="75" customFormat="1" ht="15">
      <c r="A25" s="159"/>
      <c r="B25" s="72">
        <v>23</v>
      </c>
      <c r="C25" s="162" t="s">
        <v>125</v>
      </c>
      <c r="D25" s="165">
        <v>28</v>
      </c>
      <c r="E25" s="77">
        <v>4.333</v>
      </c>
      <c r="F25" s="154">
        <f t="shared" si="0"/>
        <v>1455.8880000000001</v>
      </c>
      <c r="G25" s="131">
        <f>+G24</f>
        <v>68</v>
      </c>
      <c r="H25" s="154">
        <f t="shared" si="1"/>
        <v>99000.384</v>
      </c>
      <c r="I25" s="76">
        <f t="shared" si="2"/>
        <v>74235.91477138747</v>
      </c>
      <c r="J25" s="121">
        <f>(References!$C$49*I25)</f>
        <v>296.94365908555017</v>
      </c>
      <c r="K25" s="121">
        <f>J25/References!$G$57</f>
        <v>304.36093507328616</v>
      </c>
      <c r="L25" s="137">
        <f t="shared" si="3"/>
        <v>0.91</v>
      </c>
      <c r="M25" s="27">
        <v>72.2</v>
      </c>
      <c r="N25" s="121">
        <f t="shared" si="4"/>
        <v>73.11</v>
      </c>
      <c r="O25" s="121">
        <f t="shared" si="5"/>
        <v>24259.2</v>
      </c>
      <c r="P25" s="74">
        <f t="shared" si="6"/>
        <v>73.11</v>
      </c>
      <c r="Q25" s="74">
        <f t="shared" si="7"/>
        <v>24564.96</v>
      </c>
      <c r="R25" s="74">
        <f t="shared" si="8"/>
        <v>305.7599999999984</v>
      </c>
      <c r="U25" s="153">
        <f t="shared" si="9"/>
        <v>0.012603878116343337</v>
      </c>
      <c r="V25" s="118"/>
    </row>
    <row r="26" spans="1:22" s="75" customFormat="1" ht="15">
      <c r="A26" s="159"/>
      <c r="B26" s="72">
        <v>25</v>
      </c>
      <c r="C26" s="162" t="s">
        <v>49</v>
      </c>
      <c r="D26" s="166">
        <v>1500</v>
      </c>
      <c r="E26" s="77">
        <v>1</v>
      </c>
      <c r="F26" s="154">
        <f t="shared" si="0"/>
        <v>18000</v>
      </c>
      <c r="G26" s="131">
        <f>+References!B24</f>
        <v>34</v>
      </c>
      <c r="H26" s="154">
        <f t="shared" si="1"/>
        <v>612000</v>
      </c>
      <c r="I26" s="76">
        <f t="shared" si="2"/>
        <v>458911.147658671</v>
      </c>
      <c r="J26" s="121">
        <f>(References!$C$49*I26)</f>
        <v>1835.6445906346858</v>
      </c>
      <c r="K26" s="121">
        <f>J26/References!$G$57</f>
        <v>1881.4966643447679</v>
      </c>
      <c r="L26" s="137">
        <f t="shared" si="3"/>
        <v>0.1</v>
      </c>
      <c r="M26" s="27">
        <v>4.8</v>
      </c>
      <c r="N26" s="121">
        <f t="shared" si="4"/>
        <v>4.8999999999999995</v>
      </c>
      <c r="O26" s="121">
        <f t="shared" si="5"/>
        <v>86400</v>
      </c>
      <c r="P26" s="74">
        <f t="shared" si="6"/>
        <v>4.8999999999999995</v>
      </c>
      <c r="Q26" s="74">
        <f t="shared" si="7"/>
        <v>88199.99999999999</v>
      </c>
      <c r="R26" s="74">
        <f t="shared" si="8"/>
        <v>1799.9999999999854</v>
      </c>
      <c r="U26" s="153">
        <f t="shared" si="9"/>
        <v>0.02083333333333326</v>
      </c>
      <c r="V26" s="118"/>
    </row>
    <row r="27" spans="1:22" s="75" customFormat="1" ht="15">
      <c r="A27" s="80"/>
      <c r="B27" s="81"/>
      <c r="C27" s="82" t="s">
        <v>3</v>
      </c>
      <c r="D27" s="83">
        <f>SUM(D2:D26)</f>
        <v>12583</v>
      </c>
      <c r="E27" s="84"/>
      <c r="F27" s="83">
        <f>SUM(F2:F26)</f>
        <v>573734.3508000001</v>
      </c>
      <c r="G27" s="133"/>
      <c r="H27" s="85">
        <f>SUM(H2:H26)</f>
        <v>22201819.3716</v>
      </c>
      <c r="I27" s="86">
        <f>SUM(I2:I26)</f>
        <v>16648141.189430507</v>
      </c>
      <c r="J27" s="87"/>
      <c r="K27" s="87"/>
      <c r="L27" s="87"/>
      <c r="M27" s="87"/>
      <c r="N27" s="87"/>
      <c r="O27" s="88">
        <f>SUM(O2:O26)</f>
        <v>2962914.0000000005</v>
      </c>
      <c r="P27" s="88"/>
      <c r="Q27" s="88">
        <f>SUM(Q2:Q26)</f>
        <v>3030992.159999999</v>
      </c>
      <c r="R27" s="88">
        <f>SUM(R2:R26)</f>
        <v>68078.1599999998</v>
      </c>
      <c r="U27" s="153">
        <f>+R27/O27</f>
        <v>0.022976758690937297</v>
      </c>
      <c r="V27" s="118"/>
    </row>
    <row r="28" spans="1:22" s="75" customFormat="1" ht="15" customHeight="1">
      <c r="A28" s="160" t="s">
        <v>99</v>
      </c>
      <c r="B28" s="72">
        <v>36</v>
      </c>
      <c r="C28" s="162" t="s">
        <v>113</v>
      </c>
      <c r="D28" s="162">
        <v>1</v>
      </c>
      <c r="E28" s="162">
        <v>0.5</v>
      </c>
      <c r="F28" s="154">
        <f>+E28*D28*52</f>
        <v>26</v>
      </c>
      <c r="G28" s="132">
        <f>References!$B$26</f>
        <v>29</v>
      </c>
      <c r="H28" s="79">
        <f aca="true" t="shared" si="10" ref="H28:H88">F28*G28</f>
        <v>754</v>
      </c>
      <c r="I28" s="76">
        <f>$C$110*H28</f>
        <v>565.3905315925457</v>
      </c>
      <c r="J28" s="73">
        <f>References!$C$49*I28</f>
        <v>2.2615621263701846</v>
      </c>
      <c r="K28" s="73">
        <f>J28/References!$G$57</f>
        <v>2.318053079928031</v>
      </c>
      <c r="L28" s="121">
        <f>ROUND((K28/F28),2)</f>
        <v>0.09</v>
      </c>
      <c r="M28" s="27">
        <v>3.9</v>
      </c>
      <c r="N28" s="73">
        <f aca="true" t="shared" si="11" ref="N28:N88">L28+M28</f>
        <v>3.9899999999999998</v>
      </c>
      <c r="O28" s="73">
        <f aca="true" t="shared" si="12" ref="O28:O69">F28*M28</f>
        <v>101.39999999999999</v>
      </c>
      <c r="P28" s="74">
        <f aca="true" t="shared" si="13" ref="P28:P69">N28</f>
        <v>3.9899999999999998</v>
      </c>
      <c r="Q28" s="74">
        <f aca="true" t="shared" si="14" ref="Q28:Q69">F28*P28</f>
        <v>103.74</v>
      </c>
      <c r="R28" s="74">
        <f aca="true" t="shared" si="15" ref="R28:R69">Q28-O28</f>
        <v>2.3400000000000034</v>
      </c>
      <c r="U28" s="153">
        <f aca="true" t="shared" si="16" ref="U6:U80">+N28/M28-1</f>
        <v>0.023076923076922995</v>
      </c>
      <c r="V28" s="118"/>
    </row>
    <row r="29" spans="1:22" s="75" customFormat="1" ht="15">
      <c r="A29" s="159"/>
      <c r="B29" s="72">
        <v>36</v>
      </c>
      <c r="C29" s="162" t="s">
        <v>114</v>
      </c>
      <c r="D29" s="162">
        <v>30</v>
      </c>
      <c r="E29" s="162">
        <v>1</v>
      </c>
      <c r="F29" s="154">
        <f aca="true" t="shared" si="17" ref="F29:F92">+E29*D29*52</f>
        <v>1560</v>
      </c>
      <c r="G29" s="132">
        <f>References!$B$26</f>
        <v>29</v>
      </c>
      <c r="H29" s="79">
        <f t="shared" si="10"/>
        <v>45240</v>
      </c>
      <c r="I29" s="76">
        <f>$C$110*H29</f>
        <v>33923.43189555274</v>
      </c>
      <c r="J29" s="73">
        <f>References!$C$49*I29</f>
        <v>135.6937275822111</v>
      </c>
      <c r="K29" s="121">
        <f>J29/References!$G$57</f>
        <v>139.08318479568186</v>
      </c>
      <c r="L29" s="121">
        <f aca="true" t="shared" si="18" ref="L29:L98">ROUND((K29/F29),2)</f>
        <v>0.09</v>
      </c>
      <c r="M29" s="27">
        <v>3.9</v>
      </c>
      <c r="N29" s="73">
        <f t="shared" si="11"/>
        <v>3.9899999999999998</v>
      </c>
      <c r="O29" s="73">
        <f t="shared" si="12"/>
        <v>6084</v>
      </c>
      <c r="P29" s="74">
        <f t="shared" si="13"/>
        <v>3.9899999999999998</v>
      </c>
      <c r="Q29" s="74">
        <f t="shared" si="14"/>
        <v>6224.4</v>
      </c>
      <c r="R29" s="74">
        <f t="shared" si="15"/>
        <v>140.39999999999964</v>
      </c>
      <c r="U29" s="153">
        <f t="shared" si="16"/>
        <v>0.023076923076922995</v>
      </c>
      <c r="V29" s="118"/>
    </row>
    <row r="30" spans="1:22" s="75" customFormat="1" ht="15">
      <c r="A30" s="159"/>
      <c r="B30" s="72">
        <v>36</v>
      </c>
      <c r="C30" s="162" t="s">
        <v>115</v>
      </c>
      <c r="D30" s="162">
        <v>32</v>
      </c>
      <c r="E30" s="162">
        <v>1</v>
      </c>
      <c r="F30" s="154">
        <f t="shared" si="17"/>
        <v>1664</v>
      </c>
      <c r="G30" s="132">
        <f>References!$B$26</f>
        <v>29</v>
      </c>
      <c r="H30" s="79">
        <f t="shared" si="10"/>
        <v>48256</v>
      </c>
      <c r="I30" s="76">
        <f>$C$110*H30</f>
        <v>36184.994021922925</v>
      </c>
      <c r="J30" s="73">
        <f>References!$C$49*I30</f>
        <v>144.73997608769182</v>
      </c>
      <c r="K30" s="121">
        <f>J30/References!$G$57</f>
        <v>148.35539711539397</v>
      </c>
      <c r="L30" s="121">
        <f t="shared" si="18"/>
        <v>0.09</v>
      </c>
      <c r="M30" s="27">
        <v>3.9</v>
      </c>
      <c r="N30" s="73">
        <f t="shared" si="11"/>
        <v>3.9899999999999998</v>
      </c>
      <c r="O30" s="73">
        <f t="shared" si="12"/>
        <v>6489.599999999999</v>
      </c>
      <c r="P30" s="74">
        <f t="shared" si="13"/>
        <v>3.9899999999999998</v>
      </c>
      <c r="Q30" s="74">
        <f t="shared" si="14"/>
        <v>6639.36</v>
      </c>
      <c r="R30" s="74">
        <f t="shared" si="15"/>
        <v>149.76000000000022</v>
      </c>
      <c r="U30" s="153">
        <f t="shared" si="16"/>
        <v>0.023076923076922995</v>
      </c>
      <c r="V30" s="118"/>
    </row>
    <row r="31" spans="1:22" s="75" customFormat="1" ht="15">
      <c r="A31" s="159"/>
      <c r="B31" s="72">
        <v>36</v>
      </c>
      <c r="C31" s="162" t="s">
        <v>116</v>
      </c>
      <c r="D31" s="162">
        <v>12</v>
      </c>
      <c r="E31" s="162">
        <v>1</v>
      </c>
      <c r="F31" s="154">
        <f t="shared" si="17"/>
        <v>624</v>
      </c>
      <c r="G31" s="132">
        <f>References!$B$26</f>
        <v>29</v>
      </c>
      <c r="H31" s="79">
        <f t="shared" si="10"/>
        <v>18096</v>
      </c>
      <c r="I31" s="76">
        <f>$C$110*H31</f>
        <v>13569.372758221096</v>
      </c>
      <c r="J31" s="73">
        <f>References!$C$49*I31</f>
        <v>54.277491032884434</v>
      </c>
      <c r="K31" s="121">
        <f>J31/References!$G$57</f>
        <v>55.63327391827274</v>
      </c>
      <c r="L31" s="121">
        <f t="shared" si="18"/>
        <v>0.09</v>
      </c>
      <c r="M31" s="27">
        <v>3.9</v>
      </c>
      <c r="N31" s="73">
        <f t="shared" si="11"/>
        <v>3.9899999999999998</v>
      </c>
      <c r="O31" s="73">
        <f t="shared" si="12"/>
        <v>2433.6</v>
      </c>
      <c r="P31" s="74">
        <f t="shared" si="13"/>
        <v>3.9899999999999998</v>
      </c>
      <c r="Q31" s="74">
        <f t="shared" si="14"/>
        <v>2489.7599999999998</v>
      </c>
      <c r="R31" s="74">
        <f t="shared" si="15"/>
        <v>56.159999999999854</v>
      </c>
      <c r="U31" s="153">
        <f t="shared" si="16"/>
        <v>0.023076923076922995</v>
      </c>
      <c r="V31" s="118"/>
    </row>
    <row r="32" spans="1:22" s="75" customFormat="1" ht="15">
      <c r="A32" s="159"/>
      <c r="B32" s="72">
        <v>36</v>
      </c>
      <c r="C32" s="162" t="s">
        <v>117</v>
      </c>
      <c r="D32" s="162">
        <v>1</v>
      </c>
      <c r="E32" s="162">
        <v>1</v>
      </c>
      <c r="F32" s="154">
        <f t="shared" si="17"/>
        <v>52</v>
      </c>
      <c r="G32" s="132">
        <f>References!$B$26</f>
        <v>29</v>
      </c>
      <c r="H32" s="79">
        <f t="shared" si="10"/>
        <v>1508</v>
      </c>
      <c r="I32" s="76">
        <f>$C$110*H32</f>
        <v>1130.7810631850914</v>
      </c>
      <c r="J32" s="73">
        <f>References!$C$49*I32</f>
        <v>4.523124252740369</v>
      </c>
      <c r="K32" s="121">
        <f>J32/References!$G$57</f>
        <v>4.636106159856062</v>
      </c>
      <c r="L32" s="121">
        <f t="shared" si="18"/>
        <v>0.09</v>
      </c>
      <c r="M32" s="27">
        <v>5.15</v>
      </c>
      <c r="N32" s="73">
        <f t="shared" si="11"/>
        <v>5.24</v>
      </c>
      <c r="O32" s="73">
        <f t="shared" si="12"/>
        <v>267.8</v>
      </c>
      <c r="P32" s="74">
        <f t="shared" si="13"/>
        <v>5.24</v>
      </c>
      <c r="Q32" s="74">
        <f t="shared" si="14"/>
        <v>272.48</v>
      </c>
      <c r="R32" s="74">
        <f t="shared" si="15"/>
        <v>4.680000000000007</v>
      </c>
      <c r="U32" s="153">
        <f t="shared" si="16"/>
        <v>0.01747572815533971</v>
      </c>
      <c r="V32" s="118"/>
    </row>
    <row r="33" spans="1:22" s="75" customFormat="1" ht="15">
      <c r="A33" s="159"/>
      <c r="B33" s="72">
        <v>36</v>
      </c>
      <c r="C33" s="162" t="s">
        <v>118</v>
      </c>
      <c r="D33" s="162">
        <v>2</v>
      </c>
      <c r="E33" s="162">
        <v>1</v>
      </c>
      <c r="F33" s="154">
        <f t="shared" si="17"/>
        <v>104</v>
      </c>
      <c r="G33" s="132">
        <f>References!$B$26</f>
        <v>29</v>
      </c>
      <c r="H33" s="79">
        <f t="shared" si="10"/>
        <v>3016</v>
      </c>
      <c r="I33" s="76">
        <f>$C$110*H33</f>
        <v>2261.562126370183</v>
      </c>
      <c r="J33" s="73">
        <f>References!$C$49*I33</f>
        <v>9.046248505480738</v>
      </c>
      <c r="K33" s="121">
        <f>J33/References!$G$57</f>
        <v>9.272212319712123</v>
      </c>
      <c r="L33" s="121">
        <f t="shared" si="18"/>
        <v>0.09</v>
      </c>
      <c r="M33" s="27">
        <v>5.15</v>
      </c>
      <c r="N33" s="73">
        <f t="shared" si="11"/>
        <v>5.24</v>
      </c>
      <c r="O33" s="73">
        <f t="shared" si="12"/>
        <v>535.6</v>
      </c>
      <c r="P33" s="74">
        <f t="shared" si="13"/>
        <v>5.24</v>
      </c>
      <c r="Q33" s="74">
        <f t="shared" si="14"/>
        <v>544.96</v>
      </c>
      <c r="R33" s="74">
        <f t="shared" si="15"/>
        <v>9.360000000000014</v>
      </c>
      <c r="U33" s="153">
        <f t="shared" si="16"/>
        <v>0.01747572815533971</v>
      </c>
      <c r="V33" s="118"/>
    </row>
    <row r="34" spans="1:22" s="75" customFormat="1" ht="15">
      <c r="A34" s="159"/>
      <c r="B34" s="72">
        <v>36</v>
      </c>
      <c r="C34" s="162" t="s">
        <v>119</v>
      </c>
      <c r="D34" s="162">
        <v>8</v>
      </c>
      <c r="E34" s="162">
        <v>1</v>
      </c>
      <c r="F34" s="154">
        <f t="shared" si="17"/>
        <v>416</v>
      </c>
      <c r="G34" s="132">
        <v>47</v>
      </c>
      <c r="H34" s="79">
        <f t="shared" si="10"/>
        <v>19552</v>
      </c>
      <c r="I34" s="76">
        <f>$C$110*H34</f>
        <v>14661.161370951528</v>
      </c>
      <c r="J34" s="73">
        <f>References!$C$49*I34</f>
        <v>58.644645483806165</v>
      </c>
      <c r="K34" s="121">
        <f>J34/References!$G$57</f>
        <v>60.10951434847859</v>
      </c>
      <c r="L34" s="121">
        <f t="shared" si="18"/>
        <v>0.14</v>
      </c>
      <c r="M34" s="27">
        <v>7.6</v>
      </c>
      <c r="N34" s="73">
        <f t="shared" si="11"/>
        <v>7.739999999999999</v>
      </c>
      <c r="O34" s="73">
        <f t="shared" si="12"/>
        <v>3161.6</v>
      </c>
      <c r="P34" s="74">
        <f t="shared" si="13"/>
        <v>7.739999999999999</v>
      </c>
      <c r="Q34" s="74">
        <f t="shared" si="14"/>
        <v>3219.8399999999997</v>
      </c>
      <c r="R34" s="74">
        <f t="shared" si="15"/>
        <v>58.23999999999978</v>
      </c>
      <c r="U34" s="153">
        <f t="shared" si="16"/>
        <v>0.018421052631578894</v>
      </c>
      <c r="V34" s="119"/>
    </row>
    <row r="35" spans="1:22" s="75" customFormat="1" ht="15">
      <c r="A35" s="159"/>
      <c r="B35" s="72">
        <v>36</v>
      </c>
      <c r="C35" s="162" t="s">
        <v>120</v>
      </c>
      <c r="D35" s="162">
        <v>2</v>
      </c>
      <c r="E35" s="162">
        <v>1</v>
      </c>
      <c r="F35" s="154">
        <f t="shared" si="17"/>
        <v>104</v>
      </c>
      <c r="G35" s="132">
        <v>47</v>
      </c>
      <c r="H35" s="79">
        <f aca="true" t="shared" si="19" ref="H35:H44">F35*G35</f>
        <v>4888</v>
      </c>
      <c r="I35" s="76">
        <f aca="true" t="shared" si="20" ref="I35:I44">$C$110*H35</f>
        <v>3665.290342737882</v>
      </c>
      <c r="J35" s="121">
        <f>References!$C$49*I35</f>
        <v>14.661161370951541</v>
      </c>
      <c r="K35" s="121">
        <f>J35/References!$G$57</f>
        <v>15.027378587119648</v>
      </c>
      <c r="L35" s="121">
        <f aca="true" t="shared" si="21" ref="L35:L44">ROUND((K35/F35),2)</f>
        <v>0.14</v>
      </c>
      <c r="M35" s="27">
        <v>7.6</v>
      </c>
      <c r="N35" s="121">
        <f aca="true" t="shared" si="22" ref="N35:N44">L35+M35</f>
        <v>7.739999999999999</v>
      </c>
      <c r="O35" s="121">
        <f aca="true" t="shared" si="23" ref="O35:O44">F35*M35</f>
        <v>790.4</v>
      </c>
      <c r="P35" s="74">
        <f aca="true" t="shared" si="24" ref="P35:P44">N35</f>
        <v>7.739999999999999</v>
      </c>
      <c r="Q35" s="74">
        <f aca="true" t="shared" si="25" ref="Q35:Q44">F35*P35</f>
        <v>804.9599999999999</v>
      </c>
      <c r="R35" s="74">
        <f aca="true" t="shared" si="26" ref="R35:R44">Q35-O35</f>
        <v>14.559999999999945</v>
      </c>
      <c r="U35" s="153">
        <f t="shared" si="16"/>
        <v>0.018421052631578894</v>
      </c>
      <c r="V35" s="119"/>
    </row>
    <row r="36" spans="1:22" s="75" customFormat="1" ht="15">
      <c r="A36" s="159"/>
      <c r="B36" s="72">
        <v>36</v>
      </c>
      <c r="C36" s="162" t="s">
        <v>121</v>
      </c>
      <c r="D36" s="162">
        <v>12</v>
      </c>
      <c r="E36" s="162">
        <v>1</v>
      </c>
      <c r="F36" s="154">
        <f t="shared" si="17"/>
        <v>624</v>
      </c>
      <c r="G36" s="132">
        <v>47</v>
      </c>
      <c r="H36" s="79">
        <f t="shared" si="19"/>
        <v>29328</v>
      </c>
      <c r="I36" s="76">
        <f t="shared" si="20"/>
        <v>21991.742056427294</v>
      </c>
      <c r="J36" s="121">
        <f>References!$C$49*I36</f>
        <v>87.96696822570925</v>
      </c>
      <c r="K36" s="121">
        <f>J36/References!$G$57</f>
        <v>90.16427152271788</v>
      </c>
      <c r="L36" s="121">
        <f t="shared" si="21"/>
        <v>0.14</v>
      </c>
      <c r="M36" s="27">
        <v>7.6</v>
      </c>
      <c r="N36" s="121">
        <f t="shared" si="22"/>
        <v>7.739999999999999</v>
      </c>
      <c r="O36" s="121">
        <f t="shared" si="23"/>
        <v>4742.4</v>
      </c>
      <c r="P36" s="74">
        <f t="shared" si="24"/>
        <v>7.739999999999999</v>
      </c>
      <c r="Q36" s="74">
        <f t="shared" si="25"/>
        <v>4829.759999999999</v>
      </c>
      <c r="R36" s="74">
        <f t="shared" si="26"/>
        <v>87.35999999999967</v>
      </c>
      <c r="U36" s="153">
        <f t="shared" si="16"/>
        <v>0.018421052631578894</v>
      </c>
      <c r="V36" s="119"/>
    </row>
    <row r="37" spans="1:22" s="75" customFormat="1" ht="15">
      <c r="A37" s="159"/>
      <c r="B37" s="72">
        <v>36</v>
      </c>
      <c r="C37" s="162" t="s">
        <v>122</v>
      </c>
      <c r="D37" s="162">
        <v>10</v>
      </c>
      <c r="E37" s="162">
        <v>1</v>
      </c>
      <c r="F37" s="154">
        <f t="shared" si="17"/>
        <v>520</v>
      </c>
      <c r="G37" s="132">
        <v>47</v>
      </c>
      <c r="H37" s="79">
        <f t="shared" si="19"/>
        <v>24440</v>
      </c>
      <c r="I37" s="76">
        <f t="shared" si="20"/>
        <v>18326.45171368941</v>
      </c>
      <c r="J37" s="121">
        <f>References!$C$49*I37</f>
        <v>73.3058068547577</v>
      </c>
      <c r="K37" s="121">
        <f>J37/References!$G$57</f>
        <v>75.13689293559824</v>
      </c>
      <c r="L37" s="121">
        <f t="shared" si="21"/>
        <v>0.14</v>
      </c>
      <c r="M37" s="27">
        <v>7.6</v>
      </c>
      <c r="N37" s="121">
        <f t="shared" si="22"/>
        <v>7.739999999999999</v>
      </c>
      <c r="O37" s="121">
        <f t="shared" si="23"/>
        <v>3952</v>
      </c>
      <c r="P37" s="74">
        <f t="shared" si="24"/>
        <v>7.739999999999999</v>
      </c>
      <c r="Q37" s="74">
        <f t="shared" si="25"/>
        <v>4024.7999999999997</v>
      </c>
      <c r="R37" s="74">
        <f t="shared" si="26"/>
        <v>72.79999999999973</v>
      </c>
      <c r="U37" s="153">
        <f t="shared" si="16"/>
        <v>0.018421052631578894</v>
      </c>
      <c r="V37" s="119"/>
    </row>
    <row r="38" spans="1:22" s="75" customFormat="1" ht="15">
      <c r="A38" s="159"/>
      <c r="B38" s="72">
        <v>36</v>
      </c>
      <c r="C38" s="162" t="s">
        <v>123</v>
      </c>
      <c r="D38" s="162">
        <v>150</v>
      </c>
      <c r="E38" s="162">
        <v>1</v>
      </c>
      <c r="F38" s="154">
        <f t="shared" si="17"/>
        <v>7800</v>
      </c>
      <c r="G38" s="132">
        <v>47</v>
      </c>
      <c r="H38" s="79">
        <f t="shared" si="19"/>
        <v>366600</v>
      </c>
      <c r="I38" s="76">
        <f t="shared" si="20"/>
        <v>274896.77570534113</v>
      </c>
      <c r="J38" s="121">
        <f>References!$C$49*I38</f>
        <v>1099.5871028213655</v>
      </c>
      <c r="K38" s="121">
        <f>J38/References!$G$57</f>
        <v>1127.0533940339735</v>
      </c>
      <c r="L38" s="121">
        <f t="shared" si="21"/>
        <v>0.14</v>
      </c>
      <c r="M38" s="27">
        <v>7.6</v>
      </c>
      <c r="N38" s="121">
        <f t="shared" si="22"/>
        <v>7.739999999999999</v>
      </c>
      <c r="O38" s="121">
        <f t="shared" si="23"/>
        <v>59280</v>
      </c>
      <c r="P38" s="74">
        <f t="shared" si="24"/>
        <v>7.739999999999999</v>
      </c>
      <c r="Q38" s="74">
        <f t="shared" si="25"/>
        <v>60371.99999999999</v>
      </c>
      <c r="R38" s="74">
        <f t="shared" si="26"/>
        <v>1091.9999999999927</v>
      </c>
      <c r="U38" s="153">
        <f t="shared" si="16"/>
        <v>0.018421052631578894</v>
      </c>
      <c r="V38" s="119"/>
    </row>
    <row r="39" spans="1:22" s="75" customFormat="1" ht="15">
      <c r="A39" s="159"/>
      <c r="B39" s="72">
        <v>36</v>
      </c>
      <c r="C39" s="162" t="s">
        <v>124</v>
      </c>
      <c r="D39" s="162">
        <v>12</v>
      </c>
      <c r="E39" s="162">
        <v>1</v>
      </c>
      <c r="F39" s="154">
        <f t="shared" si="17"/>
        <v>624</v>
      </c>
      <c r="G39" s="132">
        <v>68</v>
      </c>
      <c r="H39" s="79">
        <f t="shared" si="19"/>
        <v>42432</v>
      </c>
      <c r="I39" s="76">
        <f t="shared" si="20"/>
        <v>31817.83957100119</v>
      </c>
      <c r="J39" s="121">
        <f>References!$C$49*I39</f>
        <v>127.27135828400488</v>
      </c>
      <c r="K39" s="121">
        <f>J39/References!$G$57</f>
        <v>130.45043539457055</v>
      </c>
      <c r="L39" s="121">
        <f t="shared" si="21"/>
        <v>0.21</v>
      </c>
      <c r="M39" s="27">
        <v>10.5</v>
      </c>
      <c r="N39" s="121">
        <f t="shared" si="22"/>
        <v>10.71</v>
      </c>
      <c r="O39" s="121">
        <f t="shared" si="23"/>
        <v>6552</v>
      </c>
      <c r="P39" s="74">
        <f t="shared" si="24"/>
        <v>10.71</v>
      </c>
      <c r="Q39" s="74">
        <f t="shared" si="25"/>
        <v>6683.040000000001</v>
      </c>
      <c r="R39" s="74">
        <f t="shared" si="26"/>
        <v>131.04000000000087</v>
      </c>
      <c r="U39" s="153">
        <f t="shared" si="16"/>
        <v>0.020000000000000018</v>
      </c>
      <c r="V39" s="119"/>
    </row>
    <row r="40" spans="1:22" s="75" customFormat="1" ht="15">
      <c r="A40" s="159"/>
      <c r="B40" s="72">
        <v>36</v>
      </c>
      <c r="C40" s="162" t="s">
        <v>125</v>
      </c>
      <c r="D40" s="162">
        <v>2</v>
      </c>
      <c r="E40" s="162">
        <v>1</v>
      </c>
      <c r="F40" s="154">
        <f t="shared" si="17"/>
        <v>104</v>
      </c>
      <c r="G40" s="132">
        <v>68</v>
      </c>
      <c r="H40" s="79">
        <f t="shared" si="19"/>
        <v>7072</v>
      </c>
      <c r="I40" s="76">
        <f t="shared" si="20"/>
        <v>5302.973261833532</v>
      </c>
      <c r="J40" s="121">
        <f>References!$C$49*I40</f>
        <v>21.211893047334147</v>
      </c>
      <c r="K40" s="121">
        <f>J40/References!$G$57</f>
        <v>21.74173923242843</v>
      </c>
      <c r="L40" s="121">
        <f t="shared" si="21"/>
        <v>0.21</v>
      </c>
      <c r="M40" s="27">
        <v>10.5</v>
      </c>
      <c r="N40" s="121">
        <f t="shared" si="22"/>
        <v>10.71</v>
      </c>
      <c r="O40" s="121">
        <f t="shared" si="23"/>
        <v>1092</v>
      </c>
      <c r="P40" s="74">
        <f t="shared" si="24"/>
        <v>10.71</v>
      </c>
      <c r="Q40" s="74">
        <f t="shared" si="25"/>
        <v>1113.8400000000001</v>
      </c>
      <c r="R40" s="74">
        <f t="shared" si="26"/>
        <v>21.840000000000146</v>
      </c>
      <c r="U40" s="153">
        <f t="shared" si="16"/>
        <v>0.020000000000000018</v>
      </c>
      <c r="V40" s="119"/>
    </row>
    <row r="41" spans="1:22" s="75" customFormat="1" ht="15">
      <c r="A41" s="159"/>
      <c r="B41" s="72">
        <v>33</v>
      </c>
      <c r="C41" s="162" t="s">
        <v>126</v>
      </c>
      <c r="D41" s="162">
        <v>59</v>
      </c>
      <c r="E41" s="162">
        <v>0.5</v>
      </c>
      <c r="F41" s="154">
        <f t="shared" si="17"/>
        <v>1534</v>
      </c>
      <c r="G41" s="132">
        <f>+References!B27</f>
        <v>175</v>
      </c>
      <c r="H41" s="79">
        <f t="shared" si="19"/>
        <v>268450</v>
      </c>
      <c r="I41" s="76">
        <f t="shared" si="20"/>
        <v>201298.52547217358</v>
      </c>
      <c r="J41" s="121">
        <f>References!$C$49*I41</f>
        <v>805.1941018886951</v>
      </c>
      <c r="K41" s="121">
        <f>J41/References!$G$57</f>
        <v>825.3068293192041</v>
      </c>
      <c r="L41" s="121">
        <f t="shared" si="21"/>
        <v>0.54</v>
      </c>
      <c r="M41" s="27">
        <v>17.6</v>
      </c>
      <c r="N41" s="121">
        <f t="shared" si="22"/>
        <v>18.14</v>
      </c>
      <c r="O41" s="121">
        <f t="shared" si="23"/>
        <v>26998.4</v>
      </c>
      <c r="P41" s="74">
        <f t="shared" si="24"/>
        <v>18.14</v>
      </c>
      <c r="Q41" s="74">
        <f t="shared" si="25"/>
        <v>27826.760000000002</v>
      </c>
      <c r="R41" s="74">
        <f t="shared" si="26"/>
        <v>828.3600000000006</v>
      </c>
      <c r="U41" s="153">
        <f t="shared" si="16"/>
        <v>0.030681818181818032</v>
      </c>
      <c r="V41" s="119"/>
    </row>
    <row r="42" spans="1:22" s="75" customFormat="1" ht="15">
      <c r="A42" s="159"/>
      <c r="B42" s="72">
        <v>33</v>
      </c>
      <c r="C42" s="162" t="s">
        <v>127</v>
      </c>
      <c r="D42" s="162">
        <v>148</v>
      </c>
      <c r="E42" s="162">
        <v>1</v>
      </c>
      <c r="F42" s="154">
        <f t="shared" si="17"/>
        <v>7696</v>
      </c>
      <c r="G42" s="132">
        <f>+G41</f>
        <v>175</v>
      </c>
      <c r="H42" s="79">
        <f t="shared" si="19"/>
        <v>1346800</v>
      </c>
      <c r="I42" s="76">
        <f t="shared" si="20"/>
        <v>1009904.4667756505</v>
      </c>
      <c r="J42" s="121">
        <f>References!$C$49*I42</f>
        <v>4039.6178671026055</v>
      </c>
      <c r="K42" s="121">
        <f>J42/References!$G$57</f>
        <v>4140.522397940414</v>
      </c>
      <c r="L42" s="121">
        <f t="shared" si="21"/>
        <v>0.54</v>
      </c>
      <c r="M42" s="27">
        <v>17.6</v>
      </c>
      <c r="N42" s="121">
        <f t="shared" si="22"/>
        <v>18.14</v>
      </c>
      <c r="O42" s="121">
        <f t="shared" si="23"/>
        <v>135449.6</v>
      </c>
      <c r="P42" s="74">
        <f t="shared" si="24"/>
        <v>18.14</v>
      </c>
      <c r="Q42" s="74">
        <f t="shared" si="25"/>
        <v>139605.44</v>
      </c>
      <c r="R42" s="74">
        <f t="shared" si="26"/>
        <v>4155.8399999999965</v>
      </c>
      <c r="U42" s="153">
        <f t="shared" si="16"/>
        <v>0.030681818181818032</v>
      </c>
      <c r="V42" s="119"/>
    </row>
    <row r="43" spans="1:22" s="75" customFormat="1" ht="15">
      <c r="A43" s="159"/>
      <c r="B43" s="72">
        <v>33</v>
      </c>
      <c r="C43" s="162" t="s">
        <v>128</v>
      </c>
      <c r="D43" s="162">
        <v>2</v>
      </c>
      <c r="E43" s="162">
        <v>1</v>
      </c>
      <c r="F43" s="154">
        <f t="shared" si="17"/>
        <v>104</v>
      </c>
      <c r="G43" s="132">
        <f>+G42</f>
        <v>175</v>
      </c>
      <c r="H43" s="79">
        <f t="shared" si="19"/>
        <v>18200</v>
      </c>
      <c r="I43" s="76">
        <f t="shared" si="20"/>
        <v>13647.357659130412</v>
      </c>
      <c r="J43" s="121">
        <f>References!$C$49*I43</f>
        <v>54.5894306365217</v>
      </c>
      <c r="K43" s="121">
        <f>J43/References!$G$57</f>
        <v>55.953005377573156</v>
      </c>
      <c r="L43" s="121">
        <f t="shared" si="21"/>
        <v>0.54</v>
      </c>
      <c r="M43" s="27">
        <v>17.6</v>
      </c>
      <c r="N43" s="121">
        <f t="shared" si="22"/>
        <v>18.14</v>
      </c>
      <c r="O43" s="121">
        <f t="shared" si="23"/>
        <v>1830.4</v>
      </c>
      <c r="P43" s="74">
        <f t="shared" si="24"/>
        <v>18.14</v>
      </c>
      <c r="Q43" s="74">
        <f t="shared" si="25"/>
        <v>1886.56</v>
      </c>
      <c r="R43" s="74">
        <f t="shared" si="26"/>
        <v>56.159999999999854</v>
      </c>
      <c r="U43" s="153">
        <f t="shared" si="16"/>
        <v>0.030681818181818032</v>
      </c>
      <c r="V43" s="119"/>
    </row>
    <row r="44" spans="1:22" s="75" customFormat="1" ht="15">
      <c r="A44" s="159"/>
      <c r="B44" s="72">
        <v>33</v>
      </c>
      <c r="C44" s="162" t="s">
        <v>129</v>
      </c>
      <c r="D44" s="162">
        <v>2</v>
      </c>
      <c r="E44" s="162">
        <v>2</v>
      </c>
      <c r="F44" s="154">
        <f t="shared" si="17"/>
        <v>208</v>
      </c>
      <c r="G44" s="132">
        <f>+G43</f>
        <v>175</v>
      </c>
      <c r="H44" s="79">
        <f t="shared" si="19"/>
        <v>36400</v>
      </c>
      <c r="I44" s="76">
        <f t="shared" si="20"/>
        <v>27294.715318260824</v>
      </c>
      <c r="J44" s="121">
        <f>References!$C$49*I44</f>
        <v>109.1788612730434</v>
      </c>
      <c r="K44" s="121">
        <f>J44/References!$G$57</f>
        <v>111.90601075514631</v>
      </c>
      <c r="L44" s="121">
        <f t="shared" si="21"/>
        <v>0.54</v>
      </c>
      <c r="M44" s="27">
        <v>17.6</v>
      </c>
      <c r="N44" s="121">
        <f t="shared" si="22"/>
        <v>18.14</v>
      </c>
      <c r="O44" s="121">
        <f t="shared" si="23"/>
        <v>3660.8</v>
      </c>
      <c r="P44" s="74">
        <f t="shared" si="24"/>
        <v>18.14</v>
      </c>
      <c r="Q44" s="74">
        <f t="shared" si="25"/>
        <v>3773.12</v>
      </c>
      <c r="R44" s="74">
        <f t="shared" si="26"/>
        <v>112.31999999999971</v>
      </c>
      <c r="U44" s="153">
        <f t="shared" si="16"/>
        <v>0.030681818181818032</v>
      </c>
      <c r="V44" s="119"/>
    </row>
    <row r="45" spans="1:22" s="75" customFormat="1" ht="15">
      <c r="A45" s="159"/>
      <c r="B45" s="72">
        <v>33</v>
      </c>
      <c r="C45" s="162" t="s">
        <v>130</v>
      </c>
      <c r="D45" s="162">
        <v>3</v>
      </c>
      <c r="E45" s="162">
        <v>2</v>
      </c>
      <c r="F45" s="154">
        <f t="shared" si="17"/>
        <v>312</v>
      </c>
      <c r="G45" s="132">
        <f>+G44</f>
        <v>175</v>
      </c>
      <c r="H45" s="79">
        <f t="shared" si="10"/>
        <v>54600</v>
      </c>
      <c r="I45" s="76">
        <f>$C$110*H45</f>
        <v>40942.07297739124</v>
      </c>
      <c r="J45" s="73">
        <f>References!$C$49*I45</f>
        <v>163.7682919095651</v>
      </c>
      <c r="K45" s="121">
        <f>J45/References!$G$57</f>
        <v>167.8590161327195</v>
      </c>
      <c r="L45" s="121">
        <f t="shared" si="18"/>
        <v>0.54</v>
      </c>
      <c r="M45" s="27">
        <v>17.6</v>
      </c>
      <c r="N45" s="73">
        <f t="shared" si="11"/>
        <v>18.14</v>
      </c>
      <c r="O45" s="73">
        <f t="shared" si="12"/>
        <v>5491.200000000001</v>
      </c>
      <c r="P45" s="74">
        <f t="shared" si="13"/>
        <v>18.14</v>
      </c>
      <c r="Q45" s="74">
        <f t="shared" si="14"/>
        <v>5659.68</v>
      </c>
      <c r="R45" s="74">
        <f t="shared" si="15"/>
        <v>168.47999999999956</v>
      </c>
      <c r="U45" s="153">
        <f t="shared" si="16"/>
        <v>0.030681818181818032</v>
      </c>
      <c r="V45" s="119"/>
    </row>
    <row r="46" spans="1:22" s="75" customFormat="1" ht="15">
      <c r="A46" s="159"/>
      <c r="B46" s="72">
        <v>33</v>
      </c>
      <c r="C46" s="162" t="s">
        <v>131</v>
      </c>
      <c r="D46" s="162">
        <v>1</v>
      </c>
      <c r="E46" s="162">
        <v>3</v>
      </c>
      <c r="F46" s="154">
        <f t="shared" si="17"/>
        <v>156</v>
      </c>
      <c r="G46" s="132">
        <f>+G45</f>
        <v>175</v>
      </c>
      <c r="H46" s="79">
        <f t="shared" si="10"/>
        <v>27300</v>
      </c>
      <c r="I46" s="76">
        <f>$C$110*H46</f>
        <v>20471.03648869562</v>
      </c>
      <c r="J46" s="73">
        <f>References!$C$49*I46</f>
        <v>81.88414595478255</v>
      </c>
      <c r="K46" s="121">
        <f>J46/References!$G$57</f>
        <v>83.92950806635974</v>
      </c>
      <c r="L46" s="121">
        <f t="shared" si="18"/>
        <v>0.54</v>
      </c>
      <c r="M46" s="27">
        <v>17.6</v>
      </c>
      <c r="N46" s="73">
        <f t="shared" si="11"/>
        <v>18.14</v>
      </c>
      <c r="O46" s="73">
        <f t="shared" si="12"/>
        <v>2745.6000000000004</v>
      </c>
      <c r="P46" s="74">
        <f t="shared" si="13"/>
        <v>18.14</v>
      </c>
      <c r="Q46" s="74">
        <f t="shared" si="14"/>
        <v>2829.84</v>
      </c>
      <c r="R46" s="74">
        <f t="shared" si="15"/>
        <v>84.23999999999978</v>
      </c>
      <c r="U46" s="153">
        <f t="shared" si="16"/>
        <v>0.030681818181818032</v>
      </c>
      <c r="V46" s="119"/>
    </row>
    <row r="47" spans="1:22" s="75" customFormat="1" ht="15">
      <c r="A47" s="159"/>
      <c r="B47" s="72">
        <v>33</v>
      </c>
      <c r="C47" s="162" t="s">
        <v>132</v>
      </c>
      <c r="D47" s="162">
        <v>20</v>
      </c>
      <c r="E47" s="162">
        <v>0.5</v>
      </c>
      <c r="F47" s="154">
        <f t="shared" si="17"/>
        <v>520</v>
      </c>
      <c r="G47" s="132">
        <f>+References!B28</f>
        <v>250</v>
      </c>
      <c r="H47" s="79">
        <f t="shared" si="10"/>
        <v>130000</v>
      </c>
      <c r="I47" s="76">
        <f>$C$110*H47</f>
        <v>97481.1261366458</v>
      </c>
      <c r="J47" s="73">
        <f>References!$C$49*I47</f>
        <v>389.9245045465836</v>
      </c>
      <c r="K47" s="121">
        <f>J47/References!$G$57</f>
        <v>399.66432412552257</v>
      </c>
      <c r="L47" s="121">
        <f t="shared" si="18"/>
        <v>0.77</v>
      </c>
      <c r="M47" s="27">
        <v>22.3</v>
      </c>
      <c r="N47" s="73">
        <f t="shared" si="11"/>
        <v>23.07</v>
      </c>
      <c r="O47" s="73">
        <f t="shared" si="12"/>
        <v>11596</v>
      </c>
      <c r="P47" s="74">
        <f t="shared" si="13"/>
        <v>23.07</v>
      </c>
      <c r="Q47" s="74">
        <f t="shared" si="14"/>
        <v>11996.4</v>
      </c>
      <c r="R47" s="74">
        <f t="shared" si="15"/>
        <v>400.39999999999964</v>
      </c>
      <c r="U47" s="153">
        <f t="shared" si="16"/>
        <v>0.03452914798206286</v>
      </c>
      <c r="V47" s="119"/>
    </row>
    <row r="48" spans="1:22" s="75" customFormat="1" ht="15">
      <c r="A48" s="159"/>
      <c r="B48" s="72">
        <v>33</v>
      </c>
      <c r="C48" s="162" t="s">
        <v>133</v>
      </c>
      <c r="D48" s="162">
        <v>30</v>
      </c>
      <c r="E48" s="162">
        <v>1</v>
      </c>
      <c r="F48" s="154">
        <f t="shared" si="17"/>
        <v>1560</v>
      </c>
      <c r="G48" s="132">
        <f>+G47</f>
        <v>250</v>
      </c>
      <c r="H48" s="79">
        <f t="shared" si="10"/>
        <v>390000</v>
      </c>
      <c r="I48" s="76">
        <f>$C$110*H48</f>
        <v>292443.3784099374</v>
      </c>
      <c r="J48" s="73">
        <f>References!$C$49*I48</f>
        <v>1169.7735136397505</v>
      </c>
      <c r="K48" s="121">
        <f>J48/References!$G$57</f>
        <v>1198.9929723765674</v>
      </c>
      <c r="L48" s="121">
        <f t="shared" si="18"/>
        <v>0.77</v>
      </c>
      <c r="M48" s="27">
        <v>22.3</v>
      </c>
      <c r="N48" s="73">
        <f t="shared" si="11"/>
        <v>23.07</v>
      </c>
      <c r="O48" s="73">
        <f t="shared" si="12"/>
        <v>34788</v>
      </c>
      <c r="P48" s="74">
        <f t="shared" si="13"/>
        <v>23.07</v>
      </c>
      <c r="Q48" s="74">
        <f t="shared" si="14"/>
        <v>35989.2</v>
      </c>
      <c r="R48" s="74">
        <f t="shared" si="15"/>
        <v>1201.199999999997</v>
      </c>
      <c r="U48" s="153">
        <f t="shared" si="16"/>
        <v>0.03452914798206286</v>
      </c>
      <c r="V48" s="119"/>
    </row>
    <row r="49" spans="1:22" s="75" customFormat="1" ht="15">
      <c r="A49" s="159"/>
      <c r="B49" s="72">
        <v>33</v>
      </c>
      <c r="C49" s="162" t="s">
        <v>134</v>
      </c>
      <c r="D49" s="162">
        <v>1</v>
      </c>
      <c r="E49" s="162">
        <v>2</v>
      </c>
      <c r="F49" s="154">
        <f t="shared" si="17"/>
        <v>104</v>
      </c>
      <c r="G49" s="132">
        <f>+G48</f>
        <v>250</v>
      </c>
      <c r="H49" s="79">
        <f t="shared" si="10"/>
        <v>26000</v>
      </c>
      <c r="I49" s="76">
        <f>$C$110*H49</f>
        <v>19496.22522732916</v>
      </c>
      <c r="J49" s="73">
        <f>References!$C$49*I49</f>
        <v>77.9849009093167</v>
      </c>
      <c r="K49" s="121">
        <f>J49/References!$G$57</f>
        <v>79.9328648251045</v>
      </c>
      <c r="L49" s="121">
        <f t="shared" si="18"/>
        <v>0.77</v>
      </c>
      <c r="M49" s="27">
        <v>22.3</v>
      </c>
      <c r="N49" s="73">
        <f t="shared" si="11"/>
        <v>23.07</v>
      </c>
      <c r="O49" s="73">
        <f t="shared" si="12"/>
        <v>2319.2000000000003</v>
      </c>
      <c r="P49" s="74">
        <f t="shared" si="13"/>
        <v>23.07</v>
      </c>
      <c r="Q49" s="74">
        <f t="shared" si="14"/>
        <v>2399.28</v>
      </c>
      <c r="R49" s="74">
        <f t="shared" si="15"/>
        <v>80.07999999999993</v>
      </c>
      <c r="U49" s="153">
        <f t="shared" si="16"/>
        <v>0.03452914798206286</v>
      </c>
      <c r="V49" s="119"/>
    </row>
    <row r="50" spans="1:22" s="75" customFormat="1" ht="15">
      <c r="A50" s="159"/>
      <c r="B50" s="72">
        <v>33</v>
      </c>
      <c r="C50" s="162" t="s">
        <v>135</v>
      </c>
      <c r="D50" s="162">
        <v>6</v>
      </c>
      <c r="E50" s="164">
        <f>1/4.333</f>
        <v>0.23078698361412414</v>
      </c>
      <c r="F50" s="154">
        <f t="shared" si="17"/>
        <v>72.00553888760673</v>
      </c>
      <c r="G50" s="132">
        <f>+References!B29</f>
        <v>324</v>
      </c>
      <c r="H50" s="79">
        <f t="shared" si="10"/>
        <v>23329.79459958458</v>
      </c>
      <c r="I50" s="76">
        <f>$C$110*H50</f>
        <v>17493.95884695494</v>
      </c>
      <c r="J50" s="73">
        <f>References!$C$49*I50</f>
        <v>69.97583538781983</v>
      </c>
      <c r="K50" s="121">
        <f>J50/References!$G$57</f>
        <v>71.72374300484798</v>
      </c>
      <c r="L50" s="121">
        <f t="shared" si="18"/>
        <v>1</v>
      </c>
      <c r="M50" s="27">
        <v>30.2</v>
      </c>
      <c r="N50" s="73">
        <f t="shared" si="11"/>
        <v>31.2</v>
      </c>
      <c r="O50" s="73">
        <f t="shared" si="12"/>
        <v>2174.5672744057233</v>
      </c>
      <c r="P50" s="74">
        <f t="shared" si="13"/>
        <v>31.2</v>
      </c>
      <c r="Q50" s="74">
        <f t="shared" si="14"/>
        <v>2246.57281329333</v>
      </c>
      <c r="R50" s="74">
        <f t="shared" si="15"/>
        <v>72.00553888760669</v>
      </c>
      <c r="U50" s="153">
        <f t="shared" si="16"/>
        <v>0.0331125827814569</v>
      </c>
      <c r="V50" s="119"/>
    </row>
    <row r="51" spans="1:22" s="75" customFormat="1" ht="15">
      <c r="A51" s="159"/>
      <c r="B51" s="72">
        <v>33</v>
      </c>
      <c r="C51" s="162" t="s">
        <v>136</v>
      </c>
      <c r="D51" s="162">
        <v>66</v>
      </c>
      <c r="E51" s="162">
        <v>0.5</v>
      </c>
      <c r="F51" s="154">
        <f t="shared" si="17"/>
        <v>1716</v>
      </c>
      <c r="G51" s="132">
        <f>+G50</f>
        <v>324</v>
      </c>
      <c r="H51" s="79">
        <f t="shared" si="10"/>
        <v>555984</v>
      </c>
      <c r="I51" s="76">
        <f>$C$110*H51</f>
        <v>416907.28026120673</v>
      </c>
      <c r="J51" s="73">
        <f>References!$C$49*I51</f>
        <v>1667.6291210448285</v>
      </c>
      <c r="K51" s="121">
        <f>J51/References!$G$57</f>
        <v>1709.2843814200348</v>
      </c>
      <c r="L51" s="121">
        <f t="shared" si="18"/>
        <v>1</v>
      </c>
      <c r="M51" s="27">
        <v>27.2</v>
      </c>
      <c r="N51" s="73">
        <f t="shared" si="11"/>
        <v>28.2</v>
      </c>
      <c r="O51" s="73">
        <f t="shared" si="12"/>
        <v>46675.2</v>
      </c>
      <c r="P51" s="74">
        <f t="shared" si="13"/>
        <v>28.2</v>
      </c>
      <c r="Q51" s="74">
        <f t="shared" si="14"/>
        <v>48391.2</v>
      </c>
      <c r="R51" s="74">
        <f t="shared" si="15"/>
        <v>1716</v>
      </c>
      <c r="U51" s="153">
        <f t="shared" si="16"/>
        <v>0.03676470588235303</v>
      </c>
      <c r="V51" s="119"/>
    </row>
    <row r="52" spans="1:22" s="75" customFormat="1" ht="15">
      <c r="A52" s="159"/>
      <c r="B52" s="72">
        <v>33</v>
      </c>
      <c r="C52" s="162" t="s">
        <v>137</v>
      </c>
      <c r="D52" s="162">
        <v>140</v>
      </c>
      <c r="E52" s="162">
        <v>1</v>
      </c>
      <c r="F52" s="154">
        <f t="shared" si="17"/>
        <v>7280</v>
      </c>
      <c r="G52" s="132">
        <f aca="true" t="shared" si="27" ref="G52:G62">+G51</f>
        <v>324</v>
      </c>
      <c r="H52" s="79">
        <f t="shared" si="10"/>
        <v>2358720</v>
      </c>
      <c r="I52" s="76">
        <f>$C$110*H52</f>
        <v>1768697.5526233015</v>
      </c>
      <c r="J52" s="73">
        <f>References!$C$49*I52</f>
        <v>7074.790210493213</v>
      </c>
      <c r="K52" s="121">
        <f>J52/References!$G$57</f>
        <v>7251.509496933481</v>
      </c>
      <c r="L52" s="121">
        <f t="shared" si="18"/>
        <v>1</v>
      </c>
      <c r="M52" s="27">
        <v>27.2</v>
      </c>
      <c r="N52" s="73">
        <f t="shared" si="11"/>
        <v>28.2</v>
      </c>
      <c r="O52" s="73">
        <f t="shared" si="12"/>
        <v>198016</v>
      </c>
      <c r="P52" s="74">
        <f t="shared" si="13"/>
        <v>28.2</v>
      </c>
      <c r="Q52" s="74">
        <f t="shared" si="14"/>
        <v>205296</v>
      </c>
      <c r="R52" s="74">
        <f t="shared" si="15"/>
        <v>7280</v>
      </c>
      <c r="U52" s="153">
        <f t="shared" si="16"/>
        <v>0.03676470588235303</v>
      </c>
      <c r="V52" s="119"/>
    </row>
    <row r="53" spans="1:22" s="75" customFormat="1" ht="15">
      <c r="A53" s="159"/>
      <c r="B53" s="72">
        <v>33</v>
      </c>
      <c r="C53" s="162" t="s">
        <v>138</v>
      </c>
      <c r="D53" s="162">
        <v>10</v>
      </c>
      <c r="E53" s="162">
        <v>1</v>
      </c>
      <c r="F53" s="154">
        <f t="shared" si="17"/>
        <v>520</v>
      </c>
      <c r="G53" s="132">
        <f t="shared" si="27"/>
        <v>324</v>
      </c>
      <c r="H53" s="79">
        <f t="shared" si="10"/>
        <v>168480</v>
      </c>
      <c r="I53" s="76">
        <f>$C$110*H53</f>
        <v>126335.53947309295</v>
      </c>
      <c r="J53" s="73">
        <f>References!$C$49*I53</f>
        <v>505.34215789237226</v>
      </c>
      <c r="K53" s="121">
        <f>J53/References!$G$57</f>
        <v>517.9649640666772</v>
      </c>
      <c r="L53" s="121">
        <f t="shared" si="18"/>
        <v>1</v>
      </c>
      <c r="M53" s="27">
        <v>27.2</v>
      </c>
      <c r="N53" s="73">
        <f t="shared" si="11"/>
        <v>28.2</v>
      </c>
      <c r="O53" s="73">
        <f t="shared" si="12"/>
        <v>14144</v>
      </c>
      <c r="P53" s="74">
        <f t="shared" si="13"/>
        <v>28.2</v>
      </c>
      <c r="Q53" s="74">
        <f t="shared" si="14"/>
        <v>14664</v>
      </c>
      <c r="R53" s="74">
        <f t="shared" si="15"/>
        <v>520</v>
      </c>
      <c r="U53" s="153">
        <f t="shared" si="16"/>
        <v>0.03676470588235303</v>
      </c>
      <c r="V53" s="119"/>
    </row>
    <row r="54" spans="1:22" s="75" customFormat="1" ht="15">
      <c r="A54" s="159"/>
      <c r="B54" s="72">
        <v>33</v>
      </c>
      <c r="C54" s="162" t="s">
        <v>139</v>
      </c>
      <c r="D54" s="162">
        <v>3</v>
      </c>
      <c r="E54" s="162">
        <v>1</v>
      </c>
      <c r="F54" s="154">
        <f t="shared" si="17"/>
        <v>156</v>
      </c>
      <c r="G54" s="132">
        <f t="shared" si="27"/>
        <v>324</v>
      </c>
      <c r="H54" s="79">
        <f t="shared" si="10"/>
        <v>50544</v>
      </c>
      <c r="I54" s="76">
        <f>$C$110*H54</f>
        <v>37900.66184192789</v>
      </c>
      <c r="J54" s="73">
        <f>References!$C$49*I54</f>
        <v>151.60264736771168</v>
      </c>
      <c r="K54" s="121">
        <f>J54/References!$G$57</f>
        <v>155.38948922000316</v>
      </c>
      <c r="L54" s="121">
        <f t="shared" si="18"/>
        <v>1</v>
      </c>
      <c r="M54" s="27">
        <v>27.2</v>
      </c>
      <c r="N54" s="73">
        <f t="shared" si="11"/>
        <v>28.2</v>
      </c>
      <c r="O54" s="73">
        <f t="shared" si="12"/>
        <v>4243.2</v>
      </c>
      <c r="P54" s="74">
        <f t="shared" si="13"/>
        <v>28.2</v>
      </c>
      <c r="Q54" s="74">
        <f t="shared" si="14"/>
        <v>4399.2</v>
      </c>
      <c r="R54" s="74">
        <f t="shared" si="15"/>
        <v>156</v>
      </c>
      <c r="U54" s="153">
        <f t="shared" si="16"/>
        <v>0.03676470588235303</v>
      </c>
      <c r="V54" s="119"/>
    </row>
    <row r="55" spans="1:22" s="75" customFormat="1" ht="15">
      <c r="A55" s="159"/>
      <c r="B55" s="72">
        <v>33</v>
      </c>
      <c r="C55" s="162" t="s">
        <v>140</v>
      </c>
      <c r="D55" s="162">
        <v>5</v>
      </c>
      <c r="E55" s="162">
        <v>1</v>
      </c>
      <c r="F55" s="154">
        <f t="shared" si="17"/>
        <v>260</v>
      </c>
      <c r="G55" s="132">
        <f t="shared" si="27"/>
        <v>324</v>
      </c>
      <c r="H55" s="79">
        <f t="shared" si="10"/>
        <v>84240</v>
      </c>
      <c r="I55" s="76">
        <f>$C$110*H55</f>
        <v>63167.76973654648</v>
      </c>
      <c r="J55" s="73">
        <f>References!$C$49*I55</f>
        <v>252.67107894618613</v>
      </c>
      <c r="K55" s="121">
        <f>J55/References!$G$57</f>
        <v>258.9824820333386</v>
      </c>
      <c r="L55" s="121">
        <f t="shared" si="18"/>
        <v>1</v>
      </c>
      <c r="M55" s="27">
        <v>27.2</v>
      </c>
      <c r="N55" s="73">
        <f t="shared" si="11"/>
        <v>28.2</v>
      </c>
      <c r="O55" s="73">
        <f t="shared" si="12"/>
        <v>7072</v>
      </c>
      <c r="P55" s="74">
        <f t="shared" si="13"/>
        <v>28.2</v>
      </c>
      <c r="Q55" s="74">
        <f t="shared" si="14"/>
        <v>7332</v>
      </c>
      <c r="R55" s="74">
        <f t="shared" si="15"/>
        <v>260</v>
      </c>
      <c r="U55" s="153">
        <f t="shared" si="16"/>
        <v>0.03676470588235303</v>
      </c>
      <c r="V55" s="119"/>
    </row>
    <row r="56" spans="1:22" s="75" customFormat="1" ht="15">
      <c r="A56" s="159"/>
      <c r="B56" s="72">
        <v>33</v>
      </c>
      <c r="C56" s="162" t="s">
        <v>141</v>
      </c>
      <c r="D56" s="162">
        <v>5</v>
      </c>
      <c r="E56" s="162">
        <v>1</v>
      </c>
      <c r="F56" s="154">
        <f t="shared" si="17"/>
        <v>260</v>
      </c>
      <c r="G56" s="132">
        <f t="shared" si="27"/>
        <v>324</v>
      </c>
      <c r="H56" s="79">
        <f t="shared" si="10"/>
        <v>84240</v>
      </c>
      <c r="I56" s="76">
        <f>$C$110*H56</f>
        <v>63167.76973654648</v>
      </c>
      <c r="J56" s="73">
        <f>References!$C$49*I56</f>
        <v>252.67107894618613</v>
      </c>
      <c r="K56" s="121">
        <f>J56/References!$G$57</f>
        <v>258.9824820333386</v>
      </c>
      <c r="L56" s="121">
        <f t="shared" si="18"/>
        <v>1</v>
      </c>
      <c r="M56" s="27">
        <v>27.2</v>
      </c>
      <c r="N56" s="73">
        <f t="shared" si="11"/>
        <v>28.2</v>
      </c>
      <c r="O56" s="73">
        <f t="shared" si="12"/>
        <v>7072</v>
      </c>
      <c r="P56" s="74">
        <f t="shared" si="13"/>
        <v>28.2</v>
      </c>
      <c r="Q56" s="74">
        <f t="shared" si="14"/>
        <v>7332</v>
      </c>
      <c r="R56" s="74">
        <f t="shared" si="15"/>
        <v>260</v>
      </c>
      <c r="U56" s="153">
        <f t="shared" si="16"/>
        <v>0.03676470588235303</v>
      </c>
      <c r="V56" s="119"/>
    </row>
    <row r="57" spans="1:22" s="75" customFormat="1" ht="15">
      <c r="A57" s="159"/>
      <c r="B57" s="72">
        <v>33</v>
      </c>
      <c r="C57" s="162" t="s">
        <v>142</v>
      </c>
      <c r="D57" s="162">
        <v>21</v>
      </c>
      <c r="E57" s="162">
        <v>1</v>
      </c>
      <c r="F57" s="154">
        <f t="shared" si="17"/>
        <v>1092</v>
      </c>
      <c r="G57" s="132">
        <f t="shared" si="27"/>
        <v>324</v>
      </c>
      <c r="H57" s="79">
        <f t="shared" si="10"/>
        <v>353808</v>
      </c>
      <c r="I57" s="76">
        <f>$C$110*H57</f>
        <v>265304.6328934952</v>
      </c>
      <c r="J57" s="73">
        <f>References!$C$49*I57</f>
        <v>1061.2185315739819</v>
      </c>
      <c r="K57" s="121">
        <f>J57/References!$G$57</f>
        <v>1087.7264245400222</v>
      </c>
      <c r="L57" s="121">
        <f t="shared" si="18"/>
        <v>1</v>
      </c>
      <c r="M57" s="27">
        <v>27.2</v>
      </c>
      <c r="N57" s="73">
        <f t="shared" si="11"/>
        <v>28.2</v>
      </c>
      <c r="O57" s="73">
        <f t="shared" si="12"/>
        <v>29702.399999999998</v>
      </c>
      <c r="P57" s="74">
        <f t="shared" si="13"/>
        <v>28.2</v>
      </c>
      <c r="Q57" s="74">
        <f t="shared" si="14"/>
        <v>30794.399999999998</v>
      </c>
      <c r="R57" s="74">
        <f t="shared" si="15"/>
        <v>1092</v>
      </c>
      <c r="U57" s="153">
        <f t="shared" si="16"/>
        <v>0.03676470588235303</v>
      </c>
      <c r="V57" s="119"/>
    </row>
    <row r="58" spans="1:22" s="75" customFormat="1" ht="15">
      <c r="A58" s="159"/>
      <c r="B58" s="72">
        <v>33</v>
      </c>
      <c r="C58" s="162" t="s">
        <v>143</v>
      </c>
      <c r="D58" s="162">
        <v>7</v>
      </c>
      <c r="E58" s="162">
        <v>1</v>
      </c>
      <c r="F58" s="154">
        <f t="shared" si="17"/>
        <v>364</v>
      </c>
      <c r="G58" s="132">
        <f t="shared" si="27"/>
        <v>324</v>
      </c>
      <c r="H58" s="79">
        <f t="shared" si="10"/>
        <v>117936</v>
      </c>
      <c r="I58" s="76">
        <f>$C$110*H58</f>
        <v>88434.87763116507</v>
      </c>
      <c r="J58" s="73">
        <f>References!$C$49*I58</f>
        <v>353.7395105246606</v>
      </c>
      <c r="K58" s="121">
        <f>J58/References!$G$57</f>
        <v>362.57547484667407</v>
      </c>
      <c r="L58" s="121">
        <f t="shared" si="18"/>
        <v>1</v>
      </c>
      <c r="M58" s="27">
        <v>27.2</v>
      </c>
      <c r="N58" s="73">
        <f t="shared" si="11"/>
        <v>28.2</v>
      </c>
      <c r="O58" s="73">
        <f t="shared" si="12"/>
        <v>9900.8</v>
      </c>
      <c r="P58" s="74">
        <f t="shared" si="13"/>
        <v>28.2</v>
      </c>
      <c r="Q58" s="74">
        <f t="shared" si="14"/>
        <v>10264.8</v>
      </c>
      <c r="R58" s="74">
        <f t="shared" si="15"/>
        <v>364</v>
      </c>
      <c r="U58" s="153">
        <f t="shared" si="16"/>
        <v>0.03676470588235303</v>
      </c>
      <c r="V58" s="119"/>
    </row>
    <row r="59" spans="1:22" s="75" customFormat="1" ht="15">
      <c r="A59" s="159"/>
      <c r="B59" s="72">
        <v>33</v>
      </c>
      <c r="C59" s="162" t="s">
        <v>144</v>
      </c>
      <c r="D59" s="162">
        <v>9</v>
      </c>
      <c r="E59" s="162">
        <v>2</v>
      </c>
      <c r="F59" s="154">
        <f t="shared" si="17"/>
        <v>936</v>
      </c>
      <c r="G59" s="132">
        <f t="shared" si="27"/>
        <v>324</v>
      </c>
      <c r="H59" s="79">
        <f t="shared" si="10"/>
        <v>303264</v>
      </c>
      <c r="I59" s="76">
        <f>$C$110*H59</f>
        <v>227403.97105156732</v>
      </c>
      <c r="J59" s="73">
        <f>References!$C$49*I59</f>
        <v>909.61588420627</v>
      </c>
      <c r="K59" s="121">
        <f>J59/References!$G$57</f>
        <v>932.3369353200189</v>
      </c>
      <c r="L59" s="121">
        <f t="shared" si="18"/>
        <v>1</v>
      </c>
      <c r="M59" s="27">
        <v>27.2</v>
      </c>
      <c r="N59" s="73">
        <f t="shared" si="11"/>
        <v>28.2</v>
      </c>
      <c r="O59" s="73">
        <f t="shared" si="12"/>
        <v>25459.2</v>
      </c>
      <c r="P59" s="74">
        <f t="shared" si="13"/>
        <v>28.2</v>
      </c>
      <c r="Q59" s="74">
        <f t="shared" si="14"/>
        <v>26395.2</v>
      </c>
      <c r="R59" s="74">
        <f t="shared" si="15"/>
        <v>936</v>
      </c>
      <c r="U59" s="153">
        <f t="shared" si="16"/>
        <v>0.03676470588235303</v>
      </c>
      <c r="V59" s="119"/>
    </row>
    <row r="60" spans="1:22" s="75" customFormat="1" ht="15">
      <c r="A60" s="159"/>
      <c r="B60" s="72">
        <v>33</v>
      </c>
      <c r="C60" s="162" t="s">
        <v>145</v>
      </c>
      <c r="D60" s="162">
        <v>9</v>
      </c>
      <c r="E60" s="162">
        <v>2</v>
      </c>
      <c r="F60" s="154">
        <f t="shared" si="17"/>
        <v>936</v>
      </c>
      <c r="G60" s="132">
        <f t="shared" si="27"/>
        <v>324</v>
      </c>
      <c r="H60" s="79">
        <f t="shared" si="10"/>
        <v>303264</v>
      </c>
      <c r="I60" s="76">
        <f>$C$110*H60</f>
        <v>227403.97105156732</v>
      </c>
      <c r="J60" s="73">
        <f>References!$C$49*I60</f>
        <v>909.61588420627</v>
      </c>
      <c r="K60" s="121">
        <f>J60/References!$G$57</f>
        <v>932.3369353200189</v>
      </c>
      <c r="L60" s="121">
        <f t="shared" si="18"/>
        <v>1</v>
      </c>
      <c r="M60" s="27">
        <v>27.2</v>
      </c>
      <c r="N60" s="73">
        <f t="shared" si="11"/>
        <v>28.2</v>
      </c>
      <c r="O60" s="73">
        <f t="shared" si="12"/>
        <v>25459.2</v>
      </c>
      <c r="P60" s="74">
        <f t="shared" si="13"/>
        <v>28.2</v>
      </c>
      <c r="Q60" s="74">
        <f t="shared" si="14"/>
        <v>26395.2</v>
      </c>
      <c r="R60" s="74">
        <f t="shared" si="15"/>
        <v>936</v>
      </c>
      <c r="U60" s="153">
        <f t="shared" si="16"/>
        <v>0.03676470588235303</v>
      </c>
      <c r="V60" s="119"/>
    </row>
    <row r="61" spans="1:22" s="75" customFormat="1" ht="15">
      <c r="A61" s="159"/>
      <c r="B61" s="72">
        <v>33</v>
      </c>
      <c r="C61" s="162" t="s">
        <v>146</v>
      </c>
      <c r="D61" s="162">
        <v>7</v>
      </c>
      <c r="E61" s="162">
        <v>2</v>
      </c>
      <c r="F61" s="154">
        <f t="shared" si="17"/>
        <v>728</v>
      </c>
      <c r="G61" s="132">
        <f t="shared" si="27"/>
        <v>324</v>
      </c>
      <c r="H61" s="79">
        <f t="shared" si="10"/>
        <v>235872</v>
      </c>
      <c r="I61" s="76">
        <f>$C$110*H61</f>
        <v>176869.75526233015</v>
      </c>
      <c r="J61" s="73">
        <f>References!$C$49*I61</f>
        <v>707.4790210493212</v>
      </c>
      <c r="K61" s="121">
        <f>J61/References!$G$57</f>
        <v>725.1509496933481</v>
      </c>
      <c r="L61" s="121">
        <f t="shared" si="18"/>
        <v>1</v>
      </c>
      <c r="M61" s="27">
        <v>27.2</v>
      </c>
      <c r="N61" s="73">
        <f t="shared" si="11"/>
        <v>28.2</v>
      </c>
      <c r="O61" s="73">
        <f t="shared" si="12"/>
        <v>19801.6</v>
      </c>
      <c r="P61" s="74">
        <f t="shared" si="13"/>
        <v>28.2</v>
      </c>
      <c r="Q61" s="74">
        <f t="shared" si="14"/>
        <v>20529.6</v>
      </c>
      <c r="R61" s="74">
        <f t="shared" si="15"/>
        <v>728</v>
      </c>
      <c r="U61" s="153">
        <f t="shared" si="16"/>
        <v>0.03676470588235303</v>
      </c>
      <c r="V61" s="119"/>
    </row>
    <row r="62" spans="1:22" s="75" customFormat="1" ht="15">
      <c r="A62" s="159"/>
      <c r="B62" s="72">
        <v>33</v>
      </c>
      <c r="C62" s="162" t="s">
        <v>147</v>
      </c>
      <c r="D62" s="162">
        <v>6</v>
      </c>
      <c r="E62" s="162">
        <v>3</v>
      </c>
      <c r="F62" s="154">
        <f t="shared" si="17"/>
        <v>936</v>
      </c>
      <c r="G62" s="132">
        <f t="shared" si="27"/>
        <v>324</v>
      </c>
      <c r="H62" s="79">
        <f t="shared" si="10"/>
        <v>303264</v>
      </c>
      <c r="I62" s="76">
        <f>$C$110*H62</f>
        <v>227403.97105156732</v>
      </c>
      <c r="J62" s="73">
        <f>References!$C$49*I62</f>
        <v>909.61588420627</v>
      </c>
      <c r="K62" s="121">
        <f>J62/References!$G$57</f>
        <v>932.3369353200189</v>
      </c>
      <c r="L62" s="121">
        <f t="shared" si="18"/>
        <v>1</v>
      </c>
      <c r="M62" s="27">
        <v>27.2</v>
      </c>
      <c r="N62" s="73">
        <f t="shared" si="11"/>
        <v>28.2</v>
      </c>
      <c r="O62" s="73">
        <f t="shared" si="12"/>
        <v>25459.2</v>
      </c>
      <c r="P62" s="74">
        <f t="shared" si="13"/>
        <v>28.2</v>
      </c>
      <c r="Q62" s="74">
        <f t="shared" si="14"/>
        <v>26395.2</v>
      </c>
      <c r="R62" s="74">
        <f t="shared" si="15"/>
        <v>936</v>
      </c>
      <c r="U62" s="153">
        <f t="shared" si="16"/>
        <v>0.03676470588235303</v>
      </c>
      <c r="V62" s="119"/>
    </row>
    <row r="63" spans="1:22" s="75" customFormat="1" ht="15">
      <c r="A63" s="159"/>
      <c r="B63" s="72">
        <v>33</v>
      </c>
      <c r="C63" s="162" t="s">
        <v>148</v>
      </c>
      <c r="D63" s="162">
        <v>19</v>
      </c>
      <c r="E63" s="162">
        <v>0.5</v>
      </c>
      <c r="F63" s="154">
        <f t="shared" si="17"/>
        <v>494</v>
      </c>
      <c r="G63" s="132">
        <f>+References!B30</f>
        <v>473</v>
      </c>
      <c r="H63" s="79">
        <f t="shared" si="10"/>
        <v>233662</v>
      </c>
      <c r="I63" s="76">
        <f>$C$110*H63</f>
        <v>175212.57611800716</v>
      </c>
      <c r="J63" s="73">
        <f>References!$C$49*I63</f>
        <v>700.8503044720293</v>
      </c>
      <c r="K63" s="121">
        <f>J63/References!$G$57</f>
        <v>718.3566561832142</v>
      </c>
      <c r="L63" s="121">
        <f t="shared" si="18"/>
        <v>1.45</v>
      </c>
      <c r="M63" s="27">
        <v>36.9</v>
      </c>
      <c r="N63" s="73">
        <f t="shared" si="11"/>
        <v>38.35</v>
      </c>
      <c r="O63" s="73">
        <f t="shared" si="12"/>
        <v>18228.6</v>
      </c>
      <c r="P63" s="74">
        <f t="shared" si="13"/>
        <v>38.35</v>
      </c>
      <c r="Q63" s="74">
        <f t="shared" si="14"/>
        <v>18944.9</v>
      </c>
      <c r="R63" s="74">
        <f t="shared" si="15"/>
        <v>716.3000000000029</v>
      </c>
      <c r="U63" s="153">
        <f t="shared" si="16"/>
        <v>0.0392953929539297</v>
      </c>
      <c r="V63" s="119"/>
    </row>
    <row r="64" spans="1:22" s="75" customFormat="1" ht="15">
      <c r="A64" s="159"/>
      <c r="B64" s="72">
        <v>33</v>
      </c>
      <c r="C64" s="162" t="s">
        <v>149</v>
      </c>
      <c r="D64" s="162">
        <v>56</v>
      </c>
      <c r="E64" s="162">
        <v>1</v>
      </c>
      <c r="F64" s="154">
        <f t="shared" si="17"/>
        <v>2912</v>
      </c>
      <c r="G64" s="132">
        <f>+G63</f>
        <v>473</v>
      </c>
      <c r="H64" s="79">
        <f t="shared" si="10"/>
        <v>1377376</v>
      </c>
      <c r="I64" s="76">
        <f>$C$110*H64</f>
        <v>1032832.0276429895</v>
      </c>
      <c r="J64" s="73">
        <f>References!$C$49*I64</f>
        <v>4131.328110571962</v>
      </c>
      <c r="K64" s="121">
        <f>J64/References!$G$57</f>
        <v>4234.523446974736</v>
      </c>
      <c r="L64" s="121">
        <f t="shared" si="18"/>
        <v>1.45</v>
      </c>
      <c r="M64" s="27">
        <v>36.9</v>
      </c>
      <c r="N64" s="73">
        <f t="shared" si="11"/>
        <v>38.35</v>
      </c>
      <c r="O64" s="73">
        <f t="shared" si="12"/>
        <v>107452.8</v>
      </c>
      <c r="P64" s="74">
        <f t="shared" si="13"/>
        <v>38.35</v>
      </c>
      <c r="Q64" s="74">
        <f t="shared" si="14"/>
        <v>111675.2</v>
      </c>
      <c r="R64" s="74">
        <f t="shared" si="15"/>
        <v>4222.399999999994</v>
      </c>
      <c r="U64" s="153">
        <f t="shared" si="16"/>
        <v>0.0392953929539297</v>
      </c>
      <c r="V64" s="119"/>
    </row>
    <row r="65" spans="1:22" s="75" customFormat="1" ht="15">
      <c r="A65" s="159"/>
      <c r="B65" s="72">
        <v>33</v>
      </c>
      <c r="C65" s="162" t="s">
        <v>150</v>
      </c>
      <c r="D65" s="162">
        <v>6</v>
      </c>
      <c r="E65" s="162">
        <v>1</v>
      </c>
      <c r="F65" s="154">
        <f t="shared" si="17"/>
        <v>312</v>
      </c>
      <c r="G65" s="132">
        <f aca="true" t="shared" si="28" ref="G65:G70">+G64</f>
        <v>473</v>
      </c>
      <c r="H65" s="79">
        <f t="shared" si="10"/>
        <v>147576</v>
      </c>
      <c r="I65" s="76">
        <f>$C$110*H65</f>
        <v>110660.57439032031</v>
      </c>
      <c r="J65" s="73">
        <f>References!$C$49*I65</f>
        <v>442.6422975612816</v>
      </c>
      <c r="K65" s="121">
        <f>J65/References!$G$57</f>
        <v>453.69894074729314</v>
      </c>
      <c r="L65" s="121">
        <f t="shared" si="18"/>
        <v>1.45</v>
      </c>
      <c r="M65" s="27">
        <v>36.9</v>
      </c>
      <c r="N65" s="73">
        <f t="shared" si="11"/>
        <v>38.35</v>
      </c>
      <c r="O65" s="73">
        <f t="shared" si="12"/>
        <v>11512.8</v>
      </c>
      <c r="P65" s="74">
        <f t="shared" si="13"/>
        <v>38.35</v>
      </c>
      <c r="Q65" s="74">
        <f t="shared" si="14"/>
        <v>11965.2</v>
      </c>
      <c r="R65" s="74">
        <f t="shared" si="15"/>
        <v>452.40000000000146</v>
      </c>
      <c r="U65" s="153">
        <f t="shared" si="16"/>
        <v>0.0392953929539297</v>
      </c>
      <c r="V65" s="119"/>
    </row>
    <row r="66" spans="1:22" s="75" customFormat="1" ht="15">
      <c r="A66" s="159"/>
      <c r="B66" s="72">
        <v>33</v>
      </c>
      <c r="C66" s="162" t="s">
        <v>151</v>
      </c>
      <c r="D66" s="162">
        <v>9</v>
      </c>
      <c r="E66" s="162">
        <v>1</v>
      </c>
      <c r="F66" s="154">
        <f t="shared" si="17"/>
        <v>468</v>
      </c>
      <c r="G66" s="132">
        <f t="shared" si="28"/>
        <v>473</v>
      </c>
      <c r="H66" s="79">
        <f t="shared" si="10"/>
        <v>221364</v>
      </c>
      <c r="I66" s="76">
        <f>$C$110*H66</f>
        <v>165990.86158548048</v>
      </c>
      <c r="J66" s="73">
        <f>References!$C$49*I66</f>
        <v>663.9634463419225</v>
      </c>
      <c r="K66" s="121">
        <f>J66/References!$G$57</f>
        <v>680.5484111209398</v>
      </c>
      <c r="L66" s="121">
        <f t="shared" si="18"/>
        <v>1.45</v>
      </c>
      <c r="M66" s="27">
        <v>36.9</v>
      </c>
      <c r="N66" s="73">
        <f t="shared" si="11"/>
        <v>38.35</v>
      </c>
      <c r="O66" s="73">
        <f t="shared" si="12"/>
        <v>17269.2</v>
      </c>
      <c r="P66" s="74">
        <f t="shared" si="13"/>
        <v>38.35</v>
      </c>
      <c r="Q66" s="74">
        <f t="shared" si="14"/>
        <v>17947.8</v>
      </c>
      <c r="R66" s="74">
        <f t="shared" si="15"/>
        <v>678.5999999999985</v>
      </c>
      <c r="U66" s="153">
        <f t="shared" si="16"/>
        <v>0.0392953929539297</v>
      </c>
      <c r="V66" s="119"/>
    </row>
    <row r="67" spans="1:22" s="75" customFormat="1" ht="15">
      <c r="A67" s="159"/>
      <c r="B67" s="72">
        <v>33</v>
      </c>
      <c r="C67" s="162" t="s">
        <v>152</v>
      </c>
      <c r="D67" s="162">
        <v>16</v>
      </c>
      <c r="E67" s="162">
        <v>1</v>
      </c>
      <c r="F67" s="154">
        <f t="shared" si="17"/>
        <v>832</v>
      </c>
      <c r="G67" s="132">
        <f t="shared" si="28"/>
        <v>473</v>
      </c>
      <c r="H67" s="79">
        <f t="shared" si="10"/>
        <v>393536</v>
      </c>
      <c r="I67" s="76">
        <f>$C$110*H67</f>
        <v>295094.86504085414</v>
      </c>
      <c r="J67" s="73">
        <f>References!$C$49*I67</f>
        <v>1180.3794601634177</v>
      </c>
      <c r="K67" s="121">
        <f>J67/References!$G$57</f>
        <v>1209.8638419927818</v>
      </c>
      <c r="L67" s="121">
        <f t="shared" si="18"/>
        <v>1.45</v>
      </c>
      <c r="M67" s="27">
        <v>36.9</v>
      </c>
      <c r="N67" s="73">
        <f t="shared" si="11"/>
        <v>38.35</v>
      </c>
      <c r="O67" s="73">
        <f t="shared" si="12"/>
        <v>30700.8</v>
      </c>
      <c r="P67" s="74">
        <f t="shared" si="13"/>
        <v>38.35</v>
      </c>
      <c r="Q67" s="74">
        <f t="shared" si="14"/>
        <v>31907.2</v>
      </c>
      <c r="R67" s="74">
        <f t="shared" si="15"/>
        <v>1206.4000000000015</v>
      </c>
      <c r="U67" s="153">
        <f t="shared" si="16"/>
        <v>0.0392953929539297</v>
      </c>
      <c r="V67" s="119"/>
    </row>
    <row r="68" spans="1:22" s="75" customFormat="1" ht="15">
      <c r="A68" s="159"/>
      <c r="B68" s="72">
        <v>33</v>
      </c>
      <c r="C68" s="162" t="s">
        <v>153</v>
      </c>
      <c r="D68" s="162">
        <v>7</v>
      </c>
      <c r="E68" s="162">
        <v>1</v>
      </c>
      <c r="F68" s="154">
        <f t="shared" si="17"/>
        <v>364</v>
      </c>
      <c r="G68" s="132">
        <f t="shared" si="28"/>
        <v>473</v>
      </c>
      <c r="H68" s="79">
        <f t="shared" si="10"/>
        <v>172172</v>
      </c>
      <c r="I68" s="76">
        <f>$C$110*H68</f>
        <v>129104.00345537369</v>
      </c>
      <c r="J68" s="73">
        <f>References!$C$49*I68</f>
        <v>516.4160138214952</v>
      </c>
      <c r="K68" s="121">
        <f>J68/References!$G$57</f>
        <v>529.315430871842</v>
      </c>
      <c r="L68" s="121">
        <f t="shared" si="18"/>
        <v>1.45</v>
      </c>
      <c r="M68" s="27">
        <v>36.9</v>
      </c>
      <c r="N68" s="73">
        <f t="shared" si="11"/>
        <v>38.35</v>
      </c>
      <c r="O68" s="73">
        <f t="shared" si="12"/>
        <v>13431.6</v>
      </c>
      <c r="P68" s="74">
        <f t="shared" si="13"/>
        <v>38.35</v>
      </c>
      <c r="Q68" s="74">
        <f t="shared" si="14"/>
        <v>13959.4</v>
      </c>
      <c r="R68" s="74">
        <f t="shared" si="15"/>
        <v>527.7999999999993</v>
      </c>
      <c r="U68" s="153">
        <f t="shared" si="16"/>
        <v>0.0392953929539297</v>
      </c>
      <c r="V68" s="119"/>
    </row>
    <row r="69" spans="1:22" s="75" customFormat="1" ht="15">
      <c r="A69" s="159"/>
      <c r="B69" s="72">
        <v>33</v>
      </c>
      <c r="C69" s="162" t="s">
        <v>154</v>
      </c>
      <c r="D69" s="162">
        <v>3</v>
      </c>
      <c r="E69" s="162">
        <v>2</v>
      </c>
      <c r="F69" s="154">
        <f t="shared" si="17"/>
        <v>312</v>
      </c>
      <c r="G69" s="132">
        <f t="shared" si="28"/>
        <v>473</v>
      </c>
      <c r="H69" s="79">
        <f t="shared" si="10"/>
        <v>147576</v>
      </c>
      <c r="I69" s="76">
        <f>$C$110*H69</f>
        <v>110660.57439032031</v>
      </c>
      <c r="J69" s="73">
        <f>References!$C$49*I69</f>
        <v>442.6422975612816</v>
      </c>
      <c r="K69" s="121">
        <f>J69/References!$G$57</f>
        <v>453.69894074729314</v>
      </c>
      <c r="L69" s="121">
        <f t="shared" si="18"/>
        <v>1.45</v>
      </c>
      <c r="M69" s="27">
        <v>36.9</v>
      </c>
      <c r="N69" s="73">
        <f t="shared" si="11"/>
        <v>38.35</v>
      </c>
      <c r="O69" s="73">
        <f t="shared" si="12"/>
        <v>11512.8</v>
      </c>
      <c r="P69" s="74">
        <f t="shared" si="13"/>
        <v>38.35</v>
      </c>
      <c r="Q69" s="74">
        <f t="shared" si="14"/>
        <v>11965.2</v>
      </c>
      <c r="R69" s="74">
        <f t="shared" si="15"/>
        <v>452.40000000000146</v>
      </c>
      <c r="U69" s="153">
        <f t="shared" si="16"/>
        <v>0.0392953929539297</v>
      </c>
      <c r="V69" s="119"/>
    </row>
    <row r="70" spans="1:22" s="75" customFormat="1" ht="15">
      <c r="A70" s="159"/>
      <c r="B70" s="72">
        <v>33</v>
      </c>
      <c r="C70" s="162" t="s">
        <v>156</v>
      </c>
      <c r="D70" s="162">
        <v>2</v>
      </c>
      <c r="E70" s="162">
        <v>3</v>
      </c>
      <c r="F70" s="154">
        <f t="shared" si="17"/>
        <v>312</v>
      </c>
      <c r="G70" s="132">
        <f t="shared" si="28"/>
        <v>473</v>
      </c>
      <c r="H70" s="79">
        <f t="shared" si="10"/>
        <v>147576</v>
      </c>
      <c r="I70" s="76">
        <f>$C$110*H70</f>
        <v>110660.57439032031</v>
      </c>
      <c r="J70" s="73">
        <f>References!$C$49*I70</f>
        <v>442.6422975612816</v>
      </c>
      <c r="K70" s="121">
        <f>J70/References!$G$57</f>
        <v>453.69894074729314</v>
      </c>
      <c r="L70" s="121">
        <f t="shared" si="18"/>
        <v>1.45</v>
      </c>
      <c r="M70" s="27">
        <v>36.9</v>
      </c>
      <c r="N70" s="73">
        <f t="shared" si="11"/>
        <v>38.35</v>
      </c>
      <c r="O70" s="73">
        <f aca="true" t="shared" si="29" ref="O70:O98">F70*M70</f>
        <v>11512.8</v>
      </c>
      <c r="P70" s="74">
        <f aca="true" t="shared" si="30" ref="P70:P98">N70</f>
        <v>38.35</v>
      </c>
      <c r="Q70" s="74">
        <f aca="true" t="shared" si="31" ref="Q70:Q98">F70*P70</f>
        <v>11965.2</v>
      </c>
      <c r="R70" s="74">
        <f aca="true" t="shared" si="32" ref="R70:R98">Q70-O70</f>
        <v>452.40000000000146</v>
      </c>
      <c r="U70" s="153">
        <f t="shared" si="16"/>
        <v>0.0392953929539297</v>
      </c>
      <c r="V70" s="119"/>
    </row>
    <row r="71" spans="1:22" s="75" customFormat="1" ht="15">
      <c r="A71" s="159"/>
      <c r="B71" s="72">
        <v>33</v>
      </c>
      <c r="C71" s="162" t="s">
        <v>157</v>
      </c>
      <c r="D71" s="162">
        <v>3</v>
      </c>
      <c r="E71" s="164">
        <f>1/4.333</f>
        <v>0.23078698361412414</v>
      </c>
      <c r="F71" s="154">
        <f t="shared" si="17"/>
        <v>36.002769443803366</v>
      </c>
      <c r="G71" s="132">
        <f>+References!B31</f>
        <v>613</v>
      </c>
      <c r="H71" s="79">
        <f t="shared" si="10"/>
        <v>22069.697669051464</v>
      </c>
      <c r="I71" s="76">
        <f>$C$110*H71</f>
        <v>16549.069094418795</v>
      </c>
      <c r="J71" s="73">
        <f>References!$C$49*I71</f>
        <v>66.19627637767525</v>
      </c>
      <c r="K71" s="121">
        <f>J71/References!$G$57</f>
        <v>67.8497754042775</v>
      </c>
      <c r="L71" s="121">
        <f t="shared" si="18"/>
        <v>1.88</v>
      </c>
      <c r="M71" s="27">
        <v>49.8</v>
      </c>
      <c r="N71" s="73">
        <f t="shared" si="11"/>
        <v>51.68</v>
      </c>
      <c r="O71" s="73">
        <f t="shared" si="29"/>
        <v>1792.9379183014075</v>
      </c>
      <c r="P71" s="74">
        <f t="shared" si="30"/>
        <v>51.68</v>
      </c>
      <c r="Q71" s="74">
        <f t="shared" si="31"/>
        <v>1860.6231248557579</v>
      </c>
      <c r="R71" s="74">
        <f t="shared" si="32"/>
        <v>67.68520655435032</v>
      </c>
      <c r="U71" s="153">
        <f t="shared" si="16"/>
        <v>0.03775100401606424</v>
      </c>
      <c r="V71" s="119"/>
    </row>
    <row r="72" spans="1:22" s="75" customFormat="1" ht="15">
      <c r="A72" s="159"/>
      <c r="B72" s="72">
        <v>33</v>
      </c>
      <c r="C72" s="162" t="s">
        <v>159</v>
      </c>
      <c r="D72" s="162">
        <v>15</v>
      </c>
      <c r="E72" s="162">
        <v>0.5</v>
      </c>
      <c r="F72" s="154">
        <f t="shared" si="17"/>
        <v>390</v>
      </c>
      <c r="G72" s="132">
        <f>+G71</f>
        <v>613</v>
      </c>
      <c r="H72" s="79">
        <f t="shared" si="10"/>
        <v>239070</v>
      </c>
      <c r="I72" s="76">
        <f>$C$110*H72</f>
        <v>179267.7909652916</v>
      </c>
      <c r="J72" s="73">
        <f>References!$C$49*I72</f>
        <v>717.0711638611671</v>
      </c>
      <c r="K72" s="121">
        <f>J72/References!$G$57</f>
        <v>734.9826920668359</v>
      </c>
      <c r="L72" s="121">
        <f t="shared" si="18"/>
        <v>1.88</v>
      </c>
      <c r="M72" s="27">
        <v>46.8</v>
      </c>
      <c r="N72" s="73">
        <f t="shared" si="11"/>
        <v>48.68</v>
      </c>
      <c r="O72" s="73">
        <f t="shared" si="29"/>
        <v>18252</v>
      </c>
      <c r="P72" s="74">
        <f t="shared" si="30"/>
        <v>48.68</v>
      </c>
      <c r="Q72" s="74">
        <f t="shared" si="31"/>
        <v>18985.2</v>
      </c>
      <c r="R72" s="74">
        <f t="shared" si="32"/>
        <v>733.2000000000007</v>
      </c>
      <c r="U72" s="153">
        <f t="shared" si="16"/>
        <v>0.04017094017094025</v>
      </c>
      <c r="V72" s="119"/>
    </row>
    <row r="73" spans="1:22" s="75" customFormat="1" ht="15">
      <c r="A73" s="159"/>
      <c r="B73" s="72">
        <v>33</v>
      </c>
      <c r="C73" s="162" t="s">
        <v>158</v>
      </c>
      <c r="D73" s="162">
        <v>59</v>
      </c>
      <c r="E73" s="162">
        <v>1</v>
      </c>
      <c r="F73" s="154">
        <f t="shared" si="17"/>
        <v>3068</v>
      </c>
      <c r="G73" s="132">
        <f aca="true" t="shared" si="33" ref="G73:G80">+G72</f>
        <v>613</v>
      </c>
      <c r="H73" s="79">
        <f t="shared" si="10"/>
        <v>1880684</v>
      </c>
      <c r="I73" s="76">
        <f>$C$110*H73</f>
        <v>1410239.9555936274</v>
      </c>
      <c r="J73" s="73">
        <f>References!$C$49*I73</f>
        <v>5640.959822374514</v>
      </c>
      <c r="K73" s="121">
        <f>J73/References!$G$57</f>
        <v>5781.863844259109</v>
      </c>
      <c r="L73" s="121">
        <f t="shared" si="18"/>
        <v>1.88</v>
      </c>
      <c r="M73" s="27">
        <v>46.8</v>
      </c>
      <c r="N73" s="73">
        <f t="shared" si="11"/>
        <v>48.68</v>
      </c>
      <c r="O73" s="73">
        <f t="shared" si="29"/>
        <v>143582.4</v>
      </c>
      <c r="P73" s="74">
        <f t="shared" si="30"/>
        <v>48.68</v>
      </c>
      <c r="Q73" s="74">
        <f t="shared" si="31"/>
        <v>149350.24</v>
      </c>
      <c r="R73" s="74">
        <f t="shared" si="32"/>
        <v>5767.8399999999965</v>
      </c>
      <c r="U73" s="153">
        <f t="shared" si="16"/>
        <v>0.04017094017094025</v>
      </c>
      <c r="V73" s="119"/>
    </row>
    <row r="74" spans="1:22" s="75" customFormat="1" ht="15">
      <c r="A74" s="159"/>
      <c r="B74" s="72">
        <v>33</v>
      </c>
      <c r="C74" s="162" t="s">
        <v>160</v>
      </c>
      <c r="D74" s="162">
        <v>16</v>
      </c>
      <c r="E74" s="162">
        <v>1</v>
      </c>
      <c r="F74" s="154">
        <f t="shared" si="17"/>
        <v>832</v>
      </c>
      <c r="G74" s="132">
        <f t="shared" si="33"/>
        <v>613</v>
      </c>
      <c r="H74" s="79">
        <f t="shared" si="10"/>
        <v>510016</v>
      </c>
      <c r="I74" s="76">
        <f>$C$110*H74</f>
        <v>382437.9540592888</v>
      </c>
      <c r="J74" s="73">
        <f>References!$C$49*I74</f>
        <v>1529.7518162371564</v>
      </c>
      <c r="K74" s="121">
        <f>J74/References!$G$57</f>
        <v>1567.9630764092499</v>
      </c>
      <c r="L74" s="121">
        <f t="shared" si="18"/>
        <v>1.88</v>
      </c>
      <c r="M74" s="27">
        <v>46.8</v>
      </c>
      <c r="N74" s="73">
        <f t="shared" si="11"/>
        <v>48.68</v>
      </c>
      <c r="O74" s="73">
        <f t="shared" si="29"/>
        <v>38937.6</v>
      </c>
      <c r="P74" s="74">
        <f t="shared" si="30"/>
        <v>48.68</v>
      </c>
      <c r="Q74" s="74">
        <f t="shared" si="31"/>
        <v>40501.76</v>
      </c>
      <c r="R74" s="74">
        <f t="shared" si="32"/>
        <v>1564.1600000000035</v>
      </c>
      <c r="U74" s="153">
        <f t="shared" si="16"/>
        <v>0.04017094017094025</v>
      </c>
      <c r="V74" s="119"/>
    </row>
    <row r="75" spans="1:22" s="75" customFormat="1" ht="15">
      <c r="A75" s="159"/>
      <c r="B75" s="72">
        <v>33</v>
      </c>
      <c r="C75" s="162" t="s">
        <v>161</v>
      </c>
      <c r="D75" s="162">
        <v>6</v>
      </c>
      <c r="E75" s="162">
        <v>1</v>
      </c>
      <c r="F75" s="154">
        <f t="shared" si="17"/>
        <v>312</v>
      </c>
      <c r="G75" s="132">
        <f t="shared" si="33"/>
        <v>613</v>
      </c>
      <c r="H75" s="79">
        <f t="shared" si="10"/>
        <v>191256</v>
      </c>
      <c r="I75" s="76">
        <f>$C$110*H75</f>
        <v>143414.2327722333</v>
      </c>
      <c r="J75" s="73">
        <f>References!$C$49*I75</f>
        <v>573.6569310889338</v>
      </c>
      <c r="K75" s="121">
        <f>J75/References!$G$57</f>
        <v>587.9861536534688</v>
      </c>
      <c r="L75" s="121">
        <f t="shared" si="18"/>
        <v>1.88</v>
      </c>
      <c r="M75" s="27">
        <v>46.8</v>
      </c>
      <c r="N75" s="73">
        <f t="shared" si="11"/>
        <v>48.68</v>
      </c>
      <c r="O75" s="73">
        <f t="shared" si="29"/>
        <v>14601.599999999999</v>
      </c>
      <c r="P75" s="74">
        <f t="shared" si="30"/>
        <v>48.68</v>
      </c>
      <c r="Q75" s="74">
        <f t="shared" si="31"/>
        <v>15188.16</v>
      </c>
      <c r="R75" s="74">
        <f t="shared" si="32"/>
        <v>586.5600000000013</v>
      </c>
      <c r="U75" s="153">
        <f t="shared" si="16"/>
        <v>0.04017094017094025</v>
      </c>
      <c r="V75" s="119"/>
    </row>
    <row r="76" spans="1:22" s="75" customFormat="1" ht="15">
      <c r="A76" s="159"/>
      <c r="B76" s="72">
        <v>33</v>
      </c>
      <c r="C76" s="162" t="s">
        <v>162</v>
      </c>
      <c r="D76" s="162">
        <v>24</v>
      </c>
      <c r="E76" s="162">
        <v>1</v>
      </c>
      <c r="F76" s="154">
        <f t="shared" si="17"/>
        <v>1248</v>
      </c>
      <c r="G76" s="132">
        <f t="shared" si="33"/>
        <v>613</v>
      </c>
      <c r="H76" s="79">
        <f t="shared" si="10"/>
        <v>765024</v>
      </c>
      <c r="I76" s="76">
        <f>$C$110*H76</f>
        <v>573656.9310889333</v>
      </c>
      <c r="J76" s="73">
        <f>References!$C$49*I76</f>
        <v>2294.627724355735</v>
      </c>
      <c r="K76" s="121">
        <f>J76/References!$G$57</f>
        <v>2351.9446146138753</v>
      </c>
      <c r="L76" s="121">
        <f t="shared" si="18"/>
        <v>1.88</v>
      </c>
      <c r="M76" s="27">
        <v>46.8</v>
      </c>
      <c r="N76" s="73">
        <f t="shared" si="11"/>
        <v>48.68</v>
      </c>
      <c r="O76" s="73">
        <f t="shared" si="29"/>
        <v>58406.399999999994</v>
      </c>
      <c r="P76" s="74">
        <f t="shared" si="30"/>
        <v>48.68</v>
      </c>
      <c r="Q76" s="74">
        <f t="shared" si="31"/>
        <v>60752.64</v>
      </c>
      <c r="R76" s="74">
        <f t="shared" si="32"/>
        <v>2346.2400000000052</v>
      </c>
      <c r="U76" s="153">
        <f t="shared" si="16"/>
        <v>0.04017094017094025</v>
      </c>
      <c r="V76" s="119"/>
    </row>
    <row r="77" spans="1:22" s="75" customFormat="1" ht="15">
      <c r="A77" s="159"/>
      <c r="B77" s="72">
        <v>33</v>
      </c>
      <c r="C77" s="162" t="s">
        <v>163</v>
      </c>
      <c r="D77" s="162">
        <v>8</v>
      </c>
      <c r="E77" s="162">
        <v>2</v>
      </c>
      <c r="F77" s="154">
        <f t="shared" si="17"/>
        <v>832</v>
      </c>
      <c r="G77" s="132">
        <f t="shared" si="33"/>
        <v>613</v>
      </c>
      <c r="H77" s="79">
        <f t="shared" si="10"/>
        <v>510016</v>
      </c>
      <c r="I77" s="76">
        <f>$C$110*H77</f>
        <v>382437.9540592888</v>
      </c>
      <c r="J77" s="73">
        <f>References!$C$49*I77</f>
        <v>1529.7518162371564</v>
      </c>
      <c r="K77" s="121">
        <f>J77/References!$G$57</f>
        <v>1567.9630764092499</v>
      </c>
      <c r="L77" s="121">
        <f t="shared" si="18"/>
        <v>1.88</v>
      </c>
      <c r="M77" s="27">
        <v>46.8</v>
      </c>
      <c r="N77" s="73">
        <f t="shared" si="11"/>
        <v>48.68</v>
      </c>
      <c r="O77" s="73">
        <f t="shared" si="29"/>
        <v>38937.6</v>
      </c>
      <c r="P77" s="74">
        <f t="shared" si="30"/>
        <v>48.68</v>
      </c>
      <c r="Q77" s="74">
        <f t="shared" si="31"/>
        <v>40501.76</v>
      </c>
      <c r="R77" s="74">
        <f t="shared" si="32"/>
        <v>1564.1600000000035</v>
      </c>
      <c r="U77" s="153">
        <f t="shared" si="16"/>
        <v>0.04017094017094025</v>
      </c>
      <c r="V77" s="119"/>
    </row>
    <row r="78" spans="1:22" s="75" customFormat="1" ht="15">
      <c r="A78" s="159"/>
      <c r="B78" s="72">
        <v>33</v>
      </c>
      <c r="C78" s="162" t="s">
        <v>164</v>
      </c>
      <c r="D78" s="162">
        <v>2</v>
      </c>
      <c r="E78" s="162">
        <v>2</v>
      </c>
      <c r="F78" s="154">
        <f t="shared" si="17"/>
        <v>208</v>
      </c>
      <c r="G78" s="132">
        <f t="shared" si="33"/>
        <v>613</v>
      </c>
      <c r="H78" s="79">
        <f t="shared" si="10"/>
        <v>127504</v>
      </c>
      <c r="I78" s="76">
        <f>$C$110*H78</f>
        <v>95609.4885148222</v>
      </c>
      <c r="J78" s="73">
        <f>References!$C$49*I78</f>
        <v>382.4379540592891</v>
      </c>
      <c r="K78" s="121">
        <f>J78/References!$G$57</f>
        <v>391.99076910231247</v>
      </c>
      <c r="L78" s="121">
        <f t="shared" si="18"/>
        <v>1.88</v>
      </c>
      <c r="M78" s="27">
        <v>46.8</v>
      </c>
      <c r="N78" s="73">
        <f t="shared" si="11"/>
        <v>48.68</v>
      </c>
      <c r="O78" s="73">
        <f t="shared" si="29"/>
        <v>9734.4</v>
      </c>
      <c r="P78" s="74">
        <f t="shared" si="30"/>
        <v>48.68</v>
      </c>
      <c r="Q78" s="74">
        <f t="shared" si="31"/>
        <v>10125.44</v>
      </c>
      <c r="R78" s="74">
        <f t="shared" si="32"/>
        <v>391.0400000000009</v>
      </c>
      <c r="U78" s="153">
        <f t="shared" si="16"/>
        <v>0.04017094017094025</v>
      </c>
      <c r="V78" s="119"/>
    </row>
    <row r="79" spans="1:22" s="75" customFormat="1" ht="15">
      <c r="A79" s="159"/>
      <c r="B79" s="72">
        <v>33</v>
      </c>
      <c r="C79" s="162" t="s">
        <v>165</v>
      </c>
      <c r="D79" s="162">
        <v>4</v>
      </c>
      <c r="E79" s="162">
        <v>2</v>
      </c>
      <c r="F79" s="154">
        <f t="shared" si="17"/>
        <v>416</v>
      </c>
      <c r="G79" s="132">
        <f t="shared" si="33"/>
        <v>613</v>
      </c>
      <c r="H79" s="79">
        <f t="shared" si="10"/>
        <v>255008</v>
      </c>
      <c r="I79" s="76">
        <f>$C$110*H79</f>
        <v>191218.9770296444</v>
      </c>
      <c r="J79" s="73">
        <f>References!$C$49*I79</f>
        <v>764.8759081185782</v>
      </c>
      <c r="K79" s="121">
        <f>J79/References!$G$57</f>
        <v>783.9815382046249</v>
      </c>
      <c r="L79" s="121">
        <f t="shared" si="18"/>
        <v>1.88</v>
      </c>
      <c r="M79" s="27">
        <v>46.8</v>
      </c>
      <c r="N79" s="73">
        <f t="shared" si="11"/>
        <v>48.68</v>
      </c>
      <c r="O79" s="73">
        <f t="shared" si="29"/>
        <v>19468.8</v>
      </c>
      <c r="P79" s="74">
        <f t="shared" si="30"/>
        <v>48.68</v>
      </c>
      <c r="Q79" s="74">
        <f t="shared" si="31"/>
        <v>20250.88</v>
      </c>
      <c r="R79" s="74">
        <f t="shared" si="32"/>
        <v>782.0800000000017</v>
      </c>
      <c r="U79" s="153">
        <f t="shared" si="16"/>
        <v>0.04017094017094025</v>
      </c>
      <c r="V79" s="119"/>
    </row>
    <row r="80" spans="1:22" s="75" customFormat="1" ht="15">
      <c r="A80" s="159"/>
      <c r="B80" s="72">
        <v>33</v>
      </c>
      <c r="C80" s="162" t="s">
        <v>166</v>
      </c>
      <c r="D80" s="162">
        <v>2</v>
      </c>
      <c r="E80" s="162">
        <v>3</v>
      </c>
      <c r="F80" s="154">
        <f t="shared" si="17"/>
        <v>312</v>
      </c>
      <c r="G80" s="132">
        <f t="shared" si="33"/>
        <v>613</v>
      </c>
      <c r="H80" s="79">
        <f t="shared" si="10"/>
        <v>191256</v>
      </c>
      <c r="I80" s="76">
        <f>$C$110*H80</f>
        <v>143414.2327722333</v>
      </c>
      <c r="J80" s="73">
        <f>References!$C$49*I80</f>
        <v>573.6569310889338</v>
      </c>
      <c r="K80" s="121">
        <f>J80/References!$G$57</f>
        <v>587.9861536534688</v>
      </c>
      <c r="L80" s="121">
        <f t="shared" si="18"/>
        <v>1.88</v>
      </c>
      <c r="M80" s="27">
        <v>46.8</v>
      </c>
      <c r="N80" s="73">
        <f t="shared" si="11"/>
        <v>48.68</v>
      </c>
      <c r="O80" s="73">
        <f t="shared" si="29"/>
        <v>14601.599999999999</v>
      </c>
      <c r="P80" s="74">
        <f t="shared" si="30"/>
        <v>48.68</v>
      </c>
      <c r="Q80" s="74">
        <f t="shared" si="31"/>
        <v>15188.16</v>
      </c>
      <c r="R80" s="74">
        <f t="shared" si="32"/>
        <v>586.5600000000013</v>
      </c>
      <c r="U80" s="153">
        <f t="shared" si="16"/>
        <v>0.04017094017094025</v>
      </c>
      <c r="V80" s="119"/>
    </row>
    <row r="81" spans="1:22" s="75" customFormat="1" ht="15">
      <c r="A81" s="159"/>
      <c r="B81" s="72">
        <v>33</v>
      </c>
      <c r="C81" s="162" t="s">
        <v>167</v>
      </c>
      <c r="D81" s="162">
        <v>2</v>
      </c>
      <c r="E81" s="164">
        <f>1/4.333</f>
        <v>0.23078698361412414</v>
      </c>
      <c r="F81" s="154">
        <f t="shared" si="17"/>
        <v>24.001846295868912</v>
      </c>
      <c r="G81" s="132">
        <f>+References!B32</f>
        <v>840</v>
      </c>
      <c r="H81" s="79">
        <f t="shared" si="10"/>
        <v>20161.550888529888</v>
      </c>
      <c r="I81" s="76">
        <f>$C$110*H81</f>
        <v>15118.236040578347</v>
      </c>
      <c r="J81" s="73">
        <f>References!$C$49*I81</f>
        <v>60.472944162313446</v>
      </c>
      <c r="K81" s="121">
        <f>J81/References!$G$57</f>
        <v>61.98348160912789</v>
      </c>
      <c r="L81" s="121">
        <f t="shared" si="18"/>
        <v>2.58</v>
      </c>
      <c r="M81" s="27">
        <v>67.7</v>
      </c>
      <c r="N81" s="73">
        <f t="shared" si="11"/>
        <v>70.28</v>
      </c>
      <c r="O81" s="73">
        <f t="shared" si="29"/>
        <v>1624.9249942303254</v>
      </c>
      <c r="P81" s="74">
        <f t="shared" si="30"/>
        <v>70.28</v>
      </c>
      <c r="Q81" s="74">
        <f t="shared" si="31"/>
        <v>1686.8497576736672</v>
      </c>
      <c r="R81" s="74">
        <f t="shared" si="32"/>
        <v>61.92476344334182</v>
      </c>
      <c r="U81" s="153">
        <f aca="true" t="shared" si="34" ref="U81:U100">+N81/M81-1</f>
        <v>0.03810930576070892</v>
      </c>
      <c r="V81" s="119"/>
    </row>
    <row r="82" spans="1:22" s="75" customFormat="1" ht="15">
      <c r="A82" s="159"/>
      <c r="B82" s="72">
        <v>33</v>
      </c>
      <c r="C82" s="162" t="s">
        <v>168</v>
      </c>
      <c r="D82" s="162">
        <v>8</v>
      </c>
      <c r="E82" s="162">
        <v>0.5</v>
      </c>
      <c r="F82" s="154">
        <f t="shared" si="17"/>
        <v>208</v>
      </c>
      <c r="G82" s="132">
        <f>+G81</f>
        <v>840</v>
      </c>
      <c r="H82" s="79">
        <f t="shared" si="10"/>
        <v>174720</v>
      </c>
      <c r="I82" s="76">
        <f>$C$110*H82</f>
        <v>131014.63352765195</v>
      </c>
      <c r="J82" s="73">
        <f>References!$C$49*I82</f>
        <v>524.0585341106083</v>
      </c>
      <c r="K82" s="121">
        <f>J82/References!$G$57</f>
        <v>537.1488516247023</v>
      </c>
      <c r="L82" s="121">
        <f t="shared" si="18"/>
        <v>2.58</v>
      </c>
      <c r="M82" s="27">
        <v>64.7</v>
      </c>
      <c r="N82" s="73">
        <f t="shared" si="11"/>
        <v>67.28</v>
      </c>
      <c r="O82" s="73">
        <f t="shared" si="29"/>
        <v>13457.6</v>
      </c>
      <c r="P82" s="74">
        <f t="shared" si="30"/>
        <v>67.28</v>
      </c>
      <c r="Q82" s="74">
        <f t="shared" si="31"/>
        <v>13994.24</v>
      </c>
      <c r="R82" s="74">
        <f t="shared" si="32"/>
        <v>536.6399999999994</v>
      </c>
      <c r="U82" s="153">
        <f t="shared" si="34"/>
        <v>0.03987635239567222</v>
      </c>
      <c r="V82" s="119"/>
    </row>
    <row r="83" spans="1:22" s="75" customFormat="1" ht="15">
      <c r="A83" s="159"/>
      <c r="B83" s="72">
        <v>33</v>
      </c>
      <c r="C83" s="162" t="s">
        <v>169</v>
      </c>
      <c r="D83" s="162">
        <v>51</v>
      </c>
      <c r="E83" s="162">
        <v>1</v>
      </c>
      <c r="F83" s="154">
        <f t="shared" si="17"/>
        <v>2652</v>
      </c>
      <c r="G83" s="132">
        <f aca="true" t="shared" si="35" ref="G83:G94">+G82</f>
        <v>840</v>
      </c>
      <c r="H83" s="79">
        <f t="shared" si="10"/>
        <v>2227680</v>
      </c>
      <c r="I83" s="76">
        <f>$C$110*H83</f>
        <v>1670436.5774775625</v>
      </c>
      <c r="J83" s="73">
        <f>References!$C$49*I83</f>
        <v>6681.746309910256</v>
      </c>
      <c r="K83" s="121">
        <f>J83/References!$G$57</f>
        <v>6848.647858214955</v>
      </c>
      <c r="L83" s="121">
        <f t="shared" si="18"/>
        <v>2.58</v>
      </c>
      <c r="M83" s="27">
        <v>64.7</v>
      </c>
      <c r="N83" s="73">
        <f t="shared" si="11"/>
        <v>67.28</v>
      </c>
      <c r="O83" s="73">
        <f t="shared" si="29"/>
        <v>171584.4</v>
      </c>
      <c r="P83" s="74">
        <f t="shared" si="30"/>
        <v>67.28</v>
      </c>
      <c r="Q83" s="74">
        <f t="shared" si="31"/>
        <v>178426.56</v>
      </c>
      <c r="R83" s="74">
        <f t="shared" si="32"/>
        <v>6842.1600000000035</v>
      </c>
      <c r="U83" s="153">
        <f t="shared" si="34"/>
        <v>0.03987635239567222</v>
      </c>
      <c r="V83" s="119"/>
    </row>
    <row r="84" spans="1:22" s="75" customFormat="1" ht="15">
      <c r="A84" s="159"/>
      <c r="B84" s="72">
        <v>33</v>
      </c>
      <c r="C84" s="162" t="s">
        <v>170</v>
      </c>
      <c r="D84" s="162">
        <v>14</v>
      </c>
      <c r="E84" s="162">
        <v>1</v>
      </c>
      <c r="F84" s="154">
        <f t="shared" si="17"/>
        <v>728</v>
      </c>
      <c r="G84" s="132">
        <f t="shared" si="35"/>
        <v>840</v>
      </c>
      <c r="H84" s="79">
        <f t="shared" si="10"/>
        <v>611520</v>
      </c>
      <c r="I84" s="76">
        <f>$C$110*H84</f>
        <v>458551.21734678186</v>
      </c>
      <c r="J84" s="73">
        <f>References!$C$49*I84</f>
        <v>1834.204869387129</v>
      </c>
      <c r="K84" s="121">
        <f>J84/References!$G$57</f>
        <v>1880.020980686458</v>
      </c>
      <c r="L84" s="121">
        <f t="shared" si="18"/>
        <v>2.58</v>
      </c>
      <c r="M84" s="27">
        <v>64.7</v>
      </c>
      <c r="N84" s="73">
        <f t="shared" si="11"/>
        <v>67.28</v>
      </c>
      <c r="O84" s="73">
        <f t="shared" si="29"/>
        <v>47101.6</v>
      </c>
      <c r="P84" s="74">
        <f t="shared" si="30"/>
        <v>67.28</v>
      </c>
      <c r="Q84" s="74">
        <f t="shared" si="31"/>
        <v>48979.840000000004</v>
      </c>
      <c r="R84" s="74">
        <f t="shared" si="32"/>
        <v>1878.2400000000052</v>
      </c>
      <c r="U84" s="153">
        <f t="shared" si="34"/>
        <v>0.03987635239567222</v>
      </c>
      <c r="V84" s="119"/>
    </row>
    <row r="85" spans="1:22" s="75" customFormat="1" ht="15">
      <c r="A85" s="159"/>
      <c r="B85" s="72">
        <v>33</v>
      </c>
      <c r="C85" s="162" t="s">
        <v>171</v>
      </c>
      <c r="D85" s="162">
        <v>9</v>
      </c>
      <c r="E85" s="162">
        <v>1</v>
      </c>
      <c r="F85" s="154">
        <f t="shared" si="17"/>
        <v>468</v>
      </c>
      <c r="G85" s="132">
        <f t="shared" si="35"/>
        <v>840</v>
      </c>
      <c r="H85" s="79">
        <f t="shared" si="10"/>
        <v>393120</v>
      </c>
      <c r="I85" s="76">
        <f>$C$110*H85</f>
        <v>294782.9254372169</v>
      </c>
      <c r="J85" s="73">
        <f>References!$C$49*I85</f>
        <v>1179.1317017488686</v>
      </c>
      <c r="K85" s="121">
        <f>J85/References!$G$57</f>
        <v>1208.5849161555802</v>
      </c>
      <c r="L85" s="121">
        <f t="shared" si="18"/>
        <v>2.58</v>
      </c>
      <c r="M85" s="27">
        <v>64.7</v>
      </c>
      <c r="N85" s="73">
        <f t="shared" si="11"/>
        <v>67.28</v>
      </c>
      <c r="O85" s="73">
        <f t="shared" si="29"/>
        <v>30279.600000000002</v>
      </c>
      <c r="P85" s="74">
        <f t="shared" si="30"/>
        <v>67.28</v>
      </c>
      <c r="Q85" s="74">
        <f t="shared" si="31"/>
        <v>31487.04</v>
      </c>
      <c r="R85" s="74">
        <f t="shared" si="32"/>
        <v>1207.4399999999987</v>
      </c>
      <c r="U85" s="153">
        <f t="shared" si="34"/>
        <v>0.03987635239567222</v>
      </c>
      <c r="V85" s="119"/>
    </row>
    <row r="86" spans="1:22" s="75" customFormat="1" ht="15">
      <c r="A86" s="159"/>
      <c r="B86" s="72">
        <v>33</v>
      </c>
      <c r="C86" s="162" t="s">
        <v>172</v>
      </c>
      <c r="D86" s="162">
        <v>8</v>
      </c>
      <c r="E86" s="162">
        <v>1</v>
      </c>
      <c r="F86" s="154">
        <f t="shared" si="17"/>
        <v>416</v>
      </c>
      <c r="G86" s="132">
        <f t="shared" si="35"/>
        <v>840</v>
      </c>
      <c r="H86" s="79">
        <f t="shared" si="10"/>
        <v>349440</v>
      </c>
      <c r="I86" s="76">
        <f>$C$110*H86</f>
        <v>262029.2670553039</v>
      </c>
      <c r="J86" s="73">
        <f>References!$C$49*I86</f>
        <v>1048.1170682212166</v>
      </c>
      <c r="K86" s="121">
        <f>J86/References!$G$57</f>
        <v>1074.2977032494045</v>
      </c>
      <c r="L86" s="121">
        <f t="shared" si="18"/>
        <v>2.58</v>
      </c>
      <c r="M86" s="27">
        <v>64.7</v>
      </c>
      <c r="N86" s="73">
        <f t="shared" si="11"/>
        <v>67.28</v>
      </c>
      <c r="O86" s="73">
        <f t="shared" si="29"/>
        <v>26915.2</v>
      </c>
      <c r="P86" s="74">
        <f t="shared" si="30"/>
        <v>67.28</v>
      </c>
      <c r="Q86" s="74">
        <f t="shared" si="31"/>
        <v>27988.48</v>
      </c>
      <c r="R86" s="74">
        <f t="shared" si="32"/>
        <v>1073.2799999999988</v>
      </c>
      <c r="U86" s="153">
        <f t="shared" si="34"/>
        <v>0.03987635239567222</v>
      </c>
      <c r="V86" s="119"/>
    </row>
    <row r="87" spans="1:22" s="75" customFormat="1" ht="15">
      <c r="A87" s="159"/>
      <c r="B87" s="72">
        <v>33</v>
      </c>
      <c r="C87" s="162" t="s">
        <v>173</v>
      </c>
      <c r="D87" s="162">
        <v>15</v>
      </c>
      <c r="E87" s="162">
        <v>1</v>
      </c>
      <c r="F87" s="154">
        <f t="shared" si="17"/>
        <v>780</v>
      </c>
      <c r="G87" s="132">
        <f t="shared" si="35"/>
        <v>840</v>
      </c>
      <c r="H87" s="79">
        <f t="shared" si="10"/>
        <v>655200</v>
      </c>
      <c r="I87" s="76">
        <f>$C$110*H87</f>
        <v>491304.87572869484</v>
      </c>
      <c r="J87" s="73">
        <f>References!$C$49*I87</f>
        <v>1965.219502914781</v>
      </c>
      <c r="K87" s="121">
        <f>J87/References!$G$57</f>
        <v>2014.3081935926336</v>
      </c>
      <c r="L87" s="121">
        <f t="shared" si="18"/>
        <v>2.58</v>
      </c>
      <c r="M87" s="27">
        <v>64.7</v>
      </c>
      <c r="N87" s="73">
        <f t="shared" si="11"/>
        <v>67.28</v>
      </c>
      <c r="O87" s="73">
        <f t="shared" si="29"/>
        <v>50466</v>
      </c>
      <c r="P87" s="74">
        <f t="shared" si="30"/>
        <v>67.28</v>
      </c>
      <c r="Q87" s="74">
        <f t="shared" si="31"/>
        <v>52478.4</v>
      </c>
      <c r="R87" s="74">
        <f t="shared" si="32"/>
        <v>2012.4000000000015</v>
      </c>
      <c r="U87" s="153">
        <f t="shared" si="34"/>
        <v>0.03987635239567222</v>
      </c>
      <c r="V87" s="119"/>
    </row>
    <row r="88" spans="1:22" s="75" customFormat="1" ht="15">
      <c r="A88" s="159"/>
      <c r="B88" s="72">
        <v>33</v>
      </c>
      <c r="C88" s="162" t="s">
        <v>174</v>
      </c>
      <c r="D88" s="162">
        <v>6</v>
      </c>
      <c r="E88" s="162">
        <v>1</v>
      </c>
      <c r="F88" s="154">
        <f t="shared" si="17"/>
        <v>312</v>
      </c>
      <c r="G88" s="132">
        <f t="shared" si="35"/>
        <v>840</v>
      </c>
      <c r="H88" s="79">
        <f t="shared" si="10"/>
        <v>262080</v>
      </c>
      <c r="I88" s="76">
        <f>$C$110*H88</f>
        <v>196521.95029147793</v>
      </c>
      <c r="J88" s="73">
        <f>References!$C$49*I88</f>
        <v>786.0878011659124</v>
      </c>
      <c r="K88" s="121">
        <f>J88/References!$G$57</f>
        <v>805.7232774370534</v>
      </c>
      <c r="L88" s="121">
        <f t="shared" si="18"/>
        <v>2.58</v>
      </c>
      <c r="M88" s="27">
        <v>64.7</v>
      </c>
      <c r="N88" s="73">
        <f t="shared" si="11"/>
        <v>67.28</v>
      </c>
      <c r="O88" s="73">
        <f t="shared" si="29"/>
        <v>20186.4</v>
      </c>
      <c r="P88" s="74">
        <f t="shared" si="30"/>
        <v>67.28</v>
      </c>
      <c r="Q88" s="74">
        <f t="shared" si="31"/>
        <v>20991.36</v>
      </c>
      <c r="R88" s="74">
        <f t="shared" si="32"/>
        <v>804.9599999999991</v>
      </c>
      <c r="U88" s="153">
        <f t="shared" si="34"/>
        <v>0.03987635239567222</v>
      </c>
      <c r="V88" s="119"/>
    </row>
    <row r="89" spans="1:22" s="75" customFormat="1" ht="15">
      <c r="A89" s="159"/>
      <c r="B89" s="72">
        <v>33</v>
      </c>
      <c r="C89" s="162" t="s">
        <v>175</v>
      </c>
      <c r="D89" s="162">
        <v>10</v>
      </c>
      <c r="E89" s="162">
        <v>2</v>
      </c>
      <c r="F89" s="154">
        <f t="shared" si="17"/>
        <v>1040</v>
      </c>
      <c r="G89" s="132">
        <f t="shared" si="35"/>
        <v>840</v>
      </c>
      <c r="H89" s="79">
        <f aca="true" t="shared" si="36" ref="H89:H98">F89*G89</f>
        <v>873600</v>
      </c>
      <c r="I89" s="76">
        <f>$C$110*H89</f>
        <v>655073.1676382598</v>
      </c>
      <c r="J89" s="73">
        <f>References!$C$49*I89</f>
        <v>2620.2926705530417</v>
      </c>
      <c r="K89" s="121">
        <f>J89/References!$G$57</f>
        <v>2685.744258123512</v>
      </c>
      <c r="L89" s="121">
        <f t="shared" si="18"/>
        <v>2.58</v>
      </c>
      <c r="M89" s="27">
        <v>64.7</v>
      </c>
      <c r="N89" s="73">
        <f aca="true" t="shared" si="37" ref="N89:N98">L89+M89</f>
        <v>67.28</v>
      </c>
      <c r="O89" s="73">
        <f t="shared" si="29"/>
        <v>67288</v>
      </c>
      <c r="P89" s="74">
        <f t="shared" si="30"/>
        <v>67.28</v>
      </c>
      <c r="Q89" s="74">
        <f t="shared" si="31"/>
        <v>69971.2</v>
      </c>
      <c r="R89" s="74">
        <f t="shared" si="32"/>
        <v>2683.199999999997</v>
      </c>
      <c r="U89" s="153">
        <f t="shared" si="34"/>
        <v>0.03987635239567222</v>
      </c>
      <c r="V89" s="119"/>
    </row>
    <row r="90" spans="1:22" s="75" customFormat="1" ht="15">
      <c r="A90" s="159"/>
      <c r="B90" s="72">
        <v>33</v>
      </c>
      <c r="C90" s="162" t="s">
        <v>176</v>
      </c>
      <c r="D90" s="162">
        <v>2</v>
      </c>
      <c r="E90" s="162">
        <v>2</v>
      </c>
      <c r="F90" s="154">
        <f t="shared" si="17"/>
        <v>208</v>
      </c>
      <c r="G90" s="132">
        <f t="shared" si="35"/>
        <v>840</v>
      </c>
      <c r="H90" s="79">
        <f t="shared" si="36"/>
        <v>174720</v>
      </c>
      <c r="I90" s="76">
        <f>$C$110*H90</f>
        <v>131014.63352765195</v>
      </c>
      <c r="J90" s="73">
        <f>References!$C$49*I90</f>
        <v>524.0585341106083</v>
      </c>
      <c r="K90" s="121">
        <f>J90/References!$G$57</f>
        <v>537.1488516247023</v>
      </c>
      <c r="L90" s="121">
        <f t="shared" si="18"/>
        <v>2.58</v>
      </c>
      <c r="M90" s="27">
        <v>64.7</v>
      </c>
      <c r="N90" s="73">
        <f t="shared" si="37"/>
        <v>67.28</v>
      </c>
      <c r="O90" s="73">
        <f t="shared" si="29"/>
        <v>13457.6</v>
      </c>
      <c r="P90" s="74">
        <f t="shared" si="30"/>
        <v>67.28</v>
      </c>
      <c r="Q90" s="74">
        <f t="shared" si="31"/>
        <v>13994.24</v>
      </c>
      <c r="R90" s="74">
        <f t="shared" si="32"/>
        <v>536.6399999999994</v>
      </c>
      <c r="U90" s="153">
        <f t="shared" si="34"/>
        <v>0.03987635239567222</v>
      </c>
      <c r="V90" s="119"/>
    </row>
    <row r="91" spans="1:22" s="75" customFormat="1" ht="15">
      <c r="A91" s="159"/>
      <c r="B91" s="72">
        <v>33</v>
      </c>
      <c r="C91" s="162" t="s">
        <v>177</v>
      </c>
      <c r="D91" s="162">
        <v>8</v>
      </c>
      <c r="E91" s="162">
        <v>2</v>
      </c>
      <c r="F91" s="154">
        <f t="shared" si="17"/>
        <v>832</v>
      </c>
      <c r="G91" s="132">
        <f t="shared" si="35"/>
        <v>840</v>
      </c>
      <c r="H91" s="79">
        <f t="shared" si="36"/>
        <v>698880</v>
      </c>
      <c r="I91" s="76">
        <f>$C$110*H91</f>
        <v>524058.5341106078</v>
      </c>
      <c r="J91" s="73">
        <f>References!$C$49*I91</f>
        <v>2096.2341364424333</v>
      </c>
      <c r="K91" s="121">
        <f>J91/References!$G$57</f>
        <v>2148.595406498809</v>
      </c>
      <c r="L91" s="121">
        <f t="shared" si="18"/>
        <v>2.58</v>
      </c>
      <c r="M91" s="27">
        <v>64.7</v>
      </c>
      <c r="N91" s="73">
        <f t="shared" si="37"/>
        <v>67.28</v>
      </c>
      <c r="O91" s="73">
        <f t="shared" si="29"/>
        <v>53830.4</v>
      </c>
      <c r="P91" s="74">
        <f t="shared" si="30"/>
        <v>67.28</v>
      </c>
      <c r="Q91" s="74">
        <f t="shared" si="31"/>
        <v>55976.96</v>
      </c>
      <c r="R91" s="74">
        <f t="shared" si="32"/>
        <v>2146.5599999999977</v>
      </c>
      <c r="U91" s="153">
        <f t="shared" si="34"/>
        <v>0.03987635239567222</v>
      </c>
      <c r="V91" s="119"/>
    </row>
    <row r="92" spans="1:22" s="75" customFormat="1" ht="15">
      <c r="A92" s="159"/>
      <c r="B92" s="72">
        <v>33</v>
      </c>
      <c r="C92" s="162" t="s">
        <v>178</v>
      </c>
      <c r="D92" s="162">
        <v>7</v>
      </c>
      <c r="E92" s="162">
        <v>2</v>
      </c>
      <c r="F92" s="154">
        <f t="shared" si="17"/>
        <v>728</v>
      </c>
      <c r="G92" s="132">
        <f t="shared" si="35"/>
        <v>840</v>
      </c>
      <c r="H92" s="79">
        <f t="shared" si="36"/>
        <v>611520</v>
      </c>
      <c r="I92" s="76">
        <f>$C$110*H92</f>
        <v>458551.21734678186</v>
      </c>
      <c r="J92" s="73">
        <f>References!$C$49*I92</f>
        <v>1834.204869387129</v>
      </c>
      <c r="K92" s="121">
        <f>J92/References!$G$57</f>
        <v>1880.020980686458</v>
      </c>
      <c r="L92" s="121">
        <f t="shared" si="18"/>
        <v>2.58</v>
      </c>
      <c r="M92" s="27">
        <v>64.7</v>
      </c>
      <c r="N92" s="73">
        <f t="shared" si="37"/>
        <v>67.28</v>
      </c>
      <c r="O92" s="73">
        <f t="shared" si="29"/>
        <v>47101.6</v>
      </c>
      <c r="P92" s="74">
        <f t="shared" si="30"/>
        <v>67.28</v>
      </c>
      <c r="Q92" s="74">
        <f t="shared" si="31"/>
        <v>48979.840000000004</v>
      </c>
      <c r="R92" s="74">
        <f t="shared" si="32"/>
        <v>1878.2400000000052</v>
      </c>
      <c r="U92" s="153">
        <f t="shared" si="34"/>
        <v>0.03987635239567222</v>
      </c>
      <c r="V92" s="119"/>
    </row>
    <row r="93" spans="1:22" s="75" customFormat="1" ht="15">
      <c r="A93" s="159"/>
      <c r="B93" s="72">
        <v>33</v>
      </c>
      <c r="C93" s="162" t="s">
        <v>179</v>
      </c>
      <c r="D93" s="162">
        <v>2</v>
      </c>
      <c r="E93" s="162">
        <v>3</v>
      </c>
      <c r="F93" s="154">
        <f aca="true" t="shared" si="38" ref="F93:F98">+E93*D93*52</f>
        <v>312</v>
      </c>
      <c r="G93" s="132">
        <f t="shared" si="35"/>
        <v>840</v>
      </c>
      <c r="H93" s="79">
        <f t="shared" si="36"/>
        <v>262080</v>
      </c>
      <c r="I93" s="76">
        <f>$C$110*H93</f>
        <v>196521.95029147793</v>
      </c>
      <c r="J93" s="73">
        <f>References!$C$49*I93</f>
        <v>786.0878011659124</v>
      </c>
      <c r="K93" s="121">
        <f>J93/References!$G$57</f>
        <v>805.7232774370534</v>
      </c>
      <c r="L93" s="121">
        <f t="shared" si="18"/>
        <v>2.58</v>
      </c>
      <c r="M93" s="27">
        <v>64.7</v>
      </c>
      <c r="N93" s="73">
        <f t="shared" si="37"/>
        <v>67.28</v>
      </c>
      <c r="O93" s="73">
        <f t="shared" si="29"/>
        <v>20186.4</v>
      </c>
      <c r="P93" s="74">
        <f t="shared" si="30"/>
        <v>67.28</v>
      </c>
      <c r="Q93" s="74">
        <f t="shared" si="31"/>
        <v>20991.36</v>
      </c>
      <c r="R93" s="74">
        <f t="shared" si="32"/>
        <v>804.9599999999991</v>
      </c>
      <c r="U93" s="153">
        <f t="shared" si="34"/>
        <v>0.03987635239567222</v>
      </c>
      <c r="V93" s="119"/>
    </row>
    <row r="94" spans="1:22" s="75" customFormat="1" ht="15">
      <c r="A94" s="159"/>
      <c r="B94" s="72">
        <v>33</v>
      </c>
      <c r="C94" s="162" t="s">
        <v>180</v>
      </c>
      <c r="D94" s="162">
        <v>2</v>
      </c>
      <c r="E94" s="162">
        <v>3</v>
      </c>
      <c r="F94" s="154">
        <f t="shared" si="38"/>
        <v>312</v>
      </c>
      <c r="G94" s="132">
        <f t="shared" si="35"/>
        <v>840</v>
      </c>
      <c r="H94" s="79">
        <f t="shared" si="36"/>
        <v>262080</v>
      </c>
      <c r="I94" s="76">
        <f>$C$110*H94</f>
        <v>196521.95029147793</v>
      </c>
      <c r="J94" s="73">
        <f>References!$C$49*I94</f>
        <v>786.0878011659124</v>
      </c>
      <c r="K94" s="121">
        <f>J94/References!$G$57</f>
        <v>805.7232774370534</v>
      </c>
      <c r="L94" s="121">
        <f t="shared" si="18"/>
        <v>2.58</v>
      </c>
      <c r="M94" s="27">
        <v>64.7</v>
      </c>
      <c r="N94" s="73">
        <f t="shared" si="37"/>
        <v>67.28</v>
      </c>
      <c r="O94" s="73">
        <f t="shared" si="29"/>
        <v>20186.4</v>
      </c>
      <c r="P94" s="74">
        <f t="shared" si="30"/>
        <v>67.28</v>
      </c>
      <c r="Q94" s="74">
        <f t="shared" si="31"/>
        <v>20991.36</v>
      </c>
      <c r="R94" s="74">
        <f t="shared" si="32"/>
        <v>804.9599999999991</v>
      </c>
      <c r="U94" s="153">
        <f t="shared" si="34"/>
        <v>0.03987635239567222</v>
      </c>
      <c r="V94" s="119"/>
    </row>
    <row r="95" spans="1:22" s="75" customFormat="1" ht="15">
      <c r="A95" s="159"/>
      <c r="B95" s="72">
        <v>33</v>
      </c>
      <c r="C95" s="162" t="s">
        <v>181</v>
      </c>
      <c r="D95" s="162">
        <v>6</v>
      </c>
      <c r="E95" s="162">
        <v>0.5</v>
      </c>
      <c r="F95" s="154">
        <f t="shared" si="38"/>
        <v>156</v>
      </c>
      <c r="G95" s="132">
        <f>+References!B33</f>
        <v>980</v>
      </c>
      <c r="H95" s="79">
        <f t="shared" si="36"/>
        <v>152880</v>
      </c>
      <c r="I95" s="76">
        <f>$C$110*H95</f>
        <v>114637.80433669547</v>
      </c>
      <c r="J95" s="73">
        <f>References!$C$49*I95</f>
        <v>458.55121734678227</v>
      </c>
      <c r="K95" s="121">
        <f>J95/References!$G$57</f>
        <v>470.0052451716145</v>
      </c>
      <c r="L95" s="121">
        <f t="shared" si="18"/>
        <v>3.01</v>
      </c>
      <c r="M95" s="27">
        <v>82.6</v>
      </c>
      <c r="N95" s="73">
        <f t="shared" si="37"/>
        <v>85.61</v>
      </c>
      <c r="O95" s="73">
        <f t="shared" si="29"/>
        <v>12885.599999999999</v>
      </c>
      <c r="P95" s="74">
        <f t="shared" si="30"/>
        <v>85.61</v>
      </c>
      <c r="Q95" s="74">
        <f t="shared" si="31"/>
        <v>13355.16</v>
      </c>
      <c r="R95" s="74">
        <f t="shared" si="32"/>
        <v>469.5600000000013</v>
      </c>
      <c r="U95" s="153">
        <f t="shared" si="34"/>
        <v>0.03644067796610173</v>
      </c>
      <c r="V95" s="119"/>
    </row>
    <row r="96" spans="1:22" s="75" customFormat="1" ht="15">
      <c r="A96" s="159"/>
      <c r="B96" s="72">
        <v>33</v>
      </c>
      <c r="C96" s="162" t="s">
        <v>182</v>
      </c>
      <c r="D96" s="162">
        <v>20</v>
      </c>
      <c r="E96" s="162">
        <v>1</v>
      </c>
      <c r="F96" s="154">
        <f t="shared" si="38"/>
        <v>1040</v>
      </c>
      <c r="G96" s="132">
        <f>+G95</f>
        <v>980</v>
      </c>
      <c r="H96" s="79">
        <f t="shared" si="36"/>
        <v>1019200</v>
      </c>
      <c r="I96" s="76">
        <f>$C$110*H96</f>
        <v>764252.028911303</v>
      </c>
      <c r="J96" s="73">
        <f>References!$C$49*I96</f>
        <v>3057.0081156452147</v>
      </c>
      <c r="K96" s="121">
        <f>J96/References!$G$57</f>
        <v>3133.368301144096</v>
      </c>
      <c r="L96" s="121">
        <f t="shared" si="18"/>
        <v>3.01</v>
      </c>
      <c r="M96" s="27">
        <v>82.6</v>
      </c>
      <c r="N96" s="73">
        <f t="shared" si="37"/>
        <v>85.61</v>
      </c>
      <c r="O96" s="73">
        <f t="shared" si="29"/>
        <v>85904</v>
      </c>
      <c r="P96" s="74">
        <f t="shared" si="30"/>
        <v>85.61</v>
      </c>
      <c r="Q96" s="74">
        <f t="shared" si="31"/>
        <v>89034.4</v>
      </c>
      <c r="R96" s="74">
        <f t="shared" si="32"/>
        <v>3130.399999999994</v>
      </c>
      <c r="U96" s="153">
        <f t="shared" si="34"/>
        <v>0.03644067796610173</v>
      </c>
      <c r="V96" s="119"/>
    </row>
    <row r="97" spans="1:22" s="75" customFormat="1" ht="15">
      <c r="A97" s="159"/>
      <c r="B97" s="72">
        <v>33</v>
      </c>
      <c r="C97" s="162" t="s">
        <v>183</v>
      </c>
      <c r="D97" s="162">
        <v>4</v>
      </c>
      <c r="E97" s="162">
        <v>2</v>
      </c>
      <c r="F97" s="154">
        <f t="shared" si="38"/>
        <v>416</v>
      </c>
      <c r="G97" s="132">
        <f>+G96</f>
        <v>980</v>
      </c>
      <c r="H97" s="79">
        <f t="shared" si="36"/>
        <v>407680</v>
      </c>
      <c r="I97" s="76">
        <f>$C$110*H97</f>
        <v>305700.8115645212</v>
      </c>
      <c r="J97" s="73">
        <f>References!$C$49*I97</f>
        <v>1222.803246258086</v>
      </c>
      <c r="K97" s="121">
        <f>J97/References!$G$57</f>
        <v>1253.3473204576385</v>
      </c>
      <c r="L97" s="121">
        <f t="shared" si="18"/>
        <v>3.01</v>
      </c>
      <c r="M97" s="27">
        <v>82.6</v>
      </c>
      <c r="N97" s="73">
        <f t="shared" si="37"/>
        <v>85.61</v>
      </c>
      <c r="O97" s="73">
        <f t="shared" si="29"/>
        <v>34361.6</v>
      </c>
      <c r="P97" s="74">
        <f t="shared" si="30"/>
        <v>85.61</v>
      </c>
      <c r="Q97" s="74">
        <f t="shared" si="31"/>
        <v>35613.76</v>
      </c>
      <c r="R97" s="74">
        <f t="shared" si="32"/>
        <v>1252.1600000000035</v>
      </c>
      <c r="U97" s="153">
        <f t="shared" si="34"/>
        <v>0.03644067796610173</v>
      </c>
      <c r="V97" s="119"/>
    </row>
    <row r="98" spans="1:22" s="75" customFormat="1" ht="15">
      <c r="A98" s="159"/>
      <c r="B98" s="72">
        <v>33</v>
      </c>
      <c r="C98" s="162" t="s">
        <v>155</v>
      </c>
      <c r="D98" s="163">
        <v>1</v>
      </c>
      <c r="E98" s="162">
        <v>3</v>
      </c>
      <c r="F98" s="154">
        <f t="shared" si="38"/>
        <v>156</v>
      </c>
      <c r="G98" s="132">
        <f>+G97</f>
        <v>980</v>
      </c>
      <c r="H98" s="79">
        <f t="shared" si="36"/>
        <v>152880</v>
      </c>
      <c r="I98" s="76">
        <f>$C$110*H98</f>
        <v>114637.80433669547</v>
      </c>
      <c r="J98" s="73">
        <f>References!$C$49*I98</f>
        <v>458.55121734678227</v>
      </c>
      <c r="K98" s="121">
        <f>J98/References!$G$57</f>
        <v>470.0052451716145</v>
      </c>
      <c r="L98" s="121">
        <f t="shared" si="18"/>
        <v>3.01</v>
      </c>
      <c r="M98" s="27">
        <v>82.6</v>
      </c>
      <c r="N98" s="73">
        <f t="shared" si="37"/>
        <v>85.61</v>
      </c>
      <c r="O98" s="73">
        <f t="shared" si="29"/>
        <v>12885.599999999999</v>
      </c>
      <c r="P98" s="74">
        <f t="shared" si="30"/>
        <v>85.61</v>
      </c>
      <c r="Q98" s="74">
        <f t="shared" si="31"/>
        <v>13355.16</v>
      </c>
      <c r="R98" s="74">
        <f t="shared" si="32"/>
        <v>469.5600000000013</v>
      </c>
      <c r="U98" s="153">
        <f t="shared" si="34"/>
        <v>0.03644067796610173</v>
      </c>
      <c r="V98" s="119"/>
    </row>
    <row r="99" spans="1:21" s="75" customFormat="1" ht="15">
      <c r="A99" s="80"/>
      <c r="B99" s="61"/>
      <c r="C99" s="82" t="s">
        <v>3</v>
      </c>
      <c r="D99" s="83">
        <f>SUM(D28:D98)</f>
        <v>1266</v>
      </c>
      <c r="E99" s="83"/>
      <c r="F99" s="83">
        <f>SUM(F28:F98)</f>
        <v>66120.01015462728</v>
      </c>
      <c r="G99" s="134"/>
      <c r="H99" s="83">
        <f>SUM(H28:H98)</f>
        <v>24694061.043157168</v>
      </c>
      <c r="I99" s="86">
        <f>SUM(I28:I98)</f>
        <v>18516960.610569496</v>
      </c>
      <c r="J99" s="88"/>
      <c r="K99" s="88"/>
      <c r="L99" s="88"/>
      <c r="M99" s="88"/>
      <c r="N99" s="88"/>
      <c r="O99" s="88">
        <f>SUM(O28:O98)</f>
        <v>2045180.6301869377</v>
      </c>
      <c r="P99" s="88"/>
      <c r="Q99" s="88">
        <f>SUM(Q28:Q98)</f>
        <v>2121055.7656958224</v>
      </c>
      <c r="R99" s="88">
        <f>SUM(R28:R98)</f>
        <v>75875.13550888529</v>
      </c>
      <c r="U99" s="153">
        <f>+R99/O99</f>
        <v>0.03709947883769562</v>
      </c>
    </row>
    <row r="100" spans="3:21" ht="25.5" customHeight="1">
      <c r="C100" s="91" t="s">
        <v>100</v>
      </c>
      <c r="D100" s="92">
        <f>D27+D99</f>
        <v>13849</v>
      </c>
      <c r="E100" s="92"/>
      <c r="F100" s="92">
        <f>F27+F99</f>
        <v>639854.3609546274</v>
      </c>
      <c r="G100" s="92"/>
      <c r="H100" s="92">
        <f>H27+H99</f>
        <v>46895880.41475716</v>
      </c>
      <c r="I100" s="92">
        <f>I27+I99</f>
        <v>35165101.800000004</v>
      </c>
      <c r="J100" s="73"/>
      <c r="K100" s="93"/>
      <c r="L100" s="93"/>
      <c r="M100" s="93"/>
      <c r="N100" s="93"/>
      <c r="O100" s="136">
        <f>O27+O99</f>
        <v>5008094.630186938</v>
      </c>
      <c r="P100" s="136"/>
      <c r="Q100" s="136">
        <f>Q27+Q99</f>
        <v>5152047.925695822</v>
      </c>
      <c r="R100" s="136">
        <f>R27+R99</f>
        <v>143953.2955088851</v>
      </c>
      <c r="U100" s="153">
        <f>+R100/O100</f>
        <v>0.028744124490217893</v>
      </c>
    </row>
    <row r="101" spans="7:10" ht="15">
      <c r="G101" s="135"/>
      <c r="J101" s="95"/>
    </row>
    <row r="102" spans="7:10" ht="15">
      <c r="G102" s="135"/>
      <c r="J102" s="95"/>
    </row>
    <row r="103" spans="1:3" ht="15">
      <c r="A103" s="78"/>
      <c r="C103" s="98"/>
    </row>
    <row r="104" spans="1:3" ht="15">
      <c r="A104" s="78"/>
      <c r="C104" s="98"/>
    </row>
    <row r="105" spans="1:8" ht="15">
      <c r="A105" s="78"/>
      <c r="B105" s="161" t="s">
        <v>101</v>
      </c>
      <c r="C105" s="161"/>
      <c r="D105" s="71"/>
      <c r="E105" s="99"/>
      <c r="F105" s="99"/>
      <c r="H105" s="129"/>
    </row>
    <row r="106" spans="1:15" ht="15">
      <c r="A106" s="78"/>
      <c r="B106" s="71"/>
      <c r="C106" s="100" t="s">
        <v>3</v>
      </c>
      <c r="D106" s="71"/>
      <c r="E106" s="31"/>
      <c r="F106" s="31"/>
      <c r="H106" s="101" t="s">
        <v>102</v>
      </c>
      <c r="J106" s="102"/>
      <c r="O106" s="94"/>
    </row>
    <row r="107" spans="1:15" ht="15">
      <c r="A107" s="78"/>
      <c r="B107" s="71" t="s">
        <v>103</v>
      </c>
      <c r="C107" s="130">
        <f>'Co. Pro Tonnage'!E9</f>
        <v>17582.550900000002</v>
      </c>
      <c r="D107" s="71"/>
      <c r="E107" s="89"/>
      <c r="F107" s="89"/>
      <c r="G107" s="103"/>
      <c r="H107" s="127" t="s">
        <v>106</v>
      </c>
      <c r="I107" s="128"/>
      <c r="J107" s="102"/>
      <c r="O107" s="94"/>
    </row>
    <row r="108" spans="1:10" ht="15">
      <c r="A108" s="78"/>
      <c r="B108" s="71" t="s">
        <v>104</v>
      </c>
      <c r="C108" s="104">
        <f>C107*2000</f>
        <v>35165101.800000004</v>
      </c>
      <c r="D108" s="71"/>
      <c r="E108" s="104"/>
      <c r="F108" s="104"/>
      <c r="G108" s="104"/>
      <c r="H108" s="105"/>
      <c r="J108" s="102"/>
    </row>
    <row r="109" spans="1:15" ht="15">
      <c r="A109" s="78"/>
      <c r="B109" s="71" t="s">
        <v>105</v>
      </c>
      <c r="C109" s="104">
        <f>F27+F99</f>
        <v>639854.3609546274</v>
      </c>
      <c r="D109" s="71"/>
      <c r="E109" s="89"/>
      <c r="F109" s="89"/>
      <c r="G109" s="89"/>
      <c r="I109" s="120"/>
      <c r="J109" s="102"/>
      <c r="O109" s="94"/>
    </row>
    <row r="110" spans="2:15" ht="15">
      <c r="B110" s="106" t="s">
        <v>107</v>
      </c>
      <c r="C110" s="107">
        <f>C108/$H$100</f>
        <v>0.7498548164357369</v>
      </c>
      <c r="D110" s="71"/>
      <c r="E110" s="107"/>
      <c r="F110" s="107"/>
      <c r="G110" s="107"/>
      <c r="H110" s="108"/>
      <c r="J110" s="102"/>
      <c r="M110" s="109"/>
      <c r="N110" s="109"/>
      <c r="O110" s="110"/>
    </row>
    <row r="111" spans="5:15" ht="15">
      <c r="E111" s="102"/>
      <c r="G111" s="111"/>
      <c r="H111" s="112"/>
      <c r="J111" s="102"/>
      <c r="M111" s="113"/>
      <c r="N111" s="114"/>
      <c r="O111" s="96"/>
    </row>
    <row r="112" spans="4:15" ht="15">
      <c r="D112" s="115"/>
      <c r="E112" s="116"/>
      <c r="G112" s="111"/>
      <c r="H112" s="112"/>
      <c r="J112" s="102"/>
      <c r="M112" s="113"/>
      <c r="N112" s="114"/>
      <c r="O112" s="96"/>
    </row>
    <row r="113" spans="4:15" ht="15">
      <c r="D113" s="115"/>
      <c r="E113" s="116"/>
      <c r="G113" s="111"/>
      <c r="H113" s="112"/>
      <c r="J113" s="102"/>
      <c r="M113" s="113"/>
      <c r="N113" s="114"/>
      <c r="O113" s="96"/>
    </row>
    <row r="114" spans="4:9" ht="15">
      <c r="D114" s="71"/>
      <c r="I114" s="71"/>
    </row>
    <row r="115" spans="4:9" ht="15">
      <c r="D115" s="71"/>
      <c r="E115" s="102"/>
      <c r="I115" s="71"/>
    </row>
    <row r="116" spans="4:9" ht="15">
      <c r="D116" s="71"/>
      <c r="I116" s="71"/>
    </row>
    <row r="117" spans="4:9" ht="15">
      <c r="D117" s="71"/>
      <c r="I117" s="71"/>
    </row>
    <row r="118" ht="15">
      <c r="D118" s="71"/>
    </row>
  </sheetData>
  <sheetProtection/>
  <mergeCells count="3">
    <mergeCell ref="A2:A26"/>
    <mergeCell ref="A28:A98"/>
    <mergeCell ref="B105:C105"/>
  </mergeCells>
  <printOptions/>
  <pageMargins left="0.45" right="0.2" top="0.25" bottom="0.25" header="0.3" footer="0.3"/>
  <pageSetup fitToHeight="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111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4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0" t="s">
        <v>112</v>
      </c>
      <c r="G3" s="6" t="s">
        <v>110</v>
      </c>
      <c r="I3" s="6" t="s">
        <v>14</v>
      </c>
      <c r="L3" s="38"/>
      <c r="M3" s="37"/>
      <c r="N3" s="37"/>
      <c r="O3" s="147"/>
      <c r="P3" s="39"/>
    </row>
    <row r="4" spans="1:16" ht="15.75">
      <c r="A4" s="2"/>
      <c r="B4" s="2"/>
      <c r="C4" s="6" t="s">
        <v>3</v>
      </c>
      <c r="D4" s="6" t="s">
        <v>2</v>
      </c>
      <c r="E4" s="6" t="s">
        <v>14</v>
      </c>
      <c r="F4" s="7" t="s">
        <v>5</v>
      </c>
      <c r="G4" s="6" t="s">
        <v>14</v>
      </c>
      <c r="H4" s="7" t="s">
        <v>7</v>
      </c>
      <c r="I4" s="6" t="s">
        <v>0</v>
      </c>
      <c r="J4" s="6" t="s">
        <v>0</v>
      </c>
      <c r="L4" s="39"/>
      <c r="M4" s="39"/>
      <c r="N4" s="39"/>
      <c r="O4" s="39"/>
      <c r="P4" s="39"/>
    </row>
    <row r="5" spans="1:17" ht="20.25">
      <c r="A5" s="2"/>
      <c r="B5" s="2"/>
      <c r="C5" s="4" t="s">
        <v>8</v>
      </c>
      <c r="D5" s="4" t="s">
        <v>14</v>
      </c>
      <c r="E5" s="4" t="s">
        <v>8</v>
      </c>
      <c r="F5" s="5" t="s">
        <v>9</v>
      </c>
      <c r="G5" s="4" t="s">
        <v>6</v>
      </c>
      <c r="H5" s="5" t="s">
        <v>9</v>
      </c>
      <c r="I5" s="4" t="s">
        <v>10</v>
      </c>
      <c r="J5" s="4" t="s">
        <v>1</v>
      </c>
      <c r="L5" s="40"/>
      <c r="M5" s="40"/>
      <c r="N5" s="40"/>
      <c r="O5" s="40"/>
      <c r="P5" s="40"/>
      <c r="Q5" s="40"/>
    </row>
    <row r="6" spans="1:18" ht="15.75">
      <c r="A6" s="3" t="s">
        <v>11</v>
      </c>
      <c r="B6" s="2"/>
      <c r="C6" s="18">
        <v>9702.35</v>
      </c>
      <c r="D6" s="32">
        <v>0.801</v>
      </c>
      <c r="E6" s="34">
        <f>+D6*C6</f>
        <v>7771.582350000001</v>
      </c>
      <c r="F6" s="10">
        <v>89</v>
      </c>
      <c r="G6" s="13">
        <f>+F6*E6</f>
        <v>691670.82915</v>
      </c>
      <c r="H6" s="12">
        <v>97</v>
      </c>
      <c r="I6" s="13">
        <f>+H6*E6</f>
        <v>753843.4879500001</v>
      </c>
      <c r="J6" s="19">
        <f>+I6-G6</f>
        <v>62172.65880000009</v>
      </c>
      <c r="K6" s="29"/>
      <c r="L6" s="43"/>
      <c r="M6" s="43"/>
      <c r="N6" s="43"/>
      <c r="O6" s="43"/>
      <c r="P6" s="44"/>
      <c r="Q6" s="142"/>
      <c r="R6" s="28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4"/>
      <c r="M7" s="44"/>
      <c r="N7" s="44"/>
      <c r="O7" s="44"/>
      <c r="P7" s="44"/>
    </row>
    <row r="8" spans="1:18" ht="18">
      <c r="A8" s="3" t="s">
        <v>12</v>
      </c>
      <c r="B8" s="2"/>
      <c r="C8" s="24">
        <v>10722.37</v>
      </c>
      <c r="D8" s="32">
        <v>0.915</v>
      </c>
      <c r="E8" s="35">
        <f>+D8*C8</f>
        <v>9810.968550000001</v>
      </c>
      <c r="F8" s="10">
        <f>+F6</f>
        <v>89</v>
      </c>
      <c r="G8" s="14">
        <f>+F8*E8</f>
        <v>873176.2009500001</v>
      </c>
      <c r="H8" s="12">
        <f>+H6</f>
        <v>97</v>
      </c>
      <c r="I8" s="14">
        <f>+H8*E8</f>
        <v>951663.9493500001</v>
      </c>
      <c r="J8" s="20">
        <f>+I8-G8</f>
        <v>78487.74840000004</v>
      </c>
      <c r="K8" s="29"/>
      <c r="L8" s="45"/>
      <c r="M8" s="45"/>
      <c r="N8" s="45"/>
      <c r="O8" s="45"/>
      <c r="P8" s="46"/>
      <c r="Q8" s="142"/>
      <c r="R8" s="28"/>
    </row>
    <row r="9" spans="1:18" ht="15.75">
      <c r="A9" s="3"/>
      <c r="B9" s="2"/>
      <c r="C9" s="22">
        <f>+C8+C6</f>
        <v>20424.72</v>
      </c>
      <c r="D9" s="13"/>
      <c r="E9" s="22">
        <f>+E8+E6</f>
        <v>17582.550900000002</v>
      </c>
      <c r="F9" s="10"/>
      <c r="G9" s="33">
        <f>+G8+G6</f>
        <v>1564847.0301</v>
      </c>
      <c r="H9" s="12"/>
      <c r="J9" s="33">
        <f>+J8+J6</f>
        <v>140660.40720000013</v>
      </c>
      <c r="K9" s="33"/>
      <c r="L9" s="33"/>
      <c r="M9" s="33"/>
      <c r="N9" s="33"/>
      <c r="O9" s="33"/>
      <c r="P9" s="33"/>
      <c r="R9" s="28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2"/>
      <c r="M10" s="42"/>
      <c r="N10" s="42"/>
      <c r="O10" s="42"/>
      <c r="P10" s="42"/>
    </row>
    <row r="11" spans="1:16" ht="17.25">
      <c r="A11" s="3" t="s">
        <v>13</v>
      </c>
      <c r="B11" s="2"/>
      <c r="C11" s="18"/>
      <c r="D11" s="32"/>
      <c r="E11" s="24">
        <v>4937.46</v>
      </c>
      <c r="F11" s="10">
        <f>+F8</f>
        <v>89</v>
      </c>
      <c r="G11" s="14">
        <f>+F11*E11</f>
        <v>439433.94</v>
      </c>
      <c r="H11" s="12">
        <f>+H8</f>
        <v>97</v>
      </c>
      <c r="I11" s="13">
        <f>+H11*E11</f>
        <v>478933.62</v>
      </c>
      <c r="J11" s="19">
        <f>+I11-G11</f>
        <v>39499.67999999999</v>
      </c>
      <c r="L11" s="41"/>
      <c r="M11" s="41"/>
      <c r="N11" s="43"/>
      <c r="O11" s="43"/>
      <c r="P11" s="44"/>
    </row>
    <row r="12" spans="1:16" ht="20.25">
      <c r="A12" s="2"/>
      <c r="B12" s="2"/>
      <c r="C12" s="21"/>
      <c r="D12" s="21"/>
      <c r="E12" s="21">
        <f>SUM(E11:E11)</f>
        <v>4937.46</v>
      </c>
      <c r="F12" s="10"/>
      <c r="G12" s="16">
        <f>SUM(G11:G11)</f>
        <v>439433.94</v>
      </c>
      <c r="H12" s="11"/>
      <c r="I12" s="16">
        <f>SUM(I11:I11)</f>
        <v>478933.62</v>
      </c>
      <c r="J12" s="16">
        <f>SUM(J11:J11)</f>
        <v>39499.67999999999</v>
      </c>
      <c r="L12" s="16"/>
      <c r="M12" s="16"/>
      <c r="N12" s="16"/>
      <c r="O12" s="16"/>
      <c r="P12" s="16"/>
    </row>
    <row r="13" spans="1:16" ht="15.75">
      <c r="A13" s="2"/>
      <c r="B13" s="2"/>
      <c r="C13" s="22"/>
      <c r="D13" s="22"/>
      <c r="E13" s="22"/>
      <c r="F13" s="10"/>
      <c r="G13" s="11"/>
      <c r="H13" s="11"/>
      <c r="I13" s="11"/>
      <c r="J13" s="11"/>
      <c r="L13" s="42"/>
      <c r="M13" s="42"/>
      <c r="N13" s="42"/>
      <c r="O13" s="42"/>
      <c r="P13" s="42"/>
    </row>
    <row r="14" spans="1:16" ht="18">
      <c r="A14" s="2"/>
      <c r="B14" s="2"/>
      <c r="C14" s="23">
        <f>+C12+C9</f>
        <v>20424.72</v>
      </c>
      <c r="D14" s="23"/>
      <c r="E14" s="23">
        <f>+E12+E9</f>
        <v>22520.0109</v>
      </c>
      <c r="F14" s="10"/>
      <c r="G14" s="17">
        <f>+G12+G9</f>
        <v>2004280.9701</v>
      </c>
      <c r="H14" s="17"/>
      <c r="I14" s="17">
        <f>+I12+N9</f>
        <v>478933.62</v>
      </c>
      <c r="J14" s="17">
        <f>+J12+J9</f>
        <v>180160.08720000013</v>
      </c>
      <c r="K14" s="17"/>
      <c r="L14" s="17"/>
      <c r="M14" s="17"/>
      <c r="N14" s="17"/>
      <c r="O14" s="17"/>
      <c r="P14" s="17"/>
    </row>
    <row r="15" spans="1:15" ht="17.25">
      <c r="A15" s="2"/>
      <c r="B15" s="2"/>
      <c r="C15" s="24"/>
      <c r="D15" s="24"/>
      <c r="E15" s="24"/>
      <c r="F15" s="10"/>
      <c r="G15" s="14"/>
      <c r="H15" s="11"/>
      <c r="I15" s="11"/>
      <c r="J15" s="11"/>
      <c r="K15" s="2"/>
      <c r="L15" s="2"/>
      <c r="N15" s="2"/>
      <c r="O15" s="2"/>
    </row>
    <row r="16" spans="1:15" ht="15.75">
      <c r="A16" s="2"/>
      <c r="B16" s="2"/>
      <c r="C16" s="18"/>
      <c r="D16" s="11"/>
      <c r="E16" s="11"/>
      <c r="F16" s="10"/>
      <c r="G16" s="15"/>
      <c r="H16" s="11"/>
      <c r="I16" s="11"/>
      <c r="J16" s="11"/>
      <c r="K16" s="2"/>
      <c r="L16" s="2"/>
      <c r="N16" s="2"/>
      <c r="O16" s="2"/>
    </row>
    <row r="17" spans="1:15" ht="15.75">
      <c r="A17" s="2"/>
      <c r="B17" s="2"/>
      <c r="C17" s="18"/>
      <c r="D17" s="18"/>
      <c r="E17" s="18"/>
      <c r="F17" s="25"/>
      <c r="G17" s="11"/>
      <c r="H17" s="25"/>
      <c r="I17" s="25"/>
      <c r="J17" s="25"/>
      <c r="K17" s="2"/>
      <c r="L17" s="2"/>
      <c r="N17" s="2"/>
      <c r="O17" s="2"/>
    </row>
    <row r="18" spans="3:10" ht="15">
      <c r="C18" s="1"/>
      <c r="D18" s="1"/>
      <c r="E18" s="1"/>
      <c r="F18" s="1"/>
      <c r="G18" s="36"/>
      <c r="H18" s="1"/>
      <c r="I18" s="1"/>
      <c r="J18" s="1"/>
    </row>
    <row r="19" spans="1:15" ht="15.75">
      <c r="A19" s="2"/>
      <c r="B19" s="2"/>
      <c r="C19" s="25"/>
      <c r="D19" s="25"/>
      <c r="E19" s="25"/>
      <c r="F19" s="25"/>
      <c r="G19" s="26"/>
      <c r="H19" s="25"/>
      <c r="I19" s="25"/>
      <c r="J19" s="25"/>
      <c r="K19" s="2"/>
      <c r="L19" s="2"/>
      <c r="N19" s="2"/>
      <c r="O19" s="2"/>
    </row>
    <row r="20" spans="3:10" ht="15">
      <c r="C20" s="1"/>
      <c r="D20" s="1"/>
      <c r="E20" s="1"/>
      <c r="F20" s="1"/>
      <c r="G20" s="1"/>
      <c r="H20" s="1"/>
      <c r="I20" s="1"/>
      <c r="J20" s="1"/>
    </row>
    <row r="21" spans="3:10" ht="15">
      <c r="C21" s="1"/>
      <c r="D21" s="1"/>
      <c r="E21" s="1"/>
      <c r="F21" s="1"/>
      <c r="G21" s="1"/>
      <c r="H21" s="1"/>
      <c r="I21" s="1"/>
      <c r="J21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Weinstein, Mike</cp:lastModifiedBy>
  <cp:lastPrinted>2019-06-05T19:11:46Z</cp:lastPrinted>
  <dcterms:created xsi:type="dcterms:W3CDTF">2013-04-10T21:01:30Z</dcterms:created>
  <dcterms:modified xsi:type="dcterms:W3CDTF">2019-06-28T16:27:19Z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fidentiality">
    <vt:lpwstr>None</vt:lpwstr>
  </property>
  <property fmtid="{D5CDD505-2E9C-101B-9397-08002B2CF9AE}" pid="5" name="DocumentDescription">
    <vt:lpwstr>Accounting workpapers</vt:lpwstr>
  </property>
  <property fmtid="{D5CDD505-2E9C-101B-9397-08002B2CF9AE}" pid="6" name="EFilingId">
    <vt:lpwstr>14842.0000000000</vt:lpwstr>
  </property>
  <property fmtid="{D5CDD505-2E9C-101B-9397-08002B2CF9AE}" pid="7" name="DocumentSetType">
    <vt:lpwstr>Workpapers</vt:lpwstr>
  </property>
  <property fmtid="{D5CDD505-2E9C-101B-9397-08002B2CF9AE}" pid="8" name="IsDocumentOrder">
    <vt:lpwstr>0</vt:lpwstr>
  </property>
  <property fmtid="{D5CDD505-2E9C-101B-9397-08002B2CF9AE}" pid="9" name="IsHighlyConfidential">
    <vt:lpwstr>0</vt:lpwstr>
  </property>
  <property fmtid="{D5CDD505-2E9C-101B-9397-08002B2CF9AE}" pid="10" name="CaseCompanyNames">
    <vt:lpwstr>Waste Management of Washington, Inc.</vt:lpwstr>
  </property>
  <property fmtid="{D5CDD505-2E9C-101B-9397-08002B2CF9AE}" pid="11" name="IsConfidential">
    <vt:lpwstr>0</vt:lpwstr>
  </property>
  <property fmtid="{D5CDD505-2E9C-101B-9397-08002B2CF9AE}" pid="12" name="IsEFSEC">
    <vt:lpwstr>0</vt:lpwstr>
  </property>
  <property fmtid="{D5CDD505-2E9C-101B-9397-08002B2CF9AE}" pid="13" name="DocketNumber">
    <vt:lpwstr>190572</vt:lpwstr>
  </property>
  <property fmtid="{D5CDD505-2E9C-101B-9397-08002B2CF9AE}" pid="14" name="Date1">
    <vt:lpwstr>2019-07-01T00:00:00Z</vt:lpwstr>
  </property>
  <property fmtid="{D5CDD505-2E9C-101B-9397-08002B2CF9AE}" pid="15" name="Nickname">
    <vt:lpwstr/>
  </property>
  <property fmtid="{D5CDD505-2E9C-101B-9397-08002B2CF9AE}" pid="16" name="CaseType">
    <vt:lpwstr>Tariff Revision</vt:lpwstr>
  </property>
  <property fmtid="{D5CDD505-2E9C-101B-9397-08002B2CF9AE}" pid="17" name="OpenedDate">
    <vt:lpwstr>2019-07-01T00:00:00Z</vt:lpwstr>
  </property>
  <property fmtid="{D5CDD505-2E9C-101B-9397-08002B2CF9AE}" pid="18" name="Prefix">
    <vt:lpwstr>TG</vt:lpwstr>
  </property>
  <property fmtid="{D5CDD505-2E9C-101B-9397-08002B2CF9AE}" pid="19" name="IndustryCode">
    <vt:lpwstr>227</vt:lpwstr>
  </property>
  <property fmtid="{D5CDD505-2E9C-101B-9397-08002B2CF9AE}" pid="20" name="CaseStatus">
    <vt:lpwstr>Closed</vt:lpwstr>
  </property>
  <property fmtid="{D5CDD505-2E9C-101B-9397-08002B2CF9AE}" pid="21" name="_docset_NoMedatataSyncRequired">
    <vt:lpwstr>False</vt:lpwstr>
  </property>
</Properties>
</file>